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tables/table13.xml" ContentType="application/vnd.openxmlformats-officedocument.spreadsheetml.table+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never" defaultThemeVersion="202300"/>
  <mc:AlternateContent xmlns:mc="http://schemas.openxmlformats.org/markup-compatibility/2006">
    <mc:Choice Requires="x15">
      <x15ac:absPath xmlns:x15ac="http://schemas.microsoft.com/office/spreadsheetml/2010/11/ac" url="https://corptipa-my.sharepoint.com/personal/michael_c_tipa-corp_com/Documents/Desktop/Study/"/>
    </mc:Choice>
  </mc:AlternateContent>
  <xr:revisionPtr revIDLastSave="277" documentId="8_{4DFE9318-5ADD-4E1A-9C26-E2DCC07E66E9}" xr6:coauthVersionLast="47" xr6:coauthVersionMax="47" xr10:uidLastSave="{39BD160A-AEC4-4610-A593-B445C98D94F5}"/>
  <bookViews>
    <workbookView xWindow="28680" yWindow="-120" windowWidth="29040" windowHeight="15720" tabRatio="1000" firstSheet="7" activeTab="11" xr2:uid="{529BDA91-EAAF-45B2-8AB6-C5488F242668}"/>
  </bookViews>
  <sheets>
    <sheet name="Sheet1" sheetId="13" state="hidden" r:id="rId1"/>
    <sheet name="Laminate for reels  - Sales" sheetId="38" state="hidden" r:id="rId2"/>
    <sheet name="Step by Step" sheetId="20" state="hidden" r:id="rId3"/>
    <sheet name="Converting- Marma &amp; Bastin  (2)" sheetId="44" state="hidden" r:id="rId4"/>
    <sheet name="Lmntn &amp; Prntng- Marma &amp; Bas (2)" sheetId="45" state="hidden" r:id="rId5"/>
    <sheet name="Laminates (2)" sheetId="59" r:id="rId6"/>
    <sheet name="BOM" sheetId="1" r:id="rId7"/>
    <sheet name="Film Pricing" sheetId="4" r:id="rId8"/>
    <sheet name="Bags Calculator" sheetId="5" r:id="rId9"/>
    <sheet name="Laminates" sheetId="9" r:id="rId10"/>
    <sheet name="Pouches" sheetId="32" r:id="rId11"/>
    <sheet name=" Laminate Email template (B4P)" sheetId="58" r:id="rId12"/>
    <sheet name="Pouches- copilot" sheetId="56" r:id="rId13"/>
    <sheet name="Laminates- copilot" sheetId="57" r:id="rId14"/>
    <sheet name="HELPER" sheetId="2" r:id="rId15"/>
    <sheet name="Matan &amp; Hagit 2" sheetId="3" state="hidden" r:id="rId16"/>
    <sheet name="Digital_per_meter- Quantum" sheetId="49" r:id="rId17"/>
    <sheet name="Converting- Quantum" sheetId="51" r:id="rId18"/>
    <sheet name="Lmntn &amp; Prntng- Marma &amp; Bastin " sheetId="16" r:id="rId19"/>
    <sheet name="Converting- Marma &amp; Bastin " sheetId="17" r:id="rId20"/>
    <sheet name="list TIPA &amp; B4P" sheetId="18" r:id="rId21"/>
    <sheet name="Laminates step by step" sheetId="23" state="hidden" r:id="rId22"/>
    <sheet name="BOM Resin Weighted QTY %" sheetId="29" r:id="rId23"/>
    <sheet name="Bom Laminates Weighted QTY %" sheetId="46" r:id="rId24"/>
    <sheet name="BOM Pouches  Weighted QTY" sheetId="47" r:id="rId25"/>
    <sheet name="copilot" sheetId="6" r:id="rId26"/>
  </sheets>
  <externalReferences>
    <externalReference r:id="rId27"/>
    <externalReference r:id="rId28"/>
    <externalReference r:id="rId29"/>
    <externalReference r:id="rId30"/>
    <externalReference r:id="rId31"/>
    <externalReference r:id="rId32"/>
  </externalReferences>
  <definedNames>
    <definedName name="_xlnm._FilterDatabase" localSheetId="6" hidden="1">BOM!$A$1:$J$391</definedName>
    <definedName name="_xlnm._FilterDatabase" localSheetId="17" hidden="1">'Converting- Quantum'!$A$1:$N$109</definedName>
    <definedName name="_xlnm._FilterDatabase" localSheetId="16" hidden="1">'Digital_per_meter- Quantum'!$A$31:$I$91</definedName>
    <definedName name="_xlnm._FilterDatabase" localSheetId="14" hidden="1">HELPER!$AV$1:$AY$57</definedName>
    <definedName name="_xlnm._FilterDatabase" localSheetId="5" hidden="1">'Laminates (2)'!$AG$1:$AI$48</definedName>
    <definedName name="_xlnm._FilterDatabase" localSheetId="20" hidden="1">'list TIPA &amp; B4P'!$A$2:$F$122</definedName>
    <definedName name="_xlnm._FilterDatabase" localSheetId="18" hidden="1">'Lmntn &amp; Prntng- Marma &amp; Bastin '!$A$2:$K$22</definedName>
    <definedName name="_xlnm._FilterDatabase" localSheetId="0" hidden="1">Sheet1!$A$20:$C$29</definedName>
    <definedName name="AdhesiveList">#REF!</definedName>
    <definedName name="amount">#REF!</definedName>
    <definedName name="BagNamesDropdown" localSheetId="5">[6]HELPER!$DI$2:$DI$6</definedName>
    <definedName name="BagNamesDropdown">HELPER!$DI$2:$DI$6</definedName>
    <definedName name="BagTypeList">#REF!</definedName>
    <definedName name="Barier">#REF!</definedName>
    <definedName name="Clear">#REF!</definedName>
    <definedName name="ColorBandsDropdown" localSheetId="5">[6]HELPER!$DL$2:$DL$5</definedName>
    <definedName name="ColorBandsDropdown">HELPER!$DL$2:$DL$5</definedName>
    <definedName name="Config_302FG">#REF!</definedName>
    <definedName name="Config_302FGW">#REF!</definedName>
    <definedName name="Config_306">#REF!</definedName>
    <definedName name="Config_308">#REF!</definedName>
    <definedName name="Config_312FG">#REF!</definedName>
    <definedName name="Config_312W">#REF!</definedName>
    <definedName name="Config_NKR">#REF!</definedName>
    <definedName name="Config_PL2021">"'Film Pricing- New'!$AF$10:$AF$20"</definedName>
    <definedName name="Config_PL2022">"'Film Pricing- New'!$AG$10:$AG$20"</definedName>
    <definedName name="Config_PL2023">"'Film Pricing- New'!$AH$10:$AH$20"</definedName>
    <definedName name="ConverterDropdown" localSheetId="5">[6]HELPER!$DM$2:$DM$4</definedName>
    <definedName name="ConverterDropdown">HELPER!$DM$2:$DM$4</definedName>
    <definedName name="Family">#REF!</definedName>
    <definedName name="Film_type" localSheetId="1">'[1]List of names'!$Y$15:$Y$16</definedName>
    <definedName name="Film_type">#REF!</definedName>
    <definedName name="FilmList">#REF!</definedName>
    <definedName name="FilmNamesDropdown" localSheetId="5">[6]HELPER!$DJ$5:$DJ$11</definedName>
    <definedName name="FilmNamesDropdown">HELPER!$DJ$5:$DJ$11</definedName>
    <definedName name="GF048.1">#REF!</definedName>
    <definedName name="Grouped">#REF!</definedName>
    <definedName name="HardenerList">#REF!</definedName>
    <definedName name="JOB" localSheetId="1">OFFSET('[2]GEF063 WP Sales'!B6,0,0,COUNTA('[2]GEF063 WP Sales'!$AS$11:$AS$200),COUNTA('[2]GEF063 WP Sales'!$AS$11:$AT$11))</definedName>
    <definedName name="JOB">OFFSET(#REF!,0,0,COUNTA(#REF!),COUNTA(#REF!))</definedName>
    <definedName name="Jobs" localSheetId="1">'[2]GEF063 WP Sales'!$AS$10:$AS$210+'[2]GEF063 WP Sales'!$AU$10-2</definedName>
    <definedName name="Jobs">#REF!+#REF!-2</definedName>
    <definedName name="Jobss" localSheetId="1">'[2]GEF063 WP Sales'!XFC2:XFC2+VALUE('[2]GEF063 WP Sales'!$AU$10)</definedName>
    <definedName name="Jobss">#REF!+VALUE(#REF!)</definedName>
    <definedName name="Laminate" localSheetId="1">'[1]List of names'!$P$15:$P$22</definedName>
    <definedName name="Laminate">#REF!</definedName>
    <definedName name="Laminate_Thickness">#REF!</definedName>
    <definedName name="Laminate_type" localSheetId="1">'[1]List of names'!$P$14:$X$14</definedName>
    <definedName name="Laminate_type">#REF!</definedName>
    <definedName name="Laminate106">#REF!</definedName>
    <definedName name="Laminate604" localSheetId="1">[1]!Table4[Laminate618]</definedName>
    <definedName name="Laminate604">#REF!</definedName>
    <definedName name="Laminate607">#REF!</definedName>
    <definedName name="Laminate607\" localSheetId="1">[1]!Table6[Laminate607]</definedName>
    <definedName name="Laminate607\">#REF!</definedName>
    <definedName name="Laminate608W" localSheetId="1">[1]!Table3[Laminate608W]</definedName>
    <definedName name="Laminate608W">#REF!</definedName>
    <definedName name="LaminateList">#REF!</definedName>
    <definedName name="MATERIAL" localSheetId="1">'[3]Raw materials prices'!$L$51:$L$61</definedName>
    <definedName name="MATERIAL">#REF!</definedName>
    <definedName name="Materials" localSheetId="1">'[4]list for drop down menu'!$A$1:$A$20</definedName>
    <definedName name="Materials">#REF!</definedName>
    <definedName name="Metalize">#REF!</definedName>
    <definedName name="NKR">#REF!</definedName>
    <definedName name="Paper">#REF!</definedName>
    <definedName name="pirce">#REF!</definedName>
    <definedName name="PO">#REF!</definedName>
    <definedName name="price">#REF!</definedName>
    <definedName name="QuantumConvertingPriceFactor" localSheetId="5">[6]HELPER!$DO$3</definedName>
    <definedName name="QuantumConvertingPriceFactor">HELPER!$DO$3</definedName>
    <definedName name="QuantumDigitalPriceFactor" localSheetId="5">[6]HELPER!$DO$2</definedName>
    <definedName name="QuantumDigitalPriceFactor">HELPER!$DO$2</definedName>
    <definedName name="ShippingRoutes" localSheetId="5">[6]HELPER!$AF$2:$AF$4</definedName>
    <definedName name="ShippingRoutes">HELPER!$AF$2:$AF$4</definedName>
    <definedName name="ThicknessDropdown" localSheetId="5">[6]HELPER!$DK$2:$DK$13</definedName>
    <definedName name="ThicknessDropdown">HELPER!$DK$2:$DK$13</definedName>
    <definedName name="ThicknessList">#REF!</definedName>
    <definedName name="USD" localSheetId="1">'[1]Raw material summary'!$F$3</definedName>
    <definedName name="USD">#REF!</definedName>
    <definedName name="width">#REF!</definedName>
  </definedNames>
  <calcPr calcId="191029"/>
  <pivotCaches>
    <pivotCache cacheId="5" r:id="rId33"/>
    <pivotCache cacheId="6"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6" i="58" l="1"/>
  <c r="B44" i="58"/>
  <c r="B29" i="58"/>
  <c r="B14" i="58"/>
  <c r="B43" i="58"/>
  <c r="B42" i="58"/>
  <c r="B41" i="58"/>
  <c r="B40" i="58"/>
  <c r="B39" i="58"/>
  <c r="B38" i="58"/>
  <c r="B37" i="58"/>
  <c r="B36" i="58"/>
  <c r="B35" i="58"/>
  <c r="B34" i="58"/>
  <c r="B33" i="58"/>
  <c r="B32" i="58"/>
  <c r="A31" i="58"/>
  <c r="B28" i="58"/>
  <c r="B27" i="58"/>
  <c r="B26" i="58"/>
  <c r="B25" i="58"/>
  <c r="B24" i="58"/>
  <c r="B23" i="58"/>
  <c r="B22" i="58"/>
  <c r="B21" i="58"/>
  <c r="B20" i="58"/>
  <c r="B19" i="58"/>
  <c r="B18" i="58"/>
  <c r="B17" i="58"/>
  <c r="A16" i="58"/>
  <c r="B13" i="58"/>
  <c r="B12" i="58"/>
  <c r="B11" i="58"/>
  <c r="B10" i="58"/>
  <c r="B9" i="58"/>
  <c r="B8" i="58"/>
  <c r="B7" i="58"/>
  <c r="B5" i="58"/>
  <c r="B4" i="58"/>
  <c r="B3" i="58"/>
  <c r="B2" i="58"/>
  <c r="A1" i="58"/>
  <c r="AH42" i="9"/>
  <c r="J20" i="9"/>
  <c r="J19" i="9"/>
  <c r="J14" i="9"/>
  <c r="J13" i="9"/>
  <c r="J8" i="9"/>
  <c r="J7" i="9"/>
  <c r="AL93" i="59" l="1"/>
  <c r="AH93" i="59"/>
  <c r="N93" i="59" a="1"/>
  <c r="N93" i="59" s="1"/>
  <c r="J93" i="59"/>
  <c r="AP92" i="59" a="1"/>
  <c r="AP92" i="59" s="1"/>
  <c r="AC63" i="59" s="1"/>
  <c r="AL92" i="59" a="1"/>
  <c r="AL92" i="59" s="1"/>
  <c r="AH92" i="59" a="1"/>
  <c r="AH92" i="59" s="1"/>
  <c r="N92" i="59" a="1"/>
  <c r="N92" i="59" s="1"/>
  <c r="J92" i="59"/>
  <c r="AP91" i="59"/>
  <c r="AL91" i="59"/>
  <c r="AH91" i="59"/>
  <c r="N91" i="59" a="1"/>
  <c r="N91" i="59" s="1"/>
  <c r="J91" i="59"/>
  <c r="AP90" i="59"/>
  <c r="AL90" i="59"/>
  <c r="AH90" i="59"/>
  <c r="T90" i="59"/>
  <c r="N90" i="59" a="1"/>
  <c r="N90" i="59" s="1"/>
  <c r="J90" i="59"/>
  <c r="Y90" i="59" s="1"/>
  <c r="N89" i="59" a="1"/>
  <c r="N89" i="59" s="1"/>
  <c r="J89" i="59"/>
  <c r="AH88" i="59"/>
  <c r="N88" i="59" a="1"/>
  <c r="N88" i="59" s="1"/>
  <c r="J88" i="59"/>
  <c r="AP87" i="59"/>
  <c r="AL87" i="59"/>
  <c r="AH87" i="59"/>
  <c r="N87" i="59" a="1"/>
  <c r="N87" i="59" s="1"/>
  <c r="J87" i="59"/>
  <c r="T86" i="59"/>
  <c r="N86" i="59" a="1"/>
  <c r="N86" i="59" s="1"/>
  <c r="J86" i="59"/>
  <c r="N85" i="59" a="1"/>
  <c r="N85" i="59" s="1"/>
  <c r="J85" i="59"/>
  <c r="N84" i="59" a="1"/>
  <c r="N84" i="59" s="1"/>
  <c r="J84" i="59"/>
  <c r="N83" i="59" a="1"/>
  <c r="N83" i="59" s="1"/>
  <c r="J83" i="59"/>
  <c r="N82" i="59" a="1"/>
  <c r="N82" i="59" s="1"/>
  <c r="J82" i="59"/>
  <c r="N80" i="59" a="1"/>
  <c r="N80" i="59" s="1"/>
  <c r="J80" i="59"/>
  <c r="T77" i="59"/>
  <c r="N77" i="59" a="1"/>
  <c r="N77" i="59" s="1"/>
  <c r="J77" i="59"/>
  <c r="N74" i="59" a="1"/>
  <c r="N74" i="59" s="1"/>
  <c r="J74" i="59"/>
  <c r="N73" i="59" a="1"/>
  <c r="N73" i="59" s="1"/>
  <c r="J73" i="59"/>
  <c r="N72" i="59"/>
  <c r="N72" i="59" a="1"/>
  <c r="J72" i="59"/>
  <c r="N71" i="59" a="1"/>
  <c r="N71" i="59" s="1"/>
  <c r="J71" i="59"/>
  <c r="N70" i="59" a="1"/>
  <c r="N70" i="59" s="1"/>
  <c r="J70" i="59"/>
  <c r="T69" i="59"/>
  <c r="N69" i="59" a="1"/>
  <c r="N69" i="59" s="1"/>
  <c r="J69" i="59"/>
  <c r="N68" i="59" a="1"/>
  <c r="N68" i="59" s="1"/>
  <c r="L68" i="59"/>
  <c r="K68" i="59"/>
  <c r="J68" i="59"/>
  <c r="N67" i="59" a="1"/>
  <c r="N67" i="59" s="1"/>
  <c r="M67" i="59"/>
  <c r="L67" i="59"/>
  <c r="K67" i="59" a="1"/>
  <c r="K67" i="59" s="1"/>
  <c r="X67" i="59" s="1"/>
  <c r="J67" i="59"/>
  <c r="AP65" i="59" a="1"/>
  <c r="AP65" i="59" s="1"/>
  <c r="AL65" i="59" a="1"/>
  <c r="AL65" i="59" s="1"/>
  <c r="AQ63" i="59"/>
  <c r="AM63" i="59"/>
  <c r="AI63" i="59"/>
  <c r="AA63" i="59"/>
  <c r="AB63" i="59" s="1"/>
  <c r="Q63" i="59"/>
  <c r="O63" i="59"/>
  <c r="H63" i="59"/>
  <c r="I63" i="59" s="1"/>
  <c r="D63" i="59"/>
  <c r="E63" i="59" s="1"/>
  <c r="C63" i="59" a="1"/>
  <c r="B63" i="59"/>
  <c r="N62" i="59" a="1"/>
  <c r="N62" i="59" s="1"/>
  <c r="L62" i="59"/>
  <c r="K62" i="59"/>
  <c r="J62" i="59"/>
  <c r="N61" i="59"/>
  <c r="N61" i="59" a="1"/>
  <c r="M61" i="59"/>
  <c r="L61" i="59"/>
  <c r="K61" i="59" a="1"/>
  <c r="K61" i="59" s="1"/>
  <c r="X61" i="59" s="1"/>
  <c r="J61" i="59"/>
  <c r="AB57" i="59"/>
  <c r="AA57" i="59"/>
  <c r="Q57" i="59"/>
  <c r="O57" i="59"/>
  <c r="I57" i="59"/>
  <c r="S57" i="59" s="1" a="1"/>
  <c r="S57" i="59" s="1"/>
  <c r="H57" i="59"/>
  <c r="W57" i="59" s="1"/>
  <c r="D57" i="59"/>
  <c r="E57" i="59" s="1"/>
  <c r="B57" i="59"/>
  <c r="N56" i="59" a="1"/>
  <c r="N56" i="59" s="1"/>
  <c r="L56" i="59"/>
  <c r="K56" i="59"/>
  <c r="J56" i="59"/>
  <c r="N55" i="59" a="1"/>
  <c r="N55" i="59" s="1"/>
  <c r="M55" i="59"/>
  <c r="Z55" i="59" s="1"/>
  <c r="L55" i="59"/>
  <c r="J55" i="59"/>
  <c r="AO51" i="59"/>
  <c r="AK51" i="59"/>
  <c r="AG51" i="59"/>
  <c r="AB51" i="59"/>
  <c r="AA51" i="59"/>
  <c r="Q51" i="59"/>
  <c r="O51" i="59"/>
  <c r="H51" i="59"/>
  <c r="I51" i="59" s="1"/>
  <c r="W51" i="59" s="1"/>
  <c r="E51" i="59"/>
  <c r="D51" i="59"/>
  <c r="B51" i="59"/>
  <c r="A51" i="59"/>
  <c r="N45" i="59" a="1"/>
  <c r="N45" i="59" s="1"/>
  <c r="J45" i="59"/>
  <c r="N44" i="59" a="1"/>
  <c r="N44" i="59" s="1"/>
  <c r="J44" i="59"/>
  <c r="AP43" i="59" a="1"/>
  <c r="AP43" i="59" s="1"/>
  <c r="AL43" i="59" a="1"/>
  <c r="AL43" i="59" s="1"/>
  <c r="AH43" i="59" a="1"/>
  <c r="AH43" i="59" s="1"/>
  <c r="N43" i="59" a="1"/>
  <c r="N43" i="59" s="1"/>
  <c r="J43" i="59"/>
  <c r="AP42" i="59"/>
  <c r="AL42" i="59"/>
  <c r="AH42" i="59"/>
  <c r="T42" i="59"/>
  <c r="N42" i="59"/>
  <c r="N42" i="59" a="1"/>
  <c r="J42" i="59"/>
  <c r="Y42" i="59" s="1"/>
  <c r="AP41" i="59"/>
  <c r="AL41" i="59"/>
  <c r="AH41" i="59"/>
  <c r="N41" i="59" a="1"/>
  <c r="N41" i="59" s="1"/>
  <c r="J41" i="59"/>
  <c r="N40" i="59" a="1"/>
  <c r="N40" i="59" s="1"/>
  <c r="J40" i="59"/>
  <c r="N39" i="59" a="1"/>
  <c r="N39" i="59" s="1"/>
  <c r="J39" i="59"/>
  <c r="AP38" i="59"/>
  <c r="AL38" i="59"/>
  <c r="AH38" i="59"/>
  <c r="T38" i="59"/>
  <c r="N38" i="59"/>
  <c r="N38" i="59" a="1"/>
  <c r="J38" i="59"/>
  <c r="N37" i="59" a="1"/>
  <c r="N37" i="59" s="1"/>
  <c r="J37" i="59"/>
  <c r="N36" i="59"/>
  <c r="N36" i="59" a="1"/>
  <c r="J36" i="59"/>
  <c r="N35" i="59" a="1"/>
  <c r="N35" i="59" s="1"/>
  <c r="J35" i="59"/>
  <c r="N34" i="59" a="1"/>
  <c r="N34" i="59" s="1"/>
  <c r="J34" i="59"/>
  <c r="N32" i="59" a="1"/>
  <c r="N32" i="59" s="1"/>
  <c r="J32" i="59"/>
  <c r="T29" i="59"/>
  <c r="N29" i="59" a="1"/>
  <c r="N29" i="59" s="1"/>
  <c r="J29" i="59"/>
  <c r="N26" i="59" a="1"/>
  <c r="N26" i="59" s="1"/>
  <c r="J26" i="59"/>
  <c r="N25" i="59" a="1"/>
  <c r="N25" i="59" s="1"/>
  <c r="J25" i="59"/>
  <c r="N24" i="59" a="1"/>
  <c r="N24" i="59" s="1"/>
  <c r="J24" i="59"/>
  <c r="N23" i="59" a="1"/>
  <c r="N23" i="59" s="1"/>
  <c r="J23" i="59"/>
  <c r="N22" i="59" a="1"/>
  <c r="N22" i="59" s="1"/>
  <c r="J22" i="59"/>
  <c r="T21" i="59"/>
  <c r="N21" i="59" a="1"/>
  <c r="N21" i="59" s="1"/>
  <c r="J21" i="59"/>
  <c r="N20" i="59" a="1"/>
  <c r="N20" i="59" s="1"/>
  <c r="L20" i="59"/>
  <c r="K20" i="59"/>
  <c r="J20" i="59"/>
  <c r="N19" i="59" a="1"/>
  <c r="N19" i="59" s="1"/>
  <c r="M19" i="59"/>
  <c r="L19" i="59"/>
  <c r="K19" i="59" a="1"/>
  <c r="K19" i="59" s="1"/>
  <c r="X19" i="59" s="1"/>
  <c r="J19" i="59"/>
  <c r="AP16" i="59" a="1"/>
  <c r="AP16" i="59" s="1"/>
  <c r="G15" i="59" s="1"/>
  <c r="AL16" i="59" a="1"/>
  <c r="AL16" i="59" s="1"/>
  <c r="AH16" i="59" a="1"/>
  <c r="AH16" i="59" s="1"/>
  <c r="AB15" i="59"/>
  <c r="AA15" i="59"/>
  <c r="Q15" i="59"/>
  <c r="O15" i="59"/>
  <c r="H15" i="59"/>
  <c r="E15" i="59"/>
  <c r="D15" i="59"/>
  <c r="B15" i="59"/>
  <c r="C15" i="59" s="1" a="1"/>
  <c r="J18" i="59" s="1"/>
  <c r="AQ14" i="59"/>
  <c r="AM14" i="59"/>
  <c r="AI14" i="59"/>
  <c r="N14" i="59" a="1"/>
  <c r="N14" i="59" s="1"/>
  <c r="L14" i="59"/>
  <c r="K14" i="59"/>
  <c r="J14" i="59"/>
  <c r="N13" i="59" a="1"/>
  <c r="N13" i="59" s="1"/>
  <c r="M13" i="59"/>
  <c r="L13" i="59"/>
  <c r="K13" i="59" a="1"/>
  <c r="K13" i="59" s="1"/>
  <c r="X13" i="59" s="1"/>
  <c r="J13" i="59"/>
  <c r="AS10" i="59"/>
  <c r="AA9" i="59"/>
  <c r="AB9" i="59" s="1"/>
  <c r="Q9" i="59"/>
  <c r="O9" i="59"/>
  <c r="H9" i="59"/>
  <c r="I9" i="59" s="1"/>
  <c r="D9" i="59"/>
  <c r="E9" i="59" s="1"/>
  <c r="C9" i="59" a="1"/>
  <c r="B9" i="59"/>
  <c r="N8" i="59" a="1"/>
  <c r="N8" i="59" s="1"/>
  <c r="L8" i="59"/>
  <c r="K8" i="59"/>
  <c r="J8" i="59"/>
  <c r="N7" i="59" a="1"/>
  <c r="N7" i="59" s="1"/>
  <c r="M7" i="59"/>
  <c r="Z7" i="59" s="1"/>
  <c r="L7" i="59"/>
  <c r="J7" i="59"/>
  <c r="AB3" i="59"/>
  <c r="AA3" i="59"/>
  <c r="Q3" i="59"/>
  <c r="O3" i="59"/>
  <c r="H3" i="59"/>
  <c r="I3" i="59" s="1"/>
  <c r="D3" i="59"/>
  <c r="E3" i="59" s="1"/>
  <c r="B3" i="59"/>
  <c r="AO2" i="59"/>
  <c r="AK2" i="59"/>
  <c r="AG2" i="59"/>
  <c r="J17" i="59" l="1"/>
  <c r="AH71" i="59"/>
  <c r="AL71" i="59"/>
  <c r="K10" i="59" a="1"/>
  <c r="K10" i="59" s="1"/>
  <c r="K17" i="59" a="1"/>
  <c r="K17" i="59" s="1"/>
  <c r="N17" i="59" s="1" a="1"/>
  <c r="N17" i="59" s="1"/>
  <c r="L11" i="59"/>
  <c r="I15" i="59"/>
  <c r="N12" i="59" a="1"/>
  <c r="N12" i="59" s="1"/>
  <c r="AL22" i="59"/>
  <c r="AP22" i="59"/>
  <c r="K55" i="59" a="1"/>
  <c r="K55" i="59" s="1"/>
  <c r="X55" i="59" s="1"/>
  <c r="C51" i="59" a="1"/>
  <c r="K53" i="59" s="1" a="1"/>
  <c r="K53" i="59" s="1"/>
  <c r="K5" i="59" a="1"/>
  <c r="K5" i="59" s="1"/>
  <c r="C3" i="59" a="1"/>
  <c r="K4" i="59" s="1" a="1"/>
  <c r="K4" i="59" s="1"/>
  <c r="K7" i="59" a="1"/>
  <c r="K7" i="59" s="1"/>
  <c r="X7" i="59" s="1"/>
  <c r="G63" i="59"/>
  <c r="G57" i="59"/>
  <c r="AL95" i="59"/>
  <c r="AC57" i="59"/>
  <c r="AL94" i="59"/>
  <c r="AL46" i="59"/>
  <c r="AC9" i="59"/>
  <c r="AL45" i="59"/>
  <c r="AP95" i="59"/>
  <c r="AP94" i="59"/>
  <c r="AH45" i="59"/>
  <c r="AH46" i="59"/>
  <c r="AC51" i="59"/>
  <c r="AH94" i="59"/>
  <c r="L10" i="59"/>
  <c r="L12" i="59"/>
  <c r="J10" i="59"/>
  <c r="K12" i="59" a="1"/>
  <c r="K12" i="59" s="1"/>
  <c r="J12" i="59"/>
  <c r="K11" i="59" a="1"/>
  <c r="K11" i="59" s="1"/>
  <c r="J11" i="59"/>
  <c r="N10" i="59" a="1"/>
  <c r="N10" i="59" s="1"/>
  <c r="G3" i="59"/>
  <c r="C9" i="59"/>
  <c r="G9" i="59"/>
  <c r="AC3" i="59"/>
  <c r="S51" i="59" a="1"/>
  <c r="S51" i="59" s="1"/>
  <c r="J16" i="59"/>
  <c r="L16" i="59"/>
  <c r="K16" i="59" a="1"/>
  <c r="K16" i="59" s="1"/>
  <c r="N16" i="59" s="1" a="1"/>
  <c r="N16" i="59" s="1"/>
  <c r="L17" i="59"/>
  <c r="M17" i="59" s="1"/>
  <c r="C15" i="59"/>
  <c r="L18" i="59"/>
  <c r="N18" i="59" a="1"/>
  <c r="N18" i="59" s="1"/>
  <c r="K18" i="59" a="1"/>
  <c r="K18" i="59" s="1"/>
  <c r="AP46" i="59"/>
  <c r="AP45" i="59"/>
  <c r="AC15" i="59"/>
  <c r="N66" i="59" a="1"/>
  <c r="N66" i="59" s="1"/>
  <c r="C63" i="59"/>
  <c r="J65" i="59"/>
  <c r="M65" i="59" s="1"/>
  <c r="K65" i="59" a="1"/>
  <c r="K65" i="59" s="1"/>
  <c r="L65" i="59"/>
  <c r="AH22" i="59"/>
  <c r="N65" i="59" a="1"/>
  <c r="N65" i="59" s="1"/>
  <c r="P56" i="59"/>
  <c r="C57" i="59" a="1"/>
  <c r="K58" i="59" s="1" a="1"/>
  <c r="K58" i="59" s="1"/>
  <c r="AP71" i="59"/>
  <c r="J64" i="59"/>
  <c r="K64" i="59" a="1"/>
  <c r="K64" i="59" s="1"/>
  <c r="N64" i="59" s="1" a="1"/>
  <c r="N64" i="59" s="1"/>
  <c r="P55" i="59"/>
  <c r="L64" i="59"/>
  <c r="J66" i="59"/>
  <c r="K66" i="59" a="1"/>
  <c r="K66" i="59" s="1"/>
  <c r="L66" i="59"/>
  <c r="M16" i="59" l="1"/>
  <c r="K6" i="59" a="1"/>
  <c r="K6" i="59" s="1"/>
  <c r="M12" i="59"/>
  <c r="M18" i="59"/>
  <c r="M64" i="59"/>
  <c r="M10" i="59"/>
  <c r="N63" i="59" a="1"/>
  <c r="N63" i="59" s="1"/>
  <c r="L63" i="59"/>
  <c r="K63" i="59" a="1"/>
  <c r="K63" i="59" s="1"/>
  <c r="J63" i="59"/>
  <c r="S63" i="59" s="1" a="1"/>
  <c r="S63" i="59" s="1"/>
  <c r="N60" i="59" a="1"/>
  <c r="N60" i="59" s="1"/>
  <c r="L58" i="59"/>
  <c r="M58" i="59" s="1"/>
  <c r="L60" i="59"/>
  <c r="J58" i="59"/>
  <c r="K60" i="59" a="1"/>
  <c r="K60" i="59" s="1"/>
  <c r="J60" i="59"/>
  <c r="N59" i="59" a="1"/>
  <c r="N59" i="59" s="1"/>
  <c r="L59" i="59"/>
  <c r="C57" i="59"/>
  <c r="K59" i="59" a="1"/>
  <c r="K59" i="59" s="1"/>
  <c r="J59" i="59"/>
  <c r="N58" i="59" a="1"/>
  <c r="N58" i="59" s="1"/>
  <c r="N9" i="59" a="1"/>
  <c r="N9" i="59" s="1"/>
  <c r="L9" i="59"/>
  <c r="K9" i="59" a="1"/>
  <c r="K9" i="59" s="1"/>
  <c r="J9" i="59"/>
  <c r="L15" i="59"/>
  <c r="N15" i="59" a="1"/>
  <c r="N15" i="59" s="1"/>
  <c r="K15" i="59" a="1"/>
  <c r="K15" i="59" s="1"/>
  <c r="J15" i="59"/>
  <c r="L5" i="59"/>
  <c r="C3" i="59"/>
  <c r="N5" i="59" a="1"/>
  <c r="N5" i="59" s="1"/>
  <c r="J5" i="59"/>
  <c r="M5" i="59" s="1"/>
  <c r="N4" i="59" a="1"/>
  <c r="N4" i="59" s="1"/>
  <c r="L6" i="59"/>
  <c r="M6" i="59" s="1"/>
  <c r="N6" i="59" a="1"/>
  <c r="N6" i="59" s="1"/>
  <c r="L4" i="59"/>
  <c r="J6" i="59"/>
  <c r="J4" i="59"/>
  <c r="M11" i="59"/>
  <c r="M66" i="59"/>
  <c r="J54" i="59"/>
  <c r="P53" i="59"/>
  <c r="L53" i="59"/>
  <c r="N53" i="59" a="1"/>
  <c r="N53" i="59" s="1"/>
  <c r="J53" i="59"/>
  <c r="C51" i="59"/>
  <c r="P52" i="59"/>
  <c r="P54" i="59"/>
  <c r="N54" i="59" a="1"/>
  <c r="N54" i="59" s="1"/>
  <c r="L52" i="59"/>
  <c r="J52" i="59"/>
  <c r="L54" i="59"/>
  <c r="K54" i="59" a="1"/>
  <c r="K54" i="59" s="1"/>
  <c r="K52" i="59" a="1"/>
  <c r="K52" i="59" s="1"/>
  <c r="N11" i="59" a="1"/>
  <c r="N11" i="59" s="1"/>
  <c r="M59" i="59" l="1"/>
  <c r="M4" i="59"/>
  <c r="M60" i="59"/>
  <c r="M52" i="59"/>
  <c r="M63" i="59"/>
  <c r="M54" i="59"/>
  <c r="M15" i="59"/>
  <c r="M53" i="59"/>
  <c r="M9" i="59"/>
  <c r="M20" i="59"/>
  <c r="X53" i="59"/>
  <c r="M14" i="59"/>
  <c r="M68" i="59"/>
  <c r="X54" i="59"/>
  <c r="U15" i="59" a="1"/>
  <c r="U15" i="59" s="1"/>
  <c r="R15" i="59" a="1"/>
  <c r="R15" i="59" s="1"/>
  <c r="J3" i="59"/>
  <c r="N3" i="59" a="1"/>
  <c r="N3" i="59" s="1"/>
  <c r="L3" i="59"/>
  <c r="K3" i="59" a="1"/>
  <c r="K3" i="59" s="1"/>
  <c r="T63" i="59"/>
  <c r="L51" i="59"/>
  <c r="J51" i="59"/>
  <c r="P51" i="59"/>
  <c r="N51" i="59" a="1"/>
  <c r="N51" i="59" s="1"/>
  <c r="K51" i="59" a="1"/>
  <c r="K51" i="59" s="1"/>
  <c r="S15" i="59" a="1"/>
  <c r="S15" i="59" s="1"/>
  <c r="N52" i="59" a="1"/>
  <c r="N52" i="59" s="1"/>
  <c r="X52" i="59" s="1"/>
  <c r="J57" i="59"/>
  <c r="L57" i="59"/>
  <c r="K57" i="59" a="1"/>
  <c r="K57" i="59" s="1"/>
  <c r="U63" i="59" a="1"/>
  <c r="U63" i="59" s="1"/>
  <c r="R63" i="59" a="1"/>
  <c r="R63" i="59" s="1"/>
  <c r="U9" i="59" a="1"/>
  <c r="U9" i="59" s="1"/>
  <c r="R9" i="59" a="1"/>
  <c r="R9" i="59" s="1"/>
  <c r="S9" i="59" a="1"/>
  <c r="S9" i="59" s="1"/>
  <c r="M3" i="59" l="1"/>
  <c r="M57" i="59"/>
  <c r="M62" i="59" s="1"/>
  <c r="T15" i="59"/>
  <c r="M8" i="59"/>
  <c r="G69" i="59"/>
  <c r="AP86" i="59"/>
  <c r="AP88" i="59"/>
  <c r="A63" i="59"/>
  <c r="T57" i="59"/>
  <c r="T51" i="59"/>
  <c r="M51" i="59"/>
  <c r="U57" i="59" a="1"/>
  <c r="U57" i="59" s="1"/>
  <c r="R57" i="59" a="1"/>
  <c r="R57" i="59" s="1"/>
  <c r="T9" i="59"/>
  <c r="G21" i="59"/>
  <c r="U3" i="59" a="1"/>
  <c r="U3" i="59" s="1"/>
  <c r="S3" i="59" a="1"/>
  <c r="S3" i="59" s="1"/>
  <c r="T3" i="59" s="1"/>
  <c r="R3" i="59" a="1"/>
  <c r="R3" i="59" s="1"/>
  <c r="AL37" i="59"/>
  <c r="A9" i="59"/>
  <c r="AL39" i="59"/>
  <c r="N57" i="59" a="1"/>
  <c r="N57" i="59" s="1"/>
  <c r="AP37" i="59"/>
  <c r="A15" i="59"/>
  <c r="AP39" i="59"/>
  <c r="M56" i="59" l="1"/>
  <c r="AH73" i="59" s="1" a="1"/>
  <c r="AH73" i="59" s="1"/>
  <c r="X51" i="59"/>
  <c r="AP44" i="59"/>
  <c r="P19" i="59"/>
  <c r="P20" i="59"/>
  <c r="P16" i="59"/>
  <c r="P17" i="59"/>
  <c r="P18" i="59"/>
  <c r="P15" i="59"/>
  <c r="AP72" i="59" a="1"/>
  <c r="AP72" i="59" s="1"/>
  <c r="P67" i="59"/>
  <c r="AP74" i="59" a="1"/>
  <c r="AP74" i="59" s="1"/>
  <c r="P68" i="59"/>
  <c r="P64" i="59"/>
  <c r="P66" i="59"/>
  <c r="P65" i="59"/>
  <c r="P63" i="59"/>
  <c r="AP93" i="59"/>
  <c r="AH37" i="59"/>
  <c r="AH39" i="59"/>
  <c r="A3" i="59"/>
  <c r="AL44" i="59"/>
  <c r="P14" i="59"/>
  <c r="X14" i="59" s="1"/>
  <c r="P13" i="59"/>
  <c r="P12" i="59"/>
  <c r="P11" i="59"/>
  <c r="P10" i="59"/>
  <c r="P9" i="59"/>
  <c r="AL86" i="59"/>
  <c r="A57" i="59"/>
  <c r="AL88" i="59"/>
  <c r="AL24" i="59" l="1" a="1"/>
  <c r="AL24" i="59" s="1"/>
  <c r="AL23" i="59" a="1"/>
  <c r="AL23" i="59" s="1"/>
  <c r="Z9" i="59"/>
  <c r="X9" i="59"/>
  <c r="AL25" i="59" a="1"/>
  <c r="AL25" i="59" s="1"/>
  <c r="Z63" i="59"/>
  <c r="X63" i="59"/>
  <c r="X64" i="59"/>
  <c r="Z64" i="59"/>
  <c r="AP73" i="59" a="1"/>
  <c r="AP73" i="59" s="1"/>
  <c r="P7" i="59"/>
  <c r="AH23" i="59" a="1"/>
  <c r="AH23" i="59" s="1"/>
  <c r="AH25" i="59" a="1"/>
  <c r="AH25" i="59" s="1"/>
  <c r="P8" i="59"/>
  <c r="X8" i="59" s="1"/>
  <c r="P4" i="59"/>
  <c r="P6" i="59"/>
  <c r="P5" i="59"/>
  <c r="P3" i="59"/>
  <c r="X18" i="59"/>
  <c r="Z18" i="59"/>
  <c r="AP24" i="59" a="1"/>
  <c r="AP24" i="59" s="1"/>
  <c r="Z10" i="59"/>
  <c r="X10" i="59"/>
  <c r="Z11" i="59"/>
  <c r="X11" i="59"/>
  <c r="Z12" i="59"/>
  <c r="X12" i="59"/>
  <c r="X65" i="59"/>
  <c r="Z65" i="59"/>
  <c r="X66" i="59"/>
  <c r="Z66" i="59"/>
  <c r="X15" i="59"/>
  <c r="Z15" i="59"/>
  <c r="AH44" i="59"/>
  <c r="P62" i="59"/>
  <c r="X62" i="59" s="1"/>
  <c r="AL75" i="59" a="1"/>
  <c r="AL75" i="59" s="1"/>
  <c r="AL72" i="59" a="1"/>
  <c r="AL72" i="59" s="1"/>
  <c r="V57" i="59" s="1"/>
  <c r="AL74" i="59" a="1"/>
  <c r="AL74" i="59" s="1"/>
  <c r="P61" i="59"/>
  <c r="AL73" i="59" a="1"/>
  <c r="AL73" i="59" s="1"/>
  <c r="AL68" i="59" s="1" a="1"/>
  <c r="AL68" i="59" s="1"/>
  <c r="P59" i="59"/>
  <c r="P60" i="59"/>
  <c r="P58" i="59"/>
  <c r="P57" i="59"/>
  <c r="X17" i="59"/>
  <c r="Z17" i="59"/>
  <c r="X16" i="59"/>
  <c r="Z16" i="59"/>
  <c r="AP25" i="59" a="1"/>
  <c r="AP25" i="59" s="1"/>
  <c r="AP23" i="59" a="1"/>
  <c r="AP23" i="59" s="1"/>
  <c r="AH86" i="59"/>
  <c r="X56" i="59"/>
  <c r="Z53" i="59"/>
  <c r="Z54" i="59"/>
  <c r="G51" i="59"/>
  <c r="AH72" i="59" a="1"/>
  <c r="AH72" i="59" s="1"/>
  <c r="Z52" i="59"/>
  <c r="Z51" i="59"/>
  <c r="V63" i="59"/>
  <c r="W63" i="59"/>
  <c r="AP75" i="59" s="1" a="1"/>
  <c r="AP75" i="59" s="1"/>
  <c r="AP68" i="59" l="1" a="1"/>
  <c r="AP68" i="59" s="1"/>
  <c r="AO77" i="59" s="1"/>
  <c r="AH24" i="59" a="1"/>
  <c r="AH24" i="59" s="1"/>
  <c r="AH19" i="59" s="1" a="1"/>
  <c r="AH19" i="59" s="1"/>
  <c r="AP69" i="59"/>
  <c r="AP66" i="59"/>
  <c r="AL69" i="59"/>
  <c r="AK77" i="59"/>
  <c r="AL66" i="59"/>
  <c r="V15" i="59"/>
  <c r="W15" i="59"/>
  <c r="AP26" i="59" s="1" a="1"/>
  <c r="AP26" i="59" s="1"/>
  <c r="AP19" i="59" s="1" a="1"/>
  <c r="AP19" i="59" s="1"/>
  <c r="V3" i="59"/>
  <c r="W3" i="59"/>
  <c r="AH26" i="59" s="1" a="1"/>
  <c r="AH26" i="59" s="1"/>
  <c r="X58" i="59"/>
  <c r="Z58" i="59"/>
  <c r="Z57" i="59"/>
  <c r="X57" i="59"/>
  <c r="Y57" i="59" s="1"/>
  <c r="X60" i="59"/>
  <c r="Z60" i="59"/>
  <c r="X59" i="59"/>
  <c r="Z59" i="59"/>
  <c r="V51" i="59"/>
  <c r="Z3" i="59"/>
  <c r="X3" i="59"/>
  <c r="R51" i="59" a="1"/>
  <c r="R51" i="59" s="1"/>
  <c r="AH65" i="59" a="1"/>
  <c r="AH65" i="59" s="1"/>
  <c r="U51" i="59" a="1"/>
  <c r="U51" i="59" s="1"/>
  <c r="X5" i="59"/>
  <c r="Z5" i="59"/>
  <c r="Y63" i="59"/>
  <c r="Z6" i="59"/>
  <c r="X6" i="59"/>
  <c r="V9" i="59"/>
  <c r="W9" i="59"/>
  <c r="AL26" i="59" s="1" a="1"/>
  <c r="AL26" i="59" s="1"/>
  <c r="AL19" i="59" s="1" a="1"/>
  <c r="AL19" i="59" s="1"/>
  <c r="X4" i="59"/>
  <c r="Z4" i="59"/>
  <c r="Y15" i="59" l="1"/>
  <c r="AP20" i="59"/>
  <c r="AO28" i="59"/>
  <c r="AP17" i="59"/>
  <c r="Y51" i="59"/>
  <c r="Y3" i="59"/>
  <c r="AH95" i="59"/>
  <c r="AH74" i="59" a="1"/>
  <c r="AH74" i="59" s="1"/>
  <c r="AH75" i="59" a="1"/>
  <c r="AH75" i="59" s="1"/>
  <c r="AH68" i="59" s="1" a="1"/>
  <c r="AH68" i="59" s="1"/>
  <c r="AP67" i="59"/>
  <c r="AP70" i="59"/>
  <c r="AH20" i="59"/>
  <c r="AH17" i="59"/>
  <c r="AG28" i="59"/>
  <c r="AP79" i="59"/>
  <c r="AP82" i="59" s="1"/>
  <c r="AP78" i="59"/>
  <c r="AL20" i="59"/>
  <c r="AL17" i="59"/>
  <c r="AK28" i="59"/>
  <c r="Y9" i="59"/>
  <c r="AL67" i="59"/>
  <c r="AL70" i="59"/>
  <c r="AL79" i="59"/>
  <c r="AL82" i="59" s="1"/>
  <c r="AL78" i="59"/>
  <c r="AP97" i="59" l="1"/>
  <c r="AP81" i="59"/>
  <c r="AP83" i="59" s="1"/>
  <c r="AP85" i="59" s="1" a="1"/>
  <c r="AP85" i="59" s="1"/>
  <c r="AP80" i="59"/>
  <c r="AP84" i="59" s="1" a="1"/>
  <c r="AP84" i="59" s="1"/>
  <c r="AH30" i="59"/>
  <c r="AH33" i="59" s="1"/>
  <c r="AH29" i="59"/>
  <c r="AH18" i="59"/>
  <c r="AH21" i="59"/>
  <c r="AP18" i="59"/>
  <c r="AP21" i="59"/>
  <c r="AH69" i="59"/>
  <c r="AH66" i="59"/>
  <c r="AG77" i="59"/>
  <c r="AL97" i="59"/>
  <c r="AL81" i="59"/>
  <c r="AL83" i="59" s="1"/>
  <c r="AL85" i="59" s="1" a="1"/>
  <c r="AL85" i="59" s="1"/>
  <c r="AL80" i="59"/>
  <c r="AL84" i="59" s="1" a="1"/>
  <c r="AL84" i="59" s="1"/>
  <c r="AP30" i="59"/>
  <c r="AP33" i="59" s="1"/>
  <c r="AP29" i="59"/>
  <c r="AL30" i="59"/>
  <c r="AL33" i="59" s="1"/>
  <c r="AL29" i="59"/>
  <c r="AL18" i="59"/>
  <c r="AL21" i="59"/>
  <c r="AP32" i="59" l="1"/>
  <c r="AP31" i="59"/>
  <c r="AP35" i="59" s="1" a="1"/>
  <c r="AP35" i="59" s="1"/>
  <c r="AP48" i="59"/>
  <c r="AP47" i="59"/>
  <c r="AH79" i="59"/>
  <c r="AH82" i="59" s="1"/>
  <c r="AH78" i="59"/>
  <c r="AH67" i="59"/>
  <c r="AH70" i="59"/>
  <c r="AH47" i="59"/>
  <c r="AH32" i="59"/>
  <c r="AH31" i="59"/>
  <c r="AH35" i="59" s="1" a="1"/>
  <c r="AH35" i="59" s="1"/>
  <c r="AH48" i="59"/>
  <c r="AL32" i="59"/>
  <c r="AL31" i="59"/>
  <c r="AL35" i="59" s="1" a="1"/>
  <c r="AL35" i="59" s="1"/>
  <c r="AL48" i="59"/>
  <c r="AL47" i="59"/>
  <c r="AL34" i="59" l="1"/>
  <c r="AL36" i="59" s="1" a="1"/>
  <c r="AL36" i="59" s="1"/>
  <c r="AM47" i="59"/>
  <c r="AH34" i="59"/>
  <c r="AH36" i="59" s="1" a="1"/>
  <c r="AH36" i="59" s="1"/>
  <c r="AI47" i="59"/>
  <c r="AH97" i="59"/>
  <c r="AH81" i="59"/>
  <c r="AH83" i="59" s="1"/>
  <c r="AH85" i="59" s="1" a="1"/>
  <c r="AH85" i="59" s="1"/>
  <c r="AH80" i="59"/>
  <c r="AH84" i="59" s="1" a="1"/>
  <c r="AH84" i="59" s="1"/>
  <c r="AP34" i="59"/>
  <c r="AP36" i="59" s="1" a="1"/>
  <c r="AP36" i="59" s="1"/>
  <c r="AQ47" i="59"/>
  <c r="CO2" i="2" l="1"/>
  <c r="CO3" i="2"/>
  <c r="CO4" i="2"/>
  <c r="CO5" i="2"/>
  <c r="CO6" i="2"/>
  <c r="CO7" i="2"/>
  <c r="CO8" i="2"/>
  <c r="CO9" i="2"/>
  <c r="CN2" i="2" a="1"/>
  <c r="CN2" i="2" s="1"/>
  <c r="CN3" i="2" a="1"/>
  <c r="CN3" i="2" s="1"/>
  <c r="CN4" i="2" a="1"/>
  <c r="CN4" i="2"/>
  <c r="CN5" i="2" a="1"/>
  <c r="CN5" i="2" s="1"/>
  <c r="CN6" i="2" a="1"/>
  <c r="CN6" i="2"/>
  <c r="CN7" i="2" a="1"/>
  <c r="CN7" i="2"/>
  <c r="CN8" i="2" a="1"/>
  <c r="CN8" i="2" s="1"/>
  <c r="CN9" i="2" a="1"/>
  <c r="CN9" i="2" s="1"/>
  <c r="CL9" i="2"/>
  <c r="AP41" i="9"/>
  <c r="AL41" i="9"/>
  <c r="AH41" i="9"/>
  <c r="AP16" i="9" a="1"/>
  <c r="AP16" i="9" s="1"/>
  <c r="AL16" i="9" a="1"/>
  <c r="AL16" i="9" s="1"/>
  <c r="AH16" i="9" a="1"/>
  <c r="AH16" i="9" s="1"/>
  <c r="AH3" i="32" l="1"/>
  <c r="AH4" i="32"/>
  <c r="AH5" i="32"/>
  <c r="AH7" i="32"/>
  <c r="AH8" i="32"/>
  <c r="AH9" i="32"/>
  <c r="AH10" i="32"/>
  <c r="AH11" i="32"/>
  <c r="AH13" i="32"/>
  <c r="N8" i="32" a="1"/>
  <c r="N8" i="32" s="1"/>
  <c r="M13" i="32"/>
  <c r="N13" i="32" a="1"/>
  <c r="N13" i="32" s="1"/>
  <c r="N14" i="32" a="1"/>
  <c r="N14" i="32" s="1"/>
  <c r="M19" i="32"/>
  <c r="N19" i="32" a="1"/>
  <c r="N19" i="32" s="1"/>
  <c r="N20" i="32" a="1"/>
  <c r="N20" i="32" s="1"/>
  <c r="M55" i="9"/>
  <c r="N55" i="9" a="1"/>
  <c r="N55" i="9" s="1"/>
  <c r="N56" i="9" a="1"/>
  <c r="N56" i="9" s="1"/>
  <c r="M61" i="9"/>
  <c r="N61" i="9" a="1"/>
  <c r="N61" i="9" s="1"/>
  <c r="N62" i="9" a="1"/>
  <c r="N62" i="9" s="1"/>
  <c r="M67" i="9"/>
  <c r="N67" i="9" a="1"/>
  <c r="N67" i="9" s="1"/>
  <c r="N68" i="9" a="1"/>
  <c r="N68" i="9" s="1"/>
  <c r="M13" i="9"/>
  <c r="N13" i="9" a="1"/>
  <c r="N13" i="9" s="1"/>
  <c r="N14" i="9" a="1"/>
  <c r="N14" i="9" s="1"/>
  <c r="M19" i="9"/>
  <c r="N19" i="9" a="1"/>
  <c r="N19" i="9" s="1"/>
  <c r="N20" i="9" a="1"/>
  <c r="N20" i="9" s="1"/>
  <c r="AO52" i="5" l="1"/>
  <c r="AO51" i="5"/>
  <c r="AK52" i="5"/>
  <c r="AK51" i="5"/>
  <c r="AG51" i="5"/>
  <c r="AO53" i="5"/>
  <c r="AO54" i="5" s="1"/>
  <c r="AK53" i="5"/>
  <c r="AK54" i="5" s="1"/>
  <c r="AN27" i="5"/>
  <c r="AJ27" i="5"/>
  <c r="AF27" i="5"/>
  <c r="AO21" i="5"/>
  <c r="AO20" i="5"/>
  <c r="AO19" i="5"/>
  <c r="AO12" i="5"/>
  <c r="AO11" i="5"/>
  <c r="AO10" i="5"/>
  <c r="AO8" i="5"/>
  <c r="AO5" i="5"/>
  <c r="AO4" i="5"/>
  <c r="AO3" i="5"/>
  <c r="AK21" i="5"/>
  <c r="AK20" i="5"/>
  <c r="AK19" i="5"/>
  <c r="AK12" i="5"/>
  <c r="AK11" i="5"/>
  <c r="AK10" i="5"/>
  <c r="AK8" i="5"/>
  <c r="AK5" i="5"/>
  <c r="AK4" i="5"/>
  <c r="AK3" i="5"/>
  <c r="AG21" i="5"/>
  <c r="AG20" i="5"/>
  <c r="AG19" i="5"/>
  <c r="AG12" i="5"/>
  <c r="AG11" i="5"/>
  <c r="AG10" i="5"/>
  <c r="AG8" i="5"/>
  <c r="AG5" i="5"/>
  <c r="AG4" i="5"/>
  <c r="AG3" i="5"/>
  <c r="P546" i="56"/>
  <c r="O546" i="56"/>
  <c r="AF546" i="56" s="1" a="1"/>
  <c r="AF546" i="56" s="1"/>
  <c r="N546" i="56"/>
  <c r="M546" i="56"/>
  <c r="L546" i="56"/>
  <c r="D546" i="56"/>
  <c r="AI546" i="56"/>
  <c r="Q546" i="56"/>
  <c r="T546" i="56" s="1"/>
  <c r="AE257" i="57"/>
  <c r="D257" i="57" a="1"/>
  <c r="D257" i="57" s="1"/>
  <c r="AO257" i="57" s="1"/>
  <c r="AJ256" i="57" a="1"/>
  <c r="AJ256" i="57" s="1"/>
  <c r="AE256" i="57"/>
  <c r="X256" i="57"/>
  <c r="AA256" i="57" s="1"/>
  <c r="D256" i="57" a="1"/>
  <c r="D256" i="57" s="1"/>
  <c r="AO256" i="57" s="1"/>
  <c r="AE255" i="57"/>
  <c r="X255" i="57"/>
  <c r="AA255" i="57" s="1"/>
  <c r="D255" i="57" a="1"/>
  <c r="D255" i="57" s="1"/>
  <c r="AO255" i="57" s="1"/>
  <c r="AJ254" i="57" a="1"/>
  <c r="AJ254" i="57" s="1"/>
  <c r="AE254" i="57"/>
  <c r="X254" i="57"/>
  <c r="AA254" i="57" s="1"/>
  <c r="D254" i="57" a="1"/>
  <c r="D254" i="57" s="1"/>
  <c r="AO254" i="57" s="1"/>
  <c r="AE253" i="57"/>
  <c r="D253" i="57" a="1"/>
  <c r="D253" i="57" s="1"/>
  <c r="AO253" i="57" s="1"/>
  <c r="AJ252" i="57" a="1"/>
  <c r="AJ252" i="57" s="1"/>
  <c r="AE252" i="57"/>
  <c r="X252" i="57"/>
  <c r="AA252" i="57" s="1"/>
  <c r="D252" i="57" a="1"/>
  <c r="D252" i="57" s="1"/>
  <c r="AO252" i="57" s="1"/>
  <c r="AE251" i="57"/>
  <c r="X251" i="57"/>
  <c r="AA251" i="57" s="1"/>
  <c r="D251" i="57" a="1"/>
  <c r="D251" i="57" s="1"/>
  <c r="AO251" i="57" s="1"/>
  <c r="AJ250" i="57" a="1"/>
  <c r="AJ250" i="57" s="1"/>
  <c r="AE250" i="57"/>
  <c r="X250" i="57"/>
  <c r="AA250" i="57" s="1"/>
  <c r="D250" i="57" a="1"/>
  <c r="D250" i="57" s="1"/>
  <c r="AO250" i="57" s="1"/>
  <c r="AE249" i="57"/>
  <c r="D249" i="57" a="1"/>
  <c r="D249" i="57" s="1"/>
  <c r="AO249" i="57" s="1"/>
  <c r="AJ248" i="57" a="1"/>
  <c r="AJ248" i="57" s="1"/>
  <c r="AE248" i="57"/>
  <c r="X248" i="57"/>
  <c r="AA248" i="57" s="1"/>
  <c r="D248" i="57" a="1"/>
  <c r="D248" i="57" s="1"/>
  <c r="AO248" i="57" s="1"/>
  <c r="AE247" i="57"/>
  <c r="X247" i="57"/>
  <c r="AA247" i="57" s="1"/>
  <c r="D247" i="57" a="1"/>
  <c r="D247" i="57" s="1"/>
  <c r="AO247" i="57" s="1"/>
  <c r="AJ246" i="57" a="1"/>
  <c r="AJ246" i="57" s="1"/>
  <c r="AE246" i="57"/>
  <c r="X246" i="57"/>
  <c r="AA246" i="57" s="1"/>
  <c r="D246" i="57" a="1"/>
  <c r="D246" i="57" s="1"/>
  <c r="AO246" i="57" s="1"/>
  <c r="AE245" i="57"/>
  <c r="D245" i="57" a="1"/>
  <c r="D245" i="57" s="1"/>
  <c r="AO245" i="57" s="1"/>
  <c r="AJ244" i="57" a="1"/>
  <c r="AJ244" i="57" s="1"/>
  <c r="AE244" i="57"/>
  <c r="X244" i="57"/>
  <c r="AA244" i="57" s="1"/>
  <c r="D244" i="57" a="1"/>
  <c r="D244" i="57" s="1"/>
  <c r="AO244" i="57" s="1"/>
  <c r="AE243" i="57"/>
  <c r="X243" i="57"/>
  <c r="AA243" i="57" s="1"/>
  <c r="D243" i="57" a="1"/>
  <c r="D243" i="57" s="1"/>
  <c r="AO243" i="57" s="1"/>
  <c r="AJ242" i="57" a="1"/>
  <c r="AJ242" i="57" s="1"/>
  <c r="AE242" i="57"/>
  <c r="X242" i="57"/>
  <c r="AA242" i="57" s="1"/>
  <c r="D242" i="57" a="1"/>
  <c r="D242" i="57" s="1"/>
  <c r="AO242" i="57" s="1"/>
  <c r="AE241" i="57"/>
  <c r="D241" i="57" a="1"/>
  <c r="D241" i="57" s="1"/>
  <c r="AO241" i="57" s="1"/>
  <c r="AJ240" i="57" a="1"/>
  <c r="AJ240" i="57" s="1"/>
  <c r="AE240" i="57"/>
  <c r="X240" i="57"/>
  <c r="AA240" i="57" s="1"/>
  <c r="D240" i="57" a="1"/>
  <c r="D240" i="57" s="1"/>
  <c r="AO240" i="57" s="1"/>
  <c r="AE239" i="57"/>
  <c r="X239" i="57"/>
  <c r="AA239" i="57" s="1"/>
  <c r="D239" i="57" a="1"/>
  <c r="D239" i="57" s="1"/>
  <c r="AO239" i="57" s="1"/>
  <c r="AJ238" i="57" a="1"/>
  <c r="AJ238" i="57" s="1"/>
  <c r="AE238" i="57"/>
  <c r="X238" i="57"/>
  <c r="AA238" i="57" s="1"/>
  <c r="D238" i="57" a="1"/>
  <c r="D238" i="57" s="1"/>
  <c r="AO238" i="57" s="1"/>
  <c r="AE237" i="57"/>
  <c r="D237" i="57" a="1"/>
  <c r="D237" i="57" s="1"/>
  <c r="AO237" i="57" s="1"/>
  <c r="AJ236" i="57" a="1"/>
  <c r="AJ236" i="57" s="1"/>
  <c r="AE236" i="57"/>
  <c r="X236" i="57"/>
  <c r="AA236" i="57" s="1"/>
  <c r="D236" i="57" a="1"/>
  <c r="D236" i="57" s="1"/>
  <c r="AO236" i="57" s="1"/>
  <c r="AE235" i="57"/>
  <c r="X235" i="57"/>
  <c r="AA235" i="57" s="1"/>
  <c r="D235" i="57" a="1"/>
  <c r="D235" i="57" s="1"/>
  <c r="AO235" i="57" s="1"/>
  <c r="AJ234" i="57" a="1"/>
  <c r="AJ234" i="57" s="1"/>
  <c r="AE234" i="57"/>
  <c r="X234" i="57"/>
  <c r="AA234" i="57" s="1"/>
  <c r="D234" i="57" a="1"/>
  <c r="D234" i="57" s="1"/>
  <c r="AO234" i="57" s="1"/>
  <c r="AE233" i="57"/>
  <c r="D233" i="57" a="1"/>
  <c r="D233" i="57" s="1"/>
  <c r="AO233" i="57" s="1"/>
  <c r="AJ232" i="57" a="1"/>
  <c r="AJ232" i="57" s="1"/>
  <c r="AE232" i="57"/>
  <c r="X232" i="57"/>
  <c r="AA232" i="57" s="1"/>
  <c r="D232" i="57" a="1"/>
  <c r="D232" i="57" s="1"/>
  <c r="AO232" i="57" s="1"/>
  <c r="AE231" i="57"/>
  <c r="X231" i="57"/>
  <c r="AA231" i="57" s="1"/>
  <c r="D231" i="57" a="1"/>
  <c r="D231" i="57" s="1"/>
  <c r="AO231" i="57" s="1"/>
  <c r="AJ230" i="57" a="1"/>
  <c r="AJ230" i="57" s="1"/>
  <c r="AE230" i="57"/>
  <c r="X230" i="57"/>
  <c r="AA230" i="57" s="1"/>
  <c r="D230" i="57" a="1"/>
  <c r="D230" i="57" s="1"/>
  <c r="AO230" i="57" s="1"/>
  <c r="AE229" i="57"/>
  <c r="D229" i="57" a="1"/>
  <c r="D229" i="57" s="1"/>
  <c r="AO229" i="57" s="1"/>
  <c r="AJ228" i="57" a="1"/>
  <c r="AJ228" i="57" s="1"/>
  <c r="AE228" i="57"/>
  <c r="X228" i="57"/>
  <c r="AA228" i="57" s="1"/>
  <c r="D228" i="57" a="1"/>
  <c r="D228" i="57" s="1"/>
  <c r="AO228" i="57" s="1"/>
  <c r="AE227" i="57"/>
  <c r="X227" i="57"/>
  <c r="AA227" i="57" s="1"/>
  <c r="D227" i="57" a="1"/>
  <c r="D227" i="57" s="1"/>
  <c r="AO227" i="57" s="1"/>
  <c r="AJ226" i="57" a="1"/>
  <c r="AJ226" i="57" s="1"/>
  <c r="AE226" i="57"/>
  <c r="X226" i="57"/>
  <c r="AA226" i="57" s="1"/>
  <c r="D226" i="57" a="1"/>
  <c r="D226" i="57" s="1"/>
  <c r="AO226" i="57" s="1"/>
  <c r="AE225" i="57"/>
  <c r="D225" i="57" a="1"/>
  <c r="D225" i="57" s="1"/>
  <c r="AO225" i="57" s="1"/>
  <c r="AJ224" i="57" a="1"/>
  <c r="AJ224" i="57" s="1"/>
  <c r="AE224" i="57"/>
  <c r="X224" i="57"/>
  <c r="AA224" i="57" s="1"/>
  <c r="D224" i="57" a="1"/>
  <c r="D224" i="57" s="1"/>
  <c r="AO224" i="57" s="1"/>
  <c r="AE223" i="57"/>
  <c r="X223" i="57"/>
  <c r="AA223" i="57" s="1"/>
  <c r="D223" i="57" a="1"/>
  <c r="D223" i="57" s="1"/>
  <c r="AO223" i="57" s="1"/>
  <c r="AJ222" i="57" a="1"/>
  <c r="AJ222" i="57" s="1"/>
  <c r="AE222" i="57"/>
  <c r="X222" i="57"/>
  <c r="AA222" i="57" s="1"/>
  <c r="D222" i="57" a="1"/>
  <c r="D222" i="57" s="1"/>
  <c r="AO222" i="57" s="1"/>
  <c r="AE221" i="57"/>
  <c r="D221" i="57" a="1"/>
  <c r="D221" i="57" s="1"/>
  <c r="AO221" i="57" s="1"/>
  <c r="AJ220" i="57" a="1"/>
  <c r="AJ220" i="57" s="1"/>
  <c r="AE220" i="57"/>
  <c r="X220" i="57"/>
  <c r="AA220" i="57" s="1"/>
  <c r="D220" i="57" a="1"/>
  <c r="D220" i="57" s="1"/>
  <c r="AO220" i="57" s="1"/>
  <c r="AE219" i="57"/>
  <c r="X219" i="57"/>
  <c r="AA219" i="57" s="1"/>
  <c r="D219" i="57" a="1"/>
  <c r="D219" i="57" s="1"/>
  <c r="AO219" i="57" s="1"/>
  <c r="AJ218" i="57" a="1"/>
  <c r="AJ218" i="57" s="1"/>
  <c r="AE218" i="57"/>
  <c r="X218" i="57"/>
  <c r="AA218" i="57" s="1"/>
  <c r="D218" i="57" a="1"/>
  <c r="D218" i="57" s="1"/>
  <c r="AO218" i="57" s="1"/>
  <c r="AE217" i="57"/>
  <c r="D217" i="57" a="1"/>
  <c r="D217" i="57" s="1"/>
  <c r="AO217" i="57" s="1"/>
  <c r="AJ216" i="57" a="1"/>
  <c r="AJ216" i="57" s="1"/>
  <c r="AE216" i="57"/>
  <c r="X216" i="57"/>
  <c r="AA216" i="57" s="1"/>
  <c r="D216" i="57" a="1"/>
  <c r="D216" i="57" s="1"/>
  <c r="AO216" i="57" s="1"/>
  <c r="AE215" i="57"/>
  <c r="X215" i="57"/>
  <c r="AA215" i="57" s="1"/>
  <c r="D215" i="57" a="1"/>
  <c r="D215" i="57" s="1"/>
  <c r="AO215" i="57" s="1"/>
  <c r="AJ214" i="57" a="1"/>
  <c r="AJ214" i="57" s="1"/>
  <c r="AE214" i="57"/>
  <c r="X214" i="57"/>
  <c r="AA214" i="57" s="1"/>
  <c r="D214" i="57" a="1"/>
  <c r="D214" i="57" s="1"/>
  <c r="AO214" i="57" s="1"/>
  <c r="AE213" i="57"/>
  <c r="D213" i="57" a="1"/>
  <c r="D213" i="57" s="1"/>
  <c r="AO213" i="57" s="1"/>
  <c r="AJ212" i="57" a="1"/>
  <c r="AJ212" i="57" s="1"/>
  <c r="AE212" i="57"/>
  <c r="X212" i="57"/>
  <c r="AA212" i="57" s="1"/>
  <c r="D212" i="57" a="1"/>
  <c r="D212" i="57" s="1"/>
  <c r="AO212" i="57" s="1"/>
  <c r="AE211" i="57"/>
  <c r="X211" i="57"/>
  <c r="AA211" i="57" s="1"/>
  <c r="D211" i="57" a="1"/>
  <c r="D211" i="57" s="1"/>
  <c r="AO211" i="57" s="1"/>
  <c r="AJ210" i="57" a="1"/>
  <c r="AJ210" i="57" s="1"/>
  <c r="AE210" i="57"/>
  <c r="X210" i="57"/>
  <c r="AA210" i="57" s="1"/>
  <c r="D210" i="57" a="1"/>
  <c r="D210" i="57" s="1"/>
  <c r="AO210" i="57" s="1"/>
  <c r="AE209" i="57"/>
  <c r="D209" i="57" a="1"/>
  <c r="D209" i="57" s="1"/>
  <c r="AO209" i="57" s="1"/>
  <c r="AJ208" i="57" a="1"/>
  <c r="AJ208" i="57" s="1"/>
  <c r="AE208" i="57"/>
  <c r="X208" i="57"/>
  <c r="AA208" i="57" s="1"/>
  <c r="D208" i="57" a="1"/>
  <c r="D208" i="57" s="1"/>
  <c r="AO208" i="57" s="1"/>
  <c r="AE207" i="57"/>
  <c r="X207" i="57"/>
  <c r="AA207" i="57" s="1"/>
  <c r="D207" i="57" a="1"/>
  <c r="D207" i="57" s="1"/>
  <c r="AO207" i="57" s="1"/>
  <c r="AJ206" i="57" a="1"/>
  <c r="AJ206" i="57" s="1"/>
  <c r="AE206" i="57"/>
  <c r="X206" i="57"/>
  <c r="AA206" i="57" s="1"/>
  <c r="D206" i="57" a="1"/>
  <c r="D206" i="57" s="1"/>
  <c r="AO206" i="57" s="1"/>
  <c r="AE205" i="57"/>
  <c r="D205" i="57" a="1"/>
  <c r="D205" i="57" s="1"/>
  <c r="AO205" i="57" s="1"/>
  <c r="AJ204" i="57" a="1"/>
  <c r="AJ204" i="57" s="1"/>
  <c r="AE204" i="57"/>
  <c r="X204" i="57"/>
  <c r="AA204" i="57" s="1"/>
  <c r="D204" i="57" a="1"/>
  <c r="D204" i="57" s="1"/>
  <c r="AO204" i="57" s="1"/>
  <c r="AE203" i="57"/>
  <c r="X203" i="57"/>
  <c r="AA203" i="57" s="1"/>
  <c r="D203" i="57" a="1"/>
  <c r="D203" i="57" s="1"/>
  <c r="AO203" i="57" s="1"/>
  <c r="AJ202" i="57" a="1"/>
  <c r="AJ202" i="57" s="1"/>
  <c r="AE202" i="57"/>
  <c r="X202" i="57"/>
  <c r="AA202" i="57" s="1"/>
  <c r="D202" i="57" a="1"/>
  <c r="D202" i="57" s="1"/>
  <c r="AO202" i="57" s="1"/>
  <c r="AE201" i="57"/>
  <c r="D201" i="57" a="1"/>
  <c r="D201" i="57" s="1"/>
  <c r="AO201" i="57" s="1"/>
  <c r="AJ200" i="57" a="1"/>
  <c r="AJ200" i="57" s="1"/>
  <c r="AE200" i="57"/>
  <c r="X200" i="57"/>
  <c r="AA200" i="57" s="1"/>
  <c r="D200" i="57" a="1"/>
  <c r="D200" i="57" s="1"/>
  <c r="AO200" i="57" s="1"/>
  <c r="AE199" i="57"/>
  <c r="X199" i="57"/>
  <c r="AA199" i="57" s="1"/>
  <c r="D199" i="57" a="1"/>
  <c r="D199" i="57" s="1"/>
  <c r="AO199" i="57" s="1"/>
  <c r="AJ198" i="57" a="1"/>
  <c r="AJ198" i="57" s="1"/>
  <c r="AE198" i="57"/>
  <c r="X198" i="57"/>
  <c r="AA198" i="57" s="1"/>
  <c r="D198" i="57" a="1"/>
  <c r="D198" i="57" s="1"/>
  <c r="AO198" i="57" s="1"/>
  <c r="AE197" i="57"/>
  <c r="D197" i="57" a="1"/>
  <c r="D197" i="57" s="1"/>
  <c r="AO197" i="57" s="1"/>
  <c r="AJ196" i="57" a="1"/>
  <c r="AJ196" i="57" s="1"/>
  <c r="AE196" i="57"/>
  <c r="X196" i="57"/>
  <c r="AA196" i="57" s="1"/>
  <c r="D196" i="57" a="1"/>
  <c r="D196" i="57" s="1"/>
  <c r="AO196" i="57" s="1"/>
  <c r="AE195" i="57"/>
  <c r="X195" i="57"/>
  <c r="AA195" i="57" s="1"/>
  <c r="D195" i="57" a="1"/>
  <c r="D195" i="57" s="1"/>
  <c r="AO195" i="57" s="1"/>
  <c r="AJ194" i="57" a="1"/>
  <c r="AJ194" i="57" s="1"/>
  <c r="AE194" i="57"/>
  <c r="X194" i="57"/>
  <c r="AA194" i="57" s="1"/>
  <c r="D194" i="57" a="1"/>
  <c r="D194" i="57" s="1"/>
  <c r="AE193" i="57"/>
  <c r="D193" i="57" a="1"/>
  <c r="D193" i="57" s="1"/>
  <c r="AJ192" i="57" a="1"/>
  <c r="AJ192" i="57" s="1"/>
  <c r="AE192" i="57"/>
  <c r="X192" i="57"/>
  <c r="AA192" i="57" s="1"/>
  <c r="D192" i="57" a="1"/>
  <c r="D192" i="57" s="1"/>
  <c r="AE191" i="57"/>
  <c r="X191" i="57"/>
  <c r="AA191" i="57" s="1"/>
  <c r="D191" i="57" a="1"/>
  <c r="D191" i="57" s="1"/>
  <c r="AJ190" i="57" a="1"/>
  <c r="AJ190" i="57" s="1"/>
  <c r="AE190" i="57"/>
  <c r="X190" i="57"/>
  <c r="AA190" i="57" s="1"/>
  <c r="D190" i="57" a="1"/>
  <c r="D190" i="57" s="1"/>
  <c r="AE189" i="57"/>
  <c r="D189" i="57" a="1"/>
  <c r="D189" i="57" s="1"/>
  <c r="AJ188" i="57" a="1"/>
  <c r="AJ188" i="57" s="1"/>
  <c r="AE188" i="57"/>
  <c r="X188" i="57"/>
  <c r="AA188" i="57" s="1"/>
  <c r="D188" i="57" a="1"/>
  <c r="D188" i="57" s="1"/>
  <c r="AE187" i="57"/>
  <c r="X187" i="57"/>
  <c r="AA187" i="57" s="1"/>
  <c r="D187" i="57" a="1"/>
  <c r="D187" i="57" s="1"/>
  <c r="AJ186" i="57" a="1"/>
  <c r="AJ186" i="57" s="1"/>
  <c r="AE186" i="57"/>
  <c r="X186" i="57"/>
  <c r="AA186" i="57" s="1"/>
  <c r="D186" i="57" a="1"/>
  <c r="D186" i="57" s="1"/>
  <c r="E546" i="56" s="1"/>
  <c r="Z66" i="32"/>
  <c r="D185" i="57" a="1"/>
  <c r="D185" i="57" s="1"/>
  <c r="AO185" i="57" s="1"/>
  <c r="D184" i="57" a="1"/>
  <c r="D184" i="57" s="1"/>
  <c r="AO184" i="57" s="1"/>
  <c r="D183" i="57" a="1"/>
  <c r="D183" i="57" s="1"/>
  <c r="AO183" i="57" s="1"/>
  <c r="D182" i="57" a="1"/>
  <c r="D182" i="57" s="1"/>
  <c r="AO182" i="57" s="1"/>
  <c r="D181" i="57" a="1"/>
  <c r="D181" i="57" s="1"/>
  <c r="AO181" i="57" s="1"/>
  <c r="D180" i="57" a="1"/>
  <c r="D180" i="57" s="1"/>
  <c r="AO180" i="57" s="1"/>
  <c r="D179" i="57" a="1"/>
  <c r="D179" i="57" s="1"/>
  <c r="AO179" i="57" s="1"/>
  <c r="D178" i="57" a="1"/>
  <c r="D178" i="57" s="1"/>
  <c r="AO178" i="57" s="1"/>
  <c r="D177" i="57" a="1"/>
  <c r="D177" i="57" s="1"/>
  <c r="AO177" i="57" s="1"/>
  <c r="D176" i="57" a="1"/>
  <c r="D176" i="57" s="1"/>
  <c r="AO176" i="57" s="1"/>
  <c r="D175" i="57" a="1"/>
  <c r="D175" i="57" s="1"/>
  <c r="AO175" i="57" s="1"/>
  <c r="D174" i="57" a="1"/>
  <c r="D174" i="57" s="1"/>
  <c r="AO174" i="57" s="1"/>
  <c r="D173" i="57" a="1"/>
  <c r="D173" i="57" s="1"/>
  <c r="AO173" i="57" s="1"/>
  <c r="D172" i="57" a="1"/>
  <c r="D172" i="57" s="1"/>
  <c r="AO172" i="57" s="1"/>
  <c r="D171" i="57" a="1"/>
  <c r="D171" i="57" s="1"/>
  <c r="AO171" i="57" s="1"/>
  <c r="D170" i="57" a="1"/>
  <c r="D170" i="57" s="1"/>
  <c r="AO170" i="57" s="1"/>
  <c r="D169" i="57" a="1"/>
  <c r="D169" i="57" s="1"/>
  <c r="AO169" i="57" s="1"/>
  <c r="D168" i="57" a="1"/>
  <c r="D168" i="57" s="1"/>
  <c r="AO168" i="57" s="1"/>
  <c r="D167" i="57" a="1"/>
  <c r="D167" i="57" s="1"/>
  <c r="AO167" i="57" s="1"/>
  <c r="D166" i="57" a="1"/>
  <c r="D166" i="57" s="1"/>
  <c r="AO166" i="57" s="1"/>
  <c r="D165" i="57" a="1"/>
  <c r="D165" i="57" s="1"/>
  <c r="AO165" i="57" s="1"/>
  <c r="D164" i="57" a="1"/>
  <c r="D164" i="57" s="1"/>
  <c r="AO164" i="57" s="1"/>
  <c r="D163" i="57" a="1"/>
  <c r="D163" i="57" s="1"/>
  <c r="AO163" i="57" s="1"/>
  <c r="D162" i="57" a="1"/>
  <c r="D162" i="57" s="1"/>
  <c r="AO162" i="57" s="1"/>
  <c r="D161" i="57" a="1"/>
  <c r="D161" i="57" s="1"/>
  <c r="AO161" i="57" s="1"/>
  <c r="D160" i="57" a="1"/>
  <c r="D160" i="57" s="1"/>
  <c r="AO160" i="57" s="1"/>
  <c r="D159" i="57" a="1"/>
  <c r="D159" i="57" s="1"/>
  <c r="AO159" i="57" s="1"/>
  <c r="D158" i="57" a="1"/>
  <c r="D158" i="57" s="1"/>
  <c r="AO158" i="57" s="1"/>
  <c r="D157" i="57" a="1"/>
  <c r="D157" i="57" s="1"/>
  <c r="AO157" i="57" s="1"/>
  <c r="D156" i="57" a="1"/>
  <c r="D156" i="57" s="1"/>
  <c r="AO156" i="57" s="1"/>
  <c r="D155" i="57" a="1"/>
  <c r="D155" i="57" s="1"/>
  <c r="AO155" i="57" s="1"/>
  <c r="D154" i="57" a="1"/>
  <c r="D154" i="57" s="1"/>
  <c r="AO154" i="57" s="1"/>
  <c r="D153" i="57" a="1"/>
  <c r="D153" i="57" s="1"/>
  <c r="AO153" i="57" s="1"/>
  <c r="D152" i="57" a="1"/>
  <c r="D152" i="57" s="1"/>
  <c r="AO152" i="57" s="1"/>
  <c r="D151" i="57" a="1"/>
  <c r="D151" i="57" s="1"/>
  <c r="AO151" i="57" s="1"/>
  <c r="D150" i="57" a="1"/>
  <c r="D150" i="57" s="1"/>
  <c r="AO150" i="57" s="1"/>
  <c r="D149" i="57" a="1"/>
  <c r="D149" i="57" s="1"/>
  <c r="AO149" i="57" s="1"/>
  <c r="D148" i="57" a="1"/>
  <c r="D148" i="57" s="1"/>
  <c r="AO148" i="57" s="1"/>
  <c r="D147" i="57" a="1"/>
  <c r="D147" i="57" s="1"/>
  <c r="AO147" i="57" s="1"/>
  <c r="D146" i="57" a="1"/>
  <c r="D146" i="57" s="1"/>
  <c r="AO146" i="57" s="1"/>
  <c r="D145" i="57" a="1"/>
  <c r="D145" i="57" s="1"/>
  <c r="AO145" i="57" s="1"/>
  <c r="D144" i="57" a="1"/>
  <c r="D144" i="57" s="1"/>
  <c r="AO144" i="57" s="1"/>
  <c r="D143" i="57" a="1"/>
  <c r="D143" i="57" s="1"/>
  <c r="AO143" i="57" s="1"/>
  <c r="D142" i="57" a="1"/>
  <c r="D142" i="57" s="1"/>
  <c r="AO142" i="57" s="1"/>
  <c r="D141" i="57" a="1"/>
  <c r="D141" i="57" s="1"/>
  <c r="AO141" i="57" s="1"/>
  <c r="D140" i="57" a="1"/>
  <c r="D140" i="57" s="1"/>
  <c r="AO140" i="57" s="1"/>
  <c r="D139" i="57" a="1"/>
  <c r="D139" i="57" s="1"/>
  <c r="AO139" i="57" s="1"/>
  <c r="D138" i="57" a="1"/>
  <c r="D138" i="57" s="1"/>
  <c r="AO138" i="57" s="1"/>
  <c r="D137" i="57" a="1"/>
  <c r="D137" i="57" s="1"/>
  <c r="AO137" i="57" s="1"/>
  <c r="D136" i="57" a="1"/>
  <c r="D136" i="57" s="1"/>
  <c r="AO136" i="57" s="1"/>
  <c r="D135" i="57" a="1"/>
  <c r="D135" i="57" s="1"/>
  <c r="AO135" i="57" s="1"/>
  <c r="D134" i="57" a="1"/>
  <c r="D134" i="57" s="1"/>
  <c r="AO134" i="57" s="1"/>
  <c r="D133" i="57" a="1"/>
  <c r="D133" i="57" s="1"/>
  <c r="AO133" i="57" s="1"/>
  <c r="D132" i="57" a="1"/>
  <c r="D132" i="57" s="1"/>
  <c r="AO132" i="57" s="1"/>
  <c r="D131" i="57" a="1"/>
  <c r="D131" i="57" s="1"/>
  <c r="AO131" i="57" s="1"/>
  <c r="D130" i="57" a="1"/>
  <c r="D130" i="57" s="1"/>
  <c r="AO130" i="57" s="1"/>
  <c r="D129" i="57" a="1"/>
  <c r="D129" i="57" s="1"/>
  <c r="AO129" i="57" s="1"/>
  <c r="D128" i="57" a="1"/>
  <c r="D128" i="57" s="1"/>
  <c r="AO128" i="57" s="1"/>
  <c r="D127" i="57" a="1"/>
  <c r="D127" i="57" s="1"/>
  <c r="AO127" i="57" s="1"/>
  <c r="D126" i="57" a="1"/>
  <c r="D126" i="57" s="1"/>
  <c r="AO126" i="57" s="1"/>
  <c r="D125" i="57" a="1"/>
  <c r="D125" i="57" s="1"/>
  <c r="AO125" i="57" s="1"/>
  <c r="D124" i="57" a="1"/>
  <c r="D124" i="57" s="1"/>
  <c r="AO124" i="57" s="1"/>
  <c r="D123" i="57" a="1"/>
  <c r="D123" i="57" s="1"/>
  <c r="AO123" i="57" s="1"/>
  <c r="D122" i="57" a="1"/>
  <c r="D122" i="57" s="1"/>
  <c r="AO122" i="57" s="1"/>
  <c r="D121" i="57" a="1"/>
  <c r="D121" i="57" s="1"/>
  <c r="AO121" i="57" s="1"/>
  <c r="D120" i="57" a="1"/>
  <c r="D120" i="57" s="1"/>
  <c r="AO120" i="57" s="1"/>
  <c r="D119" i="57" a="1"/>
  <c r="D119" i="57" s="1"/>
  <c r="AO119" i="57" s="1"/>
  <c r="D118" i="57" a="1"/>
  <c r="D118" i="57" s="1"/>
  <c r="AO118" i="57" s="1"/>
  <c r="D117" i="57" a="1"/>
  <c r="D117" i="57" s="1"/>
  <c r="AO117" i="57" s="1"/>
  <c r="D116" i="57" a="1"/>
  <c r="D116" i="57" s="1"/>
  <c r="AO116" i="57" s="1"/>
  <c r="D115" i="57" a="1"/>
  <c r="D115" i="57" s="1"/>
  <c r="AO115" i="57" s="1"/>
  <c r="D114" i="57" a="1"/>
  <c r="D114" i="57" s="1"/>
  <c r="AO114" i="57" s="1"/>
  <c r="D113" i="57" a="1"/>
  <c r="D113" i="57" s="1"/>
  <c r="AO113" i="57" s="1"/>
  <c r="D112" i="57" a="1"/>
  <c r="D112" i="57" s="1"/>
  <c r="AO112" i="57" s="1"/>
  <c r="D111" i="57" a="1"/>
  <c r="D111" i="57" s="1"/>
  <c r="AO111" i="57" s="1"/>
  <c r="D110" i="57" a="1"/>
  <c r="D110" i="57" s="1"/>
  <c r="AO110" i="57" s="1"/>
  <c r="D109" i="57" a="1"/>
  <c r="D109" i="57" s="1"/>
  <c r="AO109" i="57" s="1"/>
  <c r="D108" i="57" a="1"/>
  <c r="D108" i="57" s="1"/>
  <c r="AO108" i="57" s="1"/>
  <c r="D107" i="57" a="1"/>
  <c r="D107" i="57" s="1"/>
  <c r="AO107" i="57" s="1"/>
  <c r="D106" i="57" a="1"/>
  <c r="D106" i="57" s="1"/>
  <c r="AO106" i="57" s="1"/>
  <c r="D105" i="57" a="1"/>
  <c r="D105" i="57" s="1"/>
  <c r="AO105" i="57" s="1"/>
  <c r="D104" i="57" a="1"/>
  <c r="D104" i="57" s="1"/>
  <c r="AO104" i="57" s="1"/>
  <c r="D103" i="57" a="1"/>
  <c r="D103" i="57" s="1"/>
  <c r="AO103" i="57" s="1"/>
  <c r="D102" i="57" a="1"/>
  <c r="D102" i="57" s="1"/>
  <c r="AO102" i="57" s="1"/>
  <c r="D101" i="57" a="1"/>
  <c r="D101" i="57" s="1"/>
  <c r="AO101" i="57" s="1"/>
  <c r="D100" i="57" a="1"/>
  <c r="D100" i="57" s="1"/>
  <c r="AO100" i="57" s="1"/>
  <c r="D99" i="57" a="1"/>
  <c r="D99" i="57" s="1"/>
  <c r="AO99" i="57" s="1"/>
  <c r="D98" i="57" a="1"/>
  <c r="D98" i="57" s="1"/>
  <c r="AO98" i="57" s="1"/>
  <c r="D97" i="57" a="1"/>
  <c r="D97" i="57" s="1"/>
  <c r="AO97" i="57" s="1"/>
  <c r="D96" i="57" a="1"/>
  <c r="D96" i="57" s="1"/>
  <c r="AO96" i="57" s="1"/>
  <c r="D95" i="57" a="1"/>
  <c r="D95" i="57" s="1"/>
  <c r="AO95" i="57" s="1"/>
  <c r="D94" i="57" a="1"/>
  <c r="D94" i="57" s="1"/>
  <c r="AO94" i="57" s="1"/>
  <c r="D93" i="57" a="1"/>
  <c r="D93" i="57" s="1"/>
  <c r="AO93" i="57" s="1"/>
  <c r="D92" i="57" a="1"/>
  <c r="D92" i="57" s="1"/>
  <c r="AO92" i="57" s="1"/>
  <c r="D91" i="57" a="1"/>
  <c r="D91" i="57" s="1"/>
  <c r="AO91" i="57" s="1"/>
  <c r="D90" i="57" a="1"/>
  <c r="D90" i="57" s="1"/>
  <c r="AO90" i="57" s="1"/>
  <c r="D89" i="57" a="1"/>
  <c r="D89" i="57" s="1"/>
  <c r="AO89" i="57" s="1"/>
  <c r="D88" i="57" a="1"/>
  <c r="D88" i="57" s="1"/>
  <c r="AO88" i="57" s="1"/>
  <c r="D87" i="57" a="1"/>
  <c r="D87" i="57" s="1"/>
  <c r="AO87" i="57" s="1"/>
  <c r="D86" i="57" a="1"/>
  <c r="D86" i="57" s="1"/>
  <c r="AO86" i="57" s="1"/>
  <c r="D85" i="57" a="1"/>
  <c r="D85" i="57" s="1"/>
  <c r="AO85" i="57" s="1"/>
  <c r="D84" i="57" a="1"/>
  <c r="D84" i="57" s="1"/>
  <c r="AO84" i="57" s="1"/>
  <c r="D83" i="57" a="1"/>
  <c r="D83" i="57" s="1"/>
  <c r="AO83" i="57" s="1"/>
  <c r="D82" i="57" a="1"/>
  <c r="D82" i="57" s="1"/>
  <c r="AO82" i="57" s="1"/>
  <c r="D81" i="57" a="1"/>
  <c r="D81" i="57" s="1"/>
  <c r="AO81" i="57" s="1"/>
  <c r="D80" i="57" a="1"/>
  <c r="D80" i="57" s="1"/>
  <c r="AO80" i="57" s="1"/>
  <c r="D79" i="57" a="1"/>
  <c r="D79" i="57" s="1"/>
  <c r="AO79" i="57" s="1"/>
  <c r="D78" i="57" a="1"/>
  <c r="D78" i="57" s="1"/>
  <c r="AO78" i="57" s="1"/>
  <c r="D77" i="57" a="1"/>
  <c r="D77" i="57" s="1"/>
  <c r="AO77" i="57" s="1"/>
  <c r="D76" i="57" a="1"/>
  <c r="D76" i="57" s="1"/>
  <c r="AO76" i="57" s="1"/>
  <c r="D75" i="57" a="1"/>
  <c r="D75" i="57" s="1"/>
  <c r="AO75" i="57" s="1"/>
  <c r="D74" i="57" a="1"/>
  <c r="D74" i="57" s="1"/>
  <c r="AO74" i="57" s="1"/>
  <c r="D73" i="57" a="1"/>
  <c r="D73" i="57" s="1"/>
  <c r="AO73" i="57" s="1"/>
  <c r="D72" i="57" a="1"/>
  <c r="D72" i="57" s="1"/>
  <c r="AO72" i="57" s="1"/>
  <c r="D71" i="57" a="1"/>
  <c r="D71" i="57" s="1"/>
  <c r="AO71" i="57" s="1"/>
  <c r="D70" i="57" a="1"/>
  <c r="D70" i="57" s="1"/>
  <c r="AO70" i="57" s="1"/>
  <c r="D69" i="57" a="1"/>
  <c r="D69" i="57" s="1"/>
  <c r="AO69" i="57" s="1"/>
  <c r="D68" i="57" a="1"/>
  <c r="D68" i="57" s="1"/>
  <c r="AO68" i="57" s="1"/>
  <c r="D67" i="57" a="1"/>
  <c r="D67" i="57" s="1"/>
  <c r="AO67" i="57" s="1"/>
  <c r="D66" i="57" a="1"/>
  <c r="D66" i="57" s="1"/>
  <c r="AO66" i="57" s="1"/>
  <c r="D65" i="57" a="1"/>
  <c r="D65" i="57" s="1"/>
  <c r="AO65" i="57" s="1"/>
  <c r="D64" i="57" a="1"/>
  <c r="D64" i="57" s="1"/>
  <c r="AO64" i="57" s="1"/>
  <c r="D63" i="57" a="1"/>
  <c r="D63" i="57" s="1"/>
  <c r="AO63" i="57" s="1"/>
  <c r="D62" i="57" a="1"/>
  <c r="D62" i="57" s="1"/>
  <c r="AO62" i="57" s="1"/>
  <c r="D61" i="57" a="1"/>
  <c r="D61" i="57" s="1"/>
  <c r="AO61" i="57" s="1"/>
  <c r="D60" i="57" a="1"/>
  <c r="D60" i="57" s="1"/>
  <c r="AO60" i="57" s="1"/>
  <c r="D59" i="57" a="1"/>
  <c r="D59" i="57" s="1"/>
  <c r="AO59" i="57" s="1"/>
  <c r="D58" i="57" a="1"/>
  <c r="D58" i="57" s="1"/>
  <c r="AO58" i="57" s="1"/>
  <c r="D57" i="57" a="1"/>
  <c r="D57" i="57" s="1"/>
  <c r="AO57" i="57" s="1"/>
  <c r="D56" i="57" a="1"/>
  <c r="D56" i="57" s="1"/>
  <c r="AO56" i="57" s="1"/>
  <c r="D55" i="57" a="1"/>
  <c r="D55" i="57" s="1"/>
  <c r="AO55" i="57" s="1"/>
  <c r="D54" i="57" a="1"/>
  <c r="D54" i="57" s="1"/>
  <c r="AO54" i="57" s="1"/>
  <c r="D53" i="57" a="1"/>
  <c r="D53" i="57" s="1"/>
  <c r="AO53" i="57" s="1"/>
  <c r="D52" i="57" a="1"/>
  <c r="D52" i="57" s="1"/>
  <c r="AO52" i="57" s="1"/>
  <c r="D51" i="57" a="1"/>
  <c r="D51" i="57" s="1"/>
  <c r="AO51" i="57" s="1"/>
  <c r="D50" i="57" a="1"/>
  <c r="D50" i="57" s="1"/>
  <c r="AO50" i="57" s="1"/>
  <c r="D49" i="57" a="1"/>
  <c r="D49" i="57" s="1"/>
  <c r="AO49" i="57" s="1"/>
  <c r="D48" i="57" a="1"/>
  <c r="D48" i="57" s="1"/>
  <c r="AO48" i="57" s="1"/>
  <c r="D47" i="57" a="1"/>
  <c r="D47" i="57" s="1"/>
  <c r="AO47" i="57" s="1"/>
  <c r="D46" i="57" a="1"/>
  <c r="D46" i="57" s="1"/>
  <c r="AO46" i="57" s="1"/>
  <c r="D45" i="57" a="1"/>
  <c r="D45" i="57" s="1"/>
  <c r="AO45" i="57" s="1"/>
  <c r="D44" i="57" a="1"/>
  <c r="D44" i="57" s="1"/>
  <c r="AO44" i="57" s="1"/>
  <c r="D43" i="57" a="1"/>
  <c r="D43" i="57" s="1"/>
  <c r="AO43" i="57" s="1"/>
  <c r="D42" i="57" a="1"/>
  <c r="D42" i="57" s="1"/>
  <c r="AO42" i="57" s="1"/>
  <c r="D41" i="57" a="1"/>
  <c r="D41" i="57" s="1"/>
  <c r="AO41" i="57" s="1"/>
  <c r="D40" i="57" a="1"/>
  <c r="D40" i="57" s="1"/>
  <c r="AO40" i="57" s="1"/>
  <c r="D39" i="57" a="1"/>
  <c r="D39" i="57" s="1"/>
  <c r="AO39" i="57" s="1"/>
  <c r="D38" i="57" a="1"/>
  <c r="D38" i="57" s="1"/>
  <c r="AO38" i="57" s="1"/>
  <c r="D37" i="57" a="1"/>
  <c r="D37" i="57" s="1"/>
  <c r="AO37" i="57" s="1"/>
  <c r="D36" i="57" a="1"/>
  <c r="D36" i="57" s="1"/>
  <c r="AO36" i="57" s="1"/>
  <c r="D35" i="57" a="1"/>
  <c r="D35" i="57" s="1"/>
  <c r="AO35" i="57" s="1"/>
  <c r="D34" i="57" a="1"/>
  <c r="D34" i="57" s="1"/>
  <c r="AO34" i="57" s="1"/>
  <c r="D33" i="57" a="1"/>
  <c r="D33" i="57" s="1"/>
  <c r="AO33" i="57" s="1"/>
  <c r="D32" i="57" a="1"/>
  <c r="D32" i="57" s="1"/>
  <c r="AO32" i="57" s="1"/>
  <c r="D31" i="57" a="1"/>
  <c r="D31" i="57" s="1"/>
  <c r="AO31" i="57" s="1"/>
  <c r="D30" i="57" a="1"/>
  <c r="D30" i="57" s="1"/>
  <c r="AO30" i="57" s="1"/>
  <c r="D29" i="57" a="1"/>
  <c r="D29" i="57" s="1"/>
  <c r="AO29" i="57" s="1"/>
  <c r="D28" i="57" a="1"/>
  <c r="D28" i="57" s="1"/>
  <c r="AO28" i="57" s="1"/>
  <c r="D27" i="57" a="1"/>
  <c r="D27" i="57" s="1"/>
  <c r="AO27" i="57" s="1"/>
  <c r="D26" i="57" a="1"/>
  <c r="D26" i="57" s="1"/>
  <c r="AO26" i="57" s="1"/>
  <c r="D25" i="57" a="1"/>
  <c r="D25" i="57" s="1"/>
  <c r="AO25" i="57" s="1"/>
  <c r="D24" i="57" a="1"/>
  <c r="D24" i="57" s="1"/>
  <c r="AO24" i="57" s="1"/>
  <c r="D23" i="57" a="1"/>
  <c r="D23" i="57" s="1"/>
  <c r="AO23" i="57" s="1"/>
  <c r="D22" i="57" a="1"/>
  <c r="D22" i="57" s="1"/>
  <c r="AO22" i="57" s="1"/>
  <c r="D21" i="57" a="1"/>
  <c r="D21" i="57" s="1"/>
  <c r="AO21" i="57" s="1"/>
  <c r="D20" i="57" a="1"/>
  <c r="D20" i="57" s="1"/>
  <c r="AO20" i="57" s="1"/>
  <c r="D19" i="57" a="1"/>
  <c r="D19" i="57" s="1"/>
  <c r="AO19" i="57" s="1"/>
  <c r="D18" i="57" a="1"/>
  <c r="D18" i="57" s="1"/>
  <c r="AO18" i="57" s="1"/>
  <c r="D17" i="57" a="1"/>
  <c r="D17" i="57" s="1"/>
  <c r="AO17" i="57" s="1"/>
  <c r="D16" i="57" a="1"/>
  <c r="D16" i="57" s="1"/>
  <c r="AO16" i="57" s="1"/>
  <c r="D15" i="57" a="1"/>
  <c r="D15" i="57" s="1"/>
  <c r="AO15" i="57" s="1"/>
  <c r="D14" i="57" a="1"/>
  <c r="D14" i="57" s="1"/>
  <c r="AO14" i="57" s="1"/>
  <c r="D13" i="57" a="1"/>
  <c r="D13" i="57" s="1"/>
  <c r="AO13" i="57" s="1"/>
  <c r="D12" i="57" a="1"/>
  <c r="D12" i="57" s="1"/>
  <c r="AO12" i="57" s="1"/>
  <c r="D11" i="57" a="1"/>
  <c r="D11" i="57" s="1"/>
  <c r="AO11" i="57" s="1"/>
  <c r="D10" i="57" a="1"/>
  <c r="D10" i="57" s="1"/>
  <c r="AO10" i="57" s="1"/>
  <c r="D9" i="57" a="1"/>
  <c r="D9" i="57" s="1"/>
  <c r="AO9" i="57" s="1"/>
  <c r="D8" i="57" a="1"/>
  <c r="D8" i="57" s="1"/>
  <c r="AO8" i="57" s="1"/>
  <c r="D7" i="57" a="1"/>
  <c r="D7" i="57" s="1"/>
  <c r="AO7" i="57" s="1"/>
  <c r="D6" i="57" a="1"/>
  <c r="D6" i="57" s="1"/>
  <c r="AO6" i="57" s="1"/>
  <c r="AJ183" i="57" a="1"/>
  <c r="AJ183" i="57" s="1"/>
  <c r="AJ180" i="57" a="1"/>
  <c r="AJ180" i="57" s="1"/>
  <c r="AJ176" i="57" a="1"/>
  <c r="AJ176" i="57" s="1"/>
  <c r="AJ173" i="57" a="1"/>
  <c r="AJ173" i="57" s="1"/>
  <c r="AJ170" i="57" a="1"/>
  <c r="AJ170" i="57" s="1"/>
  <c r="AJ166" i="57" a="1"/>
  <c r="AJ166" i="57" s="1"/>
  <c r="AJ163" i="57" a="1"/>
  <c r="AJ163" i="57" s="1"/>
  <c r="AJ160" i="57" a="1"/>
  <c r="AJ160" i="57" s="1"/>
  <c r="AJ156" i="57" a="1"/>
  <c r="AJ156" i="57" s="1"/>
  <c r="AJ153" i="57" a="1"/>
  <c r="AJ153" i="57" s="1"/>
  <c r="AJ150" i="57" a="1"/>
  <c r="AJ150" i="57" s="1"/>
  <c r="AJ146" i="57" a="1"/>
  <c r="AJ146" i="57" s="1"/>
  <c r="AJ143" i="57" a="1"/>
  <c r="AJ143" i="57" s="1"/>
  <c r="AJ140" i="57" a="1"/>
  <c r="AJ140" i="57" s="1"/>
  <c r="AJ136" i="57" a="1"/>
  <c r="AJ136" i="57" s="1"/>
  <c r="AJ133" i="57" a="1"/>
  <c r="AJ133" i="57" s="1"/>
  <c r="AJ130" i="57" a="1"/>
  <c r="AJ130" i="57" s="1"/>
  <c r="AJ126" i="57" a="1"/>
  <c r="AJ126" i="57" s="1"/>
  <c r="AJ123" i="57" a="1"/>
  <c r="AJ123" i="57" s="1"/>
  <c r="AJ120" i="57" a="1"/>
  <c r="AJ120" i="57" s="1"/>
  <c r="AJ116" i="57" a="1"/>
  <c r="AJ116" i="57" s="1"/>
  <c r="AJ113" i="57" a="1"/>
  <c r="AJ113" i="57" s="1"/>
  <c r="AJ110" i="57" a="1"/>
  <c r="AJ110" i="57" s="1"/>
  <c r="AJ106" i="57" a="1"/>
  <c r="AJ106" i="57" s="1"/>
  <c r="AJ103" i="57" a="1"/>
  <c r="AJ103" i="57" s="1"/>
  <c r="AJ100" i="57" a="1"/>
  <c r="AJ100" i="57" s="1"/>
  <c r="AJ96" i="57" a="1"/>
  <c r="AJ96" i="57" s="1"/>
  <c r="AJ93" i="57" a="1"/>
  <c r="AJ93" i="57" s="1"/>
  <c r="AJ90" i="57" a="1"/>
  <c r="AJ90" i="57" s="1"/>
  <c r="AJ86" i="57" a="1"/>
  <c r="AJ86" i="57" s="1"/>
  <c r="AJ83" i="57" a="1"/>
  <c r="AJ83" i="57" s="1"/>
  <c r="AJ80" i="57" a="1"/>
  <c r="AJ80" i="57" s="1"/>
  <c r="AJ76" i="57" a="1"/>
  <c r="AJ76" i="57" s="1"/>
  <c r="AJ73" i="57" a="1"/>
  <c r="AJ73" i="57" s="1"/>
  <c r="AJ70" i="57" a="1"/>
  <c r="AJ70" i="57" s="1"/>
  <c r="AJ66" i="57" a="1"/>
  <c r="AJ66" i="57" s="1"/>
  <c r="AJ63" i="57" a="1"/>
  <c r="AJ63" i="57" s="1"/>
  <c r="AJ60" i="57" a="1"/>
  <c r="AJ60" i="57" s="1"/>
  <c r="AJ56" i="57" a="1"/>
  <c r="AJ56" i="57" s="1"/>
  <c r="AJ53" i="57" a="1"/>
  <c r="AJ53" i="57" s="1"/>
  <c r="AJ50" i="57" a="1"/>
  <c r="AJ50" i="57" s="1"/>
  <c r="AJ46" i="57" a="1"/>
  <c r="AJ46" i="57" s="1"/>
  <c r="AJ43" i="57" a="1"/>
  <c r="AJ43" i="57" s="1"/>
  <c r="AJ40" i="57" a="1"/>
  <c r="AJ40" i="57" s="1"/>
  <c r="AJ36" i="57" a="1"/>
  <c r="AJ36" i="57" s="1"/>
  <c r="AJ33" i="57" a="1"/>
  <c r="AJ33" i="57" s="1"/>
  <c r="AJ30" i="57" a="1"/>
  <c r="AJ30" i="57" s="1"/>
  <c r="AJ26" i="57" a="1"/>
  <c r="AJ26" i="57" s="1"/>
  <c r="AJ23" i="57" a="1"/>
  <c r="AJ23" i="57" s="1"/>
  <c r="AJ20" i="57" a="1"/>
  <c r="AJ20" i="57" s="1"/>
  <c r="AJ16" i="57" a="1"/>
  <c r="AJ16" i="57" s="1"/>
  <c r="AJ13" i="57" a="1"/>
  <c r="AJ13" i="57" s="1"/>
  <c r="AJ10" i="57" a="1"/>
  <c r="AJ10" i="57" s="1"/>
  <c r="AG185" i="57"/>
  <c r="AG184" i="57"/>
  <c r="AG183" i="57"/>
  <c r="AG182" i="57"/>
  <c r="AG181" i="57"/>
  <c r="AG180" i="57"/>
  <c r="AG179" i="57"/>
  <c r="AG178" i="57"/>
  <c r="AG177" i="57"/>
  <c r="AG176" i="57"/>
  <c r="AG175" i="57"/>
  <c r="AG174" i="57"/>
  <c r="AG173" i="57"/>
  <c r="AG172" i="57"/>
  <c r="AG171" i="57"/>
  <c r="AG170" i="57"/>
  <c r="AG169" i="57"/>
  <c r="AG168" i="57"/>
  <c r="AG167" i="57"/>
  <c r="AG166" i="57"/>
  <c r="AG165" i="57"/>
  <c r="AG164" i="57"/>
  <c r="AG163" i="57"/>
  <c r="AG162" i="57"/>
  <c r="AG161" i="57"/>
  <c r="AG160" i="57"/>
  <c r="AG159" i="57"/>
  <c r="AG158" i="57"/>
  <c r="AG157" i="57"/>
  <c r="AG156" i="57"/>
  <c r="AG155" i="57"/>
  <c r="AG154" i="57"/>
  <c r="AG153" i="57"/>
  <c r="AG152" i="57"/>
  <c r="AG151" i="57"/>
  <c r="AG150" i="57"/>
  <c r="AG149" i="57"/>
  <c r="AG148" i="57"/>
  <c r="AG147" i="57"/>
  <c r="AG146" i="57"/>
  <c r="AG145" i="57"/>
  <c r="AG144" i="57"/>
  <c r="AG143" i="57"/>
  <c r="AG142" i="57"/>
  <c r="AG141" i="57"/>
  <c r="AG140" i="57"/>
  <c r="AG139" i="57"/>
  <c r="AG138" i="57"/>
  <c r="AG137" i="57"/>
  <c r="AG136" i="57"/>
  <c r="AG135" i="57"/>
  <c r="AG134" i="57"/>
  <c r="AG133" i="57"/>
  <c r="AG132" i="57"/>
  <c r="AG131" i="57"/>
  <c r="AG130" i="57"/>
  <c r="AG129" i="57"/>
  <c r="AG128" i="57"/>
  <c r="AG127" i="57"/>
  <c r="AG126" i="57"/>
  <c r="AG125" i="57"/>
  <c r="AG124" i="57"/>
  <c r="AG123" i="57"/>
  <c r="AG122" i="57"/>
  <c r="AG121" i="57"/>
  <c r="AG120" i="57"/>
  <c r="AG119" i="57"/>
  <c r="AG118" i="57"/>
  <c r="AG117" i="57"/>
  <c r="AG116" i="57"/>
  <c r="AG115" i="57"/>
  <c r="AG114" i="57"/>
  <c r="AG113" i="57"/>
  <c r="AG112" i="57"/>
  <c r="AG111" i="57"/>
  <c r="AG110" i="57"/>
  <c r="AG109" i="57"/>
  <c r="AG108" i="57"/>
  <c r="AG107" i="57"/>
  <c r="AG106" i="57"/>
  <c r="AG105" i="57"/>
  <c r="AG104" i="57"/>
  <c r="AG103" i="57"/>
  <c r="AG102" i="57"/>
  <c r="AG101" i="57"/>
  <c r="AG100" i="57"/>
  <c r="AG99" i="57"/>
  <c r="AG98" i="57"/>
  <c r="AG97" i="57"/>
  <c r="AG96" i="57"/>
  <c r="AG95" i="57"/>
  <c r="AG94" i="57"/>
  <c r="AG93" i="57"/>
  <c r="AG92" i="57"/>
  <c r="AG91" i="57"/>
  <c r="AG90" i="57"/>
  <c r="AG89" i="57"/>
  <c r="AG88" i="57"/>
  <c r="AG87" i="57"/>
  <c r="AG86" i="57"/>
  <c r="AG85" i="57"/>
  <c r="AG84" i="57"/>
  <c r="AG83" i="57"/>
  <c r="AG82" i="57"/>
  <c r="AG81" i="57"/>
  <c r="AG80" i="57"/>
  <c r="AG79" i="57"/>
  <c r="AG78" i="57"/>
  <c r="AG77" i="57"/>
  <c r="AG76" i="57"/>
  <c r="AG75" i="57"/>
  <c r="AG74" i="57"/>
  <c r="AG73" i="57"/>
  <c r="AG72" i="57"/>
  <c r="AG71" i="57"/>
  <c r="AG70" i="57"/>
  <c r="AG69" i="57"/>
  <c r="AG68" i="57"/>
  <c r="AG67" i="57"/>
  <c r="AG66" i="57"/>
  <c r="AG65" i="57"/>
  <c r="AG64" i="57"/>
  <c r="AG63" i="57"/>
  <c r="AG62" i="57"/>
  <c r="AG61" i="57"/>
  <c r="AG60" i="57"/>
  <c r="AG59" i="57"/>
  <c r="AG58" i="57"/>
  <c r="AG57" i="57"/>
  <c r="AG56" i="57"/>
  <c r="AG55" i="57"/>
  <c r="AG54" i="57"/>
  <c r="AG53" i="57"/>
  <c r="AG52" i="57"/>
  <c r="AG51" i="57"/>
  <c r="AG50" i="57"/>
  <c r="AG49" i="57"/>
  <c r="AG48" i="57"/>
  <c r="AG47" i="57"/>
  <c r="AG46" i="57"/>
  <c r="AG45" i="57"/>
  <c r="AG44" i="57"/>
  <c r="AG43" i="57"/>
  <c r="AG42" i="57"/>
  <c r="AG41" i="57"/>
  <c r="AG40" i="57"/>
  <c r="AG39" i="57"/>
  <c r="AG38" i="57"/>
  <c r="AG37" i="57"/>
  <c r="AG36" i="57"/>
  <c r="AG35" i="57"/>
  <c r="AG34" i="57"/>
  <c r="AG33" i="57"/>
  <c r="AG32" i="57"/>
  <c r="AG31" i="57"/>
  <c r="AG30" i="57"/>
  <c r="AG29" i="57"/>
  <c r="AG28" i="57"/>
  <c r="AG27" i="57"/>
  <c r="AG26" i="57"/>
  <c r="AG25" i="57"/>
  <c r="AG24" i="57"/>
  <c r="AG23" i="57"/>
  <c r="AG22" i="57"/>
  <c r="AG21" i="57"/>
  <c r="AG20" i="57"/>
  <c r="AG19" i="57"/>
  <c r="AG18" i="57"/>
  <c r="AG17" i="57"/>
  <c r="AG16" i="57"/>
  <c r="AG15" i="57"/>
  <c r="AG14" i="57"/>
  <c r="AG13" i="57"/>
  <c r="AG12" i="57"/>
  <c r="AG11" i="57"/>
  <c r="AG10" i="57"/>
  <c r="AG9" i="57"/>
  <c r="AG8" i="57"/>
  <c r="AG7" i="57"/>
  <c r="AE185" i="57"/>
  <c r="AE184" i="57"/>
  <c r="AE183" i="57"/>
  <c r="AE182" i="57"/>
  <c r="AE181" i="57"/>
  <c r="AE180" i="57"/>
  <c r="AE179" i="57"/>
  <c r="AE178" i="57"/>
  <c r="AE177" i="57"/>
  <c r="AE176" i="57"/>
  <c r="AE175" i="57"/>
  <c r="AE174" i="57"/>
  <c r="AE173" i="57"/>
  <c r="AE172" i="57"/>
  <c r="AE171" i="57"/>
  <c r="AE170" i="57"/>
  <c r="AE169" i="57"/>
  <c r="AE168" i="57"/>
  <c r="AE167" i="57"/>
  <c r="AE166" i="57"/>
  <c r="AE165" i="57"/>
  <c r="AE164" i="57"/>
  <c r="AE163" i="57"/>
  <c r="AE162" i="57"/>
  <c r="AE161" i="57"/>
  <c r="AE160" i="57"/>
  <c r="AE159" i="57"/>
  <c r="AE158" i="57"/>
  <c r="AE157" i="57"/>
  <c r="AE156" i="57"/>
  <c r="AE155" i="57"/>
  <c r="AE154" i="57"/>
  <c r="AE153" i="57"/>
  <c r="AE152" i="57"/>
  <c r="AE151" i="57"/>
  <c r="AE150" i="57"/>
  <c r="AE149" i="57"/>
  <c r="AE148" i="57"/>
  <c r="AE147" i="57"/>
  <c r="AE146" i="57"/>
  <c r="AE145" i="57"/>
  <c r="AE144" i="57"/>
  <c r="AE143" i="57"/>
  <c r="AE142" i="57"/>
  <c r="AE141" i="57"/>
  <c r="AE140" i="57"/>
  <c r="AE139" i="57"/>
  <c r="AE138" i="57"/>
  <c r="AE137" i="57"/>
  <c r="AE136" i="57"/>
  <c r="AE135" i="57"/>
  <c r="AE134" i="57"/>
  <c r="AE133" i="57"/>
  <c r="AE132" i="57"/>
  <c r="AE131" i="57"/>
  <c r="AE130" i="57"/>
  <c r="AE129" i="57"/>
  <c r="AE128" i="57"/>
  <c r="AE127" i="57"/>
  <c r="AE126" i="57"/>
  <c r="AE125" i="57"/>
  <c r="AE124" i="57"/>
  <c r="AE123" i="57"/>
  <c r="AE122" i="57"/>
  <c r="AE121" i="57"/>
  <c r="AE120" i="57"/>
  <c r="AE119" i="57"/>
  <c r="AE118" i="57"/>
  <c r="AE117" i="57"/>
  <c r="AE116" i="57"/>
  <c r="AE115" i="57"/>
  <c r="AE114" i="57"/>
  <c r="AE113" i="57"/>
  <c r="AE112" i="57"/>
  <c r="AE111" i="57"/>
  <c r="AE110" i="57"/>
  <c r="AE109" i="57"/>
  <c r="AE108" i="57"/>
  <c r="AE107" i="57"/>
  <c r="AE106" i="57"/>
  <c r="AE105" i="57"/>
  <c r="AE104" i="57"/>
  <c r="AE103" i="57"/>
  <c r="AE102" i="57"/>
  <c r="AE101" i="57"/>
  <c r="AE100" i="57"/>
  <c r="AE99" i="57"/>
  <c r="AE98" i="57"/>
  <c r="AE97" i="57"/>
  <c r="AE96" i="57"/>
  <c r="AE95" i="57"/>
  <c r="AE94" i="57"/>
  <c r="AE93" i="57"/>
  <c r="AE92" i="57"/>
  <c r="AE91" i="57"/>
  <c r="AE90" i="57"/>
  <c r="AE89" i="57"/>
  <c r="AE88" i="57"/>
  <c r="AE87" i="57"/>
  <c r="AE86" i="57"/>
  <c r="AE85" i="57"/>
  <c r="AE84" i="57"/>
  <c r="AE83" i="57"/>
  <c r="AE82" i="57"/>
  <c r="AE81" i="57"/>
  <c r="AE80" i="57"/>
  <c r="AE79" i="57"/>
  <c r="AE78" i="57"/>
  <c r="AE77" i="57"/>
  <c r="AE76" i="57"/>
  <c r="AE75" i="57"/>
  <c r="AE74" i="57"/>
  <c r="AE73" i="57"/>
  <c r="AE72" i="57"/>
  <c r="AE71" i="57"/>
  <c r="AE70" i="57"/>
  <c r="AE69" i="57"/>
  <c r="AE68" i="57"/>
  <c r="AE67" i="57"/>
  <c r="AE66" i="57"/>
  <c r="AE65" i="57"/>
  <c r="AE64" i="57"/>
  <c r="AE63" i="57"/>
  <c r="AE62" i="57"/>
  <c r="AE61" i="57"/>
  <c r="AE60" i="57"/>
  <c r="AE59" i="57"/>
  <c r="AE58" i="57"/>
  <c r="AE57" i="57"/>
  <c r="AE56" i="57"/>
  <c r="AE55" i="57"/>
  <c r="AE54" i="57"/>
  <c r="AE53" i="57"/>
  <c r="AE52" i="57"/>
  <c r="AE51" i="57"/>
  <c r="AE50" i="57"/>
  <c r="AE49" i="57"/>
  <c r="AE48" i="57"/>
  <c r="AE47" i="57"/>
  <c r="AE46" i="57"/>
  <c r="AE45" i="57"/>
  <c r="AE44" i="57"/>
  <c r="AE43" i="57"/>
  <c r="AE42" i="57"/>
  <c r="AE41" i="57"/>
  <c r="AE40" i="57"/>
  <c r="AE39" i="57"/>
  <c r="AE38" i="57"/>
  <c r="AE37" i="57"/>
  <c r="AE36" i="57"/>
  <c r="AE35" i="57"/>
  <c r="AE34" i="57"/>
  <c r="AE33" i="57"/>
  <c r="AE32" i="57"/>
  <c r="AE31" i="57"/>
  <c r="AE30" i="57"/>
  <c r="AE29" i="57"/>
  <c r="AE28" i="57"/>
  <c r="AE27" i="57"/>
  <c r="AE26" i="57"/>
  <c r="AE25" i="57"/>
  <c r="AE24" i="57"/>
  <c r="AE23" i="57"/>
  <c r="AE22" i="57"/>
  <c r="AE21" i="57"/>
  <c r="AE20" i="57"/>
  <c r="AE19" i="57"/>
  <c r="AE18" i="57"/>
  <c r="AE17" i="57"/>
  <c r="AE16" i="57"/>
  <c r="AE15" i="57"/>
  <c r="AE14" i="57"/>
  <c r="AE13" i="57"/>
  <c r="AE12" i="57"/>
  <c r="AE11" i="57"/>
  <c r="AE10" i="57"/>
  <c r="AE9" i="57"/>
  <c r="AE8" i="57"/>
  <c r="AE7" i="57"/>
  <c r="X185" i="57"/>
  <c r="AA185" i="57" s="1"/>
  <c r="X183" i="57"/>
  <c r="AA183" i="57" s="1"/>
  <c r="X181" i="57"/>
  <c r="AA181" i="57" s="1"/>
  <c r="X180" i="57"/>
  <c r="AA180" i="57" s="1"/>
  <c r="X179" i="57"/>
  <c r="AA179" i="57" s="1"/>
  <c r="X178" i="57"/>
  <c r="AA178" i="57" s="1"/>
  <c r="X176" i="57"/>
  <c r="AA176" i="57" s="1"/>
  <c r="X175" i="57"/>
  <c r="AA175" i="57" s="1"/>
  <c r="X173" i="57"/>
  <c r="AA173" i="57" s="1"/>
  <c r="X171" i="57"/>
  <c r="AA171" i="57" s="1"/>
  <c r="X170" i="57"/>
  <c r="AA170" i="57" s="1"/>
  <c r="X169" i="57"/>
  <c r="AA169" i="57" s="1"/>
  <c r="X168" i="57"/>
  <c r="AA168" i="57" s="1"/>
  <c r="X166" i="57"/>
  <c r="AA166" i="57" s="1"/>
  <c r="X165" i="57"/>
  <c r="AA165" i="57" s="1"/>
  <c r="X163" i="57"/>
  <c r="AA163" i="57" s="1"/>
  <c r="X161" i="57"/>
  <c r="AA161" i="57" s="1"/>
  <c r="X160" i="57"/>
  <c r="AA160" i="57" s="1"/>
  <c r="X159" i="57"/>
  <c r="AA159" i="57" s="1"/>
  <c r="X158" i="57"/>
  <c r="AA158" i="57" s="1"/>
  <c r="X156" i="57"/>
  <c r="AA156" i="57" s="1"/>
  <c r="X155" i="57"/>
  <c r="AA155" i="57" s="1"/>
  <c r="X153" i="57"/>
  <c r="AA153" i="57" s="1"/>
  <c r="X151" i="57"/>
  <c r="AA151" i="57" s="1"/>
  <c r="X150" i="57"/>
  <c r="AA150" i="57" s="1"/>
  <c r="X149" i="57"/>
  <c r="AA149" i="57" s="1"/>
  <c r="X148" i="57"/>
  <c r="AA148" i="57" s="1"/>
  <c r="X146" i="57"/>
  <c r="AA146" i="57" s="1"/>
  <c r="X145" i="57"/>
  <c r="AA145" i="57" s="1"/>
  <c r="X143" i="57"/>
  <c r="AA143" i="57" s="1"/>
  <c r="X141" i="57"/>
  <c r="AA141" i="57" s="1"/>
  <c r="X140" i="57"/>
  <c r="AA140" i="57" s="1"/>
  <c r="X139" i="57"/>
  <c r="AA139" i="57" s="1"/>
  <c r="X138" i="57"/>
  <c r="AA138" i="57" s="1"/>
  <c r="X136" i="57"/>
  <c r="AA136" i="57" s="1"/>
  <c r="X135" i="57"/>
  <c r="AA135" i="57" s="1"/>
  <c r="X133" i="57"/>
  <c r="AA133" i="57" s="1"/>
  <c r="X131" i="57"/>
  <c r="AA131" i="57" s="1"/>
  <c r="X130" i="57"/>
  <c r="AA130" i="57" s="1"/>
  <c r="X129" i="57"/>
  <c r="AA129" i="57" s="1"/>
  <c r="X128" i="57"/>
  <c r="AA128" i="57" s="1"/>
  <c r="X126" i="57"/>
  <c r="AA126" i="57" s="1"/>
  <c r="X125" i="57"/>
  <c r="AA125" i="57" s="1"/>
  <c r="X123" i="57"/>
  <c r="AA123" i="57" s="1"/>
  <c r="X121" i="57"/>
  <c r="AA121" i="57" s="1"/>
  <c r="X120" i="57"/>
  <c r="AA120" i="57" s="1"/>
  <c r="X119" i="57"/>
  <c r="AA119" i="57" s="1"/>
  <c r="X118" i="57"/>
  <c r="AA118" i="57" s="1"/>
  <c r="X116" i="57"/>
  <c r="AA116" i="57" s="1"/>
  <c r="X115" i="57"/>
  <c r="AA115" i="57" s="1"/>
  <c r="X113" i="57"/>
  <c r="AA113" i="57" s="1"/>
  <c r="X111" i="57"/>
  <c r="AA111" i="57" s="1"/>
  <c r="X110" i="57"/>
  <c r="AA110" i="57" s="1"/>
  <c r="X109" i="57"/>
  <c r="AA109" i="57" s="1"/>
  <c r="X108" i="57"/>
  <c r="AA108" i="57" s="1"/>
  <c r="X106" i="57"/>
  <c r="AA106" i="57" s="1"/>
  <c r="X105" i="57"/>
  <c r="AA105" i="57" s="1"/>
  <c r="X103" i="57"/>
  <c r="AA103" i="57" s="1"/>
  <c r="X101" i="57"/>
  <c r="AA101" i="57" s="1"/>
  <c r="X100" i="57"/>
  <c r="AA100" i="57" s="1"/>
  <c r="X99" i="57"/>
  <c r="AA99" i="57" s="1"/>
  <c r="X98" i="57"/>
  <c r="AA98" i="57" s="1"/>
  <c r="X96" i="57"/>
  <c r="AA96" i="57" s="1"/>
  <c r="X95" i="57"/>
  <c r="AA95" i="57" s="1"/>
  <c r="X93" i="57"/>
  <c r="AA93" i="57" s="1"/>
  <c r="X91" i="57"/>
  <c r="AA91" i="57" s="1"/>
  <c r="X90" i="57"/>
  <c r="AA90" i="57" s="1"/>
  <c r="X89" i="57"/>
  <c r="AA89" i="57" s="1"/>
  <c r="X88" i="57"/>
  <c r="AA88" i="57" s="1"/>
  <c r="X86" i="57"/>
  <c r="AA86" i="57" s="1"/>
  <c r="X85" i="57"/>
  <c r="AA85" i="57" s="1"/>
  <c r="X83" i="57"/>
  <c r="AA83" i="57" s="1"/>
  <c r="X81" i="57"/>
  <c r="AA81" i="57" s="1"/>
  <c r="X80" i="57"/>
  <c r="AA80" i="57" s="1"/>
  <c r="X79" i="57"/>
  <c r="AA79" i="57" s="1"/>
  <c r="X78" i="57"/>
  <c r="AA78" i="57" s="1"/>
  <c r="X76" i="57"/>
  <c r="AA76" i="57" s="1"/>
  <c r="X75" i="57"/>
  <c r="AA75" i="57" s="1"/>
  <c r="X73" i="57"/>
  <c r="AA73" i="57" s="1"/>
  <c r="X71" i="57"/>
  <c r="AA71" i="57" s="1"/>
  <c r="X70" i="57"/>
  <c r="AA70" i="57" s="1"/>
  <c r="X69" i="57"/>
  <c r="AA69" i="57" s="1"/>
  <c r="X68" i="57"/>
  <c r="AA68" i="57" s="1"/>
  <c r="X66" i="57"/>
  <c r="AA66" i="57" s="1"/>
  <c r="X65" i="57"/>
  <c r="AA65" i="57" s="1"/>
  <c r="X63" i="57"/>
  <c r="AA63" i="57" s="1"/>
  <c r="X61" i="57"/>
  <c r="AA61" i="57" s="1"/>
  <c r="X60" i="57"/>
  <c r="AA60" i="57" s="1"/>
  <c r="X59" i="57"/>
  <c r="AA59" i="57" s="1"/>
  <c r="X58" i="57"/>
  <c r="AA58" i="57" s="1"/>
  <c r="X56" i="57"/>
  <c r="AA56" i="57" s="1"/>
  <c r="X55" i="57"/>
  <c r="AA55" i="57" s="1"/>
  <c r="X53" i="57"/>
  <c r="AA53" i="57" s="1"/>
  <c r="X51" i="57"/>
  <c r="AA51" i="57" s="1"/>
  <c r="X50" i="57"/>
  <c r="AA50" i="57" s="1"/>
  <c r="X49" i="57"/>
  <c r="AA49" i="57" s="1"/>
  <c r="X48" i="57"/>
  <c r="AA48" i="57" s="1"/>
  <c r="X46" i="57"/>
  <c r="AA46" i="57" s="1"/>
  <c r="X45" i="57"/>
  <c r="AA45" i="57" s="1"/>
  <c r="X43" i="57"/>
  <c r="AA43" i="57" s="1"/>
  <c r="X41" i="57"/>
  <c r="AA41" i="57" s="1"/>
  <c r="X40" i="57"/>
  <c r="AA40" i="57" s="1"/>
  <c r="X39" i="57"/>
  <c r="AA39" i="57" s="1"/>
  <c r="X38" i="57"/>
  <c r="AA38" i="57" s="1"/>
  <c r="X36" i="57"/>
  <c r="AA36" i="57" s="1"/>
  <c r="X35" i="57"/>
  <c r="AA35" i="57" s="1"/>
  <c r="X33" i="57"/>
  <c r="AA33" i="57" s="1"/>
  <c r="X31" i="57"/>
  <c r="AA31" i="57" s="1"/>
  <c r="X30" i="57"/>
  <c r="AA30" i="57" s="1"/>
  <c r="X29" i="57"/>
  <c r="AA29" i="57" s="1"/>
  <c r="X28" i="57"/>
  <c r="AA28" i="57" s="1"/>
  <c r="X26" i="57"/>
  <c r="AA26" i="57" s="1"/>
  <c r="X25" i="57"/>
  <c r="AA25" i="57" s="1"/>
  <c r="X23" i="57"/>
  <c r="AA23" i="57" s="1"/>
  <c r="X21" i="57"/>
  <c r="AA21" i="57" s="1"/>
  <c r="X20" i="57"/>
  <c r="AA20" i="57" s="1"/>
  <c r="X19" i="57"/>
  <c r="AA19" i="57" s="1"/>
  <c r="X18" i="57"/>
  <c r="AA18" i="57" s="1"/>
  <c r="X16" i="57"/>
  <c r="AA16" i="57" s="1"/>
  <c r="X15" i="57"/>
  <c r="AA15" i="57" s="1"/>
  <c r="X13" i="57"/>
  <c r="AA13" i="57" s="1"/>
  <c r="X11" i="57"/>
  <c r="AA11" i="57" s="1"/>
  <c r="X10" i="57"/>
  <c r="AA10" i="57" s="1"/>
  <c r="X9" i="57"/>
  <c r="AA9" i="57" s="1"/>
  <c r="X8" i="57"/>
  <c r="AA8" i="57" s="1"/>
  <c r="X6" i="57"/>
  <c r="AA6" i="57" s="1"/>
  <c r="AE6" i="57"/>
  <c r="AG6" i="57"/>
  <c r="AJ6" i="57" a="1"/>
  <c r="AJ6" i="57" s="1"/>
  <c r="J93" i="9"/>
  <c r="J92" i="9"/>
  <c r="J91" i="9"/>
  <c r="J90" i="9"/>
  <c r="J89" i="9"/>
  <c r="J88" i="9"/>
  <c r="J87" i="9"/>
  <c r="J86" i="9"/>
  <c r="J85" i="9"/>
  <c r="J84" i="9"/>
  <c r="J83" i="9"/>
  <c r="J82" i="9"/>
  <c r="J80" i="9"/>
  <c r="J77" i="9"/>
  <c r="J74" i="9"/>
  <c r="J73" i="9"/>
  <c r="J72" i="9"/>
  <c r="J71" i="9"/>
  <c r="J70" i="9"/>
  <c r="J69" i="9"/>
  <c r="J68" i="9"/>
  <c r="J67" i="9"/>
  <c r="J62" i="9"/>
  <c r="J61" i="9"/>
  <c r="J56" i="9"/>
  <c r="J55" i="9"/>
  <c r="J45" i="9"/>
  <c r="J44" i="9"/>
  <c r="J43" i="9"/>
  <c r="J42" i="9"/>
  <c r="J41" i="9"/>
  <c r="J40" i="9"/>
  <c r="J39" i="9"/>
  <c r="J38" i="9"/>
  <c r="J37" i="9"/>
  <c r="J36" i="9"/>
  <c r="J35" i="9"/>
  <c r="J34" i="9"/>
  <c r="J32" i="9"/>
  <c r="J29" i="9"/>
  <c r="J26" i="9"/>
  <c r="J25" i="9"/>
  <c r="J24" i="9"/>
  <c r="J23" i="9"/>
  <c r="J22" i="9"/>
  <c r="J21" i="9"/>
  <c r="J45" i="32"/>
  <c r="J44" i="32"/>
  <c r="J43" i="32"/>
  <c r="J42" i="32"/>
  <c r="J41" i="32"/>
  <c r="J40" i="32"/>
  <c r="J39" i="32"/>
  <c r="J38" i="32"/>
  <c r="J37" i="32"/>
  <c r="J36" i="32"/>
  <c r="J35" i="32"/>
  <c r="J34" i="32"/>
  <c r="J32" i="32"/>
  <c r="J29" i="32"/>
  <c r="J26" i="32"/>
  <c r="J25" i="32"/>
  <c r="J24" i="32"/>
  <c r="J23" i="32"/>
  <c r="J22" i="32"/>
  <c r="J21" i="32"/>
  <c r="J20" i="32"/>
  <c r="J19" i="32"/>
  <c r="J14" i="32"/>
  <c r="J13" i="32"/>
  <c r="J8" i="32"/>
  <c r="R546" i="56" l="1"/>
  <c r="U546" i="56"/>
  <c r="AN2" i="5"/>
  <c r="AJ2" i="5"/>
  <c r="S4" i="5" a="1"/>
  <c r="S4" i="5" s="1"/>
  <c r="S3" i="5" a="1"/>
  <c r="S3" i="5" s="1"/>
  <c r="AF2" i="5"/>
  <c r="X546" i="56"/>
  <c r="AH546" i="56" s="1"/>
  <c r="AG546" i="56" s="1"/>
  <c r="AJ546" i="56" s="1" a="1"/>
  <c r="AJ546" i="56" s="1"/>
  <c r="AB546" i="56" s="1"/>
  <c r="AO194" i="57"/>
  <c r="AO193" i="57"/>
  <c r="AO192" i="57"/>
  <c r="AO191" i="57"/>
  <c r="AO190" i="57"/>
  <c r="AO189" i="57"/>
  <c r="AO188" i="57"/>
  <c r="AO187" i="57"/>
  <c r="AO186" i="57"/>
  <c r="D537" i="56"/>
  <c r="E537" i="56"/>
  <c r="L537" i="56"/>
  <c r="M537" i="56"/>
  <c r="N537" i="56"/>
  <c r="O537" i="56"/>
  <c r="P537" i="56"/>
  <c r="Q537" i="56"/>
  <c r="R537" i="56" s="1"/>
  <c r="AI537" i="56"/>
  <c r="D538" i="56"/>
  <c r="E538" i="56"/>
  <c r="L538" i="56"/>
  <c r="M538" i="56"/>
  <c r="N538" i="56"/>
  <c r="O538" i="56"/>
  <c r="P538" i="56"/>
  <c r="Q538" i="56"/>
  <c r="R538" i="56" s="1"/>
  <c r="AI538" i="56"/>
  <c r="D539" i="56"/>
  <c r="E539" i="56"/>
  <c r="L539" i="56"/>
  <c r="M539" i="56"/>
  <c r="N539" i="56"/>
  <c r="O539" i="56"/>
  <c r="P539" i="56"/>
  <c r="Q539" i="56"/>
  <c r="AI539" i="56"/>
  <c r="D540" i="56"/>
  <c r="E540" i="56"/>
  <c r="L540" i="56"/>
  <c r="M540" i="56"/>
  <c r="N540" i="56"/>
  <c r="O540" i="56"/>
  <c r="P540" i="56"/>
  <c r="Q540" i="56"/>
  <c r="R540" i="56" s="1"/>
  <c r="AI540" i="56"/>
  <c r="D541" i="56"/>
  <c r="E541" i="56"/>
  <c r="L541" i="56"/>
  <c r="M541" i="56"/>
  <c r="N541" i="56"/>
  <c r="O541" i="56"/>
  <c r="P541" i="56"/>
  <c r="Q541" i="56"/>
  <c r="AI541" i="56"/>
  <c r="D542" i="56"/>
  <c r="E542" i="56"/>
  <c r="L542" i="56"/>
  <c r="M542" i="56"/>
  <c r="N542" i="56"/>
  <c r="O542" i="56"/>
  <c r="P542" i="56"/>
  <c r="Q542" i="56"/>
  <c r="AI542" i="56"/>
  <c r="D543" i="56"/>
  <c r="E543" i="56"/>
  <c r="L543" i="56"/>
  <c r="M543" i="56"/>
  <c r="N543" i="56"/>
  <c r="O543" i="56"/>
  <c r="P543" i="56"/>
  <c r="Q543" i="56"/>
  <c r="R543" i="56" s="1"/>
  <c r="AI543" i="56"/>
  <c r="D544" i="56"/>
  <c r="E544" i="56"/>
  <c r="L544" i="56"/>
  <c r="M544" i="56"/>
  <c r="N544" i="56"/>
  <c r="O544" i="56"/>
  <c r="P544" i="56"/>
  <c r="Q544" i="56"/>
  <c r="AI544" i="56"/>
  <c r="D545" i="56"/>
  <c r="E545" i="56"/>
  <c r="L545" i="56"/>
  <c r="M545" i="56"/>
  <c r="N545" i="56"/>
  <c r="O545" i="56"/>
  <c r="P545" i="56"/>
  <c r="Q545" i="56"/>
  <c r="AI545" i="56"/>
  <c r="D499" i="56"/>
  <c r="E499" i="56"/>
  <c r="L499" i="56"/>
  <c r="M499" i="56"/>
  <c r="N499" i="56"/>
  <c r="O499" i="56"/>
  <c r="P499" i="56"/>
  <c r="Q499" i="56"/>
  <c r="AI499" i="56"/>
  <c r="D500" i="56"/>
  <c r="E500" i="56"/>
  <c r="L500" i="56"/>
  <c r="M500" i="56"/>
  <c r="N500" i="56"/>
  <c r="O500" i="56"/>
  <c r="P500" i="56"/>
  <c r="Q500" i="56"/>
  <c r="R500" i="56" s="1"/>
  <c r="AI500" i="56"/>
  <c r="D501" i="56"/>
  <c r="E501" i="56"/>
  <c r="L501" i="56"/>
  <c r="M501" i="56"/>
  <c r="N501" i="56"/>
  <c r="O501" i="56"/>
  <c r="P501" i="56"/>
  <c r="Q501" i="56"/>
  <c r="R501" i="56" s="1"/>
  <c r="AI501" i="56"/>
  <c r="D502" i="56"/>
  <c r="E502" i="56"/>
  <c r="L502" i="56"/>
  <c r="M502" i="56"/>
  <c r="N502" i="56"/>
  <c r="O502" i="56"/>
  <c r="P502" i="56"/>
  <c r="Q502" i="56"/>
  <c r="R502" i="56" s="1"/>
  <c r="AI502" i="56"/>
  <c r="D503" i="56"/>
  <c r="E503" i="56"/>
  <c r="L503" i="56"/>
  <c r="M503" i="56"/>
  <c r="N503" i="56"/>
  <c r="O503" i="56"/>
  <c r="P503" i="56"/>
  <c r="Q503" i="56"/>
  <c r="AI503" i="56"/>
  <c r="D504" i="56"/>
  <c r="E504" i="56"/>
  <c r="L504" i="56"/>
  <c r="M504" i="56"/>
  <c r="N504" i="56"/>
  <c r="O504" i="56"/>
  <c r="P504" i="56"/>
  <c r="Q504" i="56"/>
  <c r="R504" i="56" s="1"/>
  <c r="AI504" i="56"/>
  <c r="D505" i="56"/>
  <c r="E505" i="56"/>
  <c r="L505" i="56"/>
  <c r="M505" i="56"/>
  <c r="N505" i="56"/>
  <c r="O505" i="56"/>
  <c r="P505" i="56"/>
  <c r="Q505" i="56"/>
  <c r="R505" i="56" s="1"/>
  <c r="AI505" i="56"/>
  <c r="D506" i="56"/>
  <c r="E506" i="56"/>
  <c r="L506" i="56"/>
  <c r="M506" i="56"/>
  <c r="N506" i="56"/>
  <c r="O506" i="56"/>
  <c r="P506" i="56"/>
  <c r="Q506" i="56"/>
  <c r="R506" i="56" s="1"/>
  <c r="AI506" i="56"/>
  <c r="D507" i="56"/>
  <c r="E507" i="56"/>
  <c r="L507" i="56"/>
  <c r="M507" i="56"/>
  <c r="N507" i="56"/>
  <c r="O507" i="56"/>
  <c r="P507" i="56"/>
  <c r="Q507" i="56"/>
  <c r="R507" i="56" s="1"/>
  <c r="AI507" i="56"/>
  <c r="D508" i="56"/>
  <c r="E508" i="56"/>
  <c r="L508" i="56"/>
  <c r="M508" i="56"/>
  <c r="N508" i="56"/>
  <c r="O508" i="56"/>
  <c r="P508" i="56"/>
  <c r="Q508" i="56"/>
  <c r="AI508" i="56"/>
  <c r="D509" i="56"/>
  <c r="E509" i="56"/>
  <c r="L509" i="56"/>
  <c r="M509" i="56"/>
  <c r="N509" i="56"/>
  <c r="O509" i="56"/>
  <c r="P509" i="56"/>
  <c r="Q509" i="56"/>
  <c r="AI509" i="56"/>
  <c r="D510" i="56"/>
  <c r="E510" i="56"/>
  <c r="L510" i="56"/>
  <c r="M510" i="56"/>
  <c r="N510" i="56"/>
  <c r="O510" i="56"/>
  <c r="P510" i="56"/>
  <c r="Q510" i="56"/>
  <c r="R510" i="56" s="1"/>
  <c r="AI510" i="56"/>
  <c r="D511" i="56"/>
  <c r="E511" i="56"/>
  <c r="L511" i="56"/>
  <c r="M511" i="56"/>
  <c r="N511" i="56"/>
  <c r="O511" i="56"/>
  <c r="P511" i="56"/>
  <c r="Q511" i="56"/>
  <c r="R511" i="56" s="1"/>
  <c r="AI511" i="56"/>
  <c r="D512" i="56"/>
  <c r="E512" i="56"/>
  <c r="L512" i="56"/>
  <c r="M512" i="56"/>
  <c r="N512" i="56"/>
  <c r="O512" i="56"/>
  <c r="P512" i="56"/>
  <c r="Q512" i="56"/>
  <c r="R512" i="56" s="1"/>
  <c r="AI512" i="56"/>
  <c r="D513" i="56"/>
  <c r="E513" i="56"/>
  <c r="L513" i="56"/>
  <c r="M513" i="56"/>
  <c r="N513" i="56"/>
  <c r="O513" i="56"/>
  <c r="P513" i="56"/>
  <c r="Q513" i="56"/>
  <c r="AI513" i="56"/>
  <c r="D514" i="56"/>
  <c r="E514" i="56"/>
  <c r="L514" i="56"/>
  <c r="M514" i="56"/>
  <c r="N514" i="56"/>
  <c r="O514" i="56"/>
  <c r="P514" i="56"/>
  <c r="Q514" i="56"/>
  <c r="R514" i="56" s="1"/>
  <c r="AI514" i="56"/>
  <c r="D515" i="56"/>
  <c r="E515" i="56"/>
  <c r="L515" i="56"/>
  <c r="M515" i="56"/>
  <c r="N515" i="56"/>
  <c r="O515" i="56"/>
  <c r="P515" i="56"/>
  <c r="Q515" i="56"/>
  <c r="AI515" i="56"/>
  <c r="D516" i="56"/>
  <c r="E516" i="56"/>
  <c r="L516" i="56"/>
  <c r="M516" i="56"/>
  <c r="N516" i="56"/>
  <c r="O516" i="56"/>
  <c r="P516" i="56"/>
  <c r="Q516" i="56"/>
  <c r="AI516" i="56"/>
  <c r="D517" i="56"/>
  <c r="E517" i="56"/>
  <c r="L517" i="56"/>
  <c r="M517" i="56"/>
  <c r="N517" i="56"/>
  <c r="O517" i="56"/>
  <c r="P517" i="56"/>
  <c r="Q517" i="56"/>
  <c r="R517" i="56" s="1"/>
  <c r="AI517" i="56"/>
  <c r="D518" i="56"/>
  <c r="E518" i="56"/>
  <c r="L518" i="56"/>
  <c r="M518" i="56"/>
  <c r="N518" i="56"/>
  <c r="O518" i="56"/>
  <c r="P518" i="56"/>
  <c r="Q518" i="56"/>
  <c r="AI518" i="56"/>
  <c r="D519" i="56"/>
  <c r="E519" i="56"/>
  <c r="L519" i="56"/>
  <c r="M519" i="56"/>
  <c r="N519" i="56"/>
  <c r="O519" i="56"/>
  <c r="P519" i="56"/>
  <c r="Q519" i="56"/>
  <c r="R519" i="56" s="1"/>
  <c r="AI519" i="56"/>
  <c r="D520" i="56"/>
  <c r="E520" i="56"/>
  <c r="L520" i="56"/>
  <c r="M520" i="56"/>
  <c r="N520" i="56"/>
  <c r="O520" i="56"/>
  <c r="P520" i="56"/>
  <c r="Q520" i="56"/>
  <c r="R520" i="56" s="1"/>
  <c r="AI520" i="56"/>
  <c r="D521" i="56"/>
  <c r="E521" i="56"/>
  <c r="L521" i="56"/>
  <c r="M521" i="56"/>
  <c r="N521" i="56"/>
  <c r="O521" i="56"/>
  <c r="P521" i="56"/>
  <c r="Q521" i="56"/>
  <c r="R521" i="56" s="1"/>
  <c r="AI521" i="56"/>
  <c r="D522" i="56"/>
  <c r="E522" i="56"/>
  <c r="L522" i="56"/>
  <c r="M522" i="56"/>
  <c r="N522" i="56"/>
  <c r="O522" i="56"/>
  <c r="P522" i="56"/>
  <c r="Q522" i="56"/>
  <c r="AI522" i="56"/>
  <c r="D523" i="56"/>
  <c r="E523" i="56"/>
  <c r="L523" i="56"/>
  <c r="M523" i="56"/>
  <c r="N523" i="56"/>
  <c r="O523" i="56"/>
  <c r="P523" i="56"/>
  <c r="Q523" i="56"/>
  <c r="R523" i="56" s="1"/>
  <c r="AI523" i="56"/>
  <c r="D524" i="56"/>
  <c r="E524" i="56"/>
  <c r="L524" i="56"/>
  <c r="M524" i="56"/>
  <c r="N524" i="56"/>
  <c r="O524" i="56"/>
  <c r="P524" i="56"/>
  <c r="Q524" i="56"/>
  <c r="R524" i="56" s="1"/>
  <c r="AI524" i="56"/>
  <c r="D525" i="56"/>
  <c r="E525" i="56"/>
  <c r="L525" i="56"/>
  <c r="M525" i="56"/>
  <c r="N525" i="56"/>
  <c r="O525" i="56"/>
  <c r="P525" i="56"/>
  <c r="Q525" i="56"/>
  <c r="AI525" i="56"/>
  <c r="D526" i="56"/>
  <c r="E526" i="56"/>
  <c r="L526" i="56"/>
  <c r="M526" i="56"/>
  <c r="N526" i="56"/>
  <c r="O526" i="56"/>
  <c r="P526" i="56"/>
  <c r="Q526" i="56"/>
  <c r="AI526" i="56"/>
  <c r="D527" i="56"/>
  <c r="E527" i="56"/>
  <c r="L527" i="56"/>
  <c r="M527" i="56"/>
  <c r="N527" i="56"/>
  <c r="O527" i="56"/>
  <c r="P527" i="56"/>
  <c r="Q527" i="56"/>
  <c r="R527" i="56" s="1"/>
  <c r="AI527" i="56"/>
  <c r="D528" i="56"/>
  <c r="E528" i="56"/>
  <c r="L528" i="56"/>
  <c r="M528" i="56"/>
  <c r="N528" i="56"/>
  <c r="O528" i="56"/>
  <c r="P528" i="56"/>
  <c r="Q528" i="56"/>
  <c r="AI528" i="56"/>
  <c r="D529" i="56"/>
  <c r="E529" i="56"/>
  <c r="L529" i="56"/>
  <c r="M529" i="56"/>
  <c r="N529" i="56"/>
  <c r="O529" i="56"/>
  <c r="P529" i="56"/>
  <c r="Q529" i="56"/>
  <c r="R529" i="56" s="1"/>
  <c r="AI529" i="56"/>
  <c r="D530" i="56"/>
  <c r="E530" i="56"/>
  <c r="L530" i="56"/>
  <c r="M530" i="56"/>
  <c r="N530" i="56"/>
  <c r="O530" i="56"/>
  <c r="P530" i="56"/>
  <c r="Q530" i="56"/>
  <c r="AI530" i="56"/>
  <c r="D531" i="56"/>
  <c r="E531" i="56"/>
  <c r="L531" i="56"/>
  <c r="M531" i="56"/>
  <c r="N531" i="56"/>
  <c r="O531" i="56"/>
  <c r="P531" i="56"/>
  <c r="Q531" i="56"/>
  <c r="R531" i="56" s="1"/>
  <c r="AI531" i="56"/>
  <c r="D532" i="56"/>
  <c r="E532" i="56"/>
  <c r="L532" i="56"/>
  <c r="M532" i="56"/>
  <c r="N532" i="56"/>
  <c r="O532" i="56"/>
  <c r="P532" i="56"/>
  <c r="Q532" i="56"/>
  <c r="R532" i="56" s="1"/>
  <c r="AI532" i="56"/>
  <c r="D533" i="56"/>
  <c r="E533" i="56"/>
  <c r="L533" i="56"/>
  <c r="M533" i="56"/>
  <c r="N533" i="56"/>
  <c r="O533" i="56"/>
  <c r="P533" i="56"/>
  <c r="Q533" i="56"/>
  <c r="R533" i="56" s="1"/>
  <c r="AI533" i="56"/>
  <c r="D534" i="56"/>
  <c r="E534" i="56"/>
  <c r="L534" i="56"/>
  <c r="M534" i="56"/>
  <c r="N534" i="56"/>
  <c r="O534" i="56"/>
  <c r="P534" i="56"/>
  <c r="Q534" i="56"/>
  <c r="AI534" i="56"/>
  <c r="D535" i="56"/>
  <c r="E535" i="56"/>
  <c r="L535" i="56"/>
  <c r="M535" i="56"/>
  <c r="N535" i="56"/>
  <c r="O535" i="56"/>
  <c r="P535" i="56"/>
  <c r="Q535" i="56"/>
  <c r="AI535" i="56"/>
  <c r="D536" i="56"/>
  <c r="E536" i="56"/>
  <c r="L536" i="56"/>
  <c r="M536" i="56"/>
  <c r="N536" i="56"/>
  <c r="O536" i="56"/>
  <c r="P536" i="56"/>
  <c r="Q536" i="56"/>
  <c r="AI536" i="56"/>
  <c r="D461" i="56"/>
  <c r="E461" i="56"/>
  <c r="L461" i="56"/>
  <c r="M461" i="56"/>
  <c r="N461" i="56"/>
  <c r="O461" i="56"/>
  <c r="P461" i="56"/>
  <c r="Q461" i="56"/>
  <c r="AI461" i="56"/>
  <c r="D462" i="56"/>
  <c r="E462" i="56"/>
  <c r="L462" i="56"/>
  <c r="M462" i="56"/>
  <c r="N462" i="56"/>
  <c r="O462" i="56"/>
  <c r="P462" i="56"/>
  <c r="Q462" i="56"/>
  <c r="AI462" i="56"/>
  <c r="D463" i="56"/>
  <c r="E463" i="56"/>
  <c r="L463" i="56"/>
  <c r="M463" i="56"/>
  <c r="N463" i="56"/>
  <c r="O463" i="56"/>
  <c r="P463" i="56"/>
  <c r="Q463" i="56"/>
  <c r="R463" i="56" s="1"/>
  <c r="AI463" i="56"/>
  <c r="D464" i="56"/>
  <c r="E464" i="56"/>
  <c r="L464" i="56"/>
  <c r="M464" i="56"/>
  <c r="N464" i="56"/>
  <c r="O464" i="56"/>
  <c r="P464" i="56"/>
  <c r="Q464" i="56"/>
  <c r="AI464" i="56"/>
  <c r="D465" i="56"/>
  <c r="E465" i="56"/>
  <c r="L465" i="56"/>
  <c r="M465" i="56"/>
  <c r="N465" i="56"/>
  <c r="O465" i="56"/>
  <c r="P465" i="56"/>
  <c r="Q465" i="56"/>
  <c r="AI465" i="56"/>
  <c r="D466" i="56"/>
  <c r="E466" i="56"/>
  <c r="L466" i="56"/>
  <c r="M466" i="56"/>
  <c r="N466" i="56"/>
  <c r="O466" i="56"/>
  <c r="P466" i="56"/>
  <c r="Q466" i="56"/>
  <c r="AI466" i="56"/>
  <c r="D467" i="56"/>
  <c r="E467" i="56"/>
  <c r="L467" i="56"/>
  <c r="M467" i="56"/>
  <c r="N467" i="56"/>
  <c r="O467" i="56"/>
  <c r="P467" i="56"/>
  <c r="Q467" i="56"/>
  <c r="AI467" i="56"/>
  <c r="D468" i="56"/>
  <c r="E468" i="56"/>
  <c r="L468" i="56"/>
  <c r="M468" i="56"/>
  <c r="N468" i="56"/>
  <c r="O468" i="56"/>
  <c r="P468" i="56"/>
  <c r="Q468" i="56"/>
  <c r="R468" i="56" s="1"/>
  <c r="AI468" i="56"/>
  <c r="D469" i="56"/>
  <c r="E469" i="56"/>
  <c r="L469" i="56"/>
  <c r="M469" i="56"/>
  <c r="N469" i="56"/>
  <c r="O469" i="56"/>
  <c r="P469" i="56"/>
  <c r="Q469" i="56"/>
  <c r="R469" i="56" s="1"/>
  <c r="AI469" i="56"/>
  <c r="D470" i="56"/>
  <c r="E470" i="56"/>
  <c r="L470" i="56"/>
  <c r="M470" i="56"/>
  <c r="N470" i="56"/>
  <c r="O470" i="56"/>
  <c r="P470" i="56"/>
  <c r="Q470" i="56"/>
  <c r="AI470" i="56"/>
  <c r="D471" i="56"/>
  <c r="E471" i="56"/>
  <c r="L471" i="56"/>
  <c r="M471" i="56"/>
  <c r="N471" i="56"/>
  <c r="O471" i="56"/>
  <c r="P471" i="56"/>
  <c r="Q471" i="56"/>
  <c r="R471" i="56" s="1"/>
  <c r="AI471" i="56"/>
  <c r="D472" i="56"/>
  <c r="E472" i="56"/>
  <c r="L472" i="56"/>
  <c r="M472" i="56"/>
  <c r="N472" i="56"/>
  <c r="O472" i="56"/>
  <c r="P472" i="56"/>
  <c r="Q472" i="56"/>
  <c r="AI472" i="56"/>
  <c r="D473" i="56"/>
  <c r="E473" i="56"/>
  <c r="L473" i="56"/>
  <c r="M473" i="56"/>
  <c r="N473" i="56"/>
  <c r="O473" i="56"/>
  <c r="P473" i="56"/>
  <c r="Q473" i="56"/>
  <c r="R473" i="56" s="1"/>
  <c r="AI473" i="56"/>
  <c r="D474" i="56"/>
  <c r="E474" i="56"/>
  <c r="L474" i="56"/>
  <c r="M474" i="56"/>
  <c r="N474" i="56"/>
  <c r="O474" i="56"/>
  <c r="P474" i="56"/>
  <c r="Q474" i="56"/>
  <c r="AI474" i="56"/>
  <c r="D475" i="56"/>
  <c r="E475" i="56"/>
  <c r="L475" i="56"/>
  <c r="M475" i="56"/>
  <c r="N475" i="56"/>
  <c r="O475" i="56"/>
  <c r="P475" i="56"/>
  <c r="Q475" i="56"/>
  <c r="AI475" i="56"/>
  <c r="D476" i="56"/>
  <c r="E476" i="56"/>
  <c r="L476" i="56"/>
  <c r="M476" i="56"/>
  <c r="N476" i="56"/>
  <c r="O476" i="56"/>
  <c r="P476" i="56"/>
  <c r="Q476" i="56"/>
  <c r="R476" i="56" s="1"/>
  <c r="AI476" i="56"/>
  <c r="D477" i="56"/>
  <c r="E477" i="56"/>
  <c r="L477" i="56"/>
  <c r="M477" i="56"/>
  <c r="N477" i="56"/>
  <c r="O477" i="56"/>
  <c r="P477" i="56"/>
  <c r="Q477" i="56"/>
  <c r="R477" i="56" s="1"/>
  <c r="AI477" i="56"/>
  <c r="D478" i="56"/>
  <c r="E478" i="56"/>
  <c r="L478" i="56"/>
  <c r="M478" i="56"/>
  <c r="N478" i="56"/>
  <c r="O478" i="56"/>
  <c r="P478" i="56"/>
  <c r="Q478" i="56"/>
  <c r="AI478" i="56"/>
  <c r="D479" i="56"/>
  <c r="E479" i="56"/>
  <c r="L479" i="56"/>
  <c r="M479" i="56"/>
  <c r="N479" i="56"/>
  <c r="O479" i="56"/>
  <c r="P479" i="56"/>
  <c r="Q479" i="56"/>
  <c r="R479" i="56" s="1"/>
  <c r="AI479" i="56"/>
  <c r="D480" i="56"/>
  <c r="E480" i="56"/>
  <c r="L480" i="56"/>
  <c r="M480" i="56"/>
  <c r="N480" i="56"/>
  <c r="O480" i="56"/>
  <c r="P480" i="56"/>
  <c r="Q480" i="56"/>
  <c r="AI480" i="56"/>
  <c r="D481" i="56"/>
  <c r="E481" i="56"/>
  <c r="L481" i="56"/>
  <c r="M481" i="56"/>
  <c r="N481" i="56"/>
  <c r="O481" i="56"/>
  <c r="P481" i="56"/>
  <c r="Q481" i="56"/>
  <c r="AI481" i="56"/>
  <c r="D482" i="56"/>
  <c r="E482" i="56"/>
  <c r="L482" i="56"/>
  <c r="M482" i="56"/>
  <c r="N482" i="56"/>
  <c r="O482" i="56"/>
  <c r="P482" i="56"/>
  <c r="Q482" i="56"/>
  <c r="R482" i="56" s="1"/>
  <c r="AI482" i="56"/>
  <c r="D483" i="56"/>
  <c r="E483" i="56"/>
  <c r="L483" i="56"/>
  <c r="M483" i="56"/>
  <c r="N483" i="56"/>
  <c r="O483" i="56"/>
  <c r="P483" i="56"/>
  <c r="Q483" i="56"/>
  <c r="R483" i="56" s="1"/>
  <c r="AI483" i="56"/>
  <c r="D484" i="56"/>
  <c r="E484" i="56"/>
  <c r="L484" i="56"/>
  <c r="M484" i="56"/>
  <c r="N484" i="56"/>
  <c r="O484" i="56"/>
  <c r="P484" i="56"/>
  <c r="Q484" i="56"/>
  <c r="AI484" i="56"/>
  <c r="D485" i="56"/>
  <c r="E485" i="56"/>
  <c r="L485" i="56"/>
  <c r="M485" i="56"/>
  <c r="N485" i="56"/>
  <c r="O485" i="56"/>
  <c r="P485" i="56"/>
  <c r="Q485" i="56"/>
  <c r="AI485" i="56"/>
  <c r="D486" i="56"/>
  <c r="E486" i="56"/>
  <c r="L486" i="56"/>
  <c r="M486" i="56"/>
  <c r="N486" i="56"/>
  <c r="O486" i="56"/>
  <c r="P486" i="56"/>
  <c r="Q486" i="56"/>
  <c r="AI486" i="56"/>
  <c r="D487" i="56"/>
  <c r="E487" i="56"/>
  <c r="L487" i="56"/>
  <c r="M487" i="56"/>
  <c r="N487" i="56"/>
  <c r="O487" i="56"/>
  <c r="P487" i="56"/>
  <c r="Q487" i="56"/>
  <c r="AI487" i="56"/>
  <c r="D488" i="56"/>
  <c r="E488" i="56"/>
  <c r="L488" i="56"/>
  <c r="M488" i="56"/>
  <c r="N488" i="56"/>
  <c r="O488" i="56"/>
  <c r="P488" i="56"/>
  <c r="Q488" i="56"/>
  <c r="R488" i="56" s="1"/>
  <c r="AI488" i="56"/>
  <c r="D489" i="56"/>
  <c r="E489" i="56"/>
  <c r="L489" i="56"/>
  <c r="M489" i="56"/>
  <c r="N489" i="56"/>
  <c r="O489" i="56"/>
  <c r="P489" i="56"/>
  <c r="Q489" i="56"/>
  <c r="AI489" i="56"/>
  <c r="D490" i="56"/>
  <c r="E490" i="56"/>
  <c r="L490" i="56"/>
  <c r="M490" i="56"/>
  <c r="N490" i="56"/>
  <c r="O490" i="56"/>
  <c r="P490" i="56"/>
  <c r="Q490" i="56"/>
  <c r="R490" i="56" s="1"/>
  <c r="AI490" i="56"/>
  <c r="D491" i="56"/>
  <c r="E491" i="56"/>
  <c r="L491" i="56"/>
  <c r="M491" i="56"/>
  <c r="N491" i="56"/>
  <c r="O491" i="56"/>
  <c r="P491" i="56"/>
  <c r="Q491" i="56"/>
  <c r="AI491" i="56"/>
  <c r="D492" i="56"/>
  <c r="E492" i="56"/>
  <c r="L492" i="56"/>
  <c r="M492" i="56"/>
  <c r="N492" i="56"/>
  <c r="O492" i="56"/>
  <c r="P492" i="56"/>
  <c r="Q492" i="56"/>
  <c r="AI492" i="56"/>
  <c r="D493" i="56"/>
  <c r="E493" i="56"/>
  <c r="L493" i="56"/>
  <c r="M493" i="56"/>
  <c r="N493" i="56"/>
  <c r="O493" i="56"/>
  <c r="P493" i="56"/>
  <c r="Q493" i="56"/>
  <c r="AI493" i="56"/>
  <c r="D494" i="56"/>
  <c r="E494" i="56"/>
  <c r="L494" i="56"/>
  <c r="M494" i="56"/>
  <c r="N494" i="56"/>
  <c r="O494" i="56"/>
  <c r="P494" i="56"/>
  <c r="Q494" i="56"/>
  <c r="R494" i="56" s="1"/>
  <c r="AI494" i="56"/>
  <c r="D495" i="56"/>
  <c r="E495" i="56"/>
  <c r="L495" i="56"/>
  <c r="M495" i="56"/>
  <c r="N495" i="56"/>
  <c r="O495" i="56"/>
  <c r="P495" i="56"/>
  <c r="Q495" i="56"/>
  <c r="R495" i="56" s="1"/>
  <c r="AI495" i="56"/>
  <c r="D496" i="56"/>
  <c r="E496" i="56"/>
  <c r="L496" i="56"/>
  <c r="M496" i="56"/>
  <c r="N496" i="56"/>
  <c r="O496" i="56"/>
  <c r="P496" i="56"/>
  <c r="Q496" i="56"/>
  <c r="R496" i="56" s="1"/>
  <c r="AI496" i="56"/>
  <c r="D497" i="56"/>
  <c r="E497" i="56"/>
  <c r="L497" i="56"/>
  <c r="M497" i="56"/>
  <c r="N497" i="56"/>
  <c r="O497" i="56"/>
  <c r="P497" i="56"/>
  <c r="Q497" i="56"/>
  <c r="AI497" i="56"/>
  <c r="D498" i="56"/>
  <c r="E498" i="56"/>
  <c r="L498" i="56"/>
  <c r="M498" i="56"/>
  <c r="N498" i="56"/>
  <c r="O498" i="56"/>
  <c r="P498" i="56"/>
  <c r="Q498" i="56"/>
  <c r="AI498" i="56"/>
  <c r="D423" i="56"/>
  <c r="E423" i="56"/>
  <c r="L423" i="56"/>
  <c r="M423" i="56"/>
  <c r="N423" i="56"/>
  <c r="O423" i="56"/>
  <c r="P423" i="56"/>
  <c r="Q423" i="56"/>
  <c r="R423" i="56" s="1"/>
  <c r="AI423" i="56"/>
  <c r="D424" i="56"/>
  <c r="E424" i="56"/>
  <c r="L424" i="56"/>
  <c r="M424" i="56"/>
  <c r="N424" i="56"/>
  <c r="O424" i="56"/>
  <c r="P424" i="56"/>
  <c r="Q424" i="56"/>
  <c r="AI424" i="56"/>
  <c r="D425" i="56"/>
  <c r="E425" i="56"/>
  <c r="L425" i="56"/>
  <c r="M425" i="56"/>
  <c r="N425" i="56"/>
  <c r="O425" i="56"/>
  <c r="P425" i="56"/>
  <c r="Q425" i="56"/>
  <c r="AI425" i="56"/>
  <c r="D426" i="56"/>
  <c r="E426" i="56"/>
  <c r="L426" i="56"/>
  <c r="M426" i="56"/>
  <c r="N426" i="56"/>
  <c r="O426" i="56"/>
  <c r="P426" i="56"/>
  <c r="Q426" i="56"/>
  <c r="AI426" i="56"/>
  <c r="D427" i="56"/>
  <c r="E427" i="56"/>
  <c r="L427" i="56"/>
  <c r="M427" i="56"/>
  <c r="N427" i="56"/>
  <c r="O427" i="56"/>
  <c r="P427" i="56"/>
  <c r="Q427" i="56"/>
  <c r="AI427" i="56"/>
  <c r="D428" i="56"/>
  <c r="E428" i="56"/>
  <c r="L428" i="56"/>
  <c r="M428" i="56"/>
  <c r="N428" i="56"/>
  <c r="O428" i="56"/>
  <c r="P428" i="56"/>
  <c r="Q428" i="56"/>
  <c r="AI428" i="56"/>
  <c r="D429" i="56"/>
  <c r="E429" i="56"/>
  <c r="L429" i="56"/>
  <c r="M429" i="56"/>
  <c r="N429" i="56"/>
  <c r="O429" i="56"/>
  <c r="P429" i="56"/>
  <c r="Q429" i="56"/>
  <c r="AI429" i="56"/>
  <c r="D430" i="56"/>
  <c r="E430" i="56"/>
  <c r="L430" i="56"/>
  <c r="M430" i="56"/>
  <c r="N430" i="56"/>
  <c r="O430" i="56"/>
  <c r="P430" i="56"/>
  <c r="Q430" i="56"/>
  <c r="R430" i="56" s="1"/>
  <c r="AI430" i="56"/>
  <c r="D431" i="56"/>
  <c r="E431" i="56"/>
  <c r="L431" i="56"/>
  <c r="M431" i="56"/>
  <c r="N431" i="56"/>
  <c r="O431" i="56"/>
  <c r="P431" i="56"/>
  <c r="Q431" i="56"/>
  <c r="AI431" i="56"/>
  <c r="D432" i="56"/>
  <c r="E432" i="56"/>
  <c r="L432" i="56"/>
  <c r="M432" i="56"/>
  <c r="N432" i="56"/>
  <c r="O432" i="56"/>
  <c r="P432" i="56"/>
  <c r="Q432" i="56"/>
  <c r="AI432" i="56"/>
  <c r="D433" i="56"/>
  <c r="E433" i="56"/>
  <c r="L433" i="56"/>
  <c r="M433" i="56"/>
  <c r="N433" i="56"/>
  <c r="O433" i="56"/>
  <c r="P433" i="56"/>
  <c r="Q433" i="56"/>
  <c r="AI433" i="56"/>
  <c r="D434" i="56"/>
  <c r="E434" i="56"/>
  <c r="L434" i="56"/>
  <c r="M434" i="56"/>
  <c r="N434" i="56"/>
  <c r="O434" i="56"/>
  <c r="P434" i="56"/>
  <c r="Q434" i="56"/>
  <c r="AI434" i="56"/>
  <c r="D435" i="56"/>
  <c r="E435" i="56"/>
  <c r="L435" i="56"/>
  <c r="M435" i="56"/>
  <c r="N435" i="56"/>
  <c r="O435" i="56"/>
  <c r="P435" i="56"/>
  <c r="Q435" i="56"/>
  <c r="R435" i="56" s="1"/>
  <c r="AI435" i="56"/>
  <c r="D436" i="56"/>
  <c r="E436" i="56"/>
  <c r="L436" i="56"/>
  <c r="M436" i="56"/>
  <c r="N436" i="56"/>
  <c r="O436" i="56"/>
  <c r="P436" i="56"/>
  <c r="Q436" i="56"/>
  <c r="AI436" i="56"/>
  <c r="D437" i="56"/>
  <c r="E437" i="56"/>
  <c r="L437" i="56"/>
  <c r="M437" i="56"/>
  <c r="N437" i="56"/>
  <c r="O437" i="56"/>
  <c r="P437" i="56"/>
  <c r="Q437" i="56"/>
  <c r="AI437" i="56"/>
  <c r="D438" i="56"/>
  <c r="E438" i="56"/>
  <c r="L438" i="56"/>
  <c r="M438" i="56"/>
  <c r="N438" i="56"/>
  <c r="O438" i="56"/>
  <c r="P438" i="56"/>
  <c r="Q438" i="56"/>
  <c r="AI438" i="56"/>
  <c r="D439" i="56"/>
  <c r="E439" i="56"/>
  <c r="L439" i="56"/>
  <c r="M439" i="56"/>
  <c r="N439" i="56"/>
  <c r="O439" i="56"/>
  <c r="P439" i="56"/>
  <c r="Q439" i="56"/>
  <c r="AI439" i="56"/>
  <c r="D440" i="56"/>
  <c r="E440" i="56"/>
  <c r="L440" i="56"/>
  <c r="M440" i="56"/>
  <c r="N440" i="56"/>
  <c r="O440" i="56"/>
  <c r="P440" i="56"/>
  <c r="Q440" i="56"/>
  <c r="AI440" i="56"/>
  <c r="D441" i="56"/>
  <c r="E441" i="56"/>
  <c r="L441" i="56"/>
  <c r="M441" i="56"/>
  <c r="N441" i="56"/>
  <c r="O441" i="56"/>
  <c r="P441" i="56"/>
  <c r="Q441" i="56"/>
  <c r="AI441" i="56"/>
  <c r="D442" i="56"/>
  <c r="E442" i="56"/>
  <c r="L442" i="56"/>
  <c r="M442" i="56"/>
  <c r="N442" i="56"/>
  <c r="O442" i="56"/>
  <c r="P442" i="56"/>
  <c r="Q442" i="56"/>
  <c r="AI442" i="56"/>
  <c r="D443" i="56"/>
  <c r="E443" i="56"/>
  <c r="L443" i="56"/>
  <c r="M443" i="56"/>
  <c r="N443" i="56"/>
  <c r="O443" i="56"/>
  <c r="P443" i="56"/>
  <c r="Q443" i="56"/>
  <c r="R443" i="56" s="1"/>
  <c r="AI443" i="56"/>
  <c r="D444" i="56"/>
  <c r="E444" i="56"/>
  <c r="L444" i="56"/>
  <c r="M444" i="56"/>
  <c r="N444" i="56"/>
  <c r="O444" i="56"/>
  <c r="P444" i="56"/>
  <c r="Q444" i="56"/>
  <c r="R444" i="56" s="1"/>
  <c r="AI444" i="56"/>
  <c r="D445" i="56"/>
  <c r="E445" i="56"/>
  <c r="L445" i="56"/>
  <c r="M445" i="56"/>
  <c r="N445" i="56"/>
  <c r="O445" i="56"/>
  <c r="P445" i="56"/>
  <c r="Q445" i="56"/>
  <c r="R445" i="56" s="1"/>
  <c r="AI445" i="56"/>
  <c r="D446" i="56"/>
  <c r="E446" i="56"/>
  <c r="L446" i="56"/>
  <c r="M446" i="56"/>
  <c r="N446" i="56"/>
  <c r="O446" i="56"/>
  <c r="P446" i="56"/>
  <c r="Q446" i="56"/>
  <c r="R446" i="56" s="1"/>
  <c r="AI446" i="56"/>
  <c r="D447" i="56"/>
  <c r="E447" i="56"/>
  <c r="L447" i="56"/>
  <c r="M447" i="56"/>
  <c r="N447" i="56"/>
  <c r="O447" i="56"/>
  <c r="P447" i="56"/>
  <c r="Q447" i="56"/>
  <c r="R447" i="56" s="1"/>
  <c r="AI447" i="56"/>
  <c r="D448" i="56"/>
  <c r="E448" i="56"/>
  <c r="L448" i="56"/>
  <c r="M448" i="56"/>
  <c r="N448" i="56"/>
  <c r="O448" i="56"/>
  <c r="P448" i="56"/>
  <c r="Q448" i="56"/>
  <c r="AI448" i="56"/>
  <c r="D449" i="56"/>
  <c r="E449" i="56"/>
  <c r="L449" i="56"/>
  <c r="M449" i="56"/>
  <c r="N449" i="56"/>
  <c r="O449" i="56"/>
  <c r="P449" i="56"/>
  <c r="Q449" i="56"/>
  <c r="AI449" i="56"/>
  <c r="D450" i="56"/>
  <c r="E450" i="56"/>
  <c r="L450" i="56"/>
  <c r="M450" i="56"/>
  <c r="N450" i="56"/>
  <c r="O450" i="56"/>
  <c r="P450" i="56"/>
  <c r="Q450" i="56"/>
  <c r="AI450" i="56"/>
  <c r="D451" i="56"/>
  <c r="E451" i="56"/>
  <c r="L451" i="56"/>
  <c r="M451" i="56"/>
  <c r="N451" i="56"/>
  <c r="O451" i="56"/>
  <c r="P451" i="56"/>
  <c r="Q451" i="56"/>
  <c r="R451" i="56" s="1"/>
  <c r="AI451" i="56"/>
  <c r="D452" i="56"/>
  <c r="E452" i="56"/>
  <c r="L452" i="56"/>
  <c r="M452" i="56"/>
  <c r="N452" i="56"/>
  <c r="O452" i="56"/>
  <c r="P452" i="56"/>
  <c r="Q452" i="56"/>
  <c r="AI452" i="56"/>
  <c r="D453" i="56"/>
  <c r="E453" i="56"/>
  <c r="L453" i="56"/>
  <c r="M453" i="56"/>
  <c r="N453" i="56"/>
  <c r="O453" i="56"/>
  <c r="P453" i="56"/>
  <c r="Q453" i="56"/>
  <c r="AI453" i="56"/>
  <c r="D454" i="56"/>
  <c r="E454" i="56"/>
  <c r="L454" i="56"/>
  <c r="M454" i="56"/>
  <c r="N454" i="56"/>
  <c r="O454" i="56"/>
  <c r="P454" i="56"/>
  <c r="Q454" i="56"/>
  <c r="AI454" i="56"/>
  <c r="D455" i="56"/>
  <c r="E455" i="56"/>
  <c r="L455" i="56"/>
  <c r="M455" i="56"/>
  <c r="N455" i="56"/>
  <c r="O455" i="56"/>
  <c r="P455" i="56"/>
  <c r="Q455" i="56"/>
  <c r="AI455" i="56"/>
  <c r="D456" i="56"/>
  <c r="E456" i="56"/>
  <c r="L456" i="56"/>
  <c r="M456" i="56"/>
  <c r="N456" i="56"/>
  <c r="O456" i="56"/>
  <c r="P456" i="56"/>
  <c r="Q456" i="56"/>
  <c r="AI456" i="56"/>
  <c r="D457" i="56"/>
  <c r="E457" i="56"/>
  <c r="L457" i="56"/>
  <c r="M457" i="56"/>
  <c r="N457" i="56"/>
  <c r="O457" i="56"/>
  <c r="P457" i="56"/>
  <c r="Q457" i="56"/>
  <c r="AI457" i="56"/>
  <c r="D458" i="56"/>
  <c r="E458" i="56"/>
  <c r="L458" i="56"/>
  <c r="M458" i="56"/>
  <c r="N458" i="56"/>
  <c r="O458" i="56"/>
  <c r="P458" i="56"/>
  <c r="Q458" i="56"/>
  <c r="AI458" i="56"/>
  <c r="D459" i="56"/>
  <c r="E459" i="56"/>
  <c r="L459" i="56"/>
  <c r="M459" i="56"/>
  <c r="N459" i="56"/>
  <c r="O459" i="56"/>
  <c r="P459" i="56"/>
  <c r="Q459" i="56"/>
  <c r="AI459" i="56"/>
  <c r="D460" i="56"/>
  <c r="E460" i="56"/>
  <c r="L460" i="56"/>
  <c r="M460" i="56"/>
  <c r="N460" i="56"/>
  <c r="O460" i="56"/>
  <c r="P460" i="56"/>
  <c r="Q460" i="56"/>
  <c r="R460" i="56" s="1"/>
  <c r="AI460" i="56"/>
  <c r="D385" i="56"/>
  <c r="E385" i="56"/>
  <c r="L385" i="56"/>
  <c r="M385" i="56"/>
  <c r="N385" i="56"/>
  <c r="O385" i="56"/>
  <c r="P385" i="56"/>
  <c r="Q385" i="56"/>
  <c r="AI385" i="56"/>
  <c r="D386" i="56"/>
  <c r="E386" i="56"/>
  <c r="L386" i="56"/>
  <c r="M386" i="56"/>
  <c r="N386" i="56"/>
  <c r="O386" i="56"/>
  <c r="P386" i="56"/>
  <c r="Q386" i="56"/>
  <c r="R386" i="56" s="1"/>
  <c r="AI386" i="56"/>
  <c r="D387" i="56"/>
  <c r="E387" i="56"/>
  <c r="L387" i="56"/>
  <c r="M387" i="56"/>
  <c r="N387" i="56"/>
  <c r="O387" i="56"/>
  <c r="P387" i="56"/>
  <c r="Q387" i="56"/>
  <c r="R387" i="56" s="1"/>
  <c r="AI387" i="56"/>
  <c r="D388" i="56"/>
  <c r="E388" i="56"/>
  <c r="L388" i="56"/>
  <c r="M388" i="56"/>
  <c r="N388" i="56"/>
  <c r="O388" i="56"/>
  <c r="P388" i="56"/>
  <c r="Q388" i="56"/>
  <c r="AI388" i="56"/>
  <c r="D389" i="56"/>
  <c r="E389" i="56"/>
  <c r="L389" i="56"/>
  <c r="M389" i="56"/>
  <c r="N389" i="56"/>
  <c r="O389" i="56"/>
  <c r="P389" i="56"/>
  <c r="Q389" i="56"/>
  <c r="AI389" i="56"/>
  <c r="D390" i="56"/>
  <c r="E390" i="56"/>
  <c r="L390" i="56"/>
  <c r="M390" i="56"/>
  <c r="N390" i="56"/>
  <c r="O390" i="56"/>
  <c r="P390" i="56"/>
  <c r="Q390" i="56"/>
  <c r="R390" i="56" s="1"/>
  <c r="AI390" i="56"/>
  <c r="D391" i="56"/>
  <c r="E391" i="56"/>
  <c r="L391" i="56"/>
  <c r="M391" i="56"/>
  <c r="N391" i="56"/>
  <c r="O391" i="56"/>
  <c r="P391" i="56"/>
  <c r="Q391" i="56"/>
  <c r="AI391" i="56"/>
  <c r="D392" i="56"/>
  <c r="E392" i="56"/>
  <c r="L392" i="56"/>
  <c r="M392" i="56"/>
  <c r="N392" i="56"/>
  <c r="O392" i="56"/>
  <c r="P392" i="56"/>
  <c r="Q392" i="56"/>
  <c r="AI392" i="56"/>
  <c r="D393" i="56"/>
  <c r="E393" i="56"/>
  <c r="L393" i="56"/>
  <c r="M393" i="56"/>
  <c r="N393" i="56"/>
  <c r="O393" i="56"/>
  <c r="P393" i="56"/>
  <c r="Q393" i="56"/>
  <c r="AI393" i="56"/>
  <c r="D394" i="56"/>
  <c r="E394" i="56"/>
  <c r="L394" i="56"/>
  <c r="M394" i="56"/>
  <c r="N394" i="56"/>
  <c r="O394" i="56"/>
  <c r="P394" i="56"/>
  <c r="Q394" i="56"/>
  <c r="R394" i="56" s="1"/>
  <c r="AI394" i="56"/>
  <c r="D395" i="56"/>
  <c r="E395" i="56"/>
  <c r="L395" i="56"/>
  <c r="M395" i="56"/>
  <c r="N395" i="56"/>
  <c r="O395" i="56"/>
  <c r="P395" i="56"/>
  <c r="Q395" i="56"/>
  <c r="AI395" i="56"/>
  <c r="D396" i="56"/>
  <c r="E396" i="56"/>
  <c r="L396" i="56"/>
  <c r="M396" i="56"/>
  <c r="N396" i="56"/>
  <c r="O396" i="56"/>
  <c r="P396" i="56"/>
  <c r="Q396" i="56"/>
  <c r="R396" i="56" s="1"/>
  <c r="AI396" i="56"/>
  <c r="D397" i="56"/>
  <c r="E397" i="56"/>
  <c r="L397" i="56"/>
  <c r="M397" i="56"/>
  <c r="N397" i="56"/>
  <c r="O397" i="56"/>
  <c r="P397" i="56"/>
  <c r="Q397" i="56"/>
  <c r="AI397" i="56"/>
  <c r="D398" i="56"/>
  <c r="E398" i="56"/>
  <c r="L398" i="56"/>
  <c r="M398" i="56"/>
  <c r="N398" i="56"/>
  <c r="O398" i="56"/>
  <c r="P398" i="56"/>
  <c r="Q398" i="56"/>
  <c r="R398" i="56" s="1"/>
  <c r="AI398" i="56"/>
  <c r="D399" i="56"/>
  <c r="E399" i="56"/>
  <c r="L399" i="56"/>
  <c r="M399" i="56"/>
  <c r="N399" i="56"/>
  <c r="O399" i="56"/>
  <c r="P399" i="56"/>
  <c r="Q399" i="56"/>
  <c r="R399" i="56" s="1"/>
  <c r="AI399" i="56"/>
  <c r="D400" i="56"/>
  <c r="E400" i="56"/>
  <c r="L400" i="56"/>
  <c r="M400" i="56"/>
  <c r="N400" i="56"/>
  <c r="O400" i="56"/>
  <c r="P400" i="56"/>
  <c r="Q400" i="56"/>
  <c r="R400" i="56" s="1"/>
  <c r="AI400" i="56"/>
  <c r="D401" i="56"/>
  <c r="E401" i="56"/>
  <c r="L401" i="56"/>
  <c r="M401" i="56"/>
  <c r="N401" i="56"/>
  <c r="O401" i="56"/>
  <c r="P401" i="56"/>
  <c r="Q401" i="56"/>
  <c r="R401" i="56" s="1"/>
  <c r="AI401" i="56"/>
  <c r="D402" i="56"/>
  <c r="E402" i="56"/>
  <c r="L402" i="56"/>
  <c r="M402" i="56"/>
  <c r="N402" i="56"/>
  <c r="O402" i="56"/>
  <c r="P402" i="56"/>
  <c r="Q402" i="56"/>
  <c r="AI402" i="56"/>
  <c r="D403" i="56"/>
  <c r="E403" i="56"/>
  <c r="L403" i="56"/>
  <c r="M403" i="56"/>
  <c r="N403" i="56"/>
  <c r="O403" i="56"/>
  <c r="P403" i="56"/>
  <c r="Q403" i="56"/>
  <c r="AI403" i="56"/>
  <c r="D404" i="56"/>
  <c r="E404" i="56"/>
  <c r="L404" i="56"/>
  <c r="M404" i="56"/>
  <c r="N404" i="56"/>
  <c r="O404" i="56"/>
  <c r="P404" i="56"/>
  <c r="Q404" i="56"/>
  <c r="AI404" i="56"/>
  <c r="D405" i="56"/>
  <c r="E405" i="56"/>
  <c r="L405" i="56"/>
  <c r="M405" i="56"/>
  <c r="N405" i="56"/>
  <c r="O405" i="56"/>
  <c r="P405" i="56"/>
  <c r="Q405" i="56"/>
  <c r="AI405" i="56"/>
  <c r="D406" i="56"/>
  <c r="E406" i="56"/>
  <c r="L406" i="56"/>
  <c r="M406" i="56"/>
  <c r="N406" i="56"/>
  <c r="O406" i="56"/>
  <c r="P406" i="56"/>
  <c r="Q406" i="56"/>
  <c r="R406" i="56" s="1"/>
  <c r="AI406" i="56"/>
  <c r="D407" i="56"/>
  <c r="E407" i="56"/>
  <c r="L407" i="56"/>
  <c r="M407" i="56"/>
  <c r="N407" i="56"/>
  <c r="O407" i="56"/>
  <c r="P407" i="56"/>
  <c r="Q407" i="56"/>
  <c r="R407" i="56" s="1"/>
  <c r="AI407" i="56"/>
  <c r="D408" i="56"/>
  <c r="E408" i="56"/>
  <c r="L408" i="56"/>
  <c r="M408" i="56"/>
  <c r="N408" i="56"/>
  <c r="O408" i="56"/>
  <c r="P408" i="56"/>
  <c r="Q408" i="56"/>
  <c r="AI408" i="56"/>
  <c r="D409" i="56"/>
  <c r="E409" i="56"/>
  <c r="L409" i="56"/>
  <c r="M409" i="56"/>
  <c r="N409" i="56"/>
  <c r="O409" i="56"/>
  <c r="P409" i="56"/>
  <c r="Q409" i="56"/>
  <c r="AI409" i="56"/>
  <c r="D410" i="56"/>
  <c r="E410" i="56"/>
  <c r="L410" i="56"/>
  <c r="M410" i="56"/>
  <c r="N410" i="56"/>
  <c r="O410" i="56"/>
  <c r="P410" i="56"/>
  <c r="Q410" i="56"/>
  <c r="R410" i="56" s="1"/>
  <c r="AI410" i="56"/>
  <c r="D411" i="56"/>
  <c r="E411" i="56"/>
  <c r="L411" i="56"/>
  <c r="M411" i="56"/>
  <c r="N411" i="56"/>
  <c r="O411" i="56"/>
  <c r="P411" i="56"/>
  <c r="Q411" i="56"/>
  <c r="AI411" i="56"/>
  <c r="D412" i="56"/>
  <c r="E412" i="56"/>
  <c r="L412" i="56"/>
  <c r="M412" i="56"/>
  <c r="N412" i="56"/>
  <c r="O412" i="56"/>
  <c r="P412" i="56"/>
  <c r="Q412" i="56"/>
  <c r="AI412" i="56"/>
  <c r="D413" i="56"/>
  <c r="E413" i="56"/>
  <c r="L413" i="56"/>
  <c r="M413" i="56"/>
  <c r="N413" i="56"/>
  <c r="O413" i="56"/>
  <c r="P413" i="56"/>
  <c r="Q413" i="56"/>
  <c r="R413" i="56" s="1"/>
  <c r="AI413" i="56"/>
  <c r="D414" i="56"/>
  <c r="E414" i="56"/>
  <c r="L414" i="56"/>
  <c r="M414" i="56"/>
  <c r="N414" i="56"/>
  <c r="O414" i="56"/>
  <c r="P414" i="56"/>
  <c r="Q414" i="56"/>
  <c r="AI414" i="56"/>
  <c r="D415" i="56"/>
  <c r="E415" i="56"/>
  <c r="L415" i="56"/>
  <c r="M415" i="56"/>
  <c r="N415" i="56"/>
  <c r="O415" i="56"/>
  <c r="P415" i="56"/>
  <c r="Q415" i="56"/>
  <c r="AI415" i="56"/>
  <c r="D416" i="56"/>
  <c r="E416" i="56"/>
  <c r="L416" i="56"/>
  <c r="M416" i="56"/>
  <c r="N416" i="56"/>
  <c r="O416" i="56"/>
  <c r="P416" i="56"/>
  <c r="Q416" i="56"/>
  <c r="AI416" i="56"/>
  <c r="D417" i="56"/>
  <c r="E417" i="56"/>
  <c r="L417" i="56"/>
  <c r="M417" i="56"/>
  <c r="N417" i="56"/>
  <c r="O417" i="56"/>
  <c r="P417" i="56"/>
  <c r="Q417" i="56"/>
  <c r="AI417" i="56"/>
  <c r="D418" i="56"/>
  <c r="E418" i="56"/>
  <c r="L418" i="56"/>
  <c r="M418" i="56"/>
  <c r="N418" i="56"/>
  <c r="O418" i="56"/>
  <c r="P418" i="56"/>
  <c r="Q418" i="56"/>
  <c r="AI418" i="56"/>
  <c r="D419" i="56"/>
  <c r="E419" i="56"/>
  <c r="L419" i="56"/>
  <c r="M419" i="56"/>
  <c r="N419" i="56"/>
  <c r="O419" i="56"/>
  <c r="P419" i="56"/>
  <c r="Q419" i="56"/>
  <c r="R419" i="56" s="1"/>
  <c r="AI419" i="56"/>
  <c r="D420" i="56"/>
  <c r="E420" i="56"/>
  <c r="L420" i="56"/>
  <c r="M420" i="56"/>
  <c r="N420" i="56"/>
  <c r="O420" i="56"/>
  <c r="P420" i="56"/>
  <c r="Q420" i="56"/>
  <c r="AI420" i="56"/>
  <c r="D421" i="56"/>
  <c r="E421" i="56"/>
  <c r="L421" i="56"/>
  <c r="M421" i="56"/>
  <c r="N421" i="56"/>
  <c r="O421" i="56"/>
  <c r="P421" i="56"/>
  <c r="Q421" i="56"/>
  <c r="AI421" i="56"/>
  <c r="D422" i="56"/>
  <c r="E422" i="56"/>
  <c r="L422" i="56"/>
  <c r="M422" i="56"/>
  <c r="N422" i="56"/>
  <c r="O422" i="56"/>
  <c r="P422" i="56"/>
  <c r="Q422" i="56"/>
  <c r="AI422" i="56"/>
  <c r="D347" i="56"/>
  <c r="E347" i="56"/>
  <c r="L347" i="56"/>
  <c r="M347" i="56"/>
  <c r="N347" i="56"/>
  <c r="O347" i="56"/>
  <c r="P347" i="56"/>
  <c r="Q347" i="56"/>
  <c r="AI347" i="56"/>
  <c r="D348" i="56"/>
  <c r="E348" i="56"/>
  <c r="L348" i="56"/>
  <c r="M348" i="56"/>
  <c r="N348" i="56"/>
  <c r="O348" i="56"/>
  <c r="P348" i="56"/>
  <c r="Q348" i="56"/>
  <c r="R348" i="56" s="1"/>
  <c r="AI348" i="56"/>
  <c r="D349" i="56"/>
  <c r="E349" i="56"/>
  <c r="L349" i="56"/>
  <c r="M349" i="56"/>
  <c r="N349" i="56"/>
  <c r="O349" i="56"/>
  <c r="P349" i="56"/>
  <c r="Q349" i="56"/>
  <c r="R349" i="56" s="1"/>
  <c r="AI349" i="56"/>
  <c r="D350" i="56"/>
  <c r="E350" i="56"/>
  <c r="L350" i="56"/>
  <c r="M350" i="56"/>
  <c r="N350" i="56"/>
  <c r="O350" i="56"/>
  <c r="P350" i="56"/>
  <c r="Q350" i="56"/>
  <c r="AI350" i="56"/>
  <c r="D351" i="56"/>
  <c r="E351" i="56"/>
  <c r="L351" i="56"/>
  <c r="M351" i="56"/>
  <c r="N351" i="56"/>
  <c r="O351" i="56"/>
  <c r="P351" i="56"/>
  <c r="Q351" i="56"/>
  <c r="AI351" i="56"/>
  <c r="D352" i="56"/>
  <c r="E352" i="56"/>
  <c r="L352" i="56"/>
  <c r="M352" i="56"/>
  <c r="N352" i="56"/>
  <c r="O352" i="56"/>
  <c r="P352" i="56"/>
  <c r="Q352" i="56"/>
  <c r="R352" i="56" s="1"/>
  <c r="AI352" i="56"/>
  <c r="D353" i="56"/>
  <c r="E353" i="56"/>
  <c r="L353" i="56"/>
  <c r="M353" i="56"/>
  <c r="N353" i="56"/>
  <c r="O353" i="56"/>
  <c r="P353" i="56"/>
  <c r="Q353" i="56"/>
  <c r="AI353" i="56"/>
  <c r="D354" i="56"/>
  <c r="E354" i="56"/>
  <c r="L354" i="56"/>
  <c r="M354" i="56"/>
  <c r="N354" i="56"/>
  <c r="O354" i="56"/>
  <c r="P354" i="56"/>
  <c r="Q354" i="56"/>
  <c r="AI354" i="56"/>
  <c r="D355" i="56"/>
  <c r="E355" i="56"/>
  <c r="L355" i="56"/>
  <c r="M355" i="56"/>
  <c r="N355" i="56"/>
  <c r="O355" i="56"/>
  <c r="P355" i="56"/>
  <c r="Q355" i="56"/>
  <c r="AI355" i="56"/>
  <c r="D356" i="56"/>
  <c r="E356" i="56"/>
  <c r="L356" i="56"/>
  <c r="M356" i="56"/>
  <c r="N356" i="56"/>
  <c r="O356" i="56"/>
  <c r="P356" i="56"/>
  <c r="Q356" i="56"/>
  <c r="AI356" i="56"/>
  <c r="D357" i="56"/>
  <c r="E357" i="56"/>
  <c r="L357" i="56"/>
  <c r="M357" i="56"/>
  <c r="N357" i="56"/>
  <c r="O357" i="56"/>
  <c r="P357" i="56"/>
  <c r="Q357" i="56"/>
  <c r="R357" i="56" s="1"/>
  <c r="AI357" i="56"/>
  <c r="D358" i="56"/>
  <c r="E358" i="56"/>
  <c r="L358" i="56"/>
  <c r="M358" i="56"/>
  <c r="N358" i="56"/>
  <c r="O358" i="56"/>
  <c r="P358" i="56"/>
  <c r="Q358" i="56"/>
  <c r="AI358" i="56"/>
  <c r="D359" i="56"/>
  <c r="E359" i="56"/>
  <c r="L359" i="56"/>
  <c r="M359" i="56"/>
  <c r="N359" i="56"/>
  <c r="O359" i="56"/>
  <c r="P359" i="56"/>
  <c r="Q359" i="56"/>
  <c r="AI359" i="56"/>
  <c r="D360" i="56"/>
  <c r="E360" i="56"/>
  <c r="L360" i="56"/>
  <c r="M360" i="56"/>
  <c r="N360" i="56"/>
  <c r="O360" i="56"/>
  <c r="P360" i="56"/>
  <c r="Q360" i="56"/>
  <c r="R360" i="56" s="1"/>
  <c r="AI360" i="56"/>
  <c r="D361" i="56"/>
  <c r="E361" i="56"/>
  <c r="L361" i="56"/>
  <c r="M361" i="56"/>
  <c r="N361" i="56"/>
  <c r="O361" i="56"/>
  <c r="P361" i="56"/>
  <c r="Q361" i="56"/>
  <c r="AI361" i="56"/>
  <c r="D362" i="56"/>
  <c r="E362" i="56"/>
  <c r="L362" i="56"/>
  <c r="M362" i="56"/>
  <c r="N362" i="56"/>
  <c r="O362" i="56"/>
  <c r="P362" i="56"/>
  <c r="Q362" i="56"/>
  <c r="R362" i="56" s="1"/>
  <c r="AI362" i="56"/>
  <c r="D363" i="56"/>
  <c r="E363" i="56"/>
  <c r="L363" i="56"/>
  <c r="M363" i="56"/>
  <c r="N363" i="56"/>
  <c r="O363" i="56"/>
  <c r="P363" i="56"/>
  <c r="Q363" i="56"/>
  <c r="AI363" i="56"/>
  <c r="D364" i="56"/>
  <c r="E364" i="56"/>
  <c r="L364" i="56"/>
  <c r="M364" i="56"/>
  <c r="N364" i="56"/>
  <c r="O364" i="56"/>
  <c r="P364" i="56"/>
  <c r="Q364" i="56"/>
  <c r="AI364" i="56"/>
  <c r="D365" i="56"/>
  <c r="E365" i="56"/>
  <c r="L365" i="56"/>
  <c r="M365" i="56"/>
  <c r="N365" i="56"/>
  <c r="O365" i="56"/>
  <c r="P365" i="56"/>
  <c r="Q365" i="56"/>
  <c r="AI365" i="56"/>
  <c r="D366" i="56"/>
  <c r="E366" i="56"/>
  <c r="L366" i="56"/>
  <c r="M366" i="56"/>
  <c r="N366" i="56"/>
  <c r="O366" i="56"/>
  <c r="P366" i="56"/>
  <c r="Q366" i="56"/>
  <c r="AI366" i="56"/>
  <c r="D367" i="56"/>
  <c r="E367" i="56"/>
  <c r="L367" i="56"/>
  <c r="M367" i="56"/>
  <c r="N367" i="56"/>
  <c r="O367" i="56"/>
  <c r="P367" i="56"/>
  <c r="Q367" i="56"/>
  <c r="AI367" i="56"/>
  <c r="D368" i="56"/>
  <c r="E368" i="56"/>
  <c r="L368" i="56"/>
  <c r="M368" i="56"/>
  <c r="N368" i="56"/>
  <c r="O368" i="56"/>
  <c r="P368" i="56"/>
  <c r="Q368" i="56"/>
  <c r="R368" i="56" s="1"/>
  <c r="AI368" i="56"/>
  <c r="D369" i="56"/>
  <c r="E369" i="56"/>
  <c r="L369" i="56"/>
  <c r="M369" i="56"/>
  <c r="N369" i="56"/>
  <c r="O369" i="56"/>
  <c r="P369" i="56"/>
  <c r="Q369" i="56"/>
  <c r="AI369" i="56"/>
  <c r="D370" i="56"/>
  <c r="E370" i="56"/>
  <c r="L370" i="56"/>
  <c r="M370" i="56"/>
  <c r="N370" i="56"/>
  <c r="O370" i="56"/>
  <c r="P370" i="56"/>
  <c r="Q370" i="56"/>
  <c r="AI370" i="56"/>
  <c r="D371" i="56"/>
  <c r="E371" i="56"/>
  <c r="L371" i="56"/>
  <c r="M371" i="56"/>
  <c r="N371" i="56"/>
  <c r="O371" i="56"/>
  <c r="P371" i="56"/>
  <c r="Q371" i="56"/>
  <c r="AI371" i="56"/>
  <c r="D372" i="56"/>
  <c r="E372" i="56"/>
  <c r="L372" i="56"/>
  <c r="M372" i="56"/>
  <c r="N372" i="56"/>
  <c r="O372" i="56"/>
  <c r="P372" i="56"/>
  <c r="Q372" i="56"/>
  <c r="AI372" i="56"/>
  <c r="D373" i="56"/>
  <c r="E373" i="56"/>
  <c r="L373" i="56"/>
  <c r="M373" i="56"/>
  <c r="N373" i="56"/>
  <c r="O373" i="56"/>
  <c r="P373" i="56"/>
  <c r="Q373" i="56"/>
  <c r="AI373" i="56"/>
  <c r="D374" i="56"/>
  <c r="E374" i="56"/>
  <c r="L374" i="56"/>
  <c r="M374" i="56"/>
  <c r="N374" i="56"/>
  <c r="O374" i="56"/>
  <c r="P374" i="56"/>
  <c r="Q374" i="56"/>
  <c r="R374" i="56" s="1"/>
  <c r="AI374" i="56"/>
  <c r="D375" i="56"/>
  <c r="E375" i="56"/>
  <c r="L375" i="56"/>
  <c r="M375" i="56"/>
  <c r="N375" i="56"/>
  <c r="O375" i="56"/>
  <c r="P375" i="56"/>
  <c r="Q375" i="56"/>
  <c r="AI375" i="56"/>
  <c r="D376" i="56"/>
  <c r="E376" i="56"/>
  <c r="L376" i="56"/>
  <c r="M376" i="56"/>
  <c r="N376" i="56"/>
  <c r="O376" i="56"/>
  <c r="P376" i="56"/>
  <c r="Q376" i="56"/>
  <c r="AI376" i="56"/>
  <c r="D377" i="56"/>
  <c r="E377" i="56"/>
  <c r="L377" i="56"/>
  <c r="M377" i="56"/>
  <c r="N377" i="56"/>
  <c r="O377" i="56"/>
  <c r="P377" i="56"/>
  <c r="Q377" i="56"/>
  <c r="R377" i="56" s="1"/>
  <c r="AI377" i="56"/>
  <c r="D378" i="56"/>
  <c r="E378" i="56"/>
  <c r="L378" i="56"/>
  <c r="M378" i="56"/>
  <c r="N378" i="56"/>
  <c r="O378" i="56"/>
  <c r="P378" i="56"/>
  <c r="Q378" i="56"/>
  <c r="AI378" i="56"/>
  <c r="D379" i="56"/>
  <c r="E379" i="56"/>
  <c r="L379" i="56"/>
  <c r="M379" i="56"/>
  <c r="N379" i="56"/>
  <c r="O379" i="56"/>
  <c r="P379" i="56"/>
  <c r="Q379" i="56"/>
  <c r="R379" i="56" s="1"/>
  <c r="AI379" i="56"/>
  <c r="D380" i="56"/>
  <c r="E380" i="56"/>
  <c r="L380" i="56"/>
  <c r="M380" i="56"/>
  <c r="N380" i="56"/>
  <c r="O380" i="56"/>
  <c r="P380" i="56"/>
  <c r="Q380" i="56"/>
  <c r="AI380" i="56"/>
  <c r="D381" i="56"/>
  <c r="E381" i="56"/>
  <c r="L381" i="56"/>
  <c r="M381" i="56"/>
  <c r="N381" i="56"/>
  <c r="O381" i="56"/>
  <c r="P381" i="56"/>
  <c r="Q381" i="56"/>
  <c r="AI381" i="56"/>
  <c r="D382" i="56"/>
  <c r="E382" i="56"/>
  <c r="L382" i="56"/>
  <c r="M382" i="56"/>
  <c r="N382" i="56"/>
  <c r="O382" i="56"/>
  <c r="P382" i="56"/>
  <c r="Q382" i="56"/>
  <c r="R382" i="56" s="1"/>
  <c r="AI382" i="56"/>
  <c r="D383" i="56"/>
  <c r="E383" i="56"/>
  <c r="L383" i="56"/>
  <c r="M383" i="56"/>
  <c r="N383" i="56"/>
  <c r="O383" i="56"/>
  <c r="P383" i="56"/>
  <c r="Q383" i="56"/>
  <c r="AI383" i="56"/>
  <c r="D384" i="56"/>
  <c r="E384" i="56"/>
  <c r="L384" i="56"/>
  <c r="M384" i="56"/>
  <c r="N384" i="56"/>
  <c r="O384" i="56"/>
  <c r="P384" i="56"/>
  <c r="Q384" i="56"/>
  <c r="AI384" i="56"/>
  <c r="D309" i="56"/>
  <c r="E309" i="56"/>
  <c r="L309" i="56"/>
  <c r="M309" i="56"/>
  <c r="N309" i="56"/>
  <c r="O309" i="56"/>
  <c r="P309" i="56"/>
  <c r="Q309" i="56"/>
  <c r="AI309" i="56"/>
  <c r="D310" i="56"/>
  <c r="E310" i="56"/>
  <c r="L310" i="56"/>
  <c r="M310" i="56"/>
  <c r="N310" i="56"/>
  <c r="O310" i="56"/>
  <c r="P310" i="56"/>
  <c r="Q310" i="56"/>
  <c r="AI310" i="56"/>
  <c r="D311" i="56"/>
  <c r="E311" i="56"/>
  <c r="L311" i="56"/>
  <c r="M311" i="56"/>
  <c r="N311" i="56"/>
  <c r="O311" i="56"/>
  <c r="P311" i="56"/>
  <c r="Q311" i="56"/>
  <c r="AI311" i="56"/>
  <c r="D312" i="56"/>
  <c r="E312" i="56"/>
  <c r="L312" i="56"/>
  <c r="M312" i="56"/>
  <c r="N312" i="56"/>
  <c r="O312" i="56"/>
  <c r="P312" i="56"/>
  <c r="Q312" i="56"/>
  <c r="R312" i="56" s="1"/>
  <c r="AI312" i="56"/>
  <c r="D313" i="56"/>
  <c r="E313" i="56"/>
  <c r="L313" i="56"/>
  <c r="M313" i="56"/>
  <c r="N313" i="56"/>
  <c r="O313" i="56"/>
  <c r="P313" i="56"/>
  <c r="Q313" i="56"/>
  <c r="AI313" i="56"/>
  <c r="D314" i="56"/>
  <c r="E314" i="56"/>
  <c r="L314" i="56"/>
  <c r="M314" i="56"/>
  <c r="N314" i="56"/>
  <c r="O314" i="56"/>
  <c r="P314" i="56"/>
  <c r="Q314" i="56"/>
  <c r="R314" i="56" s="1"/>
  <c r="AI314" i="56"/>
  <c r="D315" i="56"/>
  <c r="E315" i="56"/>
  <c r="L315" i="56"/>
  <c r="M315" i="56"/>
  <c r="N315" i="56"/>
  <c r="O315" i="56"/>
  <c r="P315" i="56"/>
  <c r="Q315" i="56"/>
  <c r="AI315" i="56"/>
  <c r="D316" i="56"/>
  <c r="E316" i="56"/>
  <c r="L316" i="56"/>
  <c r="M316" i="56"/>
  <c r="N316" i="56"/>
  <c r="O316" i="56"/>
  <c r="P316" i="56"/>
  <c r="Q316" i="56"/>
  <c r="AI316" i="56"/>
  <c r="D317" i="56"/>
  <c r="E317" i="56"/>
  <c r="L317" i="56"/>
  <c r="M317" i="56"/>
  <c r="N317" i="56"/>
  <c r="O317" i="56"/>
  <c r="P317" i="56"/>
  <c r="Q317" i="56"/>
  <c r="R317" i="56" s="1"/>
  <c r="AI317" i="56"/>
  <c r="D318" i="56"/>
  <c r="E318" i="56"/>
  <c r="L318" i="56"/>
  <c r="M318" i="56"/>
  <c r="N318" i="56"/>
  <c r="O318" i="56"/>
  <c r="P318" i="56"/>
  <c r="Q318" i="56"/>
  <c r="R318" i="56" s="1"/>
  <c r="AI318" i="56"/>
  <c r="D319" i="56"/>
  <c r="E319" i="56"/>
  <c r="L319" i="56"/>
  <c r="M319" i="56"/>
  <c r="N319" i="56"/>
  <c r="O319" i="56"/>
  <c r="P319" i="56"/>
  <c r="Q319" i="56"/>
  <c r="AI319" i="56"/>
  <c r="D320" i="56"/>
  <c r="E320" i="56"/>
  <c r="L320" i="56"/>
  <c r="M320" i="56"/>
  <c r="N320" i="56"/>
  <c r="O320" i="56"/>
  <c r="P320" i="56"/>
  <c r="Q320" i="56"/>
  <c r="AI320" i="56"/>
  <c r="D321" i="56"/>
  <c r="E321" i="56"/>
  <c r="L321" i="56"/>
  <c r="M321" i="56"/>
  <c r="N321" i="56"/>
  <c r="O321" i="56"/>
  <c r="P321" i="56"/>
  <c r="Q321" i="56"/>
  <c r="AI321" i="56"/>
  <c r="D322" i="56"/>
  <c r="E322" i="56"/>
  <c r="L322" i="56"/>
  <c r="M322" i="56"/>
  <c r="N322" i="56"/>
  <c r="O322" i="56"/>
  <c r="P322" i="56"/>
  <c r="Q322" i="56"/>
  <c r="R322" i="56" s="1"/>
  <c r="AI322" i="56"/>
  <c r="D323" i="56"/>
  <c r="E323" i="56"/>
  <c r="L323" i="56"/>
  <c r="M323" i="56"/>
  <c r="N323" i="56"/>
  <c r="O323" i="56"/>
  <c r="P323" i="56"/>
  <c r="Q323" i="56"/>
  <c r="AI323" i="56"/>
  <c r="D324" i="56"/>
  <c r="E324" i="56"/>
  <c r="L324" i="56"/>
  <c r="M324" i="56"/>
  <c r="N324" i="56"/>
  <c r="O324" i="56"/>
  <c r="P324" i="56"/>
  <c r="Q324" i="56"/>
  <c r="AI324" i="56"/>
  <c r="D325" i="56"/>
  <c r="E325" i="56"/>
  <c r="L325" i="56"/>
  <c r="M325" i="56"/>
  <c r="N325" i="56"/>
  <c r="O325" i="56"/>
  <c r="P325" i="56"/>
  <c r="Q325" i="56"/>
  <c r="R325" i="56" s="1"/>
  <c r="AI325" i="56"/>
  <c r="D326" i="56"/>
  <c r="E326" i="56"/>
  <c r="L326" i="56"/>
  <c r="M326" i="56"/>
  <c r="N326" i="56"/>
  <c r="O326" i="56"/>
  <c r="P326" i="56"/>
  <c r="Q326" i="56"/>
  <c r="AI326" i="56"/>
  <c r="D327" i="56"/>
  <c r="E327" i="56"/>
  <c r="L327" i="56"/>
  <c r="M327" i="56"/>
  <c r="N327" i="56"/>
  <c r="O327" i="56"/>
  <c r="P327" i="56"/>
  <c r="Q327" i="56"/>
  <c r="AI327" i="56"/>
  <c r="D328" i="56"/>
  <c r="E328" i="56"/>
  <c r="L328" i="56"/>
  <c r="M328" i="56"/>
  <c r="N328" i="56"/>
  <c r="O328" i="56"/>
  <c r="P328" i="56"/>
  <c r="Q328" i="56"/>
  <c r="AI328" i="56"/>
  <c r="D329" i="56"/>
  <c r="E329" i="56"/>
  <c r="L329" i="56"/>
  <c r="M329" i="56"/>
  <c r="N329" i="56"/>
  <c r="O329" i="56"/>
  <c r="P329" i="56"/>
  <c r="Q329" i="56"/>
  <c r="R329" i="56" s="1"/>
  <c r="AI329" i="56"/>
  <c r="D330" i="56"/>
  <c r="E330" i="56"/>
  <c r="L330" i="56"/>
  <c r="M330" i="56"/>
  <c r="N330" i="56"/>
  <c r="O330" i="56"/>
  <c r="P330" i="56"/>
  <c r="Q330" i="56"/>
  <c r="R330" i="56" s="1"/>
  <c r="AI330" i="56"/>
  <c r="D331" i="56"/>
  <c r="E331" i="56"/>
  <c r="L331" i="56"/>
  <c r="M331" i="56"/>
  <c r="N331" i="56"/>
  <c r="O331" i="56"/>
  <c r="P331" i="56"/>
  <c r="Q331" i="56"/>
  <c r="AI331" i="56"/>
  <c r="D332" i="56"/>
  <c r="E332" i="56"/>
  <c r="L332" i="56"/>
  <c r="M332" i="56"/>
  <c r="N332" i="56"/>
  <c r="O332" i="56"/>
  <c r="P332" i="56"/>
  <c r="Q332" i="56"/>
  <c r="AI332" i="56"/>
  <c r="D333" i="56"/>
  <c r="E333" i="56"/>
  <c r="L333" i="56"/>
  <c r="M333" i="56"/>
  <c r="N333" i="56"/>
  <c r="O333" i="56"/>
  <c r="P333" i="56"/>
  <c r="Q333" i="56"/>
  <c r="AI333" i="56"/>
  <c r="D334" i="56"/>
  <c r="E334" i="56"/>
  <c r="L334" i="56"/>
  <c r="M334" i="56"/>
  <c r="N334" i="56"/>
  <c r="O334" i="56"/>
  <c r="P334" i="56"/>
  <c r="Q334" i="56"/>
  <c r="AI334" i="56"/>
  <c r="D335" i="56"/>
  <c r="E335" i="56"/>
  <c r="L335" i="56"/>
  <c r="M335" i="56"/>
  <c r="N335" i="56"/>
  <c r="O335" i="56"/>
  <c r="P335" i="56"/>
  <c r="Q335" i="56"/>
  <c r="AI335" i="56"/>
  <c r="D336" i="56"/>
  <c r="E336" i="56"/>
  <c r="L336" i="56"/>
  <c r="M336" i="56"/>
  <c r="N336" i="56"/>
  <c r="O336" i="56"/>
  <c r="P336" i="56"/>
  <c r="Q336" i="56"/>
  <c r="R336" i="56" s="1"/>
  <c r="AI336" i="56"/>
  <c r="D337" i="56"/>
  <c r="E337" i="56"/>
  <c r="L337" i="56"/>
  <c r="M337" i="56"/>
  <c r="N337" i="56"/>
  <c r="O337" i="56"/>
  <c r="P337" i="56"/>
  <c r="Q337" i="56"/>
  <c r="R337" i="56" s="1"/>
  <c r="AI337" i="56"/>
  <c r="D338" i="56"/>
  <c r="E338" i="56"/>
  <c r="L338" i="56"/>
  <c r="M338" i="56"/>
  <c r="N338" i="56"/>
  <c r="O338" i="56"/>
  <c r="P338" i="56"/>
  <c r="Q338" i="56"/>
  <c r="R338" i="56" s="1"/>
  <c r="AI338" i="56"/>
  <c r="D339" i="56"/>
  <c r="E339" i="56"/>
  <c r="L339" i="56"/>
  <c r="M339" i="56"/>
  <c r="N339" i="56"/>
  <c r="O339" i="56"/>
  <c r="P339" i="56"/>
  <c r="Q339" i="56"/>
  <c r="AI339" i="56"/>
  <c r="D340" i="56"/>
  <c r="E340" i="56"/>
  <c r="L340" i="56"/>
  <c r="M340" i="56"/>
  <c r="N340" i="56"/>
  <c r="O340" i="56"/>
  <c r="P340" i="56"/>
  <c r="Q340" i="56"/>
  <c r="R340" i="56" s="1"/>
  <c r="AI340" i="56"/>
  <c r="D341" i="56"/>
  <c r="E341" i="56"/>
  <c r="L341" i="56"/>
  <c r="M341" i="56"/>
  <c r="N341" i="56"/>
  <c r="O341" i="56"/>
  <c r="P341" i="56"/>
  <c r="Q341" i="56"/>
  <c r="AI341" i="56"/>
  <c r="D342" i="56"/>
  <c r="E342" i="56"/>
  <c r="L342" i="56"/>
  <c r="M342" i="56"/>
  <c r="N342" i="56"/>
  <c r="O342" i="56"/>
  <c r="P342" i="56"/>
  <c r="Q342" i="56"/>
  <c r="AI342" i="56"/>
  <c r="D343" i="56"/>
  <c r="E343" i="56"/>
  <c r="L343" i="56"/>
  <c r="M343" i="56"/>
  <c r="N343" i="56"/>
  <c r="O343" i="56"/>
  <c r="P343" i="56"/>
  <c r="Q343" i="56"/>
  <c r="R343" i="56" s="1"/>
  <c r="AI343" i="56"/>
  <c r="D344" i="56"/>
  <c r="E344" i="56"/>
  <c r="L344" i="56"/>
  <c r="M344" i="56"/>
  <c r="N344" i="56"/>
  <c r="O344" i="56"/>
  <c r="P344" i="56"/>
  <c r="Q344" i="56"/>
  <c r="AI344" i="56"/>
  <c r="D345" i="56"/>
  <c r="E345" i="56"/>
  <c r="L345" i="56"/>
  <c r="M345" i="56"/>
  <c r="N345" i="56"/>
  <c r="O345" i="56"/>
  <c r="P345" i="56"/>
  <c r="Q345" i="56"/>
  <c r="AI345" i="56"/>
  <c r="D346" i="56"/>
  <c r="E346" i="56"/>
  <c r="L346" i="56"/>
  <c r="M346" i="56"/>
  <c r="N346" i="56"/>
  <c r="O346" i="56"/>
  <c r="P346" i="56"/>
  <c r="Q346" i="56"/>
  <c r="AI346" i="56"/>
  <c r="D271" i="56"/>
  <c r="E271" i="56"/>
  <c r="L271" i="56"/>
  <c r="M271" i="56"/>
  <c r="N271" i="56"/>
  <c r="O271" i="56"/>
  <c r="P271" i="56"/>
  <c r="Q271" i="56"/>
  <c r="R271" i="56" s="1"/>
  <c r="AI271" i="56"/>
  <c r="D272" i="56"/>
  <c r="E272" i="56"/>
  <c r="L272" i="56"/>
  <c r="M272" i="56"/>
  <c r="N272" i="56"/>
  <c r="O272" i="56"/>
  <c r="P272" i="56"/>
  <c r="Q272" i="56"/>
  <c r="AI272" i="56"/>
  <c r="D273" i="56"/>
  <c r="E273" i="56"/>
  <c r="L273" i="56"/>
  <c r="M273" i="56"/>
  <c r="N273" i="56"/>
  <c r="O273" i="56"/>
  <c r="P273" i="56"/>
  <c r="Q273" i="56"/>
  <c r="R273" i="56" s="1"/>
  <c r="AI273" i="56"/>
  <c r="D274" i="56"/>
  <c r="E274" i="56"/>
  <c r="L274" i="56"/>
  <c r="M274" i="56"/>
  <c r="N274" i="56"/>
  <c r="O274" i="56"/>
  <c r="P274" i="56"/>
  <c r="Q274" i="56"/>
  <c r="AI274" i="56"/>
  <c r="D275" i="56"/>
  <c r="E275" i="56"/>
  <c r="L275" i="56"/>
  <c r="M275" i="56"/>
  <c r="N275" i="56"/>
  <c r="O275" i="56"/>
  <c r="P275" i="56"/>
  <c r="Q275" i="56"/>
  <c r="AI275" i="56"/>
  <c r="D276" i="56"/>
  <c r="E276" i="56"/>
  <c r="L276" i="56"/>
  <c r="M276" i="56"/>
  <c r="N276" i="56"/>
  <c r="O276" i="56"/>
  <c r="P276" i="56"/>
  <c r="Q276" i="56"/>
  <c r="AI276" i="56"/>
  <c r="D277" i="56"/>
  <c r="E277" i="56"/>
  <c r="L277" i="56"/>
  <c r="M277" i="56"/>
  <c r="N277" i="56"/>
  <c r="O277" i="56"/>
  <c r="P277" i="56"/>
  <c r="Q277" i="56"/>
  <c r="R277" i="56" s="1"/>
  <c r="AI277" i="56"/>
  <c r="D278" i="56"/>
  <c r="E278" i="56"/>
  <c r="L278" i="56"/>
  <c r="M278" i="56"/>
  <c r="N278" i="56"/>
  <c r="O278" i="56"/>
  <c r="P278" i="56"/>
  <c r="Q278" i="56"/>
  <c r="AI278" i="56"/>
  <c r="D279" i="56"/>
  <c r="E279" i="56"/>
  <c r="L279" i="56"/>
  <c r="M279" i="56"/>
  <c r="N279" i="56"/>
  <c r="O279" i="56"/>
  <c r="P279" i="56"/>
  <c r="Q279" i="56"/>
  <c r="AI279" i="56"/>
  <c r="D280" i="56"/>
  <c r="E280" i="56"/>
  <c r="L280" i="56"/>
  <c r="M280" i="56"/>
  <c r="N280" i="56"/>
  <c r="O280" i="56"/>
  <c r="P280" i="56"/>
  <c r="Q280" i="56"/>
  <c r="AI280" i="56"/>
  <c r="D281" i="56"/>
  <c r="E281" i="56"/>
  <c r="L281" i="56"/>
  <c r="M281" i="56"/>
  <c r="N281" i="56"/>
  <c r="O281" i="56"/>
  <c r="P281" i="56"/>
  <c r="Q281" i="56"/>
  <c r="AI281" i="56"/>
  <c r="D282" i="56"/>
  <c r="E282" i="56"/>
  <c r="L282" i="56"/>
  <c r="M282" i="56"/>
  <c r="N282" i="56"/>
  <c r="O282" i="56"/>
  <c r="P282" i="56"/>
  <c r="Q282" i="56"/>
  <c r="AI282" i="56"/>
  <c r="D283" i="56"/>
  <c r="E283" i="56"/>
  <c r="L283" i="56"/>
  <c r="M283" i="56"/>
  <c r="N283" i="56"/>
  <c r="O283" i="56"/>
  <c r="P283" i="56"/>
  <c r="Q283" i="56"/>
  <c r="AI283" i="56"/>
  <c r="D284" i="56"/>
  <c r="E284" i="56"/>
  <c r="L284" i="56"/>
  <c r="M284" i="56"/>
  <c r="N284" i="56"/>
  <c r="O284" i="56"/>
  <c r="P284" i="56"/>
  <c r="Q284" i="56"/>
  <c r="R284" i="56" s="1"/>
  <c r="AI284" i="56"/>
  <c r="D285" i="56"/>
  <c r="E285" i="56"/>
  <c r="L285" i="56"/>
  <c r="M285" i="56"/>
  <c r="N285" i="56"/>
  <c r="O285" i="56"/>
  <c r="P285" i="56"/>
  <c r="Q285" i="56"/>
  <c r="R285" i="56" s="1"/>
  <c r="AI285" i="56"/>
  <c r="D286" i="56"/>
  <c r="E286" i="56"/>
  <c r="L286" i="56"/>
  <c r="M286" i="56"/>
  <c r="N286" i="56"/>
  <c r="O286" i="56"/>
  <c r="P286" i="56"/>
  <c r="Q286" i="56"/>
  <c r="AI286" i="56"/>
  <c r="D287" i="56"/>
  <c r="E287" i="56"/>
  <c r="L287" i="56"/>
  <c r="M287" i="56"/>
  <c r="N287" i="56"/>
  <c r="O287" i="56"/>
  <c r="P287" i="56"/>
  <c r="Q287" i="56"/>
  <c r="R287" i="56" s="1"/>
  <c r="AI287" i="56"/>
  <c r="D288" i="56"/>
  <c r="E288" i="56"/>
  <c r="L288" i="56"/>
  <c r="M288" i="56"/>
  <c r="N288" i="56"/>
  <c r="O288" i="56"/>
  <c r="P288" i="56"/>
  <c r="Q288" i="56"/>
  <c r="AI288" i="56"/>
  <c r="D289" i="56"/>
  <c r="E289" i="56"/>
  <c r="L289" i="56"/>
  <c r="M289" i="56"/>
  <c r="N289" i="56"/>
  <c r="O289" i="56"/>
  <c r="P289" i="56"/>
  <c r="Q289" i="56"/>
  <c r="R289" i="56" s="1"/>
  <c r="AI289" i="56"/>
  <c r="D290" i="56"/>
  <c r="E290" i="56"/>
  <c r="L290" i="56"/>
  <c r="M290" i="56"/>
  <c r="N290" i="56"/>
  <c r="O290" i="56"/>
  <c r="P290" i="56"/>
  <c r="Q290" i="56"/>
  <c r="AI290" i="56"/>
  <c r="D291" i="56"/>
  <c r="E291" i="56"/>
  <c r="L291" i="56"/>
  <c r="M291" i="56"/>
  <c r="N291" i="56"/>
  <c r="O291" i="56"/>
  <c r="P291" i="56"/>
  <c r="Q291" i="56"/>
  <c r="R291" i="56" s="1"/>
  <c r="AI291" i="56"/>
  <c r="D292" i="56"/>
  <c r="E292" i="56"/>
  <c r="L292" i="56"/>
  <c r="M292" i="56"/>
  <c r="N292" i="56"/>
  <c r="O292" i="56"/>
  <c r="P292" i="56"/>
  <c r="Q292" i="56"/>
  <c r="R292" i="56" s="1"/>
  <c r="AI292" i="56"/>
  <c r="D293" i="56"/>
  <c r="E293" i="56"/>
  <c r="L293" i="56"/>
  <c r="M293" i="56"/>
  <c r="N293" i="56"/>
  <c r="O293" i="56"/>
  <c r="P293" i="56"/>
  <c r="Q293" i="56"/>
  <c r="R293" i="56" s="1"/>
  <c r="AI293" i="56"/>
  <c r="D294" i="56"/>
  <c r="E294" i="56"/>
  <c r="L294" i="56"/>
  <c r="M294" i="56"/>
  <c r="N294" i="56"/>
  <c r="O294" i="56"/>
  <c r="P294" i="56"/>
  <c r="Q294" i="56"/>
  <c r="AI294" i="56"/>
  <c r="D295" i="56"/>
  <c r="E295" i="56"/>
  <c r="L295" i="56"/>
  <c r="M295" i="56"/>
  <c r="N295" i="56"/>
  <c r="O295" i="56"/>
  <c r="P295" i="56"/>
  <c r="Q295" i="56"/>
  <c r="R295" i="56" s="1"/>
  <c r="AI295" i="56"/>
  <c r="D296" i="56"/>
  <c r="E296" i="56"/>
  <c r="L296" i="56"/>
  <c r="M296" i="56"/>
  <c r="N296" i="56"/>
  <c r="O296" i="56"/>
  <c r="P296" i="56"/>
  <c r="Q296" i="56"/>
  <c r="AI296" i="56"/>
  <c r="D297" i="56"/>
  <c r="E297" i="56"/>
  <c r="L297" i="56"/>
  <c r="M297" i="56"/>
  <c r="N297" i="56"/>
  <c r="O297" i="56"/>
  <c r="P297" i="56"/>
  <c r="Q297" i="56"/>
  <c r="AI297" i="56"/>
  <c r="D298" i="56"/>
  <c r="E298" i="56"/>
  <c r="L298" i="56"/>
  <c r="M298" i="56"/>
  <c r="N298" i="56"/>
  <c r="O298" i="56"/>
  <c r="P298" i="56"/>
  <c r="Q298" i="56"/>
  <c r="AI298" i="56"/>
  <c r="D299" i="56"/>
  <c r="E299" i="56"/>
  <c r="L299" i="56"/>
  <c r="M299" i="56"/>
  <c r="N299" i="56"/>
  <c r="O299" i="56"/>
  <c r="P299" i="56"/>
  <c r="Q299" i="56"/>
  <c r="AI299" i="56"/>
  <c r="D300" i="56"/>
  <c r="E300" i="56"/>
  <c r="L300" i="56"/>
  <c r="M300" i="56"/>
  <c r="N300" i="56"/>
  <c r="O300" i="56"/>
  <c r="P300" i="56"/>
  <c r="Q300" i="56"/>
  <c r="AI300" i="56"/>
  <c r="D301" i="56"/>
  <c r="E301" i="56"/>
  <c r="L301" i="56"/>
  <c r="M301" i="56"/>
  <c r="N301" i="56"/>
  <c r="O301" i="56"/>
  <c r="P301" i="56"/>
  <c r="Q301" i="56"/>
  <c r="AI301" i="56"/>
  <c r="D302" i="56"/>
  <c r="E302" i="56"/>
  <c r="L302" i="56"/>
  <c r="M302" i="56"/>
  <c r="N302" i="56"/>
  <c r="O302" i="56"/>
  <c r="P302" i="56"/>
  <c r="Q302" i="56"/>
  <c r="AI302" i="56"/>
  <c r="D303" i="56"/>
  <c r="E303" i="56"/>
  <c r="L303" i="56"/>
  <c r="M303" i="56"/>
  <c r="N303" i="56"/>
  <c r="O303" i="56"/>
  <c r="P303" i="56"/>
  <c r="Q303" i="56"/>
  <c r="AI303" i="56"/>
  <c r="D304" i="56"/>
  <c r="E304" i="56"/>
  <c r="L304" i="56"/>
  <c r="M304" i="56"/>
  <c r="N304" i="56"/>
  <c r="O304" i="56"/>
  <c r="P304" i="56"/>
  <c r="Q304" i="56"/>
  <c r="AI304" i="56"/>
  <c r="D305" i="56"/>
  <c r="E305" i="56"/>
  <c r="L305" i="56"/>
  <c r="M305" i="56"/>
  <c r="N305" i="56"/>
  <c r="O305" i="56"/>
  <c r="P305" i="56"/>
  <c r="Q305" i="56"/>
  <c r="R305" i="56" s="1"/>
  <c r="AI305" i="56"/>
  <c r="D306" i="56"/>
  <c r="E306" i="56"/>
  <c r="L306" i="56"/>
  <c r="M306" i="56"/>
  <c r="N306" i="56"/>
  <c r="O306" i="56"/>
  <c r="P306" i="56"/>
  <c r="Q306" i="56"/>
  <c r="AI306" i="56"/>
  <c r="D307" i="56"/>
  <c r="E307" i="56"/>
  <c r="L307" i="56"/>
  <c r="M307" i="56"/>
  <c r="N307" i="56"/>
  <c r="O307" i="56"/>
  <c r="P307" i="56"/>
  <c r="Q307" i="56"/>
  <c r="AI307" i="56"/>
  <c r="D308" i="56"/>
  <c r="E308" i="56"/>
  <c r="L308" i="56"/>
  <c r="M308" i="56"/>
  <c r="N308" i="56"/>
  <c r="O308" i="56"/>
  <c r="P308" i="56"/>
  <c r="Q308" i="56"/>
  <c r="AI308" i="56"/>
  <c r="D233" i="56"/>
  <c r="E233" i="56"/>
  <c r="L233" i="56"/>
  <c r="M233" i="56"/>
  <c r="N233" i="56"/>
  <c r="O233" i="56"/>
  <c r="P233" i="56"/>
  <c r="Q233" i="56"/>
  <c r="R233" i="56" s="1"/>
  <c r="AI233" i="56"/>
  <c r="D234" i="56"/>
  <c r="E234" i="56"/>
  <c r="L234" i="56"/>
  <c r="M234" i="56"/>
  <c r="N234" i="56"/>
  <c r="O234" i="56"/>
  <c r="P234" i="56"/>
  <c r="Q234" i="56"/>
  <c r="R234" i="56" s="1"/>
  <c r="AI234" i="56"/>
  <c r="D235" i="56"/>
  <c r="E235" i="56"/>
  <c r="L235" i="56"/>
  <c r="M235" i="56"/>
  <c r="N235" i="56"/>
  <c r="O235" i="56"/>
  <c r="P235" i="56"/>
  <c r="Q235" i="56"/>
  <c r="AI235" i="56"/>
  <c r="D236" i="56"/>
  <c r="E236" i="56"/>
  <c r="L236" i="56"/>
  <c r="M236" i="56"/>
  <c r="N236" i="56"/>
  <c r="O236" i="56"/>
  <c r="P236" i="56"/>
  <c r="Q236" i="56"/>
  <c r="AI236" i="56"/>
  <c r="D237" i="56"/>
  <c r="E237" i="56"/>
  <c r="L237" i="56"/>
  <c r="M237" i="56"/>
  <c r="N237" i="56"/>
  <c r="O237" i="56"/>
  <c r="P237" i="56"/>
  <c r="Q237" i="56"/>
  <c r="AI237" i="56"/>
  <c r="D238" i="56"/>
  <c r="E238" i="56"/>
  <c r="L238" i="56"/>
  <c r="M238" i="56"/>
  <c r="N238" i="56"/>
  <c r="O238" i="56"/>
  <c r="P238" i="56"/>
  <c r="Q238" i="56"/>
  <c r="AI238" i="56"/>
  <c r="D239" i="56"/>
  <c r="E239" i="56"/>
  <c r="L239" i="56"/>
  <c r="M239" i="56"/>
  <c r="N239" i="56"/>
  <c r="O239" i="56"/>
  <c r="P239" i="56"/>
  <c r="Q239" i="56"/>
  <c r="R239" i="56" s="1"/>
  <c r="AI239" i="56"/>
  <c r="D240" i="56"/>
  <c r="E240" i="56"/>
  <c r="L240" i="56"/>
  <c r="M240" i="56"/>
  <c r="N240" i="56"/>
  <c r="O240" i="56"/>
  <c r="P240" i="56"/>
  <c r="Q240" i="56"/>
  <c r="R240" i="56" s="1"/>
  <c r="AI240" i="56"/>
  <c r="D241" i="56"/>
  <c r="E241" i="56"/>
  <c r="L241" i="56"/>
  <c r="M241" i="56"/>
  <c r="N241" i="56"/>
  <c r="O241" i="56"/>
  <c r="P241" i="56"/>
  <c r="Q241" i="56"/>
  <c r="AI241" i="56"/>
  <c r="D242" i="56"/>
  <c r="E242" i="56"/>
  <c r="L242" i="56"/>
  <c r="M242" i="56"/>
  <c r="N242" i="56"/>
  <c r="O242" i="56"/>
  <c r="P242" i="56"/>
  <c r="Q242" i="56"/>
  <c r="AI242" i="56"/>
  <c r="D243" i="56"/>
  <c r="E243" i="56"/>
  <c r="L243" i="56"/>
  <c r="M243" i="56"/>
  <c r="N243" i="56"/>
  <c r="O243" i="56"/>
  <c r="P243" i="56"/>
  <c r="Q243" i="56"/>
  <c r="R243" i="56" s="1"/>
  <c r="AI243" i="56"/>
  <c r="D244" i="56"/>
  <c r="E244" i="56"/>
  <c r="L244" i="56"/>
  <c r="M244" i="56"/>
  <c r="N244" i="56"/>
  <c r="O244" i="56"/>
  <c r="P244" i="56"/>
  <c r="Q244" i="56"/>
  <c r="R244" i="56" s="1"/>
  <c r="AI244" i="56"/>
  <c r="D245" i="56"/>
  <c r="E245" i="56"/>
  <c r="L245" i="56"/>
  <c r="M245" i="56"/>
  <c r="N245" i="56"/>
  <c r="O245" i="56"/>
  <c r="P245" i="56"/>
  <c r="Q245" i="56"/>
  <c r="R245" i="56" s="1"/>
  <c r="AI245" i="56"/>
  <c r="D246" i="56"/>
  <c r="E246" i="56"/>
  <c r="L246" i="56"/>
  <c r="M246" i="56"/>
  <c r="N246" i="56"/>
  <c r="O246" i="56"/>
  <c r="P246" i="56"/>
  <c r="Q246" i="56"/>
  <c r="R246" i="56" s="1"/>
  <c r="AI246" i="56"/>
  <c r="D247" i="56"/>
  <c r="E247" i="56"/>
  <c r="L247" i="56"/>
  <c r="M247" i="56"/>
  <c r="N247" i="56"/>
  <c r="O247" i="56"/>
  <c r="P247" i="56"/>
  <c r="Q247" i="56"/>
  <c r="AI247" i="56"/>
  <c r="D248" i="56"/>
  <c r="E248" i="56"/>
  <c r="L248" i="56"/>
  <c r="M248" i="56"/>
  <c r="N248" i="56"/>
  <c r="O248" i="56"/>
  <c r="P248" i="56"/>
  <c r="Q248" i="56"/>
  <c r="AI248" i="56"/>
  <c r="D249" i="56"/>
  <c r="E249" i="56"/>
  <c r="L249" i="56"/>
  <c r="M249" i="56"/>
  <c r="N249" i="56"/>
  <c r="O249" i="56"/>
  <c r="P249" i="56"/>
  <c r="Q249" i="56"/>
  <c r="R249" i="56" s="1"/>
  <c r="AI249" i="56"/>
  <c r="D250" i="56"/>
  <c r="E250" i="56"/>
  <c r="L250" i="56"/>
  <c r="M250" i="56"/>
  <c r="N250" i="56"/>
  <c r="O250" i="56"/>
  <c r="P250" i="56"/>
  <c r="Q250" i="56"/>
  <c r="AI250" i="56"/>
  <c r="D251" i="56"/>
  <c r="E251" i="56"/>
  <c r="L251" i="56"/>
  <c r="M251" i="56"/>
  <c r="N251" i="56"/>
  <c r="O251" i="56"/>
  <c r="P251" i="56"/>
  <c r="Q251" i="56"/>
  <c r="AI251" i="56"/>
  <c r="D252" i="56"/>
  <c r="E252" i="56"/>
  <c r="L252" i="56"/>
  <c r="M252" i="56"/>
  <c r="N252" i="56"/>
  <c r="O252" i="56"/>
  <c r="P252" i="56"/>
  <c r="Q252" i="56"/>
  <c r="R252" i="56" s="1"/>
  <c r="AI252" i="56"/>
  <c r="D253" i="56"/>
  <c r="E253" i="56"/>
  <c r="L253" i="56"/>
  <c r="M253" i="56"/>
  <c r="N253" i="56"/>
  <c r="O253" i="56"/>
  <c r="P253" i="56"/>
  <c r="Q253" i="56"/>
  <c r="R253" i="56" s="1"/>
  <c r="AI253" i="56"/>
  <c r="D254" i="56"/>
  <c r="E254" i="56"/>
  <c r="L254" i="56"/>
  <c r="M254" i="56"/>
  <c r="N254" i="56"/>
  <c r="O254" i="56"/>
  <c r="P254" i="56"/>
  <c r="Q254" i="56"/>
  <c r="R254" i="56" s="1"/>
  <c r="AI254" i="56"/>
  <c r="D255" i="56"/>
  <c r="E255" i="56"/>
  <c r="L255" i="56"/>
  <c r="M255" i="56"/>
  <c r="N255" i="56"/>
  <c r="O255" i="56"/>
  <c r="P255" i="56"/>
  <c r="Q255" i="56"/>
  <c r="R255" i="56" s="1"/>
  <c r="AI255" i="56"/>
  <c r="D256" i="56"/>
  <c r="E256" i="56"/>
  <c r="L256" i="56"/>
  <c r="M256" i="56"/>
  <c r="N256" i="56"/>
  <c r="O256" i="56"/>
  <c r="P256" i="56"/>
  <c r="Q256" i="56"/>
  <c r="AI256" i="56"/>
  <c r="D257" i="56"/>
  <c r="E257" i="56"/>
  <c r="L257" i="56"/>
  <c r="M257" i="56"/>
  <c r="N257" i="56"/>
  <c r="O257" i="56"/>
  <c r="P257" i="56"/>
  <c r="Q257" i="56"/>
  <c r="AI257" i="56"/>
  <c r="D258" i="56"/>
  <c r="E258" i="56"/>
  <c r="L258" i="56"/>
  <c r="M258" i="56"/>
  <c r="N258" i="56"/>
  <c r="O258" i="56"/>
  <c r="P258" i="56"/>
  <c r="Q258" i="56"/>
  <c r="R258" i="56" s="1"/>
  <c r="AI258" i="56"/>
  <c r="D259" i="56"/>
  <c r="E259" i="56"/>
  <c r="L259" i="56"/>
  <c r="M259" i="56"/>
  <c r="N259" i="56"/>
  <c r="O259" i="56"/>
  <c r="P259" i="56"/>
  <c r="Q259" i="56"/>
  <c r="AI259" i="56"/>
  <c r="D260" i="56"/>
  <c r="E260" i="56"/>
  <c r="L260" i="56"/>
  <c r="M260" i="56"/>
  <c r="N260" i="56"/>
  <c r="O260" i="56"/>
  <c r="P260" i="56"/>
  <c r="Q260" i="56"/>
  <c r="AI260" i="56"/>
  <c r="D261" i="56"/>
  <c r="E261" i="56"/>
  <c r="L261" i="56"/>
  <c r="M261" i="56"/>
  <c r="N261" i="56"/>
  <c r="O261" i="56"/>
  <c r="P261" i="56"/>
  <c r="Q261" i="56"/>
  <c r="AI261" i="56"/>
  <c r="D262" i="56"/>
  <c r="E262" i="56"/>
  <c r="L262" i="56"/>
  <c r="M262" i="56"/>
  <c r="N262" i="56"/>
  <c r="O262" i="56"/>
  <c r="P262" i="56"/>
  <c r="Q262" i="56"/>
  <c r="R262" i="56" s="1"/>
  <c r="AI262" i="56"/>
  <c r="D263" i="56"/>
  <c r="E263" i="56"/>
  <c r="L263" i="56"/>
  <c r="M263" i="56"/>
  <c r="N263" i="56"/>
  <c r="O263" i="56"/>
  <c r="P263" i="56"/>
  <c r="Q263" i="56"/>
  <c r="AI263" i="56"/>
  <c r="D264" i="56"/>
  <c r="E264" i="56"/>
  <c r="L264" i="56"/>
  <c r="M264" i="56"/>
  <c r="N264" i="56"/>
  <c r="O264" i="56"/>
  <c r="P264" i="56"/>
  <c r="Q264" i="56"/>
  <c r="R264" i="56" s="1"/>
  <c r="AI264" i="56"/>
  <c r="D265" i="56"/>
  <c r="E265" i="56"/>
  <c r="L265" i="56"/>
  <c r="M265" i="56"/>
  <c r="N265" i="56"/>
  <c r="O265" i="56"/>
  <c r="P265" i="56"/>
  <c r="Q265" i="56"/>
  <c r="R265" i="56" s="1"/>
  <c r="AI265" i="56"/>
  <c r="D266" i="56"/>
  <c r="E266" i="56"/>
  <c r="L266" i="56"/>
  <c r="M266" i="56"/>
  <c r="N266" i="56"/>
  <c r="O266" i="56"/>
  <c r="P266" i="56"/>
  <c r="Q266" i="56"/>
  <c r="AI266" i="56"/>
  <c r="D267" i="56"/>
  <c r="E267" i="56"/>
  <c r="L267" i="56"/>
  <c r="M267" i="56"/>
  <c r="N267" i="56"/>
  <c r="O267" i="56"/>
  <c r="P267" i="56"/>
  <c r="Q267" i="56"/>
  <c r="AI267" i="56"/>
  <c r="D268" i="56"/>
  <c r="E268" i="56"/>
  <c r="L268" i="56"/>
  <c r="M268" i="56"/>
  <c r="N268" i="56"/>
  <c r="O268" i="56"/>
  <c r="P268" i="56"/>
  <c r="Q268" i="56"/>
  <c r="AI268" i="56"/>
  <c r="D269" i="56"/>
  <c r="E269" i="56"/>
  <c r="L269" i="56"/>
  <c r="M269" i="56"/>
  <c r="N269" i="56"/>
  <c r="O269" i="56"/>
  <c r="P269" i="56"/>
  <c r="Q269" i="56"/>
  <c r="R269" i="56" s="1"/>
  <c r="AI269" i="56"/>
  <c r="D270" i="56"/>
  <c r="E270" i="56"/>
  <c r="L270" i="56"/>
  <c r="M270" i="56"/>
  <c r="N270" i="56"/>
  <c r="O270" i="56"/>
  <c r="P270" i="56"/>
  <c r="Q270" i="56"/>
  <c r="AI270" i="56"/>
  <c r="D195" i="56"/>
  <c r="E195" i="56"/>
  <c r="L195" i="56"/>
  <c r="M195" i="56"/>
  <c r="N195" i="56"/>
  <c r="O195" i="56"/>
  <c r="P195" i="56"/>
  <c r="Q195" i="56"/>
  <c r="R195" i="56" s="1"/>
  <c r="AI195" i="56"/>
  <c r="D196" i="56"/>
  <c r="E196" i="56"/>
  <c r="L196" i="56"/>
  <c r="M196" i="56"/>
  <c r="N196" i="56"/>
  <c r="O196" i="56"/>
  <c r="P196" i="56"/>
  <c r="Q196" i="56"/>
  <c r="R196" i="56" s="1"/>
  <c r="AI196" i="56"/>
  <c r="D197" i="56"/>
  <c r="E197" i="56"/>
  <c r="L197" i="56"/>
  <c r="M197" i="56"/>
  <c r="N197" i="56"/>
  <c r="O197" i="56"/>
  <c r="P197" i="56"/>
  <c r="Q197" i="56"/>
  <c r="AI197" i="56"/>
  <c r="D198" i="56"/>
  <c r="E198" i="56"/>
  <c r="L198" i="56"/>
  <c r="M198" i="56"/>
  <c r="N198" i="56"/>
  <c r="O198" i="56"/>
  <c r="P198" i="56"/>
  <c r="Q198" i="56"/>
  <c r="R198" i="56" s="1"/>
  <c r="AI198" i="56"/>
  <c r="D199" i="56"/>
  <c r="E199" i="56"/>
  <c r="L199" i="56"/>
  <c r="M199" i="56"/>
  <c r="N199" i="56"/>
  <c r="O199" i="56"/>
  <c r="P199" i="56"/>
  <c r="Q199" i="56"/>
  <c r="AI199" i="56"/>
  <c r="D200" i="56"/>
  <c r="E200" i="56"/>
  <c r="L200" i="56"/>
  <c r="M200" i="56"/>
  <c r="N200" i="56"/>
  <c r="O200" i="56"/>
  <c r="P200" i="56"/>
  <c r="Q200" i="56"/>
  <c r="AI200" i="56"/>
  <c r="D201" i="56"/>
  <c r="E201" i="56"/>
  <c r="L201" i="56"/>
  <c r="M201" i="56"/>
  <c r="N201" i="56"/>
  <c r="O201" i="56"/>
  <c r="P201" i="56"/>
  <c r="Q201" i="56"/>
  <c r="AI201" i="56"/>
  <c r="D202" i="56"/>
  <c r="E202" i="56"/>
  <c r="L202" i="56"/>
  <c r="M202" i="56"/>
  <c r="N202" i="56"/>
  <c r="O202" i="56"/>
  <c r="P202" i="56"/>
  <c r="Q202" i="56"/>
  <c r="R202" i="56" s="1"/>
  <c r="AI202" i="56"/>
  <c r="D203" i="56"/>
  <c r="E203" i="56"/>
  <c r="L203" i="56"/>
  <c r="M203" i="56"/>
  <c r="N203" i="56"/>
  <c r="O203" i="56"/>
  <c r="P203" i="56"/>
  <c r="Q203" i="56"/>
  <c r="AI203" i="56"/>
  <c r="D204" i="56"/>
  <c r="E204" i="56"/>
  <c r="L204" i="56"/>
  <c r="M204" i="56"/>
  <c r="N204" i="56"/>
  <c r="O204" i="56"/>
  <c r="P204" i="56"/>
  <c r="Q204" i="56"/>
  <c r="AI204" i="56"/>
  <c r="D205" i="56"/>
  <c r="E205" i="56"/>
  <c r="L205" i="56"/>
  <c r="M205" i="56"/>
  <c r="N205" i="56"/>
  <c r="O205" i="56"/>
  <c r="P205" i="56"/>
  <c r="Q205" i="56"/>
  <c r="R205" i="56" s="1"/>
  <c r="AI205" i="56"/>
  <c r="D206" i="56"/>
  <c r="E206" i="56"/>
  <c r="L206" i="56"/>
  <c r="M206" i="56"/>
  <c r="N206" i="56"/>
  <c r="O206" i="56"/>
  <c r="P206" i="56"/>
  <c r="Q206" i="56"/>
  <c r="R206" i="56" s="1"/>
  <c r="AI206" i="56"/>
  <c r="D207" i="56"/>
  <c r="E207" i="56"/>
  <c r="L207" i="56"/>
  <c r="M207" i="56"/>
  <c r="N207" i="56"/>
  <c r="O207" i="56"/>
  <c r="P207" i="56"/>
  <c r="Q207" i="56"/>
  <c r="R207" i="56" s="1"/>
  <c r="AI207" i="56"/>
  <c r="D208" i="56"/>
  <c r="E208" i="56"/>
  <c r="L208" i="56"/>
  <c r="M208" i="56"/>
  <c r="N208" i="56"/>
  <c r="O208" i="56"/>
  <c r="P208" i="56"/>
  <c r="Q208" i="56"/>
  <c r="R208" i="56" s="1"/>
  <c r="AI208" i="56"/>
  <c r="D209" i="56"/>
  <c r="E209" i="56"/>
  <c r="L209" i="56"/>
  <c r="M209" i="56"/>
  <c r="N209" i="56"/>
  <c r="O209" i="56"/>
  <c r="P209" i="56"/>
  <c r="Q209" i="56"/>
  <c r="AI209" i="56"/>
  <c r="D210" i="56"/>
  <c r="E210" i="56"/>
  <c r="L210" i="56"/>
  <c r="M210" i="56"/>
  <c r="N210" i="56"/>
  <c r="O210" i="56"/>
  <c r="P210" i="56"/>
  <c r="Q210" i="56"/>
  <c r="R210" i="56" s="1"/>
  <c r="AI210" i="56"/>
  <c r="D211" i="56"/>
  <c r="E211" i="56"/>
  <c r="L211" i="56"/>
  <c r="M211" i="56"/>
  <c r="N211" i="56"/>
  <c r="O211" i="56"/>
  <c r="P211" i="56"/>
  <c r="Q211" i="56"/>
  <c r="R211" i="56" s="1"/>
  <c r="AI211" i="56"/>
  <c r="D212" i="56"/>
  <c r="E212" i="56"/>
  <c r="L212" i="56"/>
  <c r="M212" i="56"/>
  <c r="N212" i="56"/>
  <c r="O212" i="56"/>
  <c r="P212" i="56"/>
  <c r="Q212" i="56"/>
  <c r="R212" i="56" s="1"/>
  <c r="AI212" i="56"/>
  <c r="D213" i="56"/>
  <c r="E213" i="56"/>
  <c r="L213" i="56"/>
  <c r="M213" i="56"/>
  <c r="N213" i="56"/>
  <c r="O213" i="56"/>
  <c r="P213" i="56"/>
  <c r="Q213" i="56"/>
  <c r="AI213" i="56"/>
  <c r="D214" i="56"/>
  <c r="E214" i="56"/>
  <c r="L214" i="56"/>
  <c r="M214" i="56"/>
  <c r="N214" i="56"/>
  <c r="O214" i="56"/>
  <c r="P214" i="56"/>
  <c r="Q214" i="56"/>
  <c r="AI214" i="56"/>
  <c r="D215" i="56"/>
  <c r="E215" i="56"/>
  <c r="L215" i="56"/>
  <c r="M215" i="56"/>
  <c r="N215" i="56"/>
  <c r="O215" i="56"/>
  <c r="P215" i="56"/>
  <c r="Q215" i="56"/>
  <c r="AI215" i="56"/>
  <c r="D216" i="56"/>
  <c r="E216" i="56"/>
  <c r="L216" i="56"/>
  <c r="M216" i="56"/>
  <c r="N216" i="56"/>
  <c r="O216" i="56"/>
  <c r="P216" i="56"/>
  <c r="Q216" i="56"/>
  <c r="R216" i="56" s="1"/>
  <c r="AI216" i="56"/>
  <c r="D217" i="56"/>
  <c r="E217" i="56"/>
  <c r="L217" i="56"/>
  <c r="M217" i="56"/>
  <c r="N217" i="56"/>
  <c r="O217" i="56"/>
  <c r="P217" i="56"/>
  <c r="Q217" i="56"/>
  <c r="R217" i="56" s="1"/>
  <c r="AI217" i="56"/>
  <c r="D218" i="56"/>
  <c r="E218" i="56"/>
  <c r="L218" i="56"/>
  <c r="M218" i="56"/>
  <c r="N218" i="56"/>
  <c r="O218" i="56"/>
  <c r="P218" i="56"/>
  <c r="Q218" i="56"/>
  <c r="AI218" i="56"/>
  <c r="D219" i="56"/>
  <c r="E219" i="56"/>
  <c r="L219" i="56"/>
  <c r="M219" i="56"/>
  <c r="N219" i="56"/>
  <c r="O219" i="56"/>
  <c r="P219" i="56"/>
  <c r="Q219" i="56"/>
  <c r="AI219" i="56"/>
  <c r="D220" i="56"/>
  <c r="E220" i="56"/>
  <c r="L220" i="56"/>
  <c r="M220" i="56"/>
  <c r="N220" i="56"/>
  <c r="O220" i="56"/>
  <c r="P220" i="56"/>
  <c r="Q220" i="56"/>
  <c r="R220" i="56" s="1"/>
  <c r="AI220" i="56"/>
  <c r="D221" i="56"/>
  <c r="E221" i="56"/>
  <c r="L221" i="56"/>
  <c r="M221" i="56"/>
  <c r="N221" i="56"/>
  <c r="O221" i="56"/>
  <c r="P221" i="56"/>
  <c r="Q221" i="56"/>
  <c r="AI221" i="56"/>
  <c r="D222" i="56"/>
  <c r="E222" i="56"/>
  <c r="L222" i="56"/>
  <c r="M222" i="56"/>
  <c r="N222" i="56"/>
  <c r="O222" i="56"/>
  <c r="P222" i="56"/>
  <c r="Q222" i="56"/>
  <c r="AI222" i="56"/>
  <c r="D223" i="56"/>
  <c r="E223" i="56"/>
  <c r="L223" i="56"/>
  <c r="M223" i="56"/>
  <c r="N223" i="56"/>
  <c r="O223" i="56"/>
  <c r="P223" i="56"/>
  <c r="Q223" i="56"/>
  <c r="R223" i="56" s="1"/>
  <c r="AI223" i="56"/>
  <c r="D224" i="56"/>
  <c r="E224" i="56"/>
  <c r="L224" i="56"/>
  <c r="M224" i="56"/>
  <c r="N224" i="56"/>
  <c r="O224" i="56"/>
  <c r="P224" i="56"/>
  <c r="Q224" i="56"/>
  <c r="AI224" i="56"/>
  <c r="D225" i="56"/>
  <c r="E225" i="56"/>
  <c r="L225" i="56"/>
  <c r="M225" i="56"/>
  <c r="N225" i="56"/>
  <c r="O225" i="56"/>
  <c r="P225" i="56"/>
  <c r="Q225" i="56"/>
  <c r="AI225" i="56"/>
  <c r="D226" i="56"/>
  <c r="E226" i="56"/>
  <c r="L226" i="56"/>
  <c r="M226" i="56"/>
  <c r="N226" i="56"/>
  <c r="O226" i="56"/>
  <c r="P226" i="56"/>
  <c r="Q226" i="56"/>
  <c r="R226" i="56" s="1"/>
  <c r="AI226" i="56"/>
  <c r="D227" i="56"/>
  <c r="E227" i="56"/>
  <c r="L227" i="56"/>
  <c r="M227" i="56"/>
  <c r="N227" i="56"/>
  <c r="O227" i="56"/>
  <c r="P227" i="56"/>
  <c r="Q227" i="56"/>
  <c r="AI227" i="56"/>
  <c r="D228" i="56"/>
  <c r="E228" i="56"/>
  <c r="L228" i="56"/>
  <c r="M228" i="56"/>
  <c r="N228" i="56"/>
  <c r="O228" i="56"/>
  <c r="P228" i="56"/>
  <c r="Q228" i="56"/>
  <c r="R228" i="56" s="1"/>
  <c r="AI228" i="56"/>
  <c r="D229" i="56"/>
  <c r="E229" i="56"/>
  <c r="L229" i="56"/>
  <c r="M229" i="56"/>
  <c r="N229" i="56"/>
  <c r="O229" i="56"/>
  <c r="P229" i="56"/>
  <c r="Q229" i="56"/>
  <c r="R229" i="56" s="1"/>
  <c r="AI229" i="56"/>
  <c r="D230" i="56"/>
  <c r="E230" i="56"/>
  <c r="L230" i="56"/>
  <c r="M230" i="56"/>
  <c r="N230" i="56"/>
  <c r="O230" i="56"/>
  <c r="P230" i="56"/>
  <c r="Q230" i="56"/>
  <c r="R230" i="56" s="1"/>
  <c r="AI230" i="56"/>
  <c r="D231" i="56"/>
  <c r="E231" i="56"/>
  <c r="L231" i="56"/>
  <c r="M231" i="56"/>
  <c r="N231" i="56"/>
  <c r="O231" i="56"/>
  <c r="P231" i="56"/>
  <c r="Q231" i="56"/>
  <c r="AI231" i="56"/>
  <c r="D232" i="56"/>
  <c r="E232" i="56"/>
  <c r="L232" i="56"/>
  <c r="M232" i="56"/>
  <c r="N232" i="56"/>
  <c r="O232" i="56"/>
  <c r="P232" i="56"/>
  <c r="Q232" i="56"/>
  <c r="AI232" i="56"/>
  <c r="D157" i="56"/>
  <c r="E157" i="56"/>
  <c r="L157" i="56"/>
  <c r="M157" i="56"/>
  <c r="N157" i="56"/>
  <c r="O157" i="56"/>
  <c r="P157" i="56"/>
  <c r="Q157" i="56"/>
  <c r="R157" i="56" s="1"/>
  <c r="AI157" i="56"/>
  <c r="D158" i="56"/>
  <c r="E158" i="56"/>
  <c r="L158" i="56"/>
  <c r="M158" i="56"/>
  <c r="N158" i="56"/>
  <c r="O158" i="56"/>
  <c r="P158" i="56"/>
  <c r="Q158" i="56"/>
  <c r="R158" i="56" s="1"/>
  <c r="AI158" i="56"/>
  <c r="D159" i="56"/>
  <c r="E159" i="56"/>
  <c r="L159" i="56"/>
  <c r="M159" i="56"/>
  <c r="N159" i="56"/>
  <c r="O159" i="56"/>
  <c r="P159" i="56"/>
  <c r="Q159" i="56"/>
  <c r="AI159" i="56"/>
  <c r="D160" i="56"/>
  <c r="E160" i="56"/>
  <c r="L160" i="56"/>
  <c r="M160" i="56"/>
  <c r="N160" i="56"/>
  <c r="O160" i="56"/>
  <c r="P160" i="56"/>
  <c r="Q160" i="56"/>
  <c r="AI160" i="56"/>
  <c r="D161" i="56"/>
  <c r="E161" i="56"/>
  <c r="L161" i="56"/>
  <c r="M161" i="56"/>
  <c r="N161" i="56"/>
  <c r="O161" i="56"/>
  <c r="P161" i="56"/>
  <c r="Q161" i="56"/>
  <c r="AI161" i="56"/>
  <c r="D162" i="56"/>
  <c r="E162" i="56"/>
  <c r="L162" i="56"/>
  <c r="M162" i="56"/>
  <c r="N162" i="56"/>
  <c r="O162" i="56"/>
  <c r="P162" i="56"/>
  <c r="Q162" i="56"/>
  <c r="AI162" i="56"/>
  <c r="D163" i="56"/>
  <c r="E163" i="56"/>
  <c r="L163" i="56"/>
  <c r="M163" i="56"/>
  <c r="N163" i="56"/>
  <c r="O163" i="56"/>
  <c r="P163" i="56"/>
  <c r="Q163" i="56"/>
  <c r="AI163" i="56"/>
  <c r="D164" i="56"/>
  <c r="E164" i="56"/>
  <c r="L164" i="56"/>
  <c r="M164" i="56"/>
  <c r="N164" i="56"/>
  <c r="O164" i="56"/>
  <c r="P164" i="56"/>
  <c r="Q164" i="56"/>
  <c r="R164" i="56" s="1"/>
  <c r="AI164" i="56"/>
  <c r="D165" i="56"/>
  <c r="E165" i="56"/>
  <c r="L165" i="56"/>
  <c r="M165" i="56"/>
  <c r="N165" i="56"/>
  <c r="O165" i="56"/>
  <c r="P165" i="56"/>
  <c r="Q165" i="56"/>
  <c r="R165" i="56" s="1"/>
  <c r="AI165" i="56"/>
  <c r="D166" i="56"/>
  <c r="E166" i="56"/>
  <c r="L166" i="56"/>
  <c r="M166" i="56"/>
  <c r="N166" i="56"/>
  <c r="O166" i="56"/>
  <c r="P166" i="56"/>
  <c r="Q166" i="56"/>
  <c r="AI166" i="56"/>
  <c r="D167" i="56"/>
  <c r="E167" i="56"/>
  <c r="L167" i="56"/>
  <c r="M167" i="56"/>
  <c r="N167" i="56"/>
  <c r="O167" i="56"/>
  <c r="P167" i="56"/>
  <c r="Q167" i="56"/>
  <c r="AI167" i="56"/>
  <c r="D168" i="56"/>
  <c r="E168" i="56"/>
  <c r="L168" i="56"/>
  <c r="M168" i="56"/>
  <c r="N168" i="56"/>
  <c r="O168" i="56"/>
  <c r="P168" i="56"/>
  <c r="Q168" i="56"/>
  <c r="AI168" i="56"/>
  <c r="D169" i="56"/>
  <c r="E169" i="56"/>
  <c r="L169" i="56"/>
  <c r="M169" i="56"/>
  <c r="N169" i="56"/>
  <c r="O169" i="56"/>
  <c r="P169" i="56"/>
  <c r="Q169" i="56"/>
  <c r="AI169" i="56"/>
  <c r="D170" i="56"/>
  <c r="E170" i="56"/>
  <c r="L170" i="56"/>
  <c r="M170" i="56"/>
  <c r="N170" i="56"/>
  <c r="O170" i="56"/>
  <c r="P170" i="56"/>
  <c r="Q170" i="56"/>
  <c r="AI170" i="56"/>
  <c r="D171" i="56"/>
  <c r="E171" i="56"/>
  <c r="L171" i="56"/>
  <c r="M171" i="56"/>
  <c r="N171" i="56"/>
  <c r="O171" i="56"/>
  <c r="P171" i="56"/>
  <c r="Q171" i="56"/>
  <c r="AI171" i="56"/>
  <c r="D172" i="56"/>
  <c r="E172" i="56"/>
  <c r="L172" i="56"/>
  <c r="M172" i="56"/>
  <c r="N172" i="56"/>
  <c r="O172" i="56"/>
  <c r="P172" i="56"/>
  <c r="Q172" i="56"/>
  <c r="AI172" i="56"/>
  <c r="D173" i="56"/>
  <c r="E173" i="56"/>
  <c r="L173" i="56"/>
  <c r="M173" i="56"/>
  <c r="N173" i="56"/>
  <c r="O173" i="56"/>
  <c r="P173" i="56"/>
  <c r="Q173" i="56"/>
  <c r="R173" i="56" s="1"/>
  <c r="AI173" i="56"/>
  <c r="D174" i="56"/>
  <c r="E174" i="56"/>
  <c r="L174" i="56"/>
  <c r="M174" i="56"/>
  <c r="N174" i="56"/>
  <c r="O174" i="56"/>
  <c r="P174" i="56"/>
  <c r="Q174" i="56"/>
  <c r="R174" i="56" s="1"/>
  <c r="AI174" i="56"/>
  <c r="D175" i="56"/>
  <c r="E175" i="56"/>
  <c r="L175" i="56"/>
  <c r="M175" i="56"/>
  <c r="N175" i="56"/>
  <c r="O175" i="56"/>
  <c r="P175" i="56"/>
  <c r="Q175" i="56"/>
  <c r="R175" i="56" s="1"/>
  <c r="AI175" i="56"/>
  <c r="D176" i="56"/>
  <c r="E176" i="56"/>
  <c r="L176" i="56"/>
  <c r="M176" i="56"/>
  <c r="N176" i="56"/>
  <c r="O176" i="56"/>
  <c r="P176" i="56"/>
  <c r="Q176" i="56"/>
  <c r="R176" i="56" s="1"/>
  <c r="AI176" i="56"/>
  <c r="D177" i="56"/>
  <c r="E177" i="56"/>
  <c r="L177" i="56"/>
  <c r="M177" i="56"/>
  <c r="N177" i="56"/>
  <c r="O177" i="56"/>
  <c r="P177" i="56"/>
  <c r="Q177" i="56"/>
  <c r="R177" i="56" s="1"/>
  <c r="AI177" i="56"/>
  <c r="D178" i="56"/>
  <c r="E178" i="56"/>
  <c r="L178" i="56"/>
  <c r="M178" i="56"/>
  <c r="N178" i="56"/>
  <c r="O178" i="56"/>
  <c r="P178" i="56"/>
  <c r="Q178" i="56"/>
  <c r="R178" i="56" s="1"/>
  <c r="AI178" i="56"/>
  <c r="D179" i="56"/>
  <c r="E179" i="56"/>
  <c r="L179" i="56"/>
  <c r="M179" i="56"/>
  <c r="N179" i="56"/>
  <c r="O179" i="56"/>
  <c r="P179" i="56"/>
  <c r="Q179" i="56"/>
  <c r="R179" i="56" s="1"/>
  <c r="AI179" i="56"/>
  <c r="D180" i="56"/>
  <c r="E180" i="56"/>
  <c r="L180" i="56"/>
  <c r="M180" i="56"/>
  <c r="N180" i="56"/>
  <c r="O180" i="56"/>
  <c r="P180" i="56"/>
  <c r="Q180" i="56"/>
  <c r="AI180" i="56"/>
  <c r="D181" i="56"/>
  <c r="E181" i="56"/>
  <c r="L181" i="56"/>
  <c r="M181" i="56"/>
  <c r="N181" i="56"/>
  <c r="O181" i="56"/>
  <c r="P181" i="56"/>
  <c r="Q181" i="56"/>
  <c r="AI181" i="56"/>
  <c r="D182" i="56"/>
  <c r="E182" i="56"/>
  <c r="L182" i="56"/>
  <c r="M182" i="56"/>
  <c r="N182" i="56"/>
  <c r="O182" i="56"/>
  <c r="P182" i="56"/>
  <c r="Q182" i="56"/>
  <c r="R182" i="56" s="1"/>
  <c r="AI182" i="56"/>
  <c r="D183" i="56"/>
  <c r="E183" i="56"/>
  <c r="L183" i="56"/>
  <c r="M183" i="56"/>
  <c r="N183" i="56"/>
  <c r="O183" i="56"/>
  <c r="P183" i="56"/>
  <c r="Q183" i="56"/>
  <c r="AI183" i="56"/>
  <c r="D184" i="56"/>
  <c r="E184" i="56"/>
  <c r="L184" i="56"/>
  <c r="M184" i="56"/>
  <c r="N184" i="56"/>
  <c r="O184" i="56"/>
  <c r="P184" i="56"/>
  <c r="Q184" i="56"/>
  <c r="AI184" i="56"/>
  <c r="D185" i="56"/>
  <c r="E185" i="56"/>
  <c r="L185" i="56"/>
  <c r="M185" i="56"/>
  <c r="N185" i="56"/>
  <c r="O185" i="56"/>
  <c r="P185" i="56"/>
  <c r="Q185" i="56"/>
  <c r="AI185" i="56"/>
  <c r="D186" i="56"/>
  <c r="E186" i="56"/>
  <c r="L186" i="56"/>
  <c r="M186" i="56"/>
  <c r="N186" i="56"/>
  <c r="O186" i="56"/>
  <c r="P186" i="56"/>
  <c r="Q186" i="56"/>
  <c r="AI186" i="56"/>
  <c r="D187" i="56"/>
  <c r="E187" i="56"/>
  <c r="L187" i="56"/>
  <c r="M187" i="56"/>
  <c r="N187" i="56"/>
  <c r="O187" i="56"/>
  <c r="P187" i="56"/>
  <c r="Q187" i="56"/>
  <c r="AI187" i="56"/>
  <c r="D188" i="56"/>
  <c r="E188" i="56"/>
  <c r="L188" i="56"/>
  <c r="M188" i="56"/>
  <c r="N188" i="56"/>
  <c r="O188" i="56"/>
  <c r="P188" i="56"/>
  <c r="Q188" i="56"/>
  <c r="R188" i="56" s="1"/>
  <c r="AI188" i="56"/>
  <c r="D189" i="56"/>
  <c r="E189" i="56"/>
  <c r="L189" i="56"/>
  <c r="M189" i="56"/>
  <c r="N189" i="56"/>
  <c r="O189" i="56"/>
  <c r="P189" i="56"/>
  <c r="Q189" i="56"/>
  <c r="AI189" i="56"/>
  <c r="D190" i="56"/>
  <c r="E190" i="56"/>
  <c r="L190" i="56"/>
  <c r="M190" i="56"/>
  <c r="N190" i="56"/>
  <c r="O190" i="56"/>
  <c r="P190" i="56"/>
  <c r="Q190" i="56"/>
  <c r="R190" i="56" s="1"/>
  <c r="AI190" i="56"/>
  <c r="D191" i="56"/>
  <c r="E191" i="56"/>
  <c r="L191" i="56"/>
  <c r="M191" i="56"/>
  <c r="N191" i="56"/>
  <c r="O191" i="56"/>
  <c r="P191" i="56"/>
  <c r="Q191" i="56"/>
  <c r="AI191" i="56"/>
  <c r="D192" i="56"/>
  <c r="E192" i="56"/>
  <c r="L192" i="56"/>
  <c r="M192" i="56"/>
  <c r="N192" i="56"/>
  <c r="O192" i="56"/>
  <c r="P192" i="56"/>
  <c r="Q192" i="56"/>
  <c r="AI192" i="56"/>
  <c r="D193" i="56"/>
  <c r="E193" i="56"/>
  <c r="L193" i="56"/>
  <c r="M193" i="56"/>
  <c r="N193" i="56"/>
  <c r="O193" i="56"/>
  <c r="P193" i="56"/>
  <c r="Q193" i="56"/>
  <c r="R193" i="56" s="1"/>
  <c r="AI193" i="56"/>
  <c r="D194" i="56"/>
  <c r="E194" i="56"/>
  <c r="L194" i="56"/>
  <c r="M194" i="56"/>
  <c r="N194" i="56"/>
  <c r="O194" i="56"/>
  <c r="P194" i="56"/>
  <c r="Q194" i="56"/>
  <c r="AI194" i="56"/>
  <c r="D119" i="56"/>
  <c r="E119" i="56"/>
  <c r="L119" i="56"/>
  <c r="M119" i="56"/>
  <c r="N119" i="56"/>
  <c r="O119" i="56"/>
  <c r="P119" i="56"/>
  <c r="Q119" i="56"/>
  <c r="AI119" i="56"/>
  <c r="D120" i="56"/>
  <c r="E120" i="56"/>
  <c r="L120" i="56"/>
  <c r="M120" i="56"/>
  <c r="N120" i="56"/>
  <c r="O120" i="56"/>
  <c r="P120" i="56"/>
  <c r="Q120" i="56"/>
  <c r="AI120" i="56"/>
  <c r="D121" i="56"/>
  <c r="E121" i="56"/>
  <c r="L121" i="56"/>
  <c r="M121" i="56"/>
  <c r="N121" i="56"/>
  <c r="O121" i="56"/>
  <c r="P121" i="56"/>
  <c r="Q121" i="56"/>
  <c r="AI121" i="56"/>
  <c r="D122" i="56"/>
  <c r="E122" i="56"/>
  <c r="L122" i="56"/>
  <c r="M122" i="56"/>
  <c r="N122" i="56"/>
  <c r="O122" i="56"/>
  <c r="P122" i="56"/>
  <c r="Q122" i="56"/>
  <c r="AI122" i="56"/>
  <c r="D123" i="56"/>
  <c r="E123" i="56"/>
  <c r="L123" i="56"/>
  <c r="M123" i="56"/>
  <c r="N123" i="56"/>
  <c r="O123" i="56"/>
  <c r="P123" i="56"/>
  <c r="Q123" i="56"/>
  <c r="AI123" i="56"/>
  <c r="D124" i="56"/>
  <c r="E124" i="56"/>
  <c r="L124" i="56"/>
  <c r="M124" i="56"/>
  <c r="N124" i="56"/>
  <c r="O124" i="56"/>
  <c r="P124" i="56"/>
  <c r="Q124" i="56"/>
  <c r="AI124" i="56"/>
  <c r="D125" i="56"/>
  <c r="E125" i="56"/>
  <c r="L125" i="56"/>
  <c r="M125" i="56"/>
  <c r="N125" i="56"/>
  <c r="O125" i="56"/>
  <c r="P125" i="56"/>
  <c r="Q125" i="56"/>
  <c r="AI125" i="56"/>
  <c r="D126" i="56"/>
  <c r="E126" i="56"/>
  <c r="L126" i="56"/>
  <c r="M126" i="56"/>
  <c r="N126" i="56"/>
  <c r="O126" i="56"/>
  <c r="P126" i="56"/>
  <c r="Q126" i="56"/>
  <c r="AI126" i="56"/>
  <c r="D127" i="56"/>
  <c r="E127" i="56"/>
  <c r="L127" i="56"/>
  <c r="M127" i="56"/>
  <c r="N127" i="56"/>
  <c r="O127" i="56"/>
  <c r="P127" i="56"/>
  <c r="Q127" i="56"/>
  <c r="R127" i="56" s="1"/>
  <c r="AI127" i="56"/>
  <c r="D128" i="56"/>
  <c r="E128" i="56"/>
  <c r="L128" i="56"/>
  <c r="M128" i="56"/>
  <c r="N128" i="56"/>
  <c r="O128" i="56"/>
  <c r="P128" i="56"/>
  <c r="Q128" i="56"/>
  <c r="R128" i="56" s="1"/>
  <c r="AI128" i="56"/>
  <c r="D129" i="56"/>
  <c r="E129" i="56"/>
  <c r="L129" i="56"/>
  <c r="M129" i="56"/>
  <c r="N129" i="56"/>
  <c r="O129" i="56"/>
  <c r="P129" i="56"/>
  <c r="Q129" i="56"/>
  <c r="AI129" i="56"/>
  <c r="D130" i="56"/>
  <c r="E130" i="56"/>
  <c r="L130" i="56"/>
  <c r="M130" i="56"/>
  <c r="N130" i="56"/>
  <c r="O130" i="56"/>
  <c r="P130" i="56"/>
  <c r="Q130" i="56"/>
  <c r="R130" i="56" s="1"/>
  <c r="AI130" i="56"/>
  <c r="D131" i="56"/>
  <c r="E131" i="56"/>
  <c r="L131" i="56"/>
  <c r="M131" i="56"/>
  <c r="N131" i="56"/>
  <c r="O131" i="56"/>
  <c r="P131" i="56"/>
  <c r="Q131" i="56"/>
  <c r="AI131" i="56"/>
  <c r="D132" i="56"/>
  <c r="E132" i="56"/>
  <c r="L132" i="56"/>
  <c r="M132" i="56"/>
  <c r="N132" i="56"/>
  <c r="O132" i="56"/>
  <c r="P132" i="56"/>
  <c r="Q132" i="56"/>
  <c r="AI132" i="56"/>
  <c r="D133" i="56"/>
  <c r="E133" i="56"/>
  <c r="L133" i="56"/>
  <c r="M133" i="56"/>
  <c r="N133" i="56"/>
  <c r="O133" i="56"/>
  <c r="P133" i="56"/>
  <c r="Q133" i="56"/>
  <c r="R133" i="56" s="1"/>
  <c r="AI133" i="56"/>
  <c r="D134" i="56"/>
  <c r="E134" i="56"/>
  <c r="L134" i="56"/>
  <c r="M134" i="56"/>
  <c r="N134" i="56"/>
  <c r="O134" i="56"/>
  <c r="P134" i="56"/>
  <c r="Q134" i="56"/>
  <c r="AI134" i="56"/>
  <c r="D135" i="56"/>
  <c r="E135" i="56"/>
  <c r="L135" i="56"/>
  <c r="M135" i="56"/>
  <c r="N135" i="56"/>
  <c r="O135" i="56"/>
  <c r="P135" i="56"/>
  <c r="Q135" i="56"/>
  <c r="R135" i="56" s="1"/>
  <c r="AI135" i="56"/>
  <c r="D136" i="56"/>
  <c r="E136" i="56"/>
  <c r="L136" i="56"/>
  <c r="M136" i="56"/>
  <c r="N136" i="56"/>
  <c r="O136" i="56"/>
  <c r="P136" i="56"/>
  <c r="Q136" i="56"/>
  <c r="AI136" i="56"/>
  <c r="D137" i="56"/>
  <c r="E137" i="56"/>
  <c r="L137" i="56"/>
  <c r="M137" i="56"/>
  <c r="N137" i="56"/>
  <c r="O137" i="56"/>
  <c r="P137" i="56"/>
  <c r="Q137" i="56"/>
  <c r="R137" i="56" s="1"/>
  <c r="AI137" i="56"/>
  <c r="D138" i="56"/>
  <c r="E138" i="56"/>
  <c r="L138" i="56"/>
  <c r="M138" i="56"/>
  <c r="N138" i="56"/>
  <c r="O138" i="56"/>
  <c r="P138" i="56"/>
  <c r="Q138" i="56"/>
  <c r="R138" i="56" s="1"/>
  <c r="AI138" i="56"/>
  <c r="D139" i="56"/>
  <c r="E139" i="56"/>
  <c r="L139" i="56"/>
  <c r="M139" i="56"/>
  <c r="N139" i="56"/>
  <c r="O139" i="56"/>
  <c r="P139" i="56"/>
  <c r="Q139" i="56"/>
  <c r="R139" i="56" s="1"/>
  <c r="AI139" i="56"/>
  <c r="D140" i="56"/>
  <c r="E140" i="56"/>
  <c r="L140" i="56"/>
  <c r="M140" i="56"/>
  <c r="N140" i="56"/>
  <c r="O140" i="56"/>
  <c r="P140" i="56"/>
  <c r="Q140" i="56"/>
  <c r="R140" i="56" s="1"/>
  <c r="AI140" i="56"/>
  <c r="D141" i="56"/>
  <c r="E141" i="56"/>
  <c r="L141" i="56"/>
  <c r="M141" i="56"/>
  <c r="N141" i="56"/>
  <c r="O141" i="56"/>
  <c r="P141" i="56"/>
  <c r="Q141" i="56"/>
  <c r="R141" i="56" s="1"/>
  <c r="AI141" i="56"/>
  <c r="D142" i="56"/>
  <c r="E142" i="56"/>
  <c r="L142" i="56"/>
  <c r="M142" i="56"/>
  <c r="N142" i="56"/>
  <c r="O142" i="56"/>
  <c r="P142" i="56"/>
  <c r="Q142" i="56"/>
  <c r="AI142" i="56"/>
  <c r="D143" i="56"/>
  <c r="E143" i="56"/>
  <c r="L143" i="56"/>
  <c r="M143" i="56"/>
  <c r="N143" i="56"/>
  <c r="O143" i="56"/>
  <c r="P143" i="56"/>
  <c r="Q143" i="56"/>
  <c r="AI143" i="56"/>
  <c r="D144" i="56"/>
  <c r="E144" i="56"/>
  <c r="L144" i="56"/>
  <c r="M144" i="56"/>
  <c r="N144" i="56"/>
  <c r="O144" i="56"/>
  <c r="P144" i="56"/>
  <c r="Q144" i="56"/>
  <c r="R144" i="56" s="1"/>
  <c r="AI144" i="56"/>
  <c r="D145" i="56"/>
  <c r="E145" i="56"/>
  <c r="L145" i="56"/>
  <c r="M145" i="56"/>
  <c r="N145" i="56"/>
  <c r="O145" i="56"/>
  <c r="P145" i="56"/>
  <c r="Q145" i="56"/>
  <c r="AI145" i="56"/>
  <c r="D146" i="56"/>
  <c r="E146" i="56"/>
  <c r="L146" i="56"/>
  <c r="M146" i="56"/>
  <c r="N146" i="56"/>
  <c r="O146" i="56"/>
  <c r="P146" i="56"/>
  <c r="Q146" i="56"/>
  <c r="AI146" i="56"/>
  <c r="D147" i="56"/>
  <c r="E147" i="56"/>
  <c r="L147" i="56"/>
  <c r="M147" i="56"/>
  <c r="N147" i="56"/>
  <c r="O147" i="56"/>
  <c r="P147" i="56"/>
  <c r="Q147" i="56"/>
  <c r="R147" i="56" s="1"/>
  <c r="AI147" i="56"/>
  <c r="D148" i="56"/>
  <c r="E148" i="56"/>
  <c r="L148" i="56"/>
  <c r="M148" i="56"/>
  <c r="N148" i="56"/>
  <c r="O148" i="56"/>
  <c r="P148" i="56"/>
  <c r="Q148" i="56"/>
  <c r="R148" i="56" s="1"/>
  <c r="AI148" i="56"/>
  <c r="D149" i="56"/>
  <c r="E149" i="56"/>
  <c r="L149" i="56"/>
  <c r="M149" i="56"/>
  <c r="N149" i="56"/>
  <c r="O149" i="56"/>
  <c r="P149" i="56"/>
  <c r="Q149" i="56"/>
  <c r="AI149" i="56"/>
  <c r="D150" i="56"/>
  <c r="E150" i="56"/>
  <c r="L150" i="56"/>
  <c r="M150" i="56"/>
  <c r="N150" i="56"/>
  <c r="O150" i="56"/>
  <c r="P150" i="56"/>
  <c r="Q150" i="56"/>
  <c r="R150" i="56" s="1"/>
  <c r="AI150" i="56"/>
  <c r="D151" i="56"/>
  <c r="E151" i="56"/>
  <c r="L151" i="56"/>
  <c r="M151" i="56"/>
  <c r="N151" i="56"/>
  <c r="O151" i="56"/>
  <c r="P151" i="56"/>
  <c r="Q151" i="56"/>
  <c r="R151" i="56" s="1"/>
  <c r="AI151" i="56"/>
  <c r="D152" i="56"/>
  <c r="E152" i="56"/>
  <c r="L152" i="56"/>
  <c r="M152" i="56"/>
  <c r="N152" i="56"/>
  <c r="O152" i="56"/>
  <c r="P152" i="56"/>
  <c r="Q152" i="56"/>
  <c r="AI152" i="56"/>
  <c r="D153" i="56"/>
  <c r="E153" i="56"/>
  <c r="L153" i="56"/>
  <c r="M153" i="56"/>
  <c r="N153" i="56"/>
  <c r="O153" i="56"/>
  <c r="P153" i="56"/>
  <c r="Q153" i="56"/>
  <c r="AI153" i="56"/>
  <c r="D154" i="56"/>
  <c r="E154" i="56"/>
  <c r="L154" i="56"/>
  <c r="M154" i="56"/>
  <c r="N154" i="56"/>
  <c r="O154" i="56"/>
  <c r="P154" i="56"/>
  <c r="Q154" i="56"/>
  <c r="AI154" i="56"/>
  <c r="D155" i="56"/>
  <c r="E155" i="56"/>
  <c r="L155" i="56"/>
  <c r="M155" i="56"/>
  <c r="N155" i="56"/>
  <c r="O155" i="56"/>
  <c r="P155" i="56"/>
  <c r="Q155" i="56"/>
  <c r="R155" i="56" s="1"/>
  <c r="AI155" i="56"/>
  <c r="D156" i="56"/>
  <c r="E156" i="56"/>
  <c r="L156" i="56"/>
  <c r="M156" i="56"/>
  <c r="N156" i="56"/>
  <c r="O156" i="56"/>
  <c r="P156" i="56"/>
  <c r="Q156" i="56"/>
  <c r="R156" i="56" s="1"/>
  <c r="AI156" i="56"/>
  <c r="D81" i="56"/>
  <c r="E81" i="56"/>
  <c r="L81" i="56"/>
  <c r="M81" i="56"/>
  <c r="N81" i="56"/>
  <c r="O81" i="56"/>
  <c r="P81" i="56"/>
  <c r="Q81" i="56"/>
  <c r="AI81" i="56"/>
  <c r="D82" i="56"/>
  <c r="E82" i="56"/>
  <c r="L82" i="56"/>
  <c r="M82" i="56"/>
  <c r="N82" i="56"/>
  <c r="O82" i="56"/>
  <c r="P82" i="56"/>
  <c r="Q82" i="56"/>
  <c r="R82" i="56" s="1"/>
  <c r="AI82" i="56"/>
  <c r="D83" i="56"/>
  <c r="E83" i="56"/>
  <c r="L83" i="56"/>
  <c r="M83" i="56"/>
  <c r="N83" i="56"/>
  <c r="O83" i="56"/>
  <c r="P83" i="56"/>
  <c r="Q83" i="56"/>
  <c r="AI83" i="56"/>
  <c r="D84" i="56"/>
  <c r="E84" i="56"/>
  <c r="L84" i="56"/>
  <c r="M84" i="56"/>
  <c r="N84" i="56"/>
  <c r="O84" i="56"/>
  <c r="P84" i="56"/>
  <c r="Q84" i="56"/>
  <c r="R84" i="56" s="1"/>
  <c r="AI84" i="56"/>
  <c r="D85" i="56"/>
  <c r="E85" i="56"/>
  <c r="L85" i="56"/>
  <c r="M85" i="56"/>
  <c r="N85" i="56"/>
  <c r="O85" i="56"/>
  <c r="P85" i="56"/>
  <c r="Q85" i="56"/>
  <c r="AI85" i="56"/>
  <c r="D86" i="56"/>
  <c r="E86" i="56"/>
  <c r="L86" i="56"/>
  <c r="M86" i="56"/>
  <c r="N86" i="56"/>
  <c r="O86" i="56"/>
  <c r="P86" i="56"/>
  <c r="Q86" i="56"/>
  <c r="R86" i="56" s="1"/>
  <c r="AI86" i="56"/>
  <c r="D87" i="56"/>
  <c r="E87" i="56"/>
  <c r="L87" i="56"/>
  <c r="M87" i="56"/>
  <c r="N87" i="56"/>
  <c r="O87" i="56"/>
  <c r="P87" i="56"/>
  <c r="Q87" i="56"/>
  <c r="AI87" i="56"/>
  <c r="D88" i="56"/>
  <c r="E88" i="56"/>
  <c r="L88" i="56"/>
  <c r="M88" i="56"/>
  <c r="N88" i="56"/>
  <c r="O88" i="56"/>
  <c r="P88" i="56"/>
  <c r="Q88" i="56"/>
  <c r="AI88" i="56"/>
  <c r="D89" i="56"/>
  <c r="E89" i="56"/>
  <c r="L89" i="56"/>
  <c r="M89" i="56"/>
  <c r="N89" i="56"/>
  <c r="O89" i="56"/>
  <c r="P89" i="56"/>
  <c r="Q89" i="56"/>
  <c r="AI89" i="56"/>
  <c r="D90" i="56"/>
  <c r="E90" i="56"/>
  <c r="L90" i="56"/>
  <c r="M90" i="56"/>
  <c r="N90" i="56"/>
  <c r="O90" i="56"/>
  <c r="P90" i="56"/>
  <c r="Q90" i="56"/>
  <c r="AI90" i="56"/>
  <c r="D91" i="56"/>
  <c r="E91" i="56"/>
  <c r="L91" i="56"/>
  <c r="M91" i="56"/>
  <c r="N91" i="56"/>
  <c r="O91" i="56"/>
  <c r="P91" i="56"/>
  <c r="Q91" i="56"/>
  <c r="AI91" i="56"/>
  <c r="D92" i="56"/>
  <c r="E92" i="56"/>
  <c r="L92" i="56"/>
  <c r="M92" i="56"/>
  <c r="N92" i="56"/>
  <c r="O92" i="56"/>
  <c r="P92" i="56"/>
  <c r="Q92" i="56"/>
  <c r="R92" i="56" s="1"/>
  <c r="AI92" i="56"/>
  <c r="D93" i="56"/>
  <c r="E93" i="56"/>
  <c r="L93" i="56"/>
  <c r="M93" i="56"/>
  <c r="N93" i="56"/>
  <c r="O93" i="56"/>
  <c r="P93" i="56"/>
  <c r="Q93" i="56"/>
  <c r="AI93" i="56"/>
  <c r="D94" i="56"/>
  <c r="E94" i="56"/>
  <c r="L94" i="56"/>
  <c r="M94" i="56"/>
  <c r="N94" i="56"/>
  <c r="O94" i="56"/>
  <c r="P94" i="56"/>
  <c r="Q94" i="56"/>
  <c r="AI94" i="56"/>
  <c r="D95" i="56"/>
  <c r="E95" i="56"/>
  <c r="L95" i="56"/>
  <c r="M95" i="56"/>
  <c r="N95" i="56"/>
  <c r="O95" i="56"/>
  <c r="P95" i="56"/>
  <c r="Q95" i="56"/>
  <c r="R95" i="56" s="1"/>
  <c r="AI95" i="56"/>
  <c r="D96" i="56"/>
  <c r="E96" i="56"/>
  <c r="L96" i="56"/>
  <c r="M96" i="56"/>
  <c r="N96" i="56"/>
  <c r="O96" i="56"/>
  <c r="P96" i="56"/>
  <c r="Q96" i="56"/>
  <c r="AI96" i="56"/>
  <c r="D97" i="56"/>
  <c r="E97" i="56"/>
  <c r="L97" i="56"/>
  <c r="M97" i="56"/>
  <c r="N97" i="56"/>
  <c r="O97" i="56"/>
  <c r="P97" i="56"/>
  <c r="Q97" i="56"/>
  <c r="R97" i="56" s="1"/>
  <c r="AI97" i="56"/>
  <c r="D98" i="56"/>
  <c r="E98" i="56"/>
  <c r="L98" i="56"/>
  <c r="M98" i="56"/>
  <c r="N98" i="56"/>
  <c r="O98" i="56"/>
  <c r="P98" i="56"/>
  <c r="Q98" i="56"/>
  <c r="AI98" i="56"/>
  <c r="D99" i="56"/>
  <c r="E99" i="56"/>
  <c r="L99" i="56"/>
  <c r="M99" i="56"/>
  <c r="N99" i="56"/>
  <c r="O99" i="56"/>
  <c r="P99" i="56"/>
  <c r="Q99" i="56"/>
  <c r="R99" i="56" s="1"/>
  <c r="AI99" i="56"/>
  <c r="D100" i="56"/>
  <c r="E100" i="56"/>
  <c r="L100" i="56"/>
  <c r="M100" i="56"/>
  <c r="N100" i="56"/>
  <c r="O100" i="56"/>
  <c r="P100" i="56"/>
  <c r="Q100" i="56"/>
  <c r="AI100" i="56"/>
  <c r="D101" i="56"/>
  <c r="E101" i="56"/>
  <c r="L101" i="56"/>
  <c r="M101" i="56"/>
  <c r="N101" i="56"/>
  <c r="O101" i="56"/>
  <c r="P101" i="56"/>
  <c r="Q101" i="56"/>
  <c r="R101" i="56" s="1"/>
  <c r="AI101" i="56"/>
  <c r="D102" i="56"/>
  <c r="E102" i="56"/>
  <c r="L102" i="56"/>
  <c r="M102" i="56"/>
  <c r="N102" i="56"/>
  <c r="O102" i="56"/>
  <c r="P102" i="56"/>
  <c r="Q102" i="56"/>
  <c r="R102" i="56" s="1"/>
  <c r="AI102" i="56"/>
  <c r="D103" i="56"/>
  <c r="E103" i="56"/>
  <c r="L103" i="56"/>
  <c r="M103" i="56"/>
  <c r="N103" i="56"/>
  <c r="O103" i="56"/>
  <c r="P103" i="56"/>
  <c r="Q103" i="56"/>
  <c r="AI103" i="56"/>
  <c r="D104" i="56"/>
  <c r="E104" i="56"/>
  <c r="L104" i="56"/>
  <c r="M104" i="56"/>
  <c r="N104" i="56"/>
  <c r="O104" i="56"/>
  <c r="P104" i="56"/>
  <c r="Q104" i="56"/>
  <c r="R104" i="56" s="1"/>
  <c r="AI104" i="56"/>
  <c r="D105" i="56"/>
  <c r="E105" i="56"/>
  <c r="L105" i="56"/>
  <c r="M105" i="56"/>
  <c r="N105" i="56"/>
  <c r="O105" i="56"/>
  <c r="P105" i="56"/>
  <c r="Q105" i="56"/>
  <c r="R105" i="56" s="1"/>
  <c r="AI105" i="56"/>
  <c r="D106" i="56"/>
  <c r="E106" i="56"/>
  <c r="L106" i="56"/>
  <c r="M106" i="56"/>
  <c r="N106" i="56"/>
  <c r="O106" i="56"/>
  <c r="P106" i="56"/>
  <c r="Q106" i="56"/>
  <c r="AI106" i="56"/>
  <c r="D107" i="56"/>
  <c r="E107" i="56"/>
  <c r="L107" i="56"/>
  <c r="M107" i="56"/>
  <c r="N107" i="56"/>
  <c r="O107" i="56"/>
  <c r="P107" i="56"/>
  <c r="Q107" i="56"/>
  <c r="AI107" i="56"/>
  <c r="D108" i="56"/>
  <c r="E108" i="56"/>
  <c r="L108" i="56"/>
  <c r="M108" i="56"/>
  <c r="N108" i="56"/>
  <c r="O108" i="56"/>
  <c r="P108" i="56"/>
  <c r="Q108" i="56"/>
  <c r="R108" i="56" s="1"/>
  <c r="AI108" i="56"/>
  <c r="D109" i="56"/>
  <c r="E109" i="56"/>
  <c r="L109" i="56"/>
  <c r="M109" i="56"/>
  <c r="N109" i="56"/>
  <c r="O109" i="56"/>
  <c r="P109" i="56"/>
  <c r="Q109" i="56"/>
  <c r="R109" i="56" s="1"/>
  <c r="AI109" i="56"/>
  <c r="D110" i="56"/>
  <c r="E110" i="56"/>
  <c r="L110" i="56"/>
  <c r="M110" i="56"/>
  <c r="N110" i="56"/>
  <c r="O110" i="56"/>
  <c r="P110" i="56"/>
  <c r="Q110" i="56"/>
  <c r="AI110" i="56"/>
  <c r="D111" i="56"/>
  <c r="E111" i="56"/>
  <c r="L111" i="56"/>
  <c r="M111" i="56"/>
  <c r="N111" i="56"/>
  <c r="O111" i="56"/>
  <c r="P111" i="56"/>
  <c r="Q111" i="56"/>
  <c r="AI111" i="56"/>
  <c r="D112" i="56"/>
  <c r="E112" i="56"/>
  <c r="L112" i="56"/>
  <c r="M112" i="56"/>
  <c r="N112" i="56"/>
  <c r="O112" i="56"/>
  <c r="P112" i="56"/>
  <c r="Q112" i="56"/>
  <c r="R112" i="56" s="1"/>
  <c r="AI112" i="56"/>
  <c r="D113" i="56"/>
  <c r="E113" i="56"/>
  <c r="L113" i="56"/>
  <c r="M113" i="56"/>
  <c r="N113" i="56"/>
  <c r="O113" i="56"/>
  <c r="P113" i="56"/>
  <c r="Q113" i="56"/>
  <c r="AI113" i="56"/>
  <c r="D114" i="56"/>
  <c r="E114" i="56"/>
  <c r="L114" i="56"/>
  <c r="M114" i="56"/>
  <c r="N114" i="56"/>
  <c r="O114" i="56"/>
  <c r="P114" i="56"/>
  <c r="Q114" i="56"/>
  <c r="R114" i="56" s="1"/>
  <c r="AI114" i="56"/>
  <c r="D115" i="56"/>
  <c r="E115" i="56"/>
  <c r="L115" i="56"/>
  <c r="M115" i="56"/>
  <c r="N115" i="56"/>
  <c r="O115" i="56"/>
  <c r="P115" i="56"/>
  <c r="Q115" i="56"/>
  <c r="AI115" i="56"/>
  <c r="D116" i="56"/>
  <c r="E116" i="56"/>
  <c r="L116" i="56"/>
  <c r="M116" i="56"/>
  <c r="N116" i="56"/>
  <c r="O116" i="56"/>
  <c r="P116" i="56"/>
  <c r="Q116" i="56"/>
  <c r="R116" i="56" s="1"/>
  <c r="AI116" i="56"/>
  <c r="D117" i="56"/>
  <c r="E117" i="56"/>
  <c r="L117" i="56"/>
  <c r="M117" i="56"/>
  <c r="N117" i="56"/>
  <c r="O117" i="56"/>
  <c r="P117" i="56"/>
  <c r="Q117" i="56"/>
  <c r="AI117" i="56"/>
  <c r="D118" i="56"/>
  <c r="E118" i="56"/>
  <c r="L118" i="56"/>
  <c r="M118" i="56"/>
  <c r="N118" i="56"/>
  <c r="O118" i="56"/>
  <c r="P118" i="56"/>
  <c r="Q118" i="56"/>
  <c r="AI118" i="56"/>
  <c r="D43" i="56"/>
  <c r="E43" i="56"/>
  <c r="L43" i="56"/>
  <c r="M43" i="56"/>
  <c r="N43" i="56"/>
  <c r="O43" i="56"/>
  <c r="P43" i="56"/>
  <c r="Q43" i="56"/>
  <c r="AI43" i="56"/>
  <c r="D44" i="56"/>
  <c r="E44" i="56"/>
  <c r="L44" i="56"/>
  <c r="M44" i="56"/>
  <c r="N44" i="56"/>
  <c r="O44" i="56"/>
  <c r="P44" i="56"/>
  <c r="Q44" i="56"/>
  <c r="AI44" i="56"/>
  <c r="D45" i="56"/>
  <c r="E45" i="56"/>
  <c r="L45" i="56"/>
  <c r="M45" i="56"/>
  <c r="N45" i="56"/>
  <c r="O45" i="56"/>
  <c r="P45" i="56"/>
  <c r="Q45" i="56"/>
  <c r="AI45" i="56"/>
  <c r="D46" i="56"/>
  <c r="E46" i="56"/>
  <c r="L46" i="56"/>
  <c r="M46" i="56"/>
  <c r="N46" i="56"/>
  <c r="O46" i="56"/>
  <c r="P46" i="56"/>
  <c r="Q46" i="56"/>
  <c r="AI46" i="56"/>
  <c r="D47" i="56"/>
  <c r="E47" i="56"/>
  <c r="L47" i="56"/>
  <c r="M47" i="56"/>
  <c r="N47" i="56"/>
  <c r="O47" i="56"/>
  <c r="P47" i="56"/>
  <c r="Q47" i="56"/>
  <c r="AI47" i="56"/>
  <c r="D48" i="56"/>
  <c r="E48" i="56"/>
  <c r="L48" i="56"/>
  <c r="M48" i="56"/>
  <c r="N48" i="56"/>
  <c r="O48" i="56"/>
  <c r="P48" i="56"/>
  <c r="Q48" i="56"/>
  <c r="R48" i="56" s="1"/>
  <c r="AI48" i="56"/>
  <c r="D49" i="56"/>
  <c r="E49" i="56"/>
  <c r="L49" i="56"/>
  <c r="M49" i="56"/>
  <c r="N49" i="56"/>
  <c r="O49" i="56"/>
  <c r="P49" i="56"/>
  <c r="Q49" i="56"/>
  <c r="AI49" i="56"/>
  <c r="D50" i="56"/>
  <c r="E50" i="56"/>
  <c r="L50" i="56"/>
  <c r="M50" i="56"/>
  <c r="N50" i="56"/>
  <c r="O50" i="56"/>
  <c r="P50" i="56"/>
  <c r="Q50" i="56"/>
  <c r="AI50" i="56"/>
  <c r="D51" i="56"/>
  <c r="E51" i="56"/>
  <c r="L51" i="56"/>
  <c r="M51" i="56"/>
  <c r="N51" i="56"/>
  <c r="O51" i="56"/>
  <c r="P51" i="56"/>
  <c r="Q51" i="56"/>
  <c r="R51" i="56" s="1"/>
  <c r="AI51" i="56"/>
  <c r="D52" i="56"/>
  <c r="E52" i="56"/>
  <c r="L52" i="56"/>
  <c r="M52" i="56"/>
  <c r="N52" i="56"/>
  <c r="O52" i="56"/>
  <c r="P52" i="56"/>
  <c r="Q52" i="56"/>
  <c r="AI52" i="56"/>
  <c r="D53" i="56"/>
  <c r="E53" i="56"/>
  <c r="L53" i="56"/>
  <c r="M53" i="56"/>
  <c r="N53" i="56"/>
  <c r="O53" i="56"/>
  <c r="P53" i="56"/>
  <c r="Q53" i="56"/>
  <c r="AI53" i="56"/>
  <c r="D54" i="56"/>
  <c r="E54" i="56"/>
  <c r="L54" i="56"/>
  <c r="M54" i="56"/>
  <c r="N54" i="56"/>
  <c r="O54" i="56"/>
  <c r="P54" i="56"/>
  <c r="Q54" i="56"/>
  <c r="AI54" i="56"/>
  <c r="D55" i="56"/>
  <c r="E55" i="56"/>
  <c r="L55" i="56"/>
  <c r="M55" i="56"/>
  <c r="N55" i="56"/>
  <c r="O55" i="56"/>
  <c r="P55" i="56"/>
  <c r="Q55" i="56"/>
  <c r="AI55" i="56"/>
  <c r="D56" i="56"/>
  <c r="E56" i="56"/>
  <c r="L56" i="56"/>
  <c r="M56" i="56"/>
  <c r="N56" i="56"/>
  <c r="O56" i="56"/>
  <c r="P56" i="56"/>
  <c r="Q56" i="56"/>
  <c r="AI56" i="56"/>
  <c r="D57" i="56"/>
  <c r="E57" i="56"/>
  <c r="L57" i="56"/>
  <c r="M57" i="56"/>
  <c r="N57" i="56"/>
  <c r="O57" i="56"/>
  <c r="P57" i="56"/>
  <c r="Q57" i="56"/>
  <c r="AI57" i="56"/>
  <c r="D58" i="56"/>
  <c r="E58" i="56"/>
  <c r="L58" i="56"/>
  <c r="M58" i="56"/>
  <c r="N58" i="56"/>
  <c r="O58" i="56"/>
  <c r="P58" i="56"/>
  <c r="Q58" i="56"/>
  <c r="R58" i="56" s="1"/>
  <c r="AI58" i="56"/>
  <c r="D59" i="56"/>
  <c r="E59" i="56"/>
  <c r="L59" i="56"/>
  <c r="M59" i="56"/>
  <c r="N59" i="56"/>
  <c r="O59" i="56"/>
  <c r="P59" i="56"/>
  <c r="Q59" i="56"/>
  <c r="AI59" i="56"/>
  <c r="D60" i="56"/>
  <c r="E60" i="56"/>
  <c r="L60" i="56"/>
  <c r="M60" i="56"/>
  <c r="N60" i="56"/>
  <c r="O60" i="56"/>
  <c r="P60" i="56"/>
  <c r="Q60" i="56"/>
  <c r="AI60" i="56"/>
  <c r="D61" i="56"/>
  <c r="E61" i="56"/>
  <c r="L61" i="56"/>
  <c r="M61" i="56"/>
  <c r="N61" i="56"/>
  <c r="O61" i="56"/>
  <c r="P61" i="56"/>
  <c r="Q61" i="56"/>
  <c r="AI61" i="56"/>
  <c r="D62" i="56"/>
  <c r="E62" i="56"/>
  <c r="L62" i="56"/>
  <c r="M62" i="56"/>
  <c r="N62" i="56"/>
  <c r="O62" i="56"/>
  <c r="P62" i="56"/>
  <c r="Q62" i="56"/>
  <c r="AI62" i="56"/>
  <c r="D63" i="56"/>
  <c r="E63" i="56"/>
  <c r="L63" i="56"/>
  <c r="M63" i="56"/>
  <c r="N63" i="56"/>
  <c r="O63" i="56"/>
  <c r="P63" i="56"/>
  <c r="Q63" i="56"/>
  <c r="R63" i="56" s="1"/>
  <c r="AI63" i="56"/>
  <c r="D64" i="56"/>
  <c r="E64" i="56"/>
  <c r="L64" i="56"/>
  <c r="M64" i="56"/>
  <c r="N64" i="56"/>
  <c r="O64" i="56"/>
  <c r="P64" i="56"/>
  <c r="Q64" i="56"/>
  <c r="R64" i="56" s="1"/>
  <c r="AI64" i="56"/>
  <c r="D65" i="56"/>
  <c r="E65" i="56"/>
  <c r="L65" i="56"/>
  <c r="M65" i="56"/>
  <c r="N65" i="56"/>
  <c r="O65" i="56"/>
  <c r="P65" i="56"/>
  <c r="Q65" i="56"/>
  <c r="AI65" i="56"/>
  <c r="D66" i="56"/>
  <c r="E66" i="56"/>
  <c r="L66" i="56"/>
  <c r="M66" i="56"/>
  <c r="N66" i="56"/>
  <c r="O66" i="56"/>
  <c r="P66" i="56"/>
  <c r="Q66" i="56"/>
  <c r="AI66" i="56"/>
  <c r="D67" i="56"/>
  <c r="E67" i="56"/>
  <c r="L67" i="56"/>
  <c r="M67" i="56"/>
  <c r="N67" i="56"/>
  <c r="O67" i="56"/>
  <c r="P67" i="56"/>
  <c r="Q67" i="56"/>
  <c r="R67" i="56" s="1"/>
  <c r="AI67" i="56"/>
  <c r="D68" i="56"/>
  <c r="E68" i="56"/>
  <c r="L68" i="56"/>
  <c r="M68" i="56"/>
  <c r="N68" i="56"/>
  <c r="O68" i="56"/>
  <c r="P68" i="56"/>
  <c r="Q68" i="56"/>
  <c r="R68" i="56" s="1"/>
  <c r="AI68" i="56"/>
  <c r="D69" i="56"/>
  <c r="E69" i="56"/>
  <c r="L69" i="56"/>
  <c r="M69" i="56"/>
  <c r="N69" i="56"/>
  <c r="O69" i="56"/>
  <c r="P69" i="56"/>
  <c r="Q69" i="56"/>
  <c r="R69" i="56" s="1"/>
  <c r="AI69" i="56"/>
  <c r="D70" i="56"/>
  <c r="E70" i="56"/>
  <c r="L70" i="56"/>
  <c r="M70" i="56"/>
  <c r="N70" i="56"/>
  <c r="O70" i="56"/>
  <c r="P70" i="56"/>
  <c r="Q70" i="56"/>
  <c r="AI70" i="56"/>
  <c r="D71" i="56"/>
  <c r="E71" i="56"/>
  <c r="L71" i="56"/>
  <c r="M71" i="56"/>
  <c r="N71" i="56"/>
  <c r="O71" i="56"/>
  <c r="P71" i="56"/>
  <c r="Q71" i="56"/>
  <c r="AI71" i="56"/>
  <c r="D72" i="56"/>
  <c r="E72" i="56"/>
  <c r="L72" i="56"/>
  <c r="M72" i="56"/>
  <c r="N72" i="56"/>
  <c r="O72" i="56"/>
  <c r="P72" i="56"/>
  <c r="Q72" i="56"/>
  <c r="AI72" i="56"/>
  <c r="D73" i="56"/>
  <c r="E73" i="56"/>
  <c r="L73" i="56"/>
  <c r="M73" i="56"/>
  <c r="N73" i="56"/>
  <c r="O73" i="56"/>
  <c r="P73" i="56"/>
  <c r="Q73" i="56"/>
  <c r="AI73" i="56"/>
  <c r="D74" i="56"/>
  <c r="E74" i="56"/>
  <c r="L74" i="56"/>
  <c r="M74" i="56"/>
  <c r="N74" i="56"/>
  <c r="O74" i="56"/>
  <c r="P74" i="56"/>
  <c r="Q74" i="56"/>
  <c r="AI74" i="56"/>
  <c r="D75" i="56"/>
  <c r="E75" i="56"/>
  <c r="L75" i="56"/>
  <c r="M75" i="56"/>
  <c r="N75" i="56"/>
  <c r="O75" i="56"/>
  <c r="P75" i="56"/>
  <c r="Q75" i="56"/>
  <c r="AI75" i="56"/>
  <c r="D76" i="56"/>
  <c r="E76" i="56"/>
  <c r="L76" i="56"/>
  <c r="M76" i="56"/>
  <c r="N76" i="56"/>
  <c r="O76" i="56"/>
  <c r="P76" i="56"/>
  <c r="Q76" i="56"/>
  <c r="R76" i="56" s="1"/>
  <c r="AI76" i="56"/>
  <c r="D77" i="56"/>
  <c r="E77" i="56"/>
  <c r="L77" i="56"/>
  <c r="M77" i="56"/>
  <c r="N77" i="56"/>
  <c r="O77" i="56"/>
  <c r="P77" i="56"/>
  <c r="Q77" i="56"/>
  <c r="R77" i="56" s="1"/>
  <c r="AI77" i="56"/>
  <c r="D78" i="56"/>
  <c r="E78" i="56"/>
  <c r="L78" i="56"/>
  <c r="M78" i="56"/>
  <c r="N78" i="56"/>
  <c r="O78" i="56"/>
  <c r="P78" i="56"/>
  <c r="Q78" i="56"/>
  <c r="AI78" i="56"/>
  <c r="D79" i="56"/>
  <c r="E79" i="56"/>
  <c r="L79" i="56"/>
  <c r="M79" i="56"/>
  <c r="N79" i="56"/>
  <c r="O79" i="56"/>
  <c r="P79" i="56"/>
  <c r="Q79" i="56"/>
  <c r="R79" i="56" s="1"/>
  <c r="AI79" i="56"/>
  <c r="D80" i="56"/>
  <c r="E80" i="56"/>
  <c r="L80" i="56"/>
  <c r="M80" i="56"/>
  <c r="N80" i="56"/>
  <c r="O80" i="56"/>
  <c r="P80" i="56"/>
  <c r="Q80" i="56"/>
  <c r="AI80" i="56"/>
  <c r="D6" i="56"/>
  <c r="E6" i="56"/>
  <c r="L6" i="56"/>
  <c r="M6" i="56"/>
  <c r="N6" i="56"/>
  <c r="O6" i="56"/>
  <c r="P6" i="56"/>
  <c r="Q6" i="56"/>
  <c r="AI6" i="56"/>
  <c r="D7" i="56"/>
  <c r="E7" i="56"/>
  <c r="L7" i="56"/>
  <c r="M7" i="56"/>
  <c r="N7" i="56"/>
  <c r="O7" i="56"/>
  <c r="P7" i="56"/>
  <c r="Q7" i="56"/>
  <c r="AI7" i="56"/>
  <c r="D8" i="56"/>
  <c r="E8" i="56"/>
  <c r="L8" i="56"/>
  <c r="M8" i="56"/>
  <c r="N8" i="56"/>
  <c r="O8" i="56"/>
  <c r="P8" i="56"/>
  <c r="Q8" i="56"/>
  <c r="AI8" i="56"/>
  <c r="D9" i="56"/>
  <c r="E9" i="56"/>
  <c r="L9" i="56"/>
  <c r="M9" i="56"/>
  <c r="N9" i="56"/>
  <c r="O9" i="56"/>
  <c r="P9" i="56"/>
  <c r="Q9" i="56"/>
  <c r="AI9" i="56"/>
  <c r="D10" i="56"/>
  <c r="E10" i="56"/>
  <c r="L10" i="56"/>
  <c r="M10" i="56"/>
  <c r="N10" i="56"/>
  <c r="O10" i="56"/>
  <c r="P10" i="56"/>
  <c r="Q10" i="56"/>
  <c r="AI10" i="56"/>
  <c r="D11" i="56"/>
  <c r="E11" i="56"/>
  <c r="L11" i="56"/>
  <c r="M11" i="56"/>
  <c r="N11" i="56"/>
  <c r="O11" i="56"/>
  <c r="P11" i="56"/>
  <c r="Q11" i="56"/>
  <c r="R11" i="56" s="1"/>
  <c r="AI11" i="56"/>
  <c r="D12" i="56"/>
  <c r="E12" i="56"/>
  <c r="L12" i="56"/>
  <c r="M12" i="56"/>
  <c r="N12" i="56"/>
  <c r="O12" i="56"/>
  <c r="P12" i="56"/>
  <c r="Q12" i="56"/>
  <c r="R12" i="56" s="1"/>
  <c r="AI12" i="56"/>
  <c r="D13" i="56"/>
  <c r="E13" i="56"/>
  <c r="L13" i="56"/>
  <c r="M13" i="56"/>
  <c r="N13" i="56"/>
  <c r="O13" i="56"/>
  <c r="P13" i="56"/>
  <c r="Q13" i="56"/>
  <c r="R13" i="56" s="1"/>
  <c r="AI13" i="56"/>
  <c r="D14" i="56"/>
  <c r="E14" i="56"/>
  <c r="L14" i="56"/>
  <c r="M14" i="56"/>
  <c r="N14" i="56"/>
  <c r="O14" i="56"/>
  <c r="P14" i="56"/>
  <c r="Q14" i="56"/>
  <c r="AI14" i="56"/>
  <c r="D15" i="56"/>
  <c r="E15" i="56"/>
  <c r="L15" i="56"/>
  <c r="M15" i="56"/>
  <c r="N15" i="56"/>
  <c r="O15" i="56"/>
  <c r="P15" i="56"/>
  <c r="Q15" i="56"/>
  <c r="R15" i="56" s="1"/>
  <c r="AI15" i="56"/>
  <c r="D16" i="56"/>
  <c r="E16" i="56"/>
  <c r="L16" i="56"/>
  <c r="M16" i="56"/>
  <c r="N16" i="56"/>
  <c r="O16" i="56"/>
  <c r="P16" i="56"/>
  <c r="Q16" i="56"/>
  <c r="R16" i="56" s="1"/>
  <c r="AI16" i="56"/>
  <c r="D17" i="56"/>
  <c r="E17" i="56"/>
  <c r="L17" i="56"/>
  <c r="M17" i="56"/>
  <c r="N17" i="56"/>
  <c r="O17" i="56"/>
  <c r="P17" i="56"/>
  <c r="Q17" i="56"/>
  <c r="AI17" i="56"/>
  <c r="D18" i="56"/>
  <c r="E18" i="56"/>
  <c r="L18" i="56"/>
  <c r="M18" i="56"/>
  <c r="N18" i="56"/>
  <c r="O18" i="56"/>
  <c r="P18" i="56"/>
  <c r="Q18" i="56"/>
  <c r="R18" i="56" s="1"/>
  <c r="AI18" i="56"/>
  <c r="D19" i="56"/>
  <c r="E19" i="56"/>
  <c r="L19" i="56"/>
  <c r="M19" i="56"/>
  <c r="N19" i="56"/>
  <c r="O19" i="56"/>
  <c r="P19" i="56"/>
  <c r="Q19" i="56"/>
  <c r="R19" i="56" s="1"/>
  <c r="AI19" i="56"/>
  <c r="D20" i="56"/>
  <c r="E20" i="56"/>
  <c r="L20" i="56"/>
  <c r="M20" i="56"/>
  <c r="N20" i="56"/>
  <c r="O20" i="56"/>
  <c r="P20" i="56"/>
  <c r="Q20" i="56"/>
  <c r="AI20" i="56"/>
  <c r="D21" i="56"/>
  <c r="E21" i="56"/>
  <c r="L21" i="56"/>
  <c r="M21" i="56"/>
  <c r="N21" i="56"/>
  <c r="O21" i="56"/>
  <c r="P21" i="56"/>
  <c r="Q21" i="56"/>
  <c r="AI21" i="56"/>
  <c r="D22" i="56"/>
  <c r="E22" i="56"/>
  <c r="L22" i="56"/>
  <c r="M22" i="56"/>
  <c r="N22" i="56"/>
  <c r="O22" i="56"/>
  <c r="P22" i="56"/>
  <c r="Q22" i="56"/>
  <c r="R22" i="56" s="1"/>
  <c r="AI22" i="56"/>
  <c r="D23" i="56"/>
  <c r="E23" i="56"/>
  <c r="L23" i="56"/>
  <c r="M23" i="56"/>
  <c r="N23" i="56"/>
  <c r="O23" i="56"/>
  <c r="P23" i="56"/>
  <c r="Q23" i="56"/>
  <c r="R23" i="56" s="1"/>
  <c r="AI23" i="56"/>
  <c r="D24" i="56"/>
  <c r="E24" i="56"/>
  <c r="L24" i="56"/>
  <c r="M24" i="56"/>
  <c r="N24" i="56"/>
  <c r="O24" i="56"/>
  <c r="P24" i="56"/>
  <c r="Q24" i="56"/>
  <c r="R24" i="56" s="1"/>
  <c r="AI24" i="56"/>
  <c r="D25" i="56"/>
  <c r="E25" i="56"/>
  <c r="L25" i="56"/>
  <c r="M25" i="56"/>
  <c r="N25" i="56"/>
  <c r="O25" i="56"/>
  <c r="P25" i="56"/>
  <c r="Q25" i="56"/>
  <c r="R25" i="56" s="1"/>
  <c r="AI25" i="56"/>
  <c r="D26" i="56"/>
  <c r="E26" i="56"/>
  <c r="L26" i="56"/>
  <c r="M26" i="56"/>
  <c r="N26" i="56"/>
  <c r="O26" i="56"/>
  <c r="P26" i="56"/>
  <c r="Q26" i="56"/>
  <c r="R26" i="56" s="1"/>
  <c r="AI26" i="56"/>
  <c r="D27" i="56"/>
  <c r="E27" i="56"/>
  <c r="L27" i="56"/>
  <c r="M27" i="56"/>
  <c r="N27" i="56"/>
  <c r="O27" i="56"/>
  <c r="P27" i="56"/>
  <c r="Q27" i="56"/>
  <c r="R27" i="56" s="1"/>
  <c r="AI27" i="56"/>
  <c r="D28" i="56"/>
  <c r="E28" i="56"/>
  <c r="L28" i="56"/>
  <c r="M28" i="56"/>
  <c r="N28" i="56"/>
  <c r="O28" i="56"/>
  <c r="P28" i="56"/>
  <c r="Q28" i="56"/>
  <c r="AI28" i="56"/>
  <c r="D29" i="56"/>
  <c r="E29" i="56"/>
  <c r="L29" i="56"/>
  <c r="M29" i="56"/>
  <c r="N29" i="56"/>
  <c r="O29" i="56"/>
  <c r="P29" i="56"/>
  <c r="Q29" i="56"/>
  <c r="R29" i="56" s="1"/>
  <c r="AI29" i="56"/>
  <c r="D30" i="56"/>
  <c r="E30" i="56"/>
  <c r="L30" i="56"/>
  <c r="M30" i="56"/>
  <c r="N30" i="56"/>
  <c r="O30" i="56"/>
  <c r="P30" i="56"/>
  <c r="Q30" i="56"/>
  <c r="R30" i="56" s="1"/>
  <c r="AI30" i="56"/>
  <c r="D31" i="56"/>
  <c r="E31" i="56"/>
  <c r="L31" i="56"/>
  <c r="M31" i="56"/>
  <c r="N31" i="56"/>
  <c r="O31" i="56"/>
  <c r="P31" i="56"/>
  <c r="Q31" i="56"/>
  <c r="AI31" i="56"/>
  <c r="D32" i="56"/>
  <c r="E32" i="56"/>
  <c r="L32" i="56"/>
  <c r="M32" i="56"/>
  <c r="N32" i="56"/>
  <c r="O32" i="56"/>
  <c r="P32" i="56"/>
  <c r="Q32" i="56"/>
  <c r="R32" i="56" s="1"/>
  <c r="AI32" i="56"/>
  <c r="D33" i="56"/>
  <c r="E33" i="56"/>
  <c r="L33" i="56"/>
  <c r="M33" i="56"/>
  <c r="N33" i="56"/>
  <c r="O33" i="56"/>
  <c r="P33" i="56"/>
  <c r="Q33" i="56"/>
  <c r="R33" i="56" s="1"/>
  <c r="AI33" i="56"/>
  <c r="D34" i="56"/>
  <c r="E34" i="56"/>
  <c r="L34" i="56"/>
  <c r="M34" i="56"/>
  <c r="N34" i="56"/>
  <c r="O34" i="56"/>
  <c r="P34" i="56"/>
  <c r="Q34" i="56"/>
  <c r="R34" i="56" s="1"/>
  <c r="AI34" i="56"/>
  <c r="D35" i="56"/>
  <c r="E35" i="56"/>
  <c r="L35" i="56"/>
  <c r="M35" i="56"/>
  <c r="N35" i="56"/>
  <c r="O35" i="56"/>
  <c r="P35" i="56"/>
  <c r="Q35" i="56"/>
  <c r="AI35" i="56"/>
  <c r="D36" i="56"/>
  <c r="E36" i="56"/>
  <c r="L36" i="56"/>
  <c r="M36" i="56"/>
  <c r="N36" i="56"/>
  <c r="O36" i="56"/>
  <c r="P36" i="56"/>
  <c r="Q36" i="56"/>
  <c r="AI36" i="56"/>
  <c r="D37" i="56"/>
  <c r="E37" i="56"/>
  <c r="L37" i="56"/>
  <c r="M37" i="56"/>
  <c r="N37" i="56"/>
  <c r="O37" i="56"/>
  <c r="P37" i="56"/>
  <c r="Q37" i="56"/>
  <c r="AI37" i="56"/>
  <c r="D38" i="56"/>
  <c r="E38" i="56"/>
  <c r="L38" i="56"/>
  <c r="M38" i="56"/>
  <c r="N38" i="56"/>
  <c r="O38" i="56"/>
  <c r="P38" i="56"/>
  <c r="Q38" i="56"/>
  <c r="AI38" i="56"/>
  <c r="D39" i="56"/>
  <c r="E39" i="56"/>
  <c r="L39" i="56"/>
  <c r="M39" i="56"/>
  <c r="N39" i="56"/>
  <c r="O39" i="56"/>
  <c r="P39" i="56"/>
  <c r="Q39" i="56"/>
  <c r="R39" i="56" s="1"/>
  <c r="AI39" i="56"/>
  <c r="D40" i="56"/>
  <c r="E40" i="56"/>
  <c r="L40" i="56"/>
  <c r="M40" i="56"/>
  <c r="N40" i="56"/>
  <c r="O40" i="56"/>
  <c r="P40" i="56"/>
  <c r="Q40" i="56"/>
  <c r="R40" i="56" s="1"/>
  <c r="AI40" i="56"/>
  <c r="D41" i="56"/>
  <c r="E41" i="56"/>
  <c r="L41" i="56"/>
  <c r="M41" i="56"/>
  <c r="N41" i="56"/>
  <c r="O41" i="56"/>
  <c r="P41" i="56"/>
  <c r="Q41" i="56"/>
  <c r="AI41" i="56"/>
  <c r="D42" i="56"/>
  <c r="E42" i="56"/>
  <c r="L42" i="56"/>
  <c r="M42" i="56"/>
  <c r="N42" i="56"/>
  <c r="O42" i="56"/>
  <c r="P42" i="56"/>
  <c r="Q42" i="56"/>
  <c r="AI42" i="56"/>
  <c r="AP64" i="32"/>
  <c r="AP3" i="32"/>
  <c r="AP4" i="32"/>
  <c r="AP5" i="32"/>
  <c r="AP7" i="32"/>
  <c r="AP8" i="32"/>
  <c r="AP9" i="32"/>
  <c r="AP10" i="32"/>
  <c r="AP11" i="32"/>
  <c r="AP13" i="32"/>
  <c r="AL64" i="32"/>
  <c r="AL3" i="32"/>
  <c r="AL4" i="32"/>
  <c r="AL5" i="32"/>
  <c r="AL7" i="32"/>
  <c r="AL8" i="32"/>
  <c r="AL9" i="32"/>
  <c r="AL10" i="32"/>
  <c r="AL11" i="32"/>
  <c r="AL13" i="32"/>
  <c r="AH64" i="32"/>
  <c r="AI14" i="9"/>
  <c r="AL93" i="9"/>
  <c r="AH93" i="9"/>
  <c r="AK546" i="56" l="1"/>
  <c r="AD546" i="56"/>
  <c r="AE546" i="56" s="1"/>
  <c r="AC546" i="56"/>
  <c r="AF437" i="56" a="1"/>
  <c r="AF437" i="56" s="1"/>
  <c r="AF486" i="56" a="1"/>
  <c r="AF486" i="56" s="1"/>
  <c r="AF166" i="56" a="1"/>
  <c r="AF166" i="56" s="1"/>
  <c r="AF338" i="56" a="1"/>
  <c r="AF338" i="56" s="1"/>
  <c r="AF316" i="56" a="1"/>
  <c r="AF316" i="56" s="1"/>
  <c r="AF456" i="56" a="1"/>
  <c r="AF456" i="56" s="1"/>
  <c r="AF488" i="56" a="1"/>
  <c r="AF488" i="56" s="1"/>
  <c r="AF466" i="56" a="1"/>
  <c r="AF466" i="56" s="1"/>
  <c r="AF405" i="56" a="1"/>
  <c r="AF405" i="56" s="1"/>
  <c r="AF37" i="56" a="1"/>
  <c r="AF37" i="56" s="1"/>
  <c r="AF15" i="56" a="1"/>
  <c r="AF15" i="56" s="1"/>
  <c r="AF68" i="56" a="1"/>
  <c r="AF68" i="56" s="1"/>
  <c r="AF186" i="56" a="1"/>
  <c r="AF186" i="56" s="1"/>
  <c r="AF196" i="56" a="1"/>
  <c r="AF196" i="56" s="1"/>
  <c r="AF331" i="56" a="1"/>
  <c r="AF331" i="56" s="1"/>
  <c r="AF272" i="56" a="1"/>
  <c r="AF272" i="56" s="1"/>
  <c r="AF390" i="56" a="1"/>
  <c r="AF390" i="56" s="1"/>
  <c r="AF107" i="56" a="1"/>
  <c r="AF107" i="56" s="1"/>
  <c r="AF375" i="56" a="1"/>
  <c r="AF375" i="56" s="1"/>
  <c r="AF407" i="56" a="1"/>
  <c r="AF407" i="56" s="1"/>
  <c r="AF525" i="56" a="1"/>
  <c r="AF525" i="56" s="1"/>
  <c r="AF17" i="56" a="1"/>
  <c r="AF17" i="56" s="1"/>
  <c r="AF156" i="56" a="1"/>
  <c r="AF156" i="56" s="1"/>
  <c r="AF188" i="56" a="1"/>
  <c r="AF188" i="56" s="1"/>
  <c r="AF306" i="56" a="1"/>
  <c r="AF306" i="56" s="1"/>
  <c r="AF97" i="56" a="1"/>
  <c r="AF97" i="56" s="1"/>
  <c r="AF151" i="56" a="1"/>
  <c r="AF151" i="56" s="1"/>
  <c r="AF247" i="56" a="1"/>
  <c r="AF247" i="56" s="1"/>
  <c r="AF301" i="56" a="1"/>
  <c r="AF301" i="56" s="1"/>
  <c r="AF397" i="56" a="1"/>
  <c r="AF397" i="56" s="1"/>
  <c r="AF451" i="56" a="1"/>
  <c r="AF451" i="56" s="1"/>
  <c r="AF540" i="56" a="1"/>
  <c r="AF540" i="56" s="1"/>
  <c r="AF422" i="56" a="1"/>
  <c r="AF422" i="56" s="1"/>
  <c r="AF218" i="56" a="1"/>
  <c r="AF218" i="56" s="1"/>
  <c r="AF90" i="56" a="1"/>
  <c r="AF90" i="56" s="1"/>
  <c r="AF75" i="56" a="1"/>
  <c r="AF75" i="56" s="1"/>
  <c r="AF225" i="56" a="1"/>
  <c r="AF225" i="56" s="1"/>
  <c r="AF257" i="56" a="1"/>
  <c r="AF257" i="56" s="1"/>
  <c r="AF7" i="56" a="1"/>
  <c r="AF7" i="56" s="1"/>
  <c r="AF60" i="56" a="1"/>
  <c r="AF60" i="56" s="1"/>
  <c r="AF92" i="56" a="1"/>
  <c r="AF92" i="56" s="1"/>
  <c r="AF210" i="56" a="1"/>
  <c r="AF210" i="56" s="1"/>
  <c r="AF242" i="56" a="1"/>
  <c r="AF242" i="56" s="1"/>
  <c r="AF360" i="56" a="1"/>
  <c r="AF360" i="56" s="1"/>
  <c r="AF392" i="56" a="1"/>
  <c r="AF392" i="56" s="1"/>
  <c r="AF77" i="56" a="1"/>
  <c r="AF77" i="56" s="1"/>
  <c r="AF227" i="56" a="1"/>
  <c r="AF227" i="56" s="1"/>
  <c r="AF345" i="56" a="1"/>
  <c r="AF345" i="56" s="1"/>
  <c r="AF377" i="56" a="1"/>
  <c r="AF377" i="56" s="1"/>
  <c r="AF368" i="56" a="1"/>
  <c r="AF368" i="56" s="1"/>
  <c r="AF217" i="56" a="1"/>
  <c r="AF217" i="56" s="1"/>
  <c r="AF195" i="56" a="1"/>
  <c r="AF195" i="56" s="1"/>
  <c r="AF367" i="56" a="1"/>
  <c r="AF367" i="56" s="1"/>
  <c r="AF421" i="56" a="1"/>
  <c r="AF421" i="56" s="1"/>
  <c r="AF181" i="56" a="1"/>
  <c r="AF181" i="56" s="1"/>
  <c r="AF427" i="56" a="1"/>
  <c r="AF427" i="56" s="1"/>
  <c r="AF481" i="56" a="1"/>
  <c r="AF481" i="56" s="1"/>
  <c r="AF308" i="56" a="1"/>
  <c r="AF308" i="56" s="1"/>
  <c r="AF286" i="56" a="1"/>
  <c r="AF286" i="56" s="1"/>
  <c r="AF62" i="56" a="1"/>
  <c r="AF62" i="56" s="1"/>
  <c r="AF180" i="56" a="1"/>
  <c r="AF180" i="56" s="1"/>
  <c r="AF271" i="56" a="1"/>
  <c r="AF271" i="56" s="1"/>
  <c r="AF497" i="56" a="1"/>
  <c r="AF497" i="56" s="1"/>
  <c r="AF518" i="56" a="1"/>
  <c r="AF518" i="56" s="1"/>
  <c r="AF255" i="56" a="1"/>
  <c r="AF255" i="56" s="1"/>
  <c r="AF426" i="56" a="1"/>
  <c r="AF426" i="56" s="1"/>
  <c r="AF256" i="56" a="1"/>
  <c r="AF256" i="56" s="1"/>
  <c r="AF105" i="56" a="1"/>
  <c r="AF105" i="56" s="1"/>
  <c r="AF277" i="56" a="1"/>
  <c r="AF277" i="56" s="1"/>
  <c r="AF136" i="56" a="1"/>
  <c r="AF136" i="56" s="1"/>
  <c r="AF36" i="56" a="1"/>
  <c r="AF36" i="56" s="1"/>
  <c r="AF31" i="56" a="1"/>
  <c r="AF31" i="56" s="1"/>
  <c r="AF126" i="56" a="1"/>
  <c r="AF126" i="56" s="1"/>
  <c r="AF158" i="56" a="1"/>
  <c r="AF158" i="56" s="1"/>
  <c r="AF276" i="56" a="1"/>
  <c r="AF276" i="56" s="1"/>
  <c r="AF106" i="56" a="1"/>
  <c r="AF106" i="56" s="1"/>
  <c r="AF287" i="56" a="1"/>
  <c r="AF287" i="56" s="1"/>
  <c r="AF336" i="56" a="1"/>
  <c r="AF336" i="56" s="1"/>
  <c r="AF458" i="56" a="1"/>
  <c r="AF458" i="56" s="1"/>
  <c r="AF436" i="56" a="1"/>
  <c r="AF436" i="56" s="1"/>
  <c r="AF362" i="56" a="1"/>
  <c r="AF362" i="56" s="1"/>
  <c r="AF480" i="56" a="1"/>
  <c r="AF480" i="56" s="1"/>
  <c r="AF406" i="56" a="1"/>
  <c r="AF406" i="56" s="1"/>
  <c r="AF47" i="56" a="1"/>
  <c r="AF47" i="56" s="1"/>
  <c r="AF187" i="56" a="1"/>
  <c r="AF187" i="56" s="1"/>
  <c r="AF165" i="56" a="1"/>
  <c r="AF165" i="56" s="1"/>
  <c r="AF137" i="56" a="1"/>
  <c r="AF137" i="56" s="1"/>
  <c r="AF46" i="56" a="1"/>
  <c r="AF46" i="56" s="1"/>
  <c r="AF32" i="56" a="1"/>
  <c r="AF32" i="56" s="1"/>
  <c r="AF127" i="56" a="1"/>
  <c r="AF127" i="56" s="1"/>
  <c r="AF240" i="56" a="1"/>
  <c r="AF240" i="56" s="1"/>
  <c r="AF67" i="56" a="1"/>
  <c r="AF67" i="56" s="1"/>
  <c r="AF45" i="56" a="1"/>
  <c r="AF45" i="56" s="1"/>
  <c r="AF212" i="56" a="1"/>
  <c r="AF212" i="56" s="1"/>
  <c r="AF330" i="56" a="1"/>
  <c r="AF330" i="56" s="1"/>
  <c r="AF512" i="56" a="1"/>
  <c r="AF512" i="56" s="1"/>
  <c r="AF38" i="56" a="1"/>
  <c r="AF38" i="56" s="1"/>
  <c r="AF16" i="56" a="1"/>
  <c r="AF16" i="56" s="1"/>
  <c r="AF197" i="56" a="1"/>
  <c r="AF197" i="56" s="1"/>
  <c r="AF510" i="56" a="1"/>
  <c r="AF510" i="56" s="1"/>
  <c r="AF495" i="56" a="1"/>
  <c r="AF495" i="56" s="1"/>
  <c r="AF527" i="56" a="1"/>
  <c r="AF527" i="56" s="1"/>
  <c r="AF517" i="56" a="1"/>
  <c r="AF517" i="56" s="1"/>
  <c r="AF542" i="56" a="1"/>
  <c r="AF542" i="56" s="1"/>
  <c r="AF487" i="56" a="1"/>
  <c r="AF487" i="56" s="1"/>
  <c r="AF465" i="56" a="1"/>
  <c r="AF465" i="56" s="1"/>
  <c r="AF526" i="56" a="1"/>
  <c r="AF526" i="56" s="1"/>
  <c r="AF332" i="56" a="1"/>
  <c r="AF332" i="56" s="1"/>
  <c r="AF6" i="56" a="1"/>
  <c r="AF6" i="56" s="1"/>
  <c r="AF337" i="56" a="1"/>
  <c r="AF337" i="56" s="1"/>
  <c r="AF315" i="56" a="1"/>
  <c r="AF315" i="56" s="1"/>
  <c r="AF347" i="56" a="1"/>
  <c r="AF347" i="56" s="1"/>
  <c r="AF150" i="56" a="1"/>
  <c r="AF150" i="56" s="1"/>
  <c r="AF128" i="56" a="1"/>
  <c r="AF128" i="56" s="1"/>
  <c r="AF182" i="56" a="1"/>
  <c r="AF182" i="56" s="1"/>
  <c r="AF246" i="56" a="1"/>
  <c r="AF246" i="56" s="1"/>
  <c r="AF300" i="56" a="1"/>
  <c r="AF300" i="56" s="1"/>
  <c r="AF396" i="56" a="1"/>
  <c r="AF396" i="56" s="1"/>
  <c r="AF450" i="56" a="1"/>
  <c r="AF450" i="56" s="1"/>
  <c r="AF482" i="56" a="1"/>
  <c r="AF482" i="56" s="1"/>
  <c r="AF391" i="56" a="1"/>
  <c r="AF391" i="56" s="1"/>
  <c r="AF226" i="56" a="1"/>
  <c r="AF226" i="56" s="1"/>
  <c r="AF376" i="56" a="1"/>
  <c r="AF376" i="56" s="1"/>
  <c r="AF307" i="56" a="1"/>
  <c r="AF307" i="56" s="1"/>
  <c r="AF285" i="56" a="1"/>
  <c r="AF285" i="56" s="1"/>
  <c r="AF317" i="56" a="1"/>
  <c r="AF317" i="56" s="1"/>
  <c r="AF457" i="56" a="1"/>
  <c r="AF457" i="56" s="1"/>
  <c r="AF435" i="56" a="1"/>
  <c r="AF435" i="56" s="1"/>
  <c r="AF467" i="56" a="1"/>
  <c r="AF467" i="56" s="1"/>
  <c r="AF98" i="56" a="1"/>
  <c r="AF98" i="56" s="1"/>
  <c r="AF516" i="56" a="1"/>
  <c r="AF516" i="56" s="1"/>
  <c r="AF541" i="56" a="1"/>
  <c r="AF541" i="56" s="1"/>
  <c r="AF96" i="56" a="1"/>
  <c r="AF96" i="56" s="1"/>
  <c r="AF278" i="56" a="1"/>
  <c r="AF278" i="56" s="1"/>
  <c r="AF428" i="56" a="1"/>
  <c r="AF428" i="56" s="1"/>
  <c r="AF91" i="56" a="1"/>
  <c r="AF91" i="56" s="1"/>
  <c r="AF241" i="56" a="1"/>
  <c r="AF241" i="56" s="1"/>
  <c r="AF76" i="56" a="1"/>
  <c r="AF76" i="56" s="1"/>
  <c r="AF135" i="56" a="1"/>
  <c r="AF135" i="56" s="1"/>
  <c r="AF167" i="56" a="1"/>
  <c r="AF167" i="56" s="1"/>
  <c r="AF66" i="56" a="1"/>
  <c r="AF66" i="56" s="1"/>
  <c r="AF152" i="56" a="1"/>
  <c r="AF152" i="56" s="1"/>
  <c r="AF216" i="56" a="1"/>
  <c r="AF216" i="56" s="1"/>
  <c r="AF270" i="56" a="1"/>
  <c r="AF270" i="56" s="1"/>
  <c r="AF248" i="56" a="1"/>
  <c r="AF248" i="56" s="1"/>
  <c r="AF302" i="56" a="1"/>
  <c r="AF302" i="56" s="1"/>
  <c r="AF366" i="56" a="1"/>
  <c r="AF366" i="56" s="1"/>
  <c r="AF420" i="56" a="1"/>
  <c r="AF420" i="56" s="1"/>
  <c r="AF398" i="56" a="1"/>
  <c r="AF398" i="56" s="1"/>
  <c r="AF452" i="56" a="1"/>
  <c r="AF452" i="56" s="1"/>
  <c r="AF30" i="56" a="1"/>
  <c r="AF30" i="56" s="1"/>
  <c r="AF8" i="56" a="1"/>
  <c r="AF8" i="56" s="1"/>
  <c r="AF61" i="56" a="1"/>
  <c r="AF61" i="56" s="1"/>
  <c r="AF157" i="56" a="1"/>
  <c r="AF157" i="56" s="1"/>
  <c r="AF211" i="56" a="1"/>
  <c r="AF211" i="56" s="1"/>
  <c r="AF361" i="56" a="1"/>
  <c r="AF361" i="56" s="1"/>
  <c r="AF511" i="56" a="1"/>
  <c r="AF511" i="56" s="1"/>
  <c r="AF346" i="56" a="1"/>
  <c r="AF346" i="56" s="1"/>
  <c r="AF496" i="56" a="1"/>
  <c r="AF496" i="56" s="1"/>
  <c r="R21" i="56"/>
  <c r="R149" i="56"/>
  <c r="R201" i="56"/>
  <c r="R328" i="56"/>
  <c r="R429" i="56"/>
  <c r="R528" i="56"/>
  <c r="R323" i="56"/>
  <c r="R75" i="56"/>
  <c r="R154" i="56"/>
  <c r="R55" i="56"/>
  <c r="R142" i="56"/>
  <c r="R281" i="56"/>
  <c r="R45" i="56"/>
  <c r="R499" i="56"/>
  <c r="R432" i="56"/>
  <c r="R17" i="56"/>
  <c r="R534" i="56"/>
  <c r="R187" i="56"/>
  <c r="R321" i="56"/>
  <c r="R209" i="56"/>
  <c r="R303" i="56"/>
  <c r="R78" i="56"/>
  <c r="R100" i="56"/>
  <c r="R539" i="56"/>
  <c r="R169" i="56"/>
  <c r="R224" i="56"/>
  <c r="R194" i="56"/>
  <c r="R366" i="56"/>
  <c r="R462" i="56"/>
  <c r="R52" i="56"/>
  <c r="R409" i="56"/>
  <c r="R6" i="56"/>
  <c r="R54" i="56"/>
  <c r="R113" i="56"/>
  <c r="R168" i="56"/>
  <c r="R486" i="56"/>
  <c r="R282" i="56"/>
  <c r="R404" i="56"/>
  <c r="R131" i="56"/>
  <c r="R536" i="56"/>
  <c r="R300" i="56"/>
  <c r="R358" i="56"/>
  <c r="R367" i="56"/>
  <c r="R542" i="56"/>
  <c r="R204" i="56"/>
  <c r="R38" i="56"/>
  <c r="R9" i="56"/>
  <c r="R119" i="56"/>
  <c r="R248" i="56"/>
  <c r="R436" i="56"/>
  <c r="R544" i="56"/>
  <c r="R448" i="56"/>
  <c r="R59" i="56"/>
  <c r="R304" i="56"/>
  <c r="R385" i="56"/>
  <c r="R452" i="56"/>
  <c r="R437" i="56"/>
  <c r="R522" i="56"/>
  <c r="R61" i="56"/>
  <c r="R302" i="56"/>
  <c r="R185" i="56"/>
  <c r="R181" i="56"/>
  <c r="R441" i="56"/>
  <c r="R250" i="56"/>
  <c r="R296" i="56"/>
  <c r="R492" i="56"/>
  <c r="R35" i="56"/>
  <c r="R117" i="56"/>
  <c r="R115" i="56"/>
  <c r="R89" i="56"/>
  <c r="R134" i="56"/>
  <c r="R93" i="56"/>
  <c r="R203" i="56"/>
  <c r="R279" i="56"/>
  <c r="R545" i="56"/>
  <c r="R118" i="56"/>
  <c r="R369" i="56"/>
  <c r="R474" i="56"/>
  <c r="R172" i="56"/>
  <c r="R242" i="56"/>
  <c r="R121" i="56"/>
  <c r="R88" i="56"/>
  <c r="R274" i="56"/>
  <c r="R80" i="56"/>
  <c r="R72" i="56"/>
  <c r="R91" i="56"/>
  <c r="R232" i="56"/>
  <c r="R316" i="56"/>
  <c r="R166" i="56"/>
  <c r="R160" i="56"/>
  <c r="R222" i="56"/>
  <c r="R286" i="56"/>
  <c r="R383" i="56"/>
  <c r="R98" i="56"/>
  <c r="R186" i="56"/>
  <c r="R276" i="56"/>
  <c r="R213" i="56"/>
  <c r="R261" i="56"/>
  <c r="R241" i="56"/>
  <c r="R306" i="56"/>
  <c r="R263" i="56"/>
  <c r="R290" i="56"/>
  <c r="R215" i="56"/>
  <c r="R31" i="56"/>
  <c r="R50" i="56"/>
  <c r="R96" i="56"/>
  <c r="R191" i="56"/>
  <c r="R42" i="56"/>
  <c r="R280" i="56"/>
  <c r="R36" i="56"/>
  <c r="R8" i="56"/>
  <c r="R73" i="56"/>
  <c r="R124" i="56"/>
  <c r="R120" i="56"/>
  <c r="R236" i="56"/>
  <c r="R327" i="56"/>
  <c r="R70" i="56"/>
  <c r="R110" i="56"/>
  <c r="R87" i="56"/>
  <c r="R146" i="56"/>
  <c r="R189" i="56"/>
  <c r="R227" i="56"/>
  <c r="R219" i="56"/>
  <c r="R353" i="56"/>
  <c r="R66" i="56"/>
  <c r="R62" i="56"/>
  <c r="R46" i="56"/>
  <c r="R44" i="56"/>
  <c r="R126" i="56"/>
  <c r="R200" i="56"/>
  <c r="R167" i="56"/>
  <c r="R270" i="56"/>
  <c r="R341" i="56"/>
  <c r="R106" i="56"/>
  <c r="R251" i="56"/>
  <c r="R129" i="56"/>
  <c r="R159" i="56"/>
  <c r="R153" i="56"/>
  <c r="R60" i="56"/>
  <c r="R53" i="56"/>
  <c r="R71" i="56"/>
  <c r="R152" i="56"/>
  <c r="R20" i="56"/>
  <c r="R14" i="56"/>
  <c r="R90" i="56"/>
  <c r="R163" i="56"/>
  <c r="R28" i="56"/>
  <c r="R7" i="56"/>
  <c r="R49" i="56"/>
  <c r="R83" i="56"/>
  <c r="R132" i="56"/>
  <c r="R192" i="56"/>
  <c r="R57" i="56"/>
  <c r="R247" i="56"/>
  <c r="R339" i="56"/>
  <c r="R231" i="56"/>
  <c r="R218" i="56"/>
  <c r="R268" i="56"/>
  <c r="R417" i="56"/>
  <c r="R180" i="56"/>
  <c r="R197" i="56"/>
  <c r="R301" i="56"/>
  <c r="R431" i="56"/>
  <c r="R272" i="56"/>
  <c r="R319" i="56"/>
  <c r="R299" i="56"/>
  <c r="R143" i="56"/>
  <c r="R170" i="56"/>
  <c r="R225" i="56"/>
  <c r="R256" i="56"/>
  <c r="R458" i="56"/>
  <c r="R378" i="56"/>
  <c r="R453" i="56"/>
  <c r="R416" i="56"/>
  <c r="R363" i="56"/>
  <c r="R171" i="56"/>
  <c r="R307" i="56"/>
  <c r="R111" i="56"/>
  <c r="R136" i="56"/>
  <c r="R235" i="56"/>
  <c r="R359" i="56"/>
  <c r="R125" i="56"/>
  <c r="R326" i="56"/>
  <c r="R324" i="56"/>
  <c r="R315" i="56"/>
  <c r="R440" i="56"/>
  <c r="R497" i="56"/>
  <c r="R309" i="56"/>
  <c r="R376" i="56"/>
  <c r="R491" i="56"/>
  <c r="R421" i="56"/>
  <c r="R278" i="56"/>
  <c r="R381" i="56"/>
  <c r="R371" i="56"/>
  <c r="R356" i="56"/>
  <c r="R478" i="56"/>
  <c r="R472" i="56"/>
  <c r="R283" i="56"/>
  <c r="R375" i="56"/>
  <c r="R345" i="56"/>
  <c r="R408" i="56"/>
  <c r="R498" i="56"/>
  <c r="R391" i="56"/>
  <c r="R308" i="56"/>
  <c r="R418" i="56"/>
  <c r="R402" i="56"/>
  <c r="R332" i="56"/>
  <c r="R214" i="56"/>
  <c r="R257" i="56"/>
  <c r="R346" i="56"/>
  <c r="R334" i="56"/>
  <c r="R426" i="56"/>
  <c r="R424" i="56"/>
  <c r="R493" i="56"/>
  <c r="R526" i="56"/>
  <c r="R508" i="56"/>
  <c r="R516" i="56"/>
  <c r="R342" i="56"/>
  <c r="R364" i="56"/>
  <c r="R470" i="56"/>
  <c r="R354" i="56"/>
  <c r="R347" i="56"/>
  <c r="R480" i="56"/>
  <c r="R475" i="56"/>
  <c r="R454" i="56"/>
  <c r="R457" i="56"/>
  <c r="R442" i="56"/>
  <c r="R489" i="56"/>
  <c r="R355" i="56"/>
  <c r="R513" i="56"/>
  <c r="R455" i="56"/>
  <c r="R485" i="56"/>
  <c r="R422" i="56"/>
  <c r="R438" i="56"/>
  <c r="R481" i="56"/>
  <c r="R467" i="56"/>
  <c r="R530" i="56"/>
  <c r="R361" i="56"/>
  <c r="R397" i="56"/>
  <c r="R403" i="56"/>
  <c r="R388" i="56"/>
  <c r="R518" i="56"/>
  <c r="R461" i="56"/>
  <c r="R509" i="56"/>
  <c r="R459" i="56"/>
  <c r="R433" i="56"/>
  <c r="R425" i="56"/>
  <c r="R439" i="56"/>
  <c r="R466" i="56"/>
  <c r="R535" i="56"/>
  <c r="R541" i="56"/>
  <c r="R515" i="56"/>
  <c r="R525" i="56"/>
  <c r="R503" i="56"/>
  <c r="R464" i="56"/>
  <c r="R484" i="56"/>
  <c r="R487" i="56"/>
  <c r="R465" i="56"/>
  <c r="R428" i="56"/>
  <c r="R427" i="56"/>
  <c r="R456" i="56"/>
  <c r="R450" i="56"/>
  <c r="R449" i="56"/>
  <c r="R434" i="56"/>
  <c r="R415" i="56"/>
  <c r="R412" i="56"/>
  <c r="R420" i="56"/>
  <c r="R395" i="56"/>
  <c r="R392" i="56"/>
  <c r="R405" i="56"/>
  <c r="R414" i="56"/>
  <c r="R393" i="56"/>
  <c r="R411" i="56"/>
  <c r="R389" i="56"/>
  <c r="R372" i="56"/>
  <c r="R370" i="56"/>
  <c r="R365" i="56"/>
  <c r="R350" i="56"/>
  <c r="R380" i="56"/>
  <c r="R384" i="56"/>
  <c r="R373" i="56"/>
  <c r="R351" i="56"/>
  <c r="R320" i="56"/>
  <c r="R313" i="56"/>
  <c r="R310" i="56"/>
  <c r="R335" i="56"/>
  <c r="R331" i="56"/>
  <c r="R311" i="56"/>
  <c r="R344" i="56"/>
  <c r="R333" i="56"/>
  <c r="R288" i="56"/>
  <c r="R298" i="56"/>
  <c r="R297" i="56"/>
  <c r="R275" i="56"/>
  <c r="R294" i="56"/>
  <c r="R266" i="56"/>
  <c r="R260" i="56"/>
  <c r="R259" i="56"/>
  <c r="R237" i="56"/>
  <c r="R238" i="56"/>
  <c r="R267" i="56"/>
  <c r="R199" i="56"/>
  <c r="R221" i="56"/>
  <c r="R162" i="56"/>
  <c r="R183" i="56"/>
  <c r="R184" i="56"/>
  <c r="R161" i="56"/>
  <c r="R122" i="56"/>
  <c r="R123" i="56"/>
  <c r="R145" i="56"/>
  <c r="R94" i="56"/>
  <c r="R85" i="56"/>
  <c r="R107" i="56"/>
  <c r="R103" i="56"/>
  <c r="R81" i="56"/>
  <c r="R56" i="56"/>
  <c r="R65" i="56"/>
  <c r="R43" i="56"/>
  <c r="R47" i="56"/>
  <c r="R74" i="56"/>
  <c r="R10" i="56"/>
  <c r="R37" i="56"/>
  <c r="R41" i="56"/>
  <c r="Z4" i="51" l="1"/>
  <c r="Y4" i="51"/>
  <c r="X4" i="51" a="1"/>
  <c r="X4" i="51" s="1"/>
  <c r="W4" i="51"/>
  <c r="Z3" i="51"/>
  <c r="Y3" i="51"/>
  <c r="X3" i="51" a="1"/>
  <c r="X3" i="51" s="1"/>
  <c r="W3" i="51"/>
  <c r="Z2" i="51"/>
  <c r="Y2" i="51"/>
  <c r="X2" i="51" a="1"/>
  <c r="X2" i="51" s="1"/>
  <c r="W2" i="51"/>
  <c r="AK50" i="32"/>
  <c r="AH75" i="32" l="1"/>
  <c r="AP75" i="32"/>
  <c r="AL75" i="32"/>
  <c r="K109" i="51"/>
  <c r="I109" i="51"/>
  <c r="F109" i="51"/>
  <c r="H109" i="51" s="1"/>
  <c r="K108" i="51"/>
  <c r="L108" i="51" s="1"/>
  <c r="I108" i="51"/>
  <c r="F108" i="51"/>
  <c r="H108" i="51" s="1"/>
  <c r="K107" i="51"/>
  <c r="I107" i="51"/>
  <c r="F107" i="51"/>
  <c r="H107" i="51" s="1"/>
  <c r="K106" i="51"/>
  <c r="L106" i="51" s="1"/>
  <c r="I106" i="51"/>
  <c r="F106" i="51"/>
  <c r="H106" i="51" s="1"/>
  <c r="K105" i="51"/>
  <c r="L105" i="51" s="1"/>
  <c r="I105" i="51"/>
  <c r="F105" i="51"/>
  <c r="H105" i="51" s="1"/>
  <c r="K104" i="51"/>
  <c r="I104" i="51"/>
  <c r="F104" i="51"/>
  <c r="H104" i="51" s="1"/>
  <c r="K103" i="51"/>
  <c r="L103" i="51" s="1"/>
  <c r="I103" i="51"/>
  <c r="F103" i="51"/>
  <c r="H103" i="51" s="1"/>
  <c r="K102" i="51"/>
  <c r="L102" i="51" s="1"/>
  <c r="I102" i="51"/>
  <c r="F102" i="51"/>
  <c r="H102" i="51" s="1"/>
  <c r="K101" i="51"/>
  <c r="L101" i="51" s="1"/>
  <c r="I101" i="51"/>
  <c r="F101" i="51"/>
  <c r="H101" i="51" s="1"/>
  <c r="K100" i="51"/>
  <c r="I100" i="51"/>
  <c r="F100" i="51"/>
  <c r="H100" i="51" s="1"/>
  <c r="K99" i="51"/>
  <c r="L99" i="51" s="1"/>
  <c r="I99" i="51"/>
  <c r="F99" i="51"/>
  <c r="H99" i="51" s="1"/>
  <c r="K98" i="51"/>
  <c r="I98" i="51"/>
  <c r="F98" i="51"/>
  <c r="H98" i="51" s="1"/>
  <c r="K97" i="51"/>
  <c r="I97" i="51"/>
  <c r="F97" i="51"/>
  <c r="H97" i="51" s="1"/>
  <c r="K96" i="51"/>
  <c r="I96" i="51"/>
  <c r="F96" i="51"/>
  <c r="H96" i="51" s="1"/>
  <c r="K95" i="51"/>
  <c r="I95" i="51"/>
  <c r="F95" i="51"/>
  <c r="H95" i="51" s="1"/>
  <c r="K94" i="51"/>
  <c r="I94" i="51"/>
  <c r="F94" i="51"/>
  <c r="H94" i="51" s="1"/>
  <c r="K93" i="51"/>
  <c r="I93" i="51"/>
  <c r="F93" i="51"/>
  <c r="H93" i="51" s="1"/>
  <c r="K92" i="51"/>
  <c r="I92" i="51"/>
  <c r="F92" i="51"/>
  <c r="H92" i="51" s="1"/>
  <c r="K91" i="51"/>
  <c r="L91" i="51" s="1"/>
  <c r="I91" i="51"/>
  <c r="F91" i="51"/>
  <c r="H91" i="51" s="1"/>
  <c r="K90" i="51"/>
  <c r="L90" i="51" s="1"/>
  <c r="I90" i="51"/>
  <c r="F90" i="51"/>
  <c r="H90" i="51" s="1"/>
  <c r="K89" i="51"/>
  <c r="I89" i="51"/>
  <c r="F89" i="51"/>
  <c r="H89" i="51" s="1"/>
  <c r="K88" i="51"/>
  <c r="I88" i="51"/>
  <c r="F88" i="51"/>
  <c r="H88" i="51" s="1"/>
  <c r="K87" i="51"/>
  <c r="I87" i="51"/>
  <c r="F87" i="51"/>
  <c r="H87" i="51" s="1"/>
  <c r="K86" i="51"/>
  <c r="L86" i="51" s="1"/>
  <c r="I86" i="51"/>
  <c r="F86" i="51"/>
  <c r="H86" i="51" s="1"/>
  <c r="K85" i="51"/>
  <c r="I85" i="51"/>
  <c r="F85" i="51"/>
  <c r="H85" i="51" s="1"/>
  <c r="K84" i="51"/>
  <c r="I84" i="51"/>
  <c r="F84" i="51"/>
  <c r="H84" i="51" s="1"/>
  <c r="K83" i="51"/>
  <c r="L83" i="51" s="1"/>
  <c r="I83" i="51"/>
  <c r="F83" i="51"/>
  <c r="H83" i="51" s="1"/>
  <c r="K82" i="51"/>
  <c r="L82" i="51" s="1"/>
  <c r="I82" i="51"/>
  <c r="F82" i="51"/>
  <c r="H82" i="51" s="1"/>
  <c r="K81" i="51"/>
  <c r="I81" i="51"/>
  <c r="F81" i="51"/>
  <c r="H81" i="51" s="1"/>
  <c r="K80" i="51"/>
  <c r="L80" i="51" s="1"/>
  <c r="I80" i="51"/>
  <c r="F80" i="51"/>
  <c r="H80" i="51" s="1"/>
  <c r="K79" i="51"/>
  <c r="L79" i="51" s="1"/>
  <c r="I79" i="51"/>
  <c r="F79" i="51"/>
  <c r="H79" i="51" s="1"/>
  <c r="K78" i="51"/>
  <c r="I78" i="51"/>
  <c r="F78" i="51"/>
  <c r="H78" i="51" s="1"/>
  <c r="K77" i="51"/>
  <c r="L77" i="51" s="1"/>
  <c r="I77" i="51"/>
  <c r="F77" i="51"/>
  <c r="H77" i="51" s="1"/>
  <c r="K76" i="51"/>
  <c r="I76" i="51"/>
  <c r="F76" i="51"/>
  <c r="H76" i="51" s="1"/>
  <c r="K75" i="51"/>
  <c r="I75" i="51"/>
  <c r="F75" i="51"/>
  <c r="H75" i="51" s="1"/>
  <c r="K74" i="51"/>
  <c r="I74" i="51"/>
  <c r="F74" i="51"/>
  <c r="H74" i="51" s="1"/>
  <c r="K73" i="51"/>
  <c r="F73" i="51"/>
  <c r="H73" i="51" s="1"/>
  <c r="J73" i="51" s="1"/>
  <c r="K72" i="51"/>
  <c r="L72" i="51" s="1"/>
  <c r="F72" i="51"/>
  <c r="H72" i="51" s="1"/>
  <c r="J72" i="51" s="1"/>
  <c r="K71" i="51"/>
  <c r="L71" i="51" s="1"/>
  <c r="F71" i="51"/>
  <c r="H71" i="51" s="1"/>
  <c r="J71" i="51" s="1"/>
  <c r="K70" i="51"/>
  <c r="L70" i="51" s="1"/>
  <c r="F70" i="51"/>
  <c r="H70" i="51" s="1"/>
  <c r="J70" i="51" s="1"/>
  <c r="K69" i="51"/>
  <c r="F69" i="51"/>
  <c r="H69" i="51" s="1"/>
  <c r="J69" i="51" s="1"/>
  <c r="K68" i="51"/>
  <c r="F68" i="51"/>
  <c r="H68" i="51" s="1"/>
  <c r="J68" i="51" s="1"/>
  <c r="K67" i="51"/>
  <c r="F67" i="51"/>
  <c r="H67" i="51" s="1"/>
  <c r="J67" i="51" s="1"/>
  <c r="K66" i="51"/>
  <c r="L66" i="51" s="1"/>
  <c r="F66" i="51"/>
  <c r="H66" i="51" s="1"/>
  <c r="J66" i="51" s="1"/>
  <c r="K65" i="51"/>
  <c r="L65" i="51" s="1"/>
  <c r="F65" i="51"/>
  <c r="H65" i="51" s="1"/>
  <c r="J65" i="51" s="1"/>
  <c r="K64" i="51"/>
  <c r="L64" i="51" s="1"/>
  <c r="F64" i="51"/>
  <c r="H64" i="51" s="1"/>
  <c r="J64" i="51" s="1"/>
  <c r="K63" i="51"/>
  <c r="F63" i="51"/>
  <c r="H63" i="51" s="1"/>
  <c r="J63" i="51" s="1"/>
  <c r="K62" i="51"/>
  <c r="L62" i="51" s="1"/>
  <c r="F62" i="51"/>
  <c r="H62" i="51" s="1"/>
  <c r="J62" i="51" s="1"/>
  <c r="K61" i="51"/>
  <c r="L61" i="51" s="1"/>
  <c r="F61" i="51"/>
  <c r="H61" i="51" s="1"/>
  <c r="J61" i="51" s="1"/>
  <c r="K60" i="51"/>
  <c r="F60" i="51"/>
  <c r="H60" i="51" s="1"/>
  <c r="J60" i="51" s="1"/>
  <c r="K59" i="51"/>
  <c r="L59" i="51" s="1"/>
  <c r="F59" i="51"/>
  <c r="H59" i="51" s="1"/>
  <c r="J59" i="51" s="1"/>
  <c r="K58" i="51"/>
  <c r="L58" i="51" s="1"/>
  <c r="F58" i="51"/>
  <c r="H58" i="51" s="1"/>
  <c r="J58" i="51" s="1"/>
  <c r="K57" i="51"/>
  <c r="F57" i="51"/>
  <c r="H57" i="51" s="1"/>
  <c r="J57" i="51" s="1"/>
  <c r="K56" i="51"/>
  <c r="F56" i="51"/>
  <c r="H56" i="51" s="1"/>
  <c r="J56" i="51" s="1"/>
  <c r="K55" i="51"/>
  <c r="F55" i="51"/>
  <c r="H55" i="51" s="1"/>
  <c r="J55" i="51" s="1"/>
  <c r="K54" i="51"/>
  <c r="F54" i="51"/>
  <c r="H54" i="51" s="1"/>
  <c r="J54" i="51" s="1"/>
  <c r="K53" i="51"/>
  <c r="F53" i="51"/>
  <c r="H53" i="51" s="1"/>
  <c r="J53" i="51" s="1"/>
  <c r="K52" i="51"/>
  <c r="F52" i="51"/>
  <c r="H52" i="51" s="1"/>
  <c r="J52" i="51" s="1"/>
  <c r="K51" i="51"/>
  <c r="L51" i="51" s="1"/>
  <c r="F51" i="51"/>
  <c r="H51" i="51" s="1"/>
  <c r="J51" i="51" s="1"/>
  <c r="K50" i="51"/>
  <c r="F50" i="51"/>
  <c r="H50" i="51" s="1"/>
  <c r="J50" i="51" s="1"/>
  <c r="K49" i="51"/>
  <c r="F49" i="51"/>
  <c r="H49" i="51" s="1"/>
  <c r="J49" i="51" s="1"/>
  <c r="K48" i="51"/>
  <c r="L48" i="51" s="1"/>
  <c r="F48" i="51"/>
  <c r="H48" i="51" s="1"/>
  <c r="J48" i="51" s="1"/>
  <c r="K47" i="51"/>
  <c r="F47" i="51"/>
  <c r="H47" i="51" s="1"/>
  <c r="J47" i="51" s="1"/>
  <c r="K46" i="51"/>
  <c r="L46" i="51" s="1"/>
  <c r="F46" i="51"/>
  <c r="H46" i="51" s="1"/>
  <c r="J46" i="51" s="1"/>
  <c r="K45" i="51"/>
  <c r="F45" i="51"/>
  <c r="H45" i="51" s="1"/>
  <c r="J45" i="51" s="1"/>
  <c r="K44" i="51"/>
  <c r="F44" i="51"/>
  <c r="H44" i="51" s="1"/>
  <c r="J44" i="51" s="1"/>
  <c r="K43" i="51"/>
  <c r="F43" i="51"/>
  <c r="H43" i="51" s="1"/>
  <c r="J43" i="51" s="1"/>
  <c r="K42" i="51"/>
  <c r="L42" i="51" s="1"/>
  <c r="F42" i="51"/>
  <c r="H42" i="51" s="1"/>
  <c r="J42" i="51" s="1"/>
  <c r="K41" i="51"/>
  <c r="L41" i="51" s="1"/>
  <c r="F41" i="51"/>
  <c r="H41" i="51" s="1"/>
  <c r="J41" i="51" s="1"/>
  <c r="K40" i="51"/>
  <c r="F40" i="51"/>
  <c r="H40" i="51" s="1"/>
  <c r="J40" i="51" s="1"/>
  <c r="K39" i="51"/>
  <c r="L39" i="51" s="1"/>
  <c r="F39" i="51"/>
  <c r="H39" i="51" s="1"/>
  <c r="J39" i="51" s="1"/>
  <c r="K38" i="51"/>
  <c r="F38" i="51"/>
  <c r="H38" i="51" s="1"/>
  <c r="J38" i="51" s="1"/>
  <c r="K37" i="51"/>
  <c r="H37" i="51"/>
  <c r="J37" i="51" s="1"/>
  <c r="K36" i="51"/>
  <c r="H36" i="51"/>
  <c r="J36" i="51" s="1"/>
  <c r="K35" i="51"/>
  <c r="L35" i="51" s="1"/>
  <c r="H35" i="51"/>
  <c r="J35" i="51" s="1"/>
  <c r="K34" i="51"/>
  <c r="H34" i="51"/>
  <c r="J34" i="51" s="1"/>
  <c r="K33" i="51"/>
  <c r="L33" i="51" s="1"/>
  <c r="H33" i="51"/>
  <c r="J33" i="51" s="1"/>
  <c r="K32" i="51"/>
  <c r="L32" i="51" s="1"/>
  <c r="H32" i="51"/>
  <c r="J32" i="51" s="1"/>
  <c r="K31" i="51"/>
  <c r="H31" i="51"/>
  <c r="J31" i="51" s="1"/>
  <c r="K30" i="51"/>
  <c r="L30" i="51" s="1"/>
  <c r="H30" i="51"/>
  <c r="J30" i="51" s="1"/>
  <c r="K29" i="51"/>
  <c r="H29" i="51"/>
  <c r="J29" i="51" s="1"/>
  <c r="K28" i="51"/>
  <c r="H28" i="51"/>
  <c r="J28" i="51" s="1"/>
  <c r="K27" i="51"/>
  <c r="H27" i="51"/>
  <c r="J27" i="51" s="1"/>
  <c r="K26" i="51"/>
  <c r="L26" i="51" s="1"/>
  <c r="H26" i="51"/>
  <c r="J26" i="51" s="1"/>
  <c r="K25" i="51"/>
  <c r="H25" i="51"/>
  <c r="J25" i="51" s="1"/>
  <c r="K24" i="51"/>
  <c r="H24" i="51"/>
  <c r="J24" i="51" s="1"/>
  <c r="K23" i="51"/>
  <c r="L23" i="51" s="1"/>
  <c r="H23" i="51"/>
  <c r="J23" i="51" s="1"/>
  <c r="K22" i="51"/>
  <c r="L22" i="51" s="1"/>
  <c r="H22" i="51"/>
  <c r="J22" i="51" s="1"/>
  <c r="K21" i="51"/>
  <c r="L21" i="51" s="1"/>
  <c r="H21" i="51"/>
  <c r="J21" i="51" s="1"/>
  <c r="K20" i="51"/>
  <c r="L20" i="51" s="1"/>
  <c r="H20" i="51"/>
  <c r="J20" i="51" s="1"/>
  <c r="K19" i="51"/>
  <c r="H19" i="51"/>
  <c r="J19" i="51" s="1"/>
  <c r="K18" i="51"/>
  <c r="H18" i="51"/>
  <c r="J18" i="51" s="1"/>
  <c r="K17" i="51"/>
  <c r="H17" i="51"/>
  <c r="J17" i="51" s="1"/>
  <c r="K16" i="51"/>
  <c r="H16" i="51"/>
  <c r="J16" i="51" s="1"/>
  <c r="K15" i="51"/>
  <c r="H15" i="51"/>
  <c r="J15" i="51" s="1"/>
  <c r="K14" i="51"/>
  <c r="L14" i="51" s="1"/>
  <c r="H14" i="51"/>
  <c r="J14" i="51" s="1"/>
  <c r="K13" i="51"/>
  <c r="H13" i="51"/>
  <c r="J13" i="51" s="1"/>
  <c r="K12" i="51"/>
  <c r="H12" i="51"/>
  <c r="J12" i="51" s="1"/>
  <c r="K11" i="51"/>
  <c r="H11" i="51"/>
  <c r="J11" i="51" s="1"/>
  <c r="K10" i="51"/>
  <c r="L10" i="51" s="1"/>
  <c r="H10" i="51"/>
  <c r="J10" i="51" s="1"/>
  <c r="K9" i="51"/>
  <c r="H9" i="51"/>
  <c r="J9" i="51" s="1"/>
  <c r="K8" i="51"/>
  <c r="L8" i="51" s="1"/>
  <c r="H8" i="51"/>
  <c r="J8" i="51" s="1"/>
  <c r="K7" i="51"/>
  <c r="L7" i="51" s="1"/>
  <c r="H7" i="51"/>
  <c r="J7" i="51" s="1"/>
  <c r="K6" i="51"/>
  <c r="H6" i="51"/>
  <c r="J6" i="51" s="1"/>
  <c r="K5" i="51"/>
  <c r="H5" i="51"/>
  <c r="J5" i="51" s="1"/>
  <c r="K4" i="51"/>
  <c r="L4" i="51" s="1"/>
  <c r="H4" i="51"/>
  <c r="J4" i="51" s="1"/>
  <c r="K3" i="51"/>
  <c r="H3" i="51"/>
  <c r="J3" i="51" s="1"/>
  <c r="K2" i="51"/>
  <c r="I2" i="51"/>
  <c r="H2" i="51"/>
  <c r="M4" i="51" l="1"/>
  <c r="M26" i="51"/>
  <c r="M59" i="51"/>
  <c r="M23" i="51"/>
  <c r="M39" i="51"/>
  <c r="M61" i="51"/>
  <c r="N61" i="51" s="1"/>
  <c r="M10" i="51"/>
  <c r="M21" i="51"/>
  <c r="M7" i="51"/>
  <c r="M58" i="51"/>
  <c r="M71" i="51"/>
  <c r="J85" i="51"/>
  <c r="M85" i="51" s="1"/>
  <c r="M62" i="51"/>
  <c r="J94" i="51"/>
  <c r="M94" i="51" s="1"/>
  <c r="M32" i="51"/>
  <c r="J75" i="51"/>
  <c r="M75" i="51" s="1"/>
  <c r="J98" i="51"/>
  <c r="M98" i="51" s="1"/>
  <c r="J76" i="51"/>
  <c r="M76" i="51" s="1"/>
  <c r="J83" i="51"/>
  <c r="M83" i="51" s="1"/>
  <c r="M25" i="51"/>
  <c r="N25" i="51" s="1"/>
  <c r="J102" i="51"/>
  <c r="M102" i="51" s="1"/>
  <c r="J96" i="51"/>
  <c r="M96" i="51" s="1"/>
  <c r="J107" i="51"/>
  <c r="M107" i="51" s="1"/>
  <c r="M11" i="51"/>
  <c r="M3" i="51"/>
  <c r="M36" i="51"/>
  <c r="M12" i="51"/>
  <c r="M45" i="51"/>
  <c r="M55" i="51"/>
  <c r="J88" i="51"/>
  <c r="M88" i="51" s="1"/>
  <c r="M50" i="51"/>
  <c r="J80" i="51"/>
  <c r="M80" i="51" s="1"/>
  <c r="N80" i="51" s="1"/>
  <c r="J77" i="51"/>
  <c r="M77" i="51" s="1"/>
  <c r="M37" i="51"/>
  <c r="M18" i="51"/>
  <c r="M19" i="51"/>
  <c r="M29" i="51"/>
  <c r="N29" i="51" s="1"/>
  <c r="M68" i="51"/>
  <c r="J91" i="51"/>
  <c r="M91" i="51" s="1"/>
  <c r="J99" i="51"/>
  <c r="M99" i="51" s="1"/>
  <c r="J100" i="51"/>
  <c r="M100" i="51" s="1"/>
  <c r="L18" i="51"/>
  <c r="L85" i="51"/>
  <c r="J95" i="51"/>
  <c r="M95" i="51" s="1"/>
  <c r="J105" i="51"/>
  <c r="M105" i="51" s="1"/>
  <c r="M31" i="51"/>
  <c r="N31" i="51" s="1"/>
  <c r="L37" i="51"/>
  <c r="M49" i="51"/>
  <c r="L55" i="51"/>
  <c r="L12" i="51"/>
  <c r="M24" i="51"/>
  <c r="L19" i="51"/>
  <c r="J106" i="51"/>
  <c r="M106" i="51" s="1"/>
  <c r="M13" i="51"/>
  <c r="J87" i="51"/>
  <c r="M87" i="51" s="1"/>
  <c r="L96" i="51"/>
  <c r="M38" i="51"/>
  <c r="L50" i="51"/>
  <c r="M56" i="51"/>
  <c r="L56" i="51"/>
  <c r="M72" i="51"/>
  <c r="J78" i="51"/>
  <c r="M78" i="51" s="1"/>
  <c r="L88" i="51"/>
  <c r="J97" i="51"/>
  <c r="M97" i="51" s="1"/>
  <c r="N97" i="51" s="1"/>
  <c r="M33" i="51"/>
  <c r="M27" i="51"/>
  <c r="M15" i="51"/>
  <c r="M53" i="51"/>
  <c r="M64" i="51"/>
  <c r="J84" i="51"/>
  <c r="M84" i="51" s="1"/>
  <c r="J103" i="51"/>
  <c r="M103" i="51" s="1"/>
  <c r="N103" i="51" s="1"/>
  <c r="L68" i="51"/>
  <c r="L107" i="51"/>
  <c r="M8" i="51"/>
  <c r="N8" i="51" s="1"/>
  <c r="M46" i="51"/>
  <c r="N46" i="51" s="1"/>
  <c r="J74" i="51"/>
  <c r="M74" i="51" s="1"/>
  <c r="L3" i="51"/>
  <c r="M28" i="51"/>
  <c r="M52" i="51"/>
  <c r="L52" i="51"/>
  <c r="M22" i="51"/>
  <c r="J108" i="51"/>
  <c r="M108" i="51" s="1"/>
  <c r="M17" i="51"/>
  <c r="M47" i="51"/>
  <c r="L75" i="51"/>
  <c r="J89" i="51"/>
  <c r="M89" i="51" s="1"/>
  <c r="M14" i="51"/>
  <c r="M73" i="51"/>
  <c r="M34" i="51"/>
  <c r="M41" i="51"/>
  <c r="M69" i="51"/>
  <c r="M9" i="51"/>
  <c r="L29" i="51"/>
  <c r="M42" i="51"/>
  <c r="L47" i="51"/>
  <c r="L94" i="51"/>
  <c r="J86" i="51"/>
  <c r="M86" i="51" s="1"/>
  <c r="M43" i="51"/>
  <c r="L43" i="51"/>
  <c r="M67" i="51"/>
  <c r="N67" i="51" s="1"/>
  <c r="J92" i="51"/>
  <c r="M92" i="51" s="1"/>
  <c r="M40" i="51"/>
  <c r="L27" i="51"/>
  <c r="M63" i="51"/>
  <c r="L63" i="51"/>
  <c r="M54" i="51"/>
  <c r="J104" i="51"/>
  <c r="M104" i="51" s="1"/>
  <c r="L100" i="51"/>
  <c r="M65" i="51"/>
  <c r="N65" i="51" s="1"/>
  <c r="J101" i="51"/>
  <c r="M101" i="51" s="1"/>
  <c r="N101" i="51" s="1"/>
  <c r="L11" i="51"/>
  <c r="M30" i="51"/>
  <c r="M57" i="51"/>
  <c r="L78" i="51"/>
  <c r="J93" i="51"/>
  <c r="M93" i="51" s="1"/>
  <c r="L89" i="51"/>
  <c r="J90" i="51"/>
  <c r="M90" i="51" s="1"/>
  <c r="L40" i="51"/>
  <c r="M44" i="51"/>
  <c r="N44" i="51" s="1"/>
  <c r="L97" i="51"/>
  <c r="L104" i="51"/>
  <c r="M16" i="51"/>
  <c r="L36" i="51"/>
  <c r="L44" i="51"/>
  <c r="L49" i="51"/>
  <c r="L53" i="51"/>
  <c r="M66" i="51"/>
  <c r="J79" i="51"/>
  <c r="M79" i="51" s="1"/>
  <c r="J109" i="51"/>
  <c r="M109" i="51" s="1"/>
  <c r="M60" i="51"/>
  <c r="J81" i="51"/>
  <c r="M81" i="51" s="1"/>
  <c r="L69" i="51"/>
  <c r="M5" i="51"/>
  <c r="L34" i="51"/>
  <c r="L5" i="51"/>
  <c r="L15" i="51"/>
  <c r="L25" i="51"/>
  <c r="L74" i="51"/>
  <c r="J82" i="51"/>
  <c r="M82" i="51" s="1"/>
  <c r="L93" i="51"/>
  <c r="M6" i="51"/>
  <c r="J2" i="51"/>
  <c r="M2" i="51" s="1"/>
  <c r="L16" i="51"/>
  <c r="L81" i="51"/>
  <c r="M20" i="51"/>
  <c r="L54" i="51"/>
  <c r="L24" i="51"/>
  <c r="L73" i="51"/>
  <c r="L84" i="51"/>
  <c r="L95" i="51"/>
  <c r="M35" i="51"/>
  <c r="M51" i="51"/>
  <c r="L6" i="51"/>
  <c r="L17" i="51"/>
  <c r="L28" i="51"/>
  <c r="L45" i="51"/>
  <c r="M48" i="51"/>
  <c r="L67" i="51"/>
  <c r="M70" i="51"/>
  <c r="L76" i="51"/>
  <c r="L87" i="51"/>
  <c r="L98" i="51"/>
  <c r="L109" i="51"/>
  <c r="L38" i="51"/>
  <c r="L60" i="51"/>
  <c r="L9" i="51"/>
  <c r="L31" i="51"/>
  <c r="L92" i="51"/>
  <c r="L57" i="51"/>
  <c r="L2" i="51"/>
  <c r="L13" i="51"/>
  <c r="G91" i="49"/>
  <c r="E91" i="49"/>
  <c r="G90" i="49"/>
  <c r="H90" i="49" s="1"/>
  <c r="G89" i="49"/>
  <c r="E89" i="49"/>
  <c r="E88" i="49" s="1"/>
  <c r="G88" i="49"/>
  <c r="G87" i="49"/>
  <c r="E87" i="49"/>
  <c r="G86" i="49"/>
  <c r="H86" i="49" s="1"/>
  <c r="G85" i="49"/>
  <c r="E85" i="49"/>
  <c r="E84" i="49" s="1"/>
  <c r="G84" i="49"/>
  <c r="G83" i="49"/>
  <c r="E83" i="49"/>
  <c r="G82" i="49"/>
  <c r="H82" i="49" s="1"/>
  <c r="G81" i="49"/>
  <c r="E81" i="49"/>
  <c r="E80" i="49" s="1"/>
  <c r="G80" i="49"/>
  <c r="G79" i="49"/>
  <c r="E79" i="49"/>
  <c r="G78" i="49"/>
  <c r="H78" i="49" s="1"/>
  <c r="G77" i="49"/>
  <c r="E77" i="49"/>
  <c r="E76" i="49" s="1"/>
  <c r="G76" i="49"/>
  <c r="G75" i="49"/>
  <c r="E75" i="49"/>
  <c r="G74" i="49"/>
  <c r="H74" i="49" s="1"/>
  <c r="G73" i="49"/>
  <c r="E73" i="49"/>
  <c r="E72" i="49" s="1"/>
  <c r="G72" i="49"/>
  <c r="G71" i="49"/>
  <c r="E71" i="49"/>
  <c r="G70" i="49"/>
  <c r="G69" i="49"/>
  <c r="E69" i="49"/>
  <c r="E68" i="49" s="1"/>
  <c r="G68" i="49"/>
  <c r="G67" i="49"/>
  <c r="E67" i="49"/>
  <c r="G66" i="49"/>
  <c r="G65" i="49"/>
  <c r="E65" i="49"/>
  <c r="E64" i="49" s="1"/>
  <c r="G64" i="49"/>
  <c r="H64" i="49" s="1"/>
  <c r="G63" i="49"/>
  <c r="E63" i="49"/>
  <c r="G62" i="49"/>
  <c r="G61" i="49"/>
  <c r="E61" i="49"/>
  <c r="E60" i="49" s="1"/>
  <c r="G60" i="49"/>
  <c r="G59" i="49"/>
  <c r="E59" i="49"/>
  <c r="G58" i="49"/>
  <c r="H58" i="49" s="1"/>
  <c r="G57" i="49"/>
  <c r="E57" i="49"/>
  <c r="E56" i="49" s="1"/>
  <c r="G56" i="49"/>
  <c r="G55" i="49"/>
  <c r="E55" i="49"/>
  <c r="G54" i="49"/>
  <c r="H54" i="49" s="1"/>
  <c r="G53" i="49"/>
  <c r="E53" i="49"/>
  <c r="E52" i="49" s="1"/>
  <c r="G52" i="49"/>
  <c r="G51" i="49"/>
  <c r="E51" i="49"/>
  <c r="G50" i="49"/>
  <c r="G49" i="49"/>
  <c r="E49" i="49"/>
  <c r="E48" i="49" s="1"/>
  <c r="G48" i="49"/>
  <c r="G47" i="49"/>
  <c r="E47" i="49"/>
  <c r="G46" i="49"/>
  <c r="G45" i="49"/>
  <c r="E45" i="49"/>
  <c r="E44" i="49" s="1"/>
  <c r="G44" i="49"/>
  <c r="G43" i="49"/>
  <c r="E43" i="49"/>
  <c r="G42" i="49"/>
  <c r="G41" i="49"/>
  <c r="E41" i="49"/>
  <c r="E40" i="49" s="1"/>
  <c r="G40" i="49"/>
  <c r="G39" i="49"/>
  <c r="E39" i="49"/>
  <c r="G38" i="49"/>
  <c r="G37" i="49"/>
  <c r="E37" i="49"/>
  <c r="E36" i="49" s="1"/>
  <c r="G36" i="49"/>
  <c r="G35" i="49"/>
  <c r="E35" i="49"/>
  <c r="G34" i="49"/>
  <c r="G33" i="49"/>
  <c r="E33" i="49"/>
  <c r="E32" i="49" s="1"/>
  <c r="G32" i="49"/>
  <c r="H68" i="49" l="1"/>
  <c r="H56" i="49"/>
  <c r="H59" i="49"/>
  <c r="H84" i="49"/>
  <c r="H60" i="49"/>
  <c r="H40" i="49"/>
  <c r="H48" i="49"/>
  <c r="H52" i="49"/>
  <c r="B14" i="49" s="1"/>
  <c r="H32" i="49"/>
  <c r="H61" i="49"/>
  <c r="H76" i="49"/>
  <c r="H33" i="49"/>
  <c r="H72" i="49"/>
  <c r="N83" i="51"/>
  <c r="T25" i="51" s="1"/>
  <c r="H45" i="49"/>
  <c r="H62" i="49"/>
  <c r="D16" i="49" s="1"/>
  <c r="N79" i="51"/>
  <c r="V24" i="51" s="1"/>
  <c r="N54" i="51"/>
  <c r="U17" i="51" s="1"/>
  <c r="N47" i="51"/>
  <c r="T16" i="51" s="1"/>
  <c r="N78" i="51"/>
  <c r="U24" i="51" s="1"/>
  <c r="N99" i="51"/>
  <c r="R28" i="51" s="1"/>
  <c r="N76" i="51"/>
  <c r="S24" i="51" s="1"/>
  <c r="N102" i="51"/>
  <c r="U28" i="51" s="1"/>
  <c r="N17" i="51"/>
  <c r="T8" i="51" s="1"/>
  <c r="N108" i="51"/>
  <c r="U29" i="51" s="1"/>
  <c r="N94" i="51"/>
  <c r="S27" i="51" s="1"/>
  <c r="N28" i="51"/>
  <c r="S10" i="51" s="1"/>
  <c r="N37" i="51"/>
  <c r="V11" i="51" s="1"/>
  <c r="N85" i="51"/>
  <c r="V25" i="51" s="1"/>
  <c r="N81" i="51"/>
  <c r="R25" i="51" s="1"/>
  <c r="N87" i="51"/>
  <c r="R26" i="51" s="1"/>
  <c r="N95" i="51"/>
  <c r="T27" i="51" s="1"/>
  <c r="H75" i="49"/>
  <c r="N100" i="51"/>
  <c r="S28" i="51" s="1"/>
  <c r="N75" i="51"/>
  <c r="R24" i="51" s="1"/>
  <c r="H65" i="49"/>
  <c r="N38" i="51"/>
  <c r="Q15" i="51" s="1"/>
  <c r="N58" i="51"/>
  <c r="S18" i="51" s="1"/>
  <c r="N72" i="51"/>
  <c r="U20" i="51" s="1"/>
  <c r="N40" i="51"/>
  <c r="S15" i="51" s="1"/>
  <c r="N7" i="51"/>
  <c r="V6" i="51" s="1"/>
  <c r="N96" i="51"/>
  <c r="U27" i="51" s="1"/>
  <c r="N98" i="51"/>
  <c r="Q28" i="51" s="1"/>
  <c r="H49" i="49"/>
  <c r="H46" i="49"/>
  <c r="D9" i="49" s="1"/>
  <c r="N51" i="51"/>
  <c r="R17" i="51" s="1"/>
  <c r="N35" i="51"/>
  <c r="T11" i="51" s="1"/>
  <c r="H77" i="49"/>
  <c r="H34" i="49"/>
  <c r="D6" i="49" s="1"/>
  <c r="N32" i="51"/>
  <c r="Q11" i="51" s="1"/>
  <c r="H79" i="49"/>
  <c r="H36" i="49"/>
  <c r="N52" i="51"/>
  <c r="S17" i="51" s="1"/>
  <c r="H39" i="49"/>
  <c r="N90" i="51"/>
  <c r="U26" i="51" s="1"/>
  <c r="N24" i="51"/>
  <c r="U9" i="51" s="1"/>
  <c r="N55" i="51"/>
  <c r="V17" i="51" s="1"/>
  <c r="N10" i="51"/>
  <c r="S7" i="51" s="1"/>
  <c r="N16" i="51"/>
  <c r="S8" i="51" s="1"/>
  <c r="N74" i="51"/>
  <c r="Q24" i="51" s="1"/>
  <c r="N14" i="51"/>
  <c r="Q8" i="51" s="1"/>
  <c r="N89" i="51"/>
  <c r="T26" i="51" s="1"/>
  <c r="N22" i="51"/>
  <c r="S9" i="51" s="1"/>
  <c r="H50" i="49"/>
  <c r="D10" i="49" s="1"/>
  <c r="N20" i="51"/>
  <c r="Q9" i="51" s="1"/>
  <c r="H66" i="49"/>
  <c r="I66" i="49" s="1"/>
  <c r="N13" i="51"/>
  <c r="V7" i="51" s="1"/>
  <c r="H70" i="49"/>
  <c r="N70" i="51"/>
  <c r="S20" i="51" s="1"/>
  <c r="N12" i="51"/>
  <c r="U7" i="51" s="1"/>
  <c r="N39" i="51"/>
  <c r="R15" i="51" s="1"/>
  <c r="N27" i="51"/>
  <c r="R10" i="51" s="1"/>
  <c r="H89" i="49"/>
  <c r="N91" i="51"/>
  <c r="V26" i="51" s="1"/>
  <c r="H63" i="49"/>
  <c r="N18" i="51"/>
  <c r="U8" i="51" s="1"/>
  <c r="H37" i="49"/>
  <c r="N71" i="51"/>
  <c r="T20" i="51" s="1"/>
  <c r="N50" i="51"/>
  <c r="Q17" i="51" s="1"/>
  <c r="H83" i="49"/>
  <c r="H41" i="49"/>
  <c r="C8" i="49" s="1"/>
  <c r="H71" i="49"/>
  <c r="N9" i="51"/>
  <c r="R7" i="51" s="1"/>
  <c r="N84" i="51"/>
  <c r="U25" i="51" s="1"/>
  <c r="N49" i="51"/>
  <c r="V16" i="51" s="1"/>
  <c r="N36" i="51"/>
  <c r="U11" i="51" s="1"/>
  <c r="N23" i="51"/>
  <c r="T9" i="51" s="1"/>
  <c r="N33" i="51"/>
  <c r="R11" i="51" s="1"/>
  <c r="N104" i="51"/>
  <c r="Q29" i="51" s="1"/>
  <c r="H91" i="49"/>
  <c r="N66" i="51"/>
  <c r="U19" i="51" s="1"/>
  <c r="N68" i="51"/>
  <c r="Q20" i="51" s="1"/>
  <c r="N19" i="51"/>
  <c r="V8" i="51" s="1"/>
  <c r="N92" i="51"/>
  <c r="Q27" i="51" s="1"/>
  <c r="H51" i="49"/>
  <c r="E10" i="49" s="1"/>
  <c r="H81" i="49"/>
  <c r="H67" i="49"/>
  <c r="N6" i="51"/>
  <c r="U6" i="51" s="1"/>
  <c r="N106" i="51"/>
  <c r="S29" i="51" s="1"/>
  <c r="H69" i="49"/>
  <c r="C18" i="49" s="1"/>
  <c r="H55" i="49"/>
  <c r="N42" i="51"/>
  <c r="U15" i="51" s="1"/>
  <c r="N93" i="51"/>
  <c r="R27" i="51" s="1"/>
  <c r="H42" i="49"/>
  <c r="D8" i="49" s="1"/>
  <c r="H57" i="49"/>
  <c r="N48" i="51"/>
  <c r="U16" i="51" s="1"/>
  <c r="N57" i="51"/>
  <c r="R18" i="51" s="1"/>
  <c r="N69" i="51"/>
  <c r="R20" i="51" s="1"/>
  <c r="N64" i="51"/>
  <c r="S19" i="51" s="1"/>
  <c r="N3" i="51"/>
  <c r="R6" i="51" s="1"/>
  <c r="N59" i="51"/>
  <c r="T18" i="51" s="1"/>
  <c r="N73" i="51"/>
  <c r="V20" i="51" s="1"/>
  <c r="N63" i="51"/>
  <c r="R19" i="51" s="1"/>
  <c r="N56" i="51"/>
  <c r="Q18" i="51" s="1"/>
  <c r="H38" i="49"/>
  <c r="D7" i="49" s="1"/>
  <c r="N2" i="51"/>
  <c r="Q6" i="51" s="1"/>
  <c r="N88" i="51"/>
  <c r="S26" i="51" s="1"/>
  <c r="N82" i="51"/>
  <c r="S25" i="51" s="1"/>
  <c r="N45" i="51"/>
  <c r="R16" i="51" s="1"/>
  <c r="H85" i="49"/>
  <c r="N30" i="51"/>
  <c r="U10" i="51" s="1"/>
  <c r="N41" i="51"/>
  <c r="T15" i="51" s="1"/>
  <c r="N53" i="51"/>
  <c r="T17" i="51" s="1"/>
  <c r="N11" i="51"/>
  <c r="T7" i="51" s="1"/>
  <c r="N26" i="51"/>
  <c r="Q10" i="51" s="1"/>
  <c r="N60" i="51"/>
  <c r="U18" i="51" s="1"/>
  <c r="N109" i="51"/>
  <c r="V29" i="51" s="1"/>
  <c r="H47" i="49"/>
  <c r="E9" i="49" s="1"/>
  <c r="H35" i="49"/>
  <c r="H80" i="49"/>
  <c r="I80" i="49" s="1"/>
  <c r="N62" i="51"/>
  <c r="Q19" i="51" s="1"/>
  <c r="N77" i="51"/>
  <c r="T24" i="51" s="1"/>
  <c r="N43" i="51"/>
  <c r="V15" i="51" s="1"/>
  <c r="H53" i="49"/>
  <c r="N86" i="51"/>
  <c r="Q26" i="51" s="1"/>
  <c r="N21" i="51"/>
  <c r="R9" i="51" s="1"/>
  <c r="H43" i="49"/>
  <c r="H87" i="49"/>
  <c r="H44" i="49"/>
  <c r="H73" i="49"/>
  <c r="H88" i="49"/>
  <c r="N5" i="51"/>
  <c r="T6" i="51" s="1"/>
  <c r="N34" i="51"/>
  <c r="S11" i="51" s="1"/>
  <c r="N15" i="51"/>
  <c r="R8" i="51" s="1"/>
  <c r="N105" i="51"/>
  <c r="R29" i="51" s="1"/>
  <c r="N107" i="51"/>
  <c r="T29" i="51" s="1"/>
  <c r="N4" i="51"/>
  <c r="S6" i="51" s="1"/>
  <c r="T19" i="51"/>
  <c r="Q25" i="51"/>
  <c r="AF475" i="56" a="1"/>
  <c r="AF475" i="56" s="1"/>
  <c r="AF295" i="56" a="1"/>
  <c r="AF295" i="56" s="1"/>
  <c r="AF235" i="56" a="1"/>
  <c r="AF235" i="56" s="1"/>
  <c r="AF283" i="56" a="1"/>
  <c r="AF283" i="56" s="1"/>
  <c r="AF85" i="56" a="1"/>
  <c r="AF85" i="56" s="1"/>
  <c r="AF115" i="56" a="1"/>
  <c r="AF115" i="56" s="1"/>
  <c r="AF55" i="56" a="1"/>
  <c r="AF55" i="56" s="1"/>
  <c r="AF205" i="56" a="1"/>
  <c r="AF205" i="56" s="1"/>
  <c r="AF535" i="56" a="1"/>
  <c r="AF535" i="56" s="1"/>
  <c r="AF415" i="56" a="1"/>
  <c r="AF415" i="56" s="1"/>
  <c r="AF445" i="56" a="1"/>
  <c r="AF445" i="56" s="1"/>
  <c r="AF355" i="56" a="1"/>
  <c r="AF355" i="56" s="1"/>
  <c r="AF175" i="56" a="1"/>
  <c r="AF175" i="56" s="1"/>
  <c r="AF325" i="56" a="1"/>
  <c r="AF325" i="56" s="1"/>
  <c r="AF385" i="56" a="1"/>
  <c r="AF385" i="56" s="1"/>
  <c r="AF265" i="56" a="1"/>
  <c r="AF265" i="56" s="1"/>
  <c r="V18" i="51"/>
  <c r="AF120" i="56" a="1"/>
  <c r="AF120" i="56" s="1"/>
  <c r="T28" i="51"/>
  <c r="V19" i="51"/>
  <c r="AF333" i="56" a="1"/>
  <c r="AF333" i="56" s="1"/>
  <c r="AF93" i="56" a="1"/>
  <c r="AF93" i="56" s="1"/>
  <c r="AF303" i="56" a="1"/>
  <c r="AF303" i="56" s="1"/>
  <c r="AF183" i="56" a="1"/>
  <c r="AF183" i="56" s="1"/>
  <c r="AF63" i="56" a="1"/>
  <c r="AF63" i="56" s="1"/>
  <c r="AF33" i="56" a="1"/>
  <c r="AF33" i="56" s="1"/>
  <c r="AF513" i="56" a="1"/>
  <c r="AF513" i="56" s="1"/>
  <c r="AF363" i="56" a="1"/>
  <c r="AF363" i="56" s="1"/>
  <c r="AF153" i="56" a="1"/>
  <c r="AF153" i="56" s="1"/>
  <c r="AF243" i="56" a="1"/>
  <c r="AF243" i="56" s="1"/>
  <c r="AF423" i="56" a="1"/>
  <c r="AF423" i="56" s="1"/>
  <c r="AF393" i="56" a="1"/>
  <c r="AF393" i="56" s="1"/>
  <c r="AF273" i="56" a="1"/>
  <c r="AF273" i="56" s="1"/>
  <c r="AF213" i="56" a="1"/>
  <c r="AF213" i="56" s="1"/>
  <c r="AF123" i="56" a="1"/>
  <c r="AF123" i="56" s="1"/>
  <c r="AF453" i="56" a="1"/>
  <c r="AF453" i="56" s="1"/>
  <c r="AF543" i="56" a="1"/>
  <c r="AF543" i="56" s="1"/>
  <c r="AF483" i="56" a="1"/>
  <c r="AF483" i="56" s="1"/>
  <c r="V28" i="51"/>
  <c r="AF394" i="56" a="1"/>
  <c r="AF394" i="56" s="1"/>
  <c r="AF544" i="56" a="1"/>
  <c r="AF544" i="56" s="1"/>
  <c r="AF454" i="56" a="1"/>
  <c r="AF454" i="56" s="1"/>
  <c r="AF274" i="56" a="1"/>
  <c r="AF274" i="56" s="1"/>
  <c r="AF214" i="56" a="1"/>
  <c r="AF214" i="56" s="1"/>
  <c r="AF364" i="56" a="1"/>
  <c r="AF364" i="56" s="1"/>
  <c r="AF484" i="56" a="1"/>
  <c r="AF484" i="56" s="1"/>
  <c r="AF514" i="56" a="1"/>
  <c r="AF514" i="56" s="1"/>
  <c r="AF154" i="56" a="1"/>
  <c r="AF154" i="56" s="1"/>
  <c r="AF34" i="56" a="1"/>
  <c r="AF34" i="56" s="1"/>
  <c r="AF424" i="56" a="1"/>
  <c r="AF424" i="56" s="1"/>
  <c r="AF64" i="56" a="1"/>
  <c r="AF64" i="56" s="1"/>
  <c r="AF184" i="56" a="1"/>
  <c r="AF184" i="56" s="1"/>
  <c r="AF244" i="56" a="1"/>
  <c r="AF244" i="56" s="1"/>
  <c r="AF304" i="56" a="1"/>
  <c r="AF304" i="56" s="1"/>
  <c r="AF124" i="56" a="1"/>
  <c r="AF124" i="56" s="1"/>
  <c r="AF334" i="56" a="1"/>
  <c r="AF334" i="56" s="1"/>
  <c r="AF94" i="56" a="1"/>
  <c r="AF94" i="56" s="1"/>
  <c r="Q7" i="51"/>
  <c r="AF506" i="56" a="1"/>
  <c r="AF506" i="56" s="1"/>
  <c r="AF416" i="56" a="1"/>
  <c r="AF416" i="56" s="1"/>
  <c r="AF236" i="56" a="1"/>
  <c r="AF236" i="56" s="1"/>
  <c r="AF356" i="56" a="1"/>
  <c r="AF356" i="56" s="1"/>
  <c r="AF26" i="56" a="1"/>
  <c r="AF26" i="56" s="1"/>
  <c r="AF116" i="56" a="1"/>
  <c r="AF116" i="56" s="1"/>
  <c r="AF326" i="56" a="1"/>
  <c r="AF326" i="56" s="1"/>
  <c r="AF176" i="56" a="1"/>
  <c r="AF176" i="56" s="1"/>
  <c r="AF536" i="56" a="1"/>
  <c r="AF536" i="56" s="1"/>
  <c r="AF446" i="56" a="1"/>
  <c r="AF446" i="56" s="1"/>
  <c r="AF296" i="56" a="1"/>
  <c r="AF296" i="56" s="1"/>
  <c r="AF86" i="56" a="1"/>
  <c r="AF86" i="56" s="1"/>
  <c r="AF146" i="56" a="1"/>
  <c r="AF146" i="56" s="1"/>
  <c r="AF56" i="56" a="1"/>
  <c r="AF56" i="56" s="1"/>
  <c r="AF476" i="56" a="1"/>
  <c r="AF476" i="56" s="1"/>
  <c r="AF266" i="56" a="1"/>
  <c r="AF266" i="56" s="1"/>
  <c r="AF206" i="56" a="1"/>
  <c r="AF206" i="56" s="1"/>
  <c r="AF386" i="56" a="1"/>
  <c r="AF386" i="56" s="1"/>
  <c r="V10" i="51"/>
  <c r="AF275" i="56" a="1"/>
  <c r="AF275" i="56" s="1"/>
  <c r="AF65" i="56" a="1"/>
  <c r="AF65" i="56" s="1"/>
  <c r="AF245" i="56" a="1"/>
  <c r="AF245" i="56" s="1"/>
  <c r="AF335" i="56" a="1"/>
  <c r="AF335" i="56" s="1"/>
  <c r="AF185" i="56" a="1"/>
  <c r="AF185" i="56" s="1"/>
  <c r="AF365" i="56" a="1"/>
  <c r="AF365" i="56" s="1"/>
  <c r="AF125" i="56" a="1"/>
  <c r="AF125" i="56" s="1"/>
  <c r="AF515" i="56" a="1"/>
  <c r="AF515" i="56" s="1"/>
  <c r="AF95" i="56" a="1"/>
  <c r="AF95" i="56" s="1"/>
  <c r="AF395" i="56" a="1"/>
  <c r="AF395" i="56" s="1"/>
  <c r="AF545" i="56" a="1"/>
  <c r="AF545" i="56" s="1"/>
  <c r="AF215" i="56" a="1"/>
  <c r="AF215" i="56" s="1"/>
  <c r="AF305" i="56" a="1"/>
  <c r="AF305" i="56" s="1"/>
  <c r="AF455" i="56" a="1"/>
  <c r="AF455" i="56" s="1"/>
  <c r="AF35" i="56" a="1"/>
  <c r="AF35" i="56" s="1"/>
  <c r="AF485" i="56" a="1"/>
  <c r="AF485" i="56" s="1"/>
  <c r="AF155" i="56" a="1"/>
  <c r="AF155" i="56" s="1"/>
  <c r="AF425" i="56" a="1"/>
  <c r="AF425" i="56" s="1"/>
  <c r="V27" i="51"/>
  <c r="AF121" i="56" a="1"/>
  <c r="AF121" i="56" s="1"/>
  <c r="V9" i="51"/>
  <c r="AF122" i="56" a="1"/>
  <c r="AF122" i="56" s="1"/>
  <c r="T10" i="51"/>
  <c r="Q16" i="51"/>
  <c r="AF252" i="56" a="1"/>
  <c r="AF252" i="56" s="1"/>
  <c r="AF444" i="56" a="1"/>
  <c r="AF444" i="56" s="1"/>
  <c r="AF522" i="56" a="1"/>
  <c r="AF522" i="56" s="1"/>
  <c r="AF534" i="56" a="1"/>
  <c r="AF534" i="56" s="1"/>
  <c r="AF354" i="56" a="1"/>
  <c r="AF354" i="56" s="1"/>
  <c r="AF42" i="56" a="1"/>
  <c r="AF42" i="56" s="1"/>
  <c r="AF174" i="56" a="1"/>
  <c r="AF174" i="56" s="1"/>
  <c r="AF144" i="56" a="1"/>
  <c r="AF144" i="56" s="1"/>
  <c r="AF324" i="56" a="1"/>
  <c r="AF324" i="56" s="1"/>
  <c r="AF114" i="56" a="1"/>
  <c r="AF114" i="56" s="1"/>
  <c r="AF372" i="56" a="1"/>
  <c r="AF372" i="56" s="1"/>
  <c r="AF312" i="56" a="1"/>
  <c r="AF312" i="56" s="1"/>
  <c r="AF282" i="56" a="1"/>
  <c r="AF282" i="56" s="1"/>
  <c r="AF432" i="56" a="1"/>
  <c r="AF432" i="56" s="1"/>
  <c r="AF24" i="56" a="1"/>
  <c r="AF24" i="56" s="1"/>
  <c r="AF414" i="56" a="1"/>
  <c r="AF414" i="56" s="1"/>
  <c r="AF384" i="56" a="1"/>
  <c r="AF384" i="56" s="1"/>
  <c r="AF504" i="56" a="1"/>
  <c r="AF504" i="56" s="1"/>
  <c r="AF474" i="56" a="1"/>
  <c r="AF474" i="56" s="1"/>
  <c r="AF234" i="56" a="1"/>
  <c r="AF234" i="56" s="1"/>
  <c r="AF492" i="56" a="1"/>
  <c r="AF492" i="56" s="1"/>
  <c r="AF462" i="56" a="1"/>
  <c r="AF462" i="56" s="1"/>
  <c r="AF222" i="56" a="1"/>
  <c r="AF222" i="56" s="1"/>
  <c r="AF162" i="56" a="1"/>
  <c r="AF162" i="56" s="1"/>
  <c r="AF132" i="56" a="1"/>
  <c r="AF132" i="56" s="1"/>
  <c r="AF264" i="56" a="1"/>
  <c r="AF264" i="56" s="1"/>
  <c r="AF54" i="56" a="1"/>
  <c r="AF54" i="56" s="1"/>
  <c r="AF102" i="56" a="1"/>
  <c r="AF102" i="56" s="1"/>
  <c r="AF294" i="56" a="1"/>
  <c r="AF294" i="56" s="1"/>
  <c r="AF204" i="56" a="1"/>
  <c r="AF204" i="56" s="1"/>
  <c r="AF84" i="56" a="1"/>
  <c r="AF84" i="56" s="1"/>
  <c r="AF192" i="56" a="1"/>
  <c r="AF192" i="56" s="1"/>
  <c r="AF72" i="56" a="1"/>
  <c r="AF72" i="56" s="1"/>
  <c r="I54" i="49"/>
  <c r="D14" i="49"/>
  <c r="I78" i="49"/>
  <c r="D23" i="49"/>
  <c r="S16" i="51"/>
  <c r="I90" i="49"/>
  <c r="D26" i="49"/>
  <c r="I86" i="49"/>
  <c r="D25" i="49"/>
  <c r="I58" i="49"/>
  <c r="D15" i="49"/>
  <c r="I82" i="49"/>
  <c r="D24" i="49"/>
  <c r="I74" i="49"/>
  <c r="D22" i="49"/>
  <c r="E16" i="49"/>
  <c r="E7" i="49"/>
  <c r="C16" i="49"/>
  <c r="AS10" i="9"/>
  <c r="AF12" i="56" l="1" a="1"/>
  <c r="AF12" i="56" s="1"/>
  <c r="AF342" i="56" a="1"/>
  <c r="AF342" i="56" s="1"/>
  <c r="AF402" i="56" a="1"/>
  <c r="AF402" i="56" s="1"/>
  <c r="AF373" i="56" a="1"/>
  <c r="AF373" i="56" s="1"/>
  <c r="AF313" i="56" a="1"/>
  <c r="AF313" i="56" s="1"/>
  <c r="AF73" i="56" a="1"/>
  <c r="AF73" i="56" s="1"/>
  <c r="AF403" i="56" a="1"/>
  <c r="AF403" i="56" s="1"/>
  <c r="AF433" i="56" a="1"/>
  <c r="AF433" i="56" s="1"/>
  <c r="AF284" i="56" a="1"/>
  <c r="AF284" i="56" s="1"/>
  <c r="AF253" i="56" a="1"/>
  <c r="AF253" i="56" s="1"/>
  <c r="AF223" i="56" a="1"/>
  <c r="AF223" i="56" s="1"/>
  <c r="AF524" i="56" a="1"/>
  <c r="AF524" i="56" s="1"/>
  <c r="AF14" i="56" a="1"/>
  <c r="AF14" i="56" s="1"/>
  <c r="AF382" i="56" a="1"/>
  <c r="AF382" i="56" s="1"/>
  <c r="AF202" i="56" a="1"/>
  <c r="AF202" i="56" s="1"/>
  <c r="AF502" i="56" a="1"/>
  <c r="AF502" i="56" s="1"/>
  <c r="AF322" i="56" a="1"/>
  <c r="AF322" i="56" s="1"/>
  <c r="AF343" i="56" a="1"/>
  <c r="AF343" i="56" s="1"/>
  <c r="AF463" i="56" a="1"/>
  <c r="AF463" i="56" s="1"/>
  <c r="AF103" i="56" a="1"/>
  <c r="AF103" i="56" s="1"/>
  <c r="AF43" i="56" a="1"/>
  <c r="AF43" i="56" s="1"/>
  <c r="AF232" i="56" a="1"/>
  <c r="AF232" i="56" s="1"/>
  <c r="AF163" i="56" a="1"/>
  <c r="AF163" i="56" s="1"/>
  <c r="AF133" i="56" a="1"/>
  <c r="AF133" i="56" s="1"/>
  <c r="AF523" i="56" a="1"/>
  <c r="AF523" i="56" s="1"/>
  <c r="AF493" i="56" a="1"/>
  <c r="AF493" i="56" s="1"/>
  <c r="AF193" i="56" a="1"/>
  <c r="AF193" i="56" s="1"/>
  <c r="AF13" i="56" a="1"/>
  <c r="AF13" i="56" s="1"/>
  <c r="AF352" i="56" a="1"/>
  <c r="AF352" i="56" s="1"/>
  <c r="AF532" i="56" a="1"/>
  <c r="AF532" i="56" s="1"/>
  <c r="AF82" i="56" a="1"/>
  <c r="AF82" i="56" s="1"/>
  <c r="AF112" i="56" a="1"/>
  <c r="AF112" i="56" s="1"/>
  <c r="AF292" i="56" a="1"/>
  <c r="AF292" i="56" s="1"/>
  <c r="AF472" i="56" a="1"/>
  <c r="AF472" i="56" s="1"/>
  <c r="AF172" i="56" a="1"/>
  <c r="AF172" i="56" s="1"/>
  <c r="AF134" i="56" a="1"/>
  <c r="AF134" i="56" s="1"/>
  <c r="AF374" i="56" a="1"/>
  <c r="AF374" i="56" s="1"/>
  <c r="AF51" i="56" a="1"/>
  <c r="AF51" i="56" s="1"/>
  <c r="AF74" i="56" a="1"/>
  <c r="AF74" i="56" s="1"/>
  <c r="AF81" i="56" a="1"/>
  <c r="AF81" i="56" s="1"/>
  <c r="AF501" i="56" a="1"/>
  <c r="AF501" i="56" s="1"/>
  <c r="AF321" i="56" a="1"/>
  <c r="AF321" i="56" s="1"/>
  <c r="AF142" i="56" a="1"/>
  <c r="AF142" i="56" s="1"/>
  <c r="AF442" i="56" a="1"/>
  <c r="AF442" i="56" s="1"/>
  <c r="AF314" i="56" a="1"/>
  <c r="AF314" i="56" s="1"/>
  <c r="AF104" i="56" a="1"/>
  <c r="AF104" i="56" s="1"/>
  <c r="AF412" i="56" a="1"/>
  <c r="AF412" i="56" s="1"/>
  <c r="AF344" i="56" a="1"/>
  <c r="AF344" i="56" s="1"/>
  <c r="AF254" i="56" a="1"/>
  <c r="AF254" i="56" s="1"/>
  <c r="AF164" i="56" a="1"/>
  <c r="AF164" i="56" s="1"/>
  <c r="AF224" i="56" a="1"/>
  <c r="AF224" i="56" s="1"/>
  <c r="I62" i="49"/>
  <c r="AF194" i="56" a="1"/>
  <c r="AF194" i="56" s="1"/>
  <c r="AF52" i="56" a="1"/>
  <c r="AF52" i="56" s="1"/>
  <c r="AF44" i="56" a="1"/>
  <c r="AF44" i="56" s="1"/>
  <c r="AF262" i="56" a="1"/>
  <c r="AF262" i="56" s="1"/>
  <c r="AF434" i="56" a="1"/>
  <c r="AF434" i="56" s="1"/>
  <c r="AF494" i="56" a="1"/>
  <c r="AF494" i="56" s="1"/>
  <c r="AF464" i="56" a="1"/>
  <c r="AF464" i="56" s="1"/>
  <c r="AF404" i="56" a="1"/>
  <c r="AF404" i="56" s="1"/>
  <c r="AF22" i="56" a="1"/>
  <c r="AF22" i="56" s="1"/>
  <c r="AF83" i="56" a="1"/>
  <c r="AF83" i="56" s="1"/>
  <c r="AF413" i="56" a="1"/>
  <c r="AF413" i="56" s="1"/>
  <c r="AF143" i="56" a="1"/>
  <c r="AF143" i="56" s="1"/>
  <c r="AF471" i="56" a="1"/>
  <c r="AF471" i="56" s="1"/>
  <c r="AF383" i="56" a="1"/>
  <c r="AF383" i="56" s="1"/>
  <c r="D18" i="49"/>
  <c r="AF263" i="56" a="1"/>
  <c r="AF263" i="56" s="1"/>
  <c r="AF503" i="56" a="1"/>
  <c r="AF503" i="56" s="1"/>
  <c r="AF533" i="56" a="1"/>
  <c r="AF533" i="56" s="1"/>
  <c r="AF203" i="56" a="1"/>
  <c r="AF203" i="56" s="1"/>
  <c r="AF323" i="56" a="1"/>
  <c r="AF323" i="56" s="1"/>
  <c r="AF23" i="56" a="1"/>
  <c r="AF23" i="56" s="1"/>
  <c r="AF173" i="56" a="1"/>
  <c r="AF173" i="56" s="1"/>
  <c r="AF53" i="56" a="1"/>
  <c r="AF53" i="56" s="1"/>
  <c r="AF201" i="56" a="1"/>
  <c r="AF201" i="56" s="1"/>
  <c r="AF291" i="56" a="1"/>
  <c r="AF291" i="56" s="1"/>
  <c r="AF113" i="56" a="1"/>
  <c r="AF113" i="56" s="1"/>
  <c r="AF441" i="56" a="1"/>
  <c r="AF441" i="56" s="1"/>
  <c r="AF111" i="56" a="1"/>
  <c r="AF111" i="56" s="1"/>
  <c r="AF293" i="56" a="1"/>
  <c r="AF293" i="56" s="1"/>
  <c r="AF171" i="56" a="1"/>
  <c r="AF171" i="56" s="1"/>
  <c r="AF351" i="56" a="1"/>
  <c r="AF351" i="56" s="1"/>
  <c r="AF411" i="56" a="1"/>
  <c r="AF411" i="56" s="1"/>
  <c r="AF473" i="56" a="1"/>
  <c r="AF473" i="56" s="1"/>
  <c r="AF353" i="56" a="1"/>
  <c r="AF353" i="56" s="1"/>
  <c r="AF261" i="56" a="1"/>
  <c r="AF261" i="56" s="1"/>
  <c r="AF21" i="56" a="1"/>
  <c r="AF21" i="56" s="1"/>
  <c r="AF381" i="56" a="1"/>
  <c r="AF381" i="56" s="1"/>
  <c r="AF141" i="56" a="1"/>
  <c r="AF141" i="56" s="1"/>
  <c r="AF233" i="56" a="1"/>
  <c r="AF233" i="56" s="1"/>
  <c r="AF531" i="56" a="1"/>
  <c r="AF531" i="56" s="1"/>
  <c r="AF443" i="56" a="1"/>
  <c r="AF443" i="56" s="1"/>
  <c r="AF231" i="56" a="1"/>
  <c r="AF231" i="56" s="1"/>
  <c r="AF145" i="56" a="1"/>
  <c r="AF145" i="56" s="1"/>
  <c r="AF25" i="56" a="1"/>
  <c r="AF25" i="56" s="1"/>
  <c r="AF505" i="56" a="1"/>
  <c r="AF505" i="56" s="1"/>
  <c r="I38" i="49"/>
  <c r="I50" i="49"/>
  <c r="I70" i="49"/>
  <c r="D17" i="49"/>
  <c r="I34" i="49"/>
  <c r="I42" i="49"/>
  <c r="I46" i="49"/>
  <c r="B24" i="49"/>
  <c r="I69" i="49"/>
  <c r="I41" i="49"/>
  <c r="I52" i="49"/>
  <c r="I51" i="49"/>
  <c r="I85" i="49"/>
  <c r="C25" i="49"/>
  <c r="I88" i="49"/>
  <c r="B26" i="49"/>
  <c r="I72" i="49"/>
  <c r="B22" i="49"/>
  <c r="I48" i="49"/>
  <c r="B10" i="49"/>
  <c r="I33" i="49"/>
  <c r="C6" i="49"/>
  <c r="I60" i="49"/>
  <c r="B16" i="49"/>
  <c r="I49" i="49"/>
  <c r="C10" i="49"/>
  <c r="I40" i="49"/>
  <c r="B8" i="49"/>
  <c r="I37" i="49"/>
  <c r="C7" i="49"/>
  <c r="I84" i="49"/>
  <c r="B25" i="49"/>
  <c r="I71" i="49"/>
  <c r="E18" i="49"/>
  <c r="I36" i="49"/>
  <c r="B7" i="49"/>
  <c r="I83" i="49"/>
  <c r="E24" i="49"/>
  <c r="I57" i="49"/>
  <c r="C15" i="49"/>
  <c r="I63" i="49"/>
  <c r="I77" i="49"/>
  <c r="C23" i="49"/>
  <c r="I59" i="49"/>
  <c r="E15" i="49"/>
  <c r="I68" i="49"/>
  <c r="B18" i="49"/>
  <c r="I56" i="49"/>
  <c r="B15" i="49"/>
  <c r="I67" i="49"/>
  <c r="E17" i="49"/>
  <c r="I73" i="49"/>
  <c r="C22" i="49"/>
  <c r="I47" i="49"/>
  <c r="I81" i="49"/>
  <c r="C24" i="49"/>
  <c r="I35" i="49"/>
  <c r="E6" i="49"/>
  <c r="I45" i="49"/>
  <c r="C9" i="49"/>
  <c r="I53" i="49"/>
  <c r="C14" i="49"/>
  <c r="I79" i="49"/>
  <c r="E23" i="49"/>
  <c r="I43" i="49"/>
  <c r="E8" i="49"/>
  <c r="I55" i="49"/>
  <c r="E14" i="49"/>
  <c r="I32" i="49"/>
  <c r="B6" i="49"/>
  <c r="I44" i="49"/>
  <c r="B9" i="49"/>
  <c r="I61" i="49"/>
  <c r="I91" i="49"/>
  <c r="E26" i="49"/>
  <c r="I89" i="49"/>
  <c r="C26" i="49"/>
  <c r="I76" i="49"/>
  <c r="B23" i="49"/>
  <c r="I65" i="49"/>
  <c r="C17" i="49"/>
  <c r="I75" i="49"/>
  <c r="E22" i="49"/>
  <c r="I39" i="49"/>
  <c r="I64" i="49"/>
  <c r="B17" i="49"/>
  <c r="I87" i="49"/>
  <c r="E25" i="49"/>
  <c r="AP41" i="32"/>
  <c r="AL41" i="32"/>
  <c r="AH41" i="32"/>
  <c r="T42" i="32"/>
  <c r="Y42" i="32"/>
  <c r="T38" i="32"/>
  <c r="H257" i="46" l="1"/>
  <c r="I48" i="47"/>
  <c r="I47" i="47"/>
  <c r="I40" i="47"/>
  <c r="I39" i="47"/>
  <c r="I38" i="47"/>
  <c r="I31" i="47"/>
  <c r="I30" i="47"/>
  <c r="I29" i="47"/>
  <c r="I22" i="47"/>
  <c r="I21" i="47"/>
  <c r="I20" i="47"/>
  <c r="I13" i="47"/>
  <c r="I12" i="47"/>
  <c r="I5" i="47"/>
  <c r="H256" i="46"/>
  <c r="H255" i="46"/>
  <c r="H254" i="46"/>
  <c r="H246" i="46"/>
  <c r="H245" i="46"/>
  <c r="H238" i="46"/>
  <c r="H237" i="46"/>
  <c r="H236" i="46"/>
  <c r="H229" i="46"/>
  <c r="H228" i="46"/>
  <c r="H227" i="46"/>
  <c r="H226" i="46"/>
  <c r="H225" i="46"/>
  <c r="H218" i="46"/>
  <c r="H217" i="46"/>
  <c r="H216" i="46"/>
  <c r="H209" i="46"/>
  <c r="H208" i="46"/>
  <c r="H207" i="46"/>
  <c r="H200" i="46"/>
  <c r="H199" i="46"/>
  <c r="H198" i="46"/>
  <c r="H197" i="46"/>
  <c r="H196" i="46"/>
  <c r="H195" i="46"/>
  <c r="H194" i="46"/>
  <c r="H193" i="46"/>
  <c r="H192" i="46"/>
  <c r="H191" i="46"/>
  <c r="H190" i="46"/>
  <c r="H189" i="46"/>
  <c r="H182" i="46"/>
  <c r="H181" i="46"/>
  <c r="H180" i="46"/>
  <c r="H173" i="46"/>
  <c r="H172" i="46"/>
  <c r="H171" i="46"/>
  <c r="H170" i="46"/>
  <c r="H169" i="46"/>
  <c r="H168" i="46"/>
  <c r="H167" i="46"/>
  <c r="H166" i="46"/>
  <c r="H165" i="46"/>
  <c r="H164" i="46"/>
  <c r="H163" i="46"/>
  <c r="H162" i="46"/>
  <c r="H161" i="46"/>
  <c r="H160" i="46"/>
  <c r="H153" i="46"/>
  <c r="H152" i="46"/>
  <c r="H151" i="46"/>
  <c r="H144" i="46"/>
  <c r="H143" i="46"/>
  <c r="H142" i="46"/>
  <c r="H141" i="46"/>
  <c r="H140" i="46"/>
  <c r="H132" i="46"/>
  <c r="H131" i="46"/>
  <c r="H123" i="46"/>
  <c r="H122" i="46"/>
  <c r="H114" i="46"/>
  <c r="H113" i="46"/>
  <c r="H105" i="46"/>
  <c r="H104" i="46"/>
  <c r="H96" i="46"/>
  <c r="H95" i="46"/>
  <c r="H87" i="46"/>
  <c r="H86" i="46"/>
  <c r="H78" i="46"/>
  <c r="H77" i="46"/>
  <c r="H70" i="46"/>
  <c r="H69" i="46"/>
  <c r="H62" i="46"/>
  <c r="H61" i="46"/>
  <c r="H54" i="46"/>
  <c r="H53" i="46"/>
  <c r="H46" i="46"/>
  <c r="H45" i="46"/>
  <c r="H38" i="46"/>
  <c r="H37" i="46"/>
  <c r="H30" i="46"/>
  <c r="H29" i="46"/>
  <c r="H22" i="46"/>
  <c r="H21" i="46"/>
  <c r="H13" i="46"/>
  <c r="H12" i="46"/>
  <c r="H5" i="46"/>
  <c r="I195" i="46" l="1"/>
  <c r="I143" i="46"/>
  <c r="I164" i="46"/>
  <c r="I168" i="46"/>
  <c r="I170" i="46"/>
  <c r="I200" i="46"/>
  <c r="I169" i="46"/>
  <c r="I192" i="46"/>
  <c r="I171" i="46"/>
  <c r="I172" i="46"/>
  <c r="I193" i="46"/>
  <c r="I194" i="46"/>
  <c r="I199" i="46"/>
  <c r="I257" i="46"/>
  <c r="I196" i="46"/>
  <c r="I197" i="46"/>
  <c r="I198" i="46"/>
  <c r="I162" i="46"/>
  <c r="I141" i="46"/>
  <c r="I163" i="46"/>
  <c r="I142" i="46"/>
  <c r="I165" i="46"/>
  <c r="I166" i="46"/>
  <c r="I167" i="46"/>
  <c r="AZ111" i="2" l="1"/>
  <c r="AZ110" i="2"/>
  <c r="AZ109" i="2"/>
  <c r="AZ108" i="2"/>
  <c r="K34" i="45" l="1"/>
  <c r="J34" i="45"/>
  <c r="I34" i="45"/>
  <c r="H34" i="45"/>
  <c r="G34" i="45"/>
  <c r="F34" i="45"/>
  <c r="E34" i="45"/>
  <c r="D34" i="45"/>
  <c r="K33" i="45"/>
  <c r="J33" i="45"/>
  <c r="I33" i="45"/>
  <c r="H33" i="45"/>
  <c r="G33" i="45"/>
  <c r="F33" i="45"/>
  <c r="E33" i="45"/>
  <c r="D33" i="45"/>
  <c r="K32" i="45"/>
  <c r="J32" i="45"/>
  <c r="I32" i="45"/>
  <c r="H32" i="45"/>
  <c r="G32" i="45"/>
  <c r="F32" i="45"/>
  <c r="E32" i="45"/>
  <c r="D32" i="45"/>
  <c r="K31" i="45"/>
  <c r="J31" i="45"/>
  <c r="I31" i="45"/>
  <c r="H31" i="45"/>
  <c r="G31" i="45"/>
  <c r="F31" i="45"/>
  <c r="E31" i="45"/>
  <c r="D31" i="45"/>
  <c r="K30" i="45"/>
  <c r="J30" i="45"/>
  <c r="I30" i="45"/>
  <c r="H30" i="45"/>
  <c r="G30" i="45"/>
  <c r="F30" i="45"/>
  <c r="E30" i="45"/>
  <c r="D30" i="45"/>
  <c r="K29" i="45"/>
  <c r="J29" i="45"/>
  <c r="I29" i="45"/>
  <c r="H29" i="45"/>
  <c r="G29" i="45"/>
  <c r="F29" i="45"/>
  <c r="E29" i="45"/>
  <c r="D29" i="45"/>
  <c r="K28" i="45"/>
  <c r="J28" i="45"/>
  <c r="I28" i="45"/>
  <c r="H28" i="45"/>
  <c r="G28" i="45"/>
  <c r="F28" i="45"/>
  <c r="E28" i="45"/>
  <c r="D28" i="45"/>
  <c r="K27" i="45"/>
  <c r="J27" i="45"/>
  <c r="I27" i="45"/>
  <c r="H27" i="45"/>
  <c r="G27" i="45"/>
  <c r="F27" i="45"/>
  <c r="E27" i="45"/>
  <c r="D27" i="45"/>
  <c r="K26" i="45"/>
  <c r="J26" i="45"/>
  <c r="I26" i="45"/>
  <c r="H26" i="45"/>
  <c r="G26" i="45"/>
  <c r="F26" i="45"/>
  <c r="E26" i="45"/>
  <c r="D26" i="45"/>
  <c r="K25" i="45"/>
  <c r="J25" i="45"/>
  <c r="I25" i="45"/>
  <c r="H25" i="45"/>
  <c r="G25" i="45"/>
  <c r="F25" i="45"/>
  <c r="E25" i="45"/>
  <c r="D25" i="45"/>
  <c r="K24" i="45"/>
  <c r="J24" i="45"/>
  <c r="I24" i="45"/>
  <c r="H24" i="45"/>
  <c r="G24" i="45"/>
  <c r="F24" i="45"/>
  <c r="E24" i="45"/>
  <c r="D24" i="45"/>
  <c r="K23" i="45"/>
  <c r="J23" i="45"/>
  <c r="I23" i="45"/>
  <c r="H23" i="45"/>
  <c r="G23" i="45"/>
  <c r="F23" i="45"/>
  <c r="E23" i="45"/>
  <c r="D23" i="45"/>
  <c r="K22" i="45"/>
  <c r="J22" i="45"/>
  <c r="I22" i="45"/>
  <c r="H22" i="45"/>
  <c r="G22" i="45"/>
  <c r="F22" i="45"/>
  <c r="E22" i="45"/>
  <c r="D22" i="45"/>
  <c r="K21" i="45"/>
  <c r="J21" i="45"/>
  <c r="I21" i="45"/>
  <c r="H21" i="45"/>
  <c r="G21" i="45"/>
  <c r="F21" i="45"/>
  <c r="E21" i="45"/>
  <c r="D21" i="45"/>
  <c r="K20" i="45"/>
  <c r="J20" i="45"/>
  <c r="I20" i="45"/>
  <c r="H20" i="45"/>
  <c r="G20" i="45"/>
  <c r="F20" i="45"/>
  <c r="E20" i="45"/>
  <c r="D20" i="45"/>
  <c r="K19" i="45"/>
  <c r="J19" i="45"/>
  <c r="I19" i="45"/>
  <c r="H19" i="45"/>
  <c r="G19" i="45"/>
  <c r="F19" i="45"/>
  <c r="E19" i="45"/>
  <c r="D19" i="45"/>
  <c r="J38" i="44"/>
  <c r="I38" i="44"/>
  <c r="H38" i="44"/>
  <c r="G38" i="44"/>
  <c r="F38" i="44"/>
  <c r="E38" i="44"/>
  <c r="D38" i="44"/>
  <c r="J37" i="44"/>
  <c r="I37" i="44"/>
  <c r="H37" i="44"/>
  <c r="G37" i="44"/>
  <c r="F37" i="44"/>
  <c r="E37" i="44"/>
  <c r="D37" i="44"/>
  <c r="J36" i="44"/>
  <c r="I36" i="44"/>
  <c r="H36" i="44"/>
  <c r="G36" i="44"/>
  <c r="F36" i="44"/>
  <c r="E36" i="44"/>
  <c r="D36" i="44"/>
  <c r="J35" i="44"/>
  <c r="I35" i="44"/>
  <c r="H35" i="44"/>
  <c r="G35" i="44"/>
  <c r="F35" i="44"/>
  <c r="E35" i="44"/>
  <c r="D35" i="44"/>
  <c r="J34" i="44"/>
  <c r="I34" i="44"/>
  <c r="H34" i="44"/>
  <c r="G34" i="44"/>
  <c r="F34" i="44"/>
  <c r="E34" i="44"/>
  <c r="D34" i="44"/>
  <c r="J33" i="44"/>
  <c r="I33" i="44"/>
  <c r="H33" i="44"/>
  <c r="G33" i="44"/>
  <c r="F33" i="44"/>
  <c r="E33" i="44"/>
  <c r="D33" i="44"/>
  <c r="J32" i="44"/>
  <c r="I32" i="44"/>
  <c r="H32" i="44"/>
  <c r="G32" i="44"/>
  <c r="F32" i="44"/>
  <c r="E32" i="44"/>
  <c r="D32" i="44"/>
  <c r="J31" i="44"/>
  <c r="I31" i="44"/>
  <c r="H31" i="44"/>
  <c r="G31" i="44"/>
  <c r="F31" i="44"/>
  <c r="E31" i="44"/>
  <c r="D31" i="44"/>
  <c r="J30" i="44"/>
  <c r="I30" i="44"/>
  <c r="H30" i="44"/>
  <c r="G30" i="44"/>
  <c r="F30" i="44"/>
  <c r="E30" i="44"/>
  <c r="D30" i="44"/>
  <c r="J29" i="44"/>
  <c r="I29" i="44"/>
  <c r="H29" i="44"/>
  <c r="G29" i="44"/>
  <c r="F29" i="44"/>
  <c r="E29" i="44"/>
  <c r="D29" i="44"/>
  <c r="J28" i="44"/>
  <c r="I28" i="44"/>
  <c r="H28" i="44"/>
  <c r="G28" i="44"/>
  <c r="F28" i="44"/>
  <c r="E28" i="44"/>
  <c r="D28" i="44"/>
  <c r="J27" i="44"/>
  <c r="I27" i="44"/>
  <c r="H27" i="44"/>
  <c r="G27" i="44"/>
  <c r="F27" i="44"/>
  <c r="E27" i="44"/>
  <c r="D27" i="44"/>
  <c r="J26" i="44"/>
  <c r="I26" i="44"/>
  <c r="H26" i="44"/>
  <c r="G26" i="44"/>
  <c r="F26" i="44"/>
  <c r="E26" i="44"/>
  <c r="D26" i="44"/>
  <c r="J25" i="44"/>
  <c r="I25" i="44"/>
  <c r="H25" i="44"/>
  <c r="G25" i="44"/>
  <c r="F25" i="44"/>
  <c r="E25" i="44"/>
  <c r="D25" i="44"/>
  <c r="J24" i="44"/>
  <c r="I24" i="44"/>
  <c r="H24" i="44"/>
  <c r="G24" i="44"/>
  <c r="F24" i="44"/>
  <c r="E24" i="44"/>
  <c r="D24" i="44"/>
  <c r="J23" i="44"/>
  <c r="I23" i="44"/>
  <c r="H23" i="44"/>
  <c r="G23" i="44"/>
  <c r="F23" i="44"/>
  <c r="E23" i="44"/>
  <c r="D23" i="44"/>
  <c r="J22" i="44"/>
  <c r="I22" i="44"/>
  <c r="H22" i="44"/>
  <c r="G22" i="44"/>
  <c r="F22" i="44"/>
  <c r="E22" i="44"/>
  <c r="D22" i="44"/>
  <c r="J21" i="44"/>
  <c r="I21" i="44"/>
  <c r="H21" i="44"/>
  <c r="G21" i="44"/>
  <c r="F21" i="44"/>
  <c r="E21" i="44"/>
  <c r="D21" i="44"/>
  <c r="AL37" i="32" l="1"/>
  <c r="F14" i="16" l="1"/>
  <c r="R5" i="5" l="1" a="1"/>
  <c r="R5" i="5" s="1"/>
  <c r="C5" i="5" a="1"/>
  <c r="C5" i="5" s="1"/>
  <c r="R4" i="5" a="1"/>
  <c r="R4" i="5" s="1"/>
  <c r="C4" i="5" a="1"/>
  <c r="C4" i="5" s="1"/>
  <c r="A4" i="5" a="1"/>
  <c r="A4" i="5" s="1"/>
  <c r="R3" i="5" a="1"/>
  <c r="R3" i="5" s="1"/>
  <c r="C3" i="5" a="1"/>
  <c r="C3" i="5" s="1"/>
  <c r="A3" i="5" a="1"/>
  <c r="A3" i="5" s="1"/>
  <c r="X5" i="5" a="1"/>
  <c r="X5" i="5" s="1"/>
  <c r="X4" i="5" a="1"/>
  <c r="X4" i="5" s="1"/>
  <c r="X3" i="5" a="1"/>
  <c r="X3" i="5" s="1"/>
  <c r="A5" i="5" l="1" a="1"/>
  <c r="A5" i="5" s="1"/>
  <c r="B4" i="5" a="1"/>
  <c r="B4" i="5" s="1"/>
  <c r="B5" i="5" l="1" a="1"/>
  <c r="B5" i="5" s="1"/>
  <c r="B3" i="5" a="1"/>
  <c r="B3" i="5" s="1"/>
  <c r="G5" i="5" a="1"/>
  <c r="G5" i="5" s="1"/>
  <c r="G4" i="5" a="1"/>
  <c r="G4" i="5" s="1"/>
  <c r="G3" i="5" l="1" a="1"/>
  <c r="G3" i="5" s="1"/>
  <c r="AB15" i="32" l="1"/>
  <c r="AB9" i="32"/>
  <c r="AB3" i="32"/>
  <c r="N56" i="38"/>
  <c r="K56" i="38"/>
  <c r="L56" i="38" s="1"/>
  <c r="K55" i="38"/>
  <c r="L55" i="38" s="1"/>
  <c r="N54" i="38"/>
  <c r="K54" i="38"/>
  <c r="L54" i="38" s="1"/>
  <c r="N52" i="38"/>
  <c r="N51" i="38"/>
  <c r="N49" i="38"/>
  <c r="J49" i="38"/>
  <c r="N48" i="38"/>
  <c r="J48" i="38"/>
  <c r="N47" i="38"/>
  <c r="J47" i="38"/>
  <c r="N46" i="38"/>
  <c r="J46" i="38"/>
  <c r="N45" i="38"/>
  <c r="J45" i="38"/>
  <c r="I42" i="38"/>
  <c r="I41" i="38"/>
  <c r="L40" i="38"/>
  <c r="E39" i="38"/>
  <c r="G32" i="38"/>
  <c r="D24" i="38"/>
  <c r="D23" i="38"/>
  <c r="D22" i="38"/>
  <c r="B19" i="38"/>
  <c r="B18" i="38"/>
  <c r="B14" i="38"/>
  <c r="D12" i="38"/>
  <c r="R11" i="38"/>
  <c r="T10" i="38"/>
  <c r="L8" i="38"/>
  <c r="Q7" i="38"/>
  <c r="R7" i="38" s="1"/>
  <c r="P6" i="38"/>
  <c r="J3" i="38"/>
  <c r="I3" i="38"/>
  <c r="G3" i="38"/>
  <c r="C3" i="38"/>
  <c r="B3" i="38" s="1"/>
  <c r="A3" i="38"/>
  <c r="C5" i="38" s="1"/>
  <c r="F10" i="38" s="1"/>
  <c r="H1" i="38"/>
  <c r="G1" i="38"/>
  <c r="AH40" i="32" l="1"/>
  <c r="D3" i="38"/>
  <c r="E9" i="38" s="1"/>
  <c r="F3" i="38"/>
  <c r="H3" i="38"/>
  <c r="Y3" i="38"/>
  <c r="M3" i="38"/>
  <c r="P3" i="38"/>
  <c r="AA4" i="38"/>
  <c r="A8" i="38"/>
  <c r="B5" i="38"/>
  <c r="L5" i="38"/>
  <c r="M5" i="38"/>
  <c r="P5" i="38"/>
  <c r="C4" i="38"/>
  <c r="K5" i="38" l="1"/>
  <c r="N5" i="38" s="1"/>
  <c r="Q5" i="38" s="1"/>
  <c r="R5" i="38" s="1"/>
  <c r="E10" i="38"/>
  <c r="K4" i="38"/>
  <c r="E3" i="38" s="1"/>
  <c r="K3" i="38" s="1"/>
  <c r="C8" i="38"/>
  <c r="L4" i="38" a="1"/>
  <c r="L4" i="38" s="1"/>
  <c r="B4" i="38"/>
  <c r="E8" i="38"/>
  <c r="P4" i="38"/>
  <c r="M4" i="38"/>
  <c r="N4" i="38" l="1"/>
  <c r="X3" i="38" s="1"/>
  <c r="W3" i="38" s="1"/>
  <c r="N6" i="38"/>
  <c r="Q22" i="38"/>
  <c r="H8" i="38"/>
  <c r="O4" i="38"/>
  <c r="L3" i="38"/>
  <c r="N3" i="38" s="1"/>
  <c r="Q17" i="38" l="1"/>
  <c r="N8" i="38"/>
  <c r="T6" i="38" s="1"/>
  <c r="K8" i="38"/>
  <c r="Q10" i="38" s="1" a="1"/>
  <c r="Q10" i="38" s="1"/>
  <c r="R10" i="38" s="1"/>
  <c r="X19" i="38"/>
  <c r="Y19" i="38" s="1"/>
  <c r="X18" i="38"/>
  <c r="Y18" i="38" s="1"/>
  <c r="X17" i="38"/>
  <c r="Y17" i="38" s="1"/>
  <c r="X20" i="38"/>
  <c r="Y20" i="38" s="1"/>
  <c r="X16" i="38"/>
  <c r="Q18" i="38"/>
  <c r="Q6" i="38"/>
  <c r="R6" i="38" s="1"/>
  <c r="L9" i="38"/>
  <c r="Q4" i="38"/>
  <c r="R4" i="38" s="1"/>
  <c r="T4" i="38" l="1"/>
  <c r="Q9" i="38" a="1"/>
  <c r="Q9" i="38" s="1"/>
  <c r="R9" i="38" s="1"/>
  <c r="X21" i="38"/>
  <c r="L21" i="38"/>
  <c r="K47" i="38"/>
  <c r="E38" i="38"/>
  <c r="L19" i="38"/>
  <c r="K46" i="38"/>
  <c r="K45" i="38"/>
  <c r="N12" i="38"/>
  <c r="K49" i="38"/>
  <c r="Q26" i="38"/>
  <c r="X5" i="38"/>
  <c r="W5" i="38" s="1"/>
  <c r="T7" i="38"/>
  <c r="X4" i="38"/>
  <c r="L22" i="38"/>
  <c r="L20" i="38"/>
  <c r="O49" i="38" s="1"/>
  <c r="T5" i="38"/>
  <c r="T11" i="38"/>
  <c r="M19" i="38" l="1"/>
  <c r="E40" i="38"/>
  <c r="L18" i="38"/>
  <c r="Y10" i="38"/>
  <c r="Y4" i="38" s="1"/>
  <c r="T9" i="38" l="1"/>
  <c r="W4" i="38"/>
  <c r="Y23" i="38" l="1"/>
  <c r="K10" i="38" l="1"/>
  <c r="O3" i="38" l="1"/>
  <c r="Q3" i="38" l="1"/>
  <c r="T3" i="38"/>
  <c r="T8" i="38" s="1"/>
  <c r="Y16" i="38"/>
  <c r="Y21" i="38" s="1"/>
  <c r="Y24" i="38" s="1"/>
  <c r="T13" i="38" l="1"/>
  <c r="T12" i="38"/>
  <c r="T16" i="38" s="1"/>
  <c r="Q8" i="38"/>
  <c r="R3" i="38"/>
  <c r="Q13" i="38" l="1"/>
  <c r="R8" i="38"/>
  <c r="R12" i="38" s="1"/>
  <c r="R13" i="38" s="1"/>
  <c r="Q12" i="38"/>
  <c r="I33" i="38"/>
  <c r="Y22" i="38"/>
  <c r="Y25" i="38" s="1"/>
  <c r="T14" i="38"/>
  <c r="I36" i="38" l="1"/>
  <c r="I34" i="38"/>
  <c r="K33" i="38"/>
  <c r="J33" i="38"/>
  <c r="L33" i="38" s="1"/>
  <c r="L13" i="38"/>
  <c r="Q23" i="38"/>
  <c r="Q24" i="38" l="1"/>
  <c r="R24" i="38" s="1"/>
  <c r="L48" i="38"/>
  <c r="L49" i="38"/>
  <c r="K34" i="38"/>
  <c r="J34" i="38"/>
  <c r="J41" i="38"/>
  <c r="J42" i="38"/>
  <c r="L14" i="38"/>
  <c r="I26" i="38"/>
  <c r="K26" i="38" s="1"/>
  <c r="M13" i="38"/>
  <c r="L15" i="38"/>
  <c r="J26" i="38" l="1"/>
  <c r="M15" i="38"/>
  <c r="I27" i="38"/>
  <c r="K27" i="38" s="1"/>
  <c r="M14" i="38"/>
  <c r="L16" i="38"/>
  <c r="C47" i="38"/>
  <c r="C52" i="38" s="1"/>
  <c r="L34" i="38"/>
  <c r="K42" i="38"/>
  <c r="K41" i="38"/>
  <c r="L41" i="38" l="1"/>
  <c r="M41" i="38"/>
  <c r="M42" i="38"/>
  <c r="L42" i="38"/>
  <c r="M16" i="38"/>
  <c r="J27" i="38"/>
  <c r="L27" i="38" s="1"/>
  <c r="L26" i="38"/>
  <c r="C49" i="38"/>
  <c r="C54" i="38" l="1"/>
  <c r="C55" i="38" s="1"/>
  <c r="C48" i="38"/>
  <c r="C50" i="38" s="1"/>
  <c r="Y26" i="38" s="1"/>
  <c r="Y27" i="38" s="1"/>
  <c r="Y28" i="38" s="1"/>
  <c r="AP65" i="9" a="1"/>
  <c r="AP65" i="9" s="1"/>
  <c r="G63" i="9" s="1"/>
  <c r="AL65" i="9" a="1"/>
  <c r="AL65" i="9" s="1"/>
  <c r="G57" i="9" s="1"/>
  <c r="DH2" i="2" a="1"/>
  <c r="DH2" i="2" s="1"/>
  <c r="DG2" i="2" a="1"/>
  <c r="DG2" i="2" s="1"/>
  <c r="DF2" i="2" a="1"/>
  <c r="DF2" i="2" s="1"/>
  <c r="N93" i="9" a="1"/>
  <c r="N93" i="9" s="1"/>
  <c r="N92" i="9" a="1"/>
  <c r="N92" i="9" s="1"/>
  <c r="N91" i="9" a="1"/>
  <c r="N91" i="9" s="1"/>
  <c r="T90" i="9"/>
  <c r="N90" i="9" a="1"/>
  <c r="N90" i="9" s="1"/>
  <c r="Y90" i="9"/>
  <c r="AP91" i="9"/>
  <c r="AL91" i="9"/>
  <c r="AH91" i="9"/>
  <c r="N89" i="9" a="1"/>
  <c r="N89" i="9" s="1"/>
  <c r="AP90" i="9"/>
  <c r="AL90" i="9"/>
  <c r="AH90" i="9"/>
  <c r="N88" i="9" a="1"/>
  <c r="N88" i="9" s="1"/>
  <c r="N87" i="9" a="1"/>
  <c r="N87" i="9" s="1"/>
  <c r="T86" i="9"/>
  <c r="N86" i="9" a="1"/>
  <c r="N86" i="9" s="1"/>
  <c r="AP87" i="9"/>
  <c r="AL87" i="9"/>
  <c r="AH87" i="9"/>
  <c r="N85" i="9" a="1"/>
  <c r="N85" i="9" s="1"/>
  <c r="N84" i="9" a="1"/>
  <c r="N84" i="9" s="1"/>
  <c r="N83" i="9" a="1"/>
  <c r="N83" i="9" s="1"/>
  <c r="N82" i="9" a="1"/>
  <c r="N82" i="9" s="1"/>
  <c r="N80" i="9" a="1"/>
  <c r="N80" i="9" s="1"/>
  <c r="T77" i="9"/>
  <c r="N77" i="9" a="1"/>
  <c r="N77" i="9" s="1"/>
  <c r="N74" i="9" a="1"/>
  <c r="N74" i="9" s="1"/>
  <c r="N73" i="9" a="1"/>
  <c r="N73" i="9" s="1"/>
  <c r="N72" i="9" a="1"/>
  <c r="N72" i="9" s="1"/>
  <c r="N71" i="9" a="1"/>
  <c r="N71" i="9" s="1"/>
  <c r="N70" i="9" a="1"/>
  <c r="N70" i="9" s="1"/>
  <c r="T69" i="9"/>
  <c r="N69" i="9" a="1"/>
  <c r="N69" i="9" s="1"/>
  <c r="K68" i="9"/>
  <c r="AA63" i="9"/>
  <c r="AB63" i="9" s="1"/>
  <c r="Q63" i="9"/>
  <c r="O63" i="9"/>
  <c r="H63" i="9"/>
  <c r="I63" i="9" s="1"/>
  <c r="M7" i="49" s="1"/>
  <c r="D63" i="9"/>
  <c r="B63" i="9"/>
  <c r="K62" i="9"/>
  <c r="AQ63" i="9"/>
  <c r="AM63" i="9"/>
  <c r="AI63" i="9"/>
  <c r="AB57" i="9"/>
  <c r="AA57" i="9"/>
  <c r="Q57" i="9"/>
  <c r="O57" i="9"/>
  <c r="H57" i="9"/>
  <c r="I57" i="9" s="1"/>
  <c r="D57" i="9"/>
  <c r="B57" i="9"/>
  <c r="K56" i="9"/>
  <c r="Z55" i="9"/>
  <c r="AB51" i="9"/>
  <c r="AA51" i="9"/>
  <c r="Q51" i="9"/>
  <c r="O51" i="9"/>
  <c r="H51" i="9"/>
  <c r="D51" i="9"/>
  <c r="B51" i="9"/>
  <c r="AO51" i="9"/>
  <c r="AK51" i="9"/>
  <c r="AG51" i="9"/>
  <c r="S57" i="9" l="1" a="1"/>
  <c r="S57" i="9" s="1"/>
  <c r="E63" i="9"/>
  <c r="K7" i="49" s="1"/>
  <c r="E51" i="9"/>
  <c r="K5" i="49" s="1"/>
  <c r="E57" i="9"/>
  <c r="K6" i="49" s="1"/>
  <c r="L7" i="49"/>
  <c r="L6" i="49"/>
  <c r="W57" i="9"/>
  <c r="M6" i="49"/>
  <c r="J5" i="49"/>
  <c r="J7" i="49"/>
  <c r="J6" i="49"/>
  <c r="I51" i="9"/>
  <c r="S51" i="9" s="1" a="1"/>
  <c r="S51" i="9" s="1"/>
  <c r="W51" i="9" l="1"/>
  <c r="M5" i="49"/>
  <c r="AH88" i="9"/>
  <c r="A51" i="9" l="1"/>
  <c r="P55" i="9" l="1"/>
  <c r="P56" i="9"/>
  <c r="BB24" i="4"/>
  <c r="AX24" i="4"/>
  <c r="AT24" i="4"/>
  <c r="AP24" i="4"/>
  <c r="AL24" i="4"/>
  <c r="AH24" i="4"/>
  <c r="AP37" i="32" l="1"/>
  <c r="AH37" i="32"/>
  <c r="AZ169" i="2"/>
  <c r="AZ170" i="2"/>
  <c r="AZ171" i="2"/>
  <c r="AZ172" i="2"/>
  <c r="AZ173" i="2"/>
  <c r="AZ174" i="2"/>
  <c r="AZ175" i="2"/>
  <c r="AZ176" i="2"/>
  <c r="AZ2" i="2"/>
  <c r="AZ3" i="2"/>
  <c r="AZ4" i="2"/>
  <c r="AZ5" i="2"/>
  <c r="AZ6" i="2"/>
  <c r="AZ7" i="2"/>
  <c r="AZ8" i="2"/>
  <c r="AZ9" i="2"/>
  <c r="AZ10" i="2"/>
  <c r="AZ11" i="2"/>
  <c r="AZ12" i="2"/>
  <c r="AZ13" i="2"/>
  <c r="AZ14" i="2"/>
  <c r="AZ15" i="2"/>
  <c r="AZ16" i="2"/>
  <c r="AZ17" i="2"/>
  <c r="AZ18" i="2"/>
  <c r="AZ19" i="2"/>
  <c r="AZ20" i="2"/>
  <c r="AZ21" i="2"/>
  <c r="AZ22" i="2"/>
  <c r="AZ23" i="2"/>
  <c r="AZ24" i="2"/>
  <c r="AZ25" i="2"/>
  <c r="AZ26" i="2"/>
  <c r="AZ27" i="2"/>
  <c r="AZ28" i="2"/>
  <c r="AZ29" i="2"/>
  <c r="AZ30" i="2"/>
  <c r="AZ31" i="2"/>
  <c r="AZ32" i="2"/>
  <c r="AZ33" i="2"/>
  <c r="AZ34" i="2"/>
  <c r="AZ35" i="2"/>
  <c r="AZ36" i="2"/>
  <c r="AZ37" i="2"/>
  <c r="AZ38" i="2"/>
  <c r="AZ39" i="2"/>
  <c r="AZ40" i="2"/>
  <c r="AZ41" i="2"/>
  <c r="AZ42" i="2"/>
  <c r="AZ43" i="2"/>
  <c r="AZ44" i="2"/>
  <c r="AZ45" i="2"/>
  <c r="AZ46" i="2"/>
  <c r="AZ47" i="2"/>
  <c r="AZ48" i="2"/>
  <c r="AZ49" i="2"/>
  <c r="AZ50" i="2"/>
  <c r="AZ51" i="2"/>
  <c r="AZ52" i="2"/>
  <c r="AZ53" i="2"/>
  <c r="AZ54" i="2"/>
  <c r="AZ55" i="2"/>
  <c r="AZ56" i="2"/>
  <c r="AZ57" i="2"/>
  <c r="AZ58" i="2"/>
  <c r="AZ59" i="2"/>
  <c r="AZ60" i="2"/>
  <c r="AZ61" i="2"/>
  <c r="AZ62" i="2"/>
  <c r="AZ63" i="2"/>
  <c r="AZ64" i="2"/>
  <c r="AZ65" i="2"/>
  <c r="AZ66" i="2"/>
  <c r="AZ67" i="2"/>
  <c r="AZ68" i="2"/>
  <c r="AZ69" i="2"/>
  <c r="AZ70" i="2"/>
  <c r="AZ71" i="2"/>
  <c r="AZ72" i="2"/>
  <c r="AZ73" i="2"/>
  <c r="AZ74" i="2"/>
  <c r="AZ75" i="2"/>
  <c r="AZ76" i="2"/>
  <c r="AZ77" i="2"/>
  <c r="AZ78" i="2"/>
  <c r="AZ79" i="2"/>
  <c r="AZ80" i="2"/>
  <c r="AZ81" i="2"/>
  <c r="AZ82" i="2"/>
  <c r="AZ83" i="2"/>
  <c r="AZ84" i="2"/>
  <c r="AZ85" i="2"/>
  <c r="AZ86" i="2"/>
  <c r="AZ87" i="2"/>
  <c r="AZ88" i="2"/>
  <c r="AZ89" i="2"/>
  <c r="AZ90" i="2"/>
  <c r="AZ91" i="2"/>
  <c r="AZ92" i="2"/>
  <c r="AZ93" i="2"/>
  <c r="AZ94" i="2"/>
  <c r="AZ95" i="2"/>
  <c r="AZ96" i="2"/>
  <c r="AZ97" i="2"/>
  <c r="AZ98" i="2"/>
  <c r="AZ99" i="2"/>
  <c r="AZ100" i="2"/>
  <c r="AZ101" i="2"/>
  <c r="AZ102" i="2"/>
  <c r="AZ103" i="2"/>
  <c r="AZ104" i="2"/>
  <c r="AZ105" i="2"/>
  <c r="AZ106" i="2"/>
  <c r="AZ107" i="2"/>
  <c r="AZ112" i="2"/>
  <c r="AZ113" i="2"/>
  <c r="AZ114" i="2"/>
  <c r="AZ115" i="2"/>
  <c r="AZ116" i="2"/>
  <c r="AZ117" i="2"/>
  <c r="AZ118" i="2"/>
  <c r="AZ119" i="2"/>
  <c r="AZ120" i="2"/>
  <c r="AZ121" i="2"/>
  <c r="AZ122" i="2"/>
  <c r="AZ123" i="2"/>
  <c r="AZ124" i="2"/>
  <c r="AZ125" i="2"/>
  <c r="AZ126" i="2"/>
  <c r="AZ127" i="2"/>
  <c r="AZ128" i="2"/>
  <c r="AZ129" i="2"/>
  <c r="AZ130" i="2"/>
  <c r="AZ131" i="2"/>
  <c r="AZ132" i="2"/>
  <c r="AZ133" i="2"/>
  <c r="AZ134" i="2"/>
  <c r="AZ135" i="2"/>
  <c r="AZ136" i="2"/>
  <c r="AZ137" i="2"/>
  <c r="AZ138" i="2"/>
  <c r="AZ139" i="2"/>
  <c r="AZ140" i="2"/>
  <c r="AZ141" i="2"/>
  <c r="AZ142" i="2"/>
  <c r="AZ143" i="2"/>
  <c r="AZ144" i="2"/>
  <c r="AZ145" i="2"/>
  <c r="AZ146" i="2"/>
  <c r="AZ147" i="2"/>
  <c r="AZ148" i="2"/>
  <c r="AZ149" i="2"/>
  <c r="AZ150" i="2"/>
  <c r="AZ151" i="2"/>
  <c r="AZ152" i="2"/>
  <c r="AZ153" i="2"/>
  <c r="AZ154" i="2"/>
  <c r="AZ155" i="2"/>
  <c r="AZ156" i="2"/>
  <c r="AZ157" i="2"/>
  <c r="AZ158" i="2"/>
  <c r="AZ159" i="2"/>
  <c r="AZ160" i="2"/>
  <c r="AZ161" i="2"/>
  <c r="AZ162" i="2"/>
  <c r="AZ163" i="2"/>
  <c r="AZ164" i="2"/>
  <c r="AZ165" i="2"/>
  <c r="AZ166" i="2"/>
  <c r="AZ167" i="2"/>
  <c r="AZ168" i="2"/>
  <c r="K8" i="32" l="1"/>
  <c r="B15" i="32"/>
  <c r="B3" i="32"/>
  <c r="B9" i="32"/>
  <c r="AG2" i="9"/>
  <c r="AK2" i="9"/>
  <c r="AO2" i="9"/>
  <c r="AM14" i="9"/>
  <c r="AQ14" i="9"/>
  <c r="AH38" i="9"/>
  <c r="AL38" i="9"/>
  <c r="AP38" i="9"/>
  <c r="AL42" i="9"/>
  <c r="AP42" i="9"/>
  <c r="AA15" i="9" l="1"/>
  <c r="AB15" i="9" s="1"/>
  <c r="AA9" i="9"/>
  <c r="AB9" i="9" s="1"/>
  <c r="AA3" i="9"/>
  <c r="AB3" i="9" s="1"/>
  <c r="M153" i="6"/>
  <c r="J151" i="6"/>
  <c r="K151" i="6" s="1"/>
  <c r="M145" i="6" s="1"/>
  <c r="J150" i="6"/>
  <c r="M144" i="6"/>
  <c r="BU253" i="2" l="1" a="1"/>
  <c r="BU253" i="2" s="1"/>
  <c r="BV253" i="2" s="1" a="1"/>
  <c r="BV253" i="2" s="1"/>
  <c r="BW253" i="2" a="1"/>
  <c r="BW253" i="2" s="1"/>
  <c r="BX253" i="2" a="1"/>
  <c r="BX253" i="2" s="1"/>
  <c r="BY253" i="2" a="1"/>
  <c r="BY253" i="2" s="1"/>
  <c r="BZ253" i="2" a="1"/>
  <c r="BZ253" i="2" s="1"/>
  <c r="CC253" i="2" a="1"/>
  <c r="CC253" i="2" s="1"/>
  <c r="BU254" i="2" a="1"/>
  <c r="BU254" i="2" s="1"/>
  <c r="BV254" i="2" s="1" a="1"/>
  <c r="BV254" i="2" s="1"/>
  <c r="BW254" i="2" a="1"/>
  <c r="BW254" i="2" s="1"/>
  <c r="BX254" i="2" a="1"/>
  <c r="BX254" i="2" s="1"/>
  <c r="BY254" i="2" a="1"/>
  <c r="BY254" i="2" s="1"/>
  <c r="BZ254" i="2" a="1"/>
  <c r="BZ254" i="2" s="1"/>
  <c r="CC254" i="2" a="1"/>
  <c r="CC254" i="2" s="1"/>
  <c r="BU255" i="2" a="1"/>
  <c r="BU255" i="2" s="1"/>
  <c r="BV255" i="2" s="1" a="1"/>
  <c r="BV255" i="2" s="1"/>
  <c r="BW255" i="2" a="1"/>
  <c r="BW255" i="2" s="1"/>
  <c r="BX255" i="2" a="1"/>
  <c r="BX255" i="2" s="1"/>
  <c r="BY255" i="2" a="1"/>
  <c r="BY255" i="2" s="1"/>
  <c r="BZ255" i="2" a="1"/>
  <c r="BZ255" i="2" s="1"/>
  <c r="CC255" i="2" a="1"/>
  <c r="CC255" i="2" s="1"/>
  <c r="BU256" i="2" a="1"/>
  <c r="BU256" i="2" s="1"/>
  <c r="BV256" i="2" s="1" a="1"/>
  <c r="BV256" i="2" s="1"/>
  <c r="BW256" i="2" a="1"/>
  <c r="BW256" i="2" s="1"/>
  <c r="BX256" i="2" a="1"/>
  <c r="BX256" i="2" s="1"/>
  <c r="BY256" i="2" a="1"/>
  <c r="BY256" i="2" s="1"/>
  <c r="BZ256" i="2" a="1"/>
  <c r="BZ256" i="2" s="1"/>
  <c r="CC256" i="2" a="1"/>
  <c r="CC256" i="2" s="1"/>
  <c r="BU239" i="2" a="1"/>
  <c r="BU239" i="2" s="1"/>
  <c r="BV239" i="2" s="1" a="1"/>
  <c r="BV239" i="2" s="1"/>
  <c r="BW239" i="2" a="1"/>
  <c r="BW239" i="2" s="1"/>
  <c r="BX239" i="2" a="1"/>
  <c r="BX239" i="2" s="1"/>
  <c r="BY239" i="2" a="1"/>
  <c r="BY239" i="2" s="1"/>
  <c r="BZ239" i="2" a="1"/>
  <c r="BZ239" i="2" s="1"/>
  <c r="CC239" i="2" a="1"/>
  <c r="CC239" i="2" s="1"/>
  <c r="BU240" i="2" a="1"/>
  <c r="BU240" i="2" s="1"/>
  <c r="BV240" i="2" s="1" a="1"/>
  <c r="BV240" i="2" s="1"/>
  <c r="BW240" i="2" a="1"/>
  <c r="BW240" i="2" s="1"/>
  <c r="BX240" i="2" a="1"/>
  <c r="BX240" i="2" s="1"/>
  <c r="BY240" i="2" a="1"/>
  <c r="BY240" i="2" s="1"/>
  <c r="BZ240" i="2" a="1"/>
  <c r="BZ240" i="2" s="1"/>
  <c r="CC240" i="2" a="1"/>
  <c r="CC240" i="2" s="1"/>
  <c r="BU241" i="2" a="1"/>
  <c r="BU241" i="2" s="1"/>
  <c r="BV241" i="2" s="1" a="1"/>
  <c r="BV241" i="2" s="1"/>
  <c r="BW241" i="2" a="1"/>
  <c r="BW241" i="2" s="1"/>
  <c r="BX241" i="2" a="1"/>
  <c r="BX241" i="2" s="1"/>
  <c r="BY241" i="2" a="1"/>
  <c r="BY241" i="2" s="1"/>
  <c r="BZ241" i="2" a="1"/>
  <c r="BZ241" i="2" s="1"/>
  <c r="CC241" i="2" a="1"/>
  <c r="CC241" i="2" s="1"/>
  <c r="BU242" i="2" a="1"/>
  <c r="BU242" i="2" s="1"/>
  <c r="BV242" i="2" s="1" a="1"/>
  <c r="BV242" i="2" s="1"/>
  <c r="BW242" i="2" a="1"/>
  <c r="BW242" i="2" s="1"/>
  <c r="BX242" i="2" a="1"/>
  <c r="BX242" i="2" s="1"/>
  <c r="BY242" i="2" a="1"/>
  <c r="BY242" i="2" s="1"/>
  <c r="BZ242" i="2" a="1"/>
  <c r="BZ242" i="2" s="1"/>
  <c r="CC242" i="2" a="1"/>
  <c r="CC242" i="2" s="1"/>
  <c r="BU243" i="2" a="1"/>
  <c r="BU243" i="2" s="1"/>
  <c r="BV243" i="2" s="1" a="1"/>
  <c r="BV243" i="2" s="1"/>
  <c r="BW243" i="2" a="1"/>
  <c r="BW243" i="2" s="1"/>
  <c r="BX243" i="2" a="1"/>
  <c r="BX243" i="2" s="1"/>
  <c r="BY243" i="2" a="1"/>
  <c r="BY243" i="2" s="1"/>
  <c r="BZ243" i="2" a="1"/>
  <c r="BZ243" i="2" s="1"/>
  <c r="CC243" i="2" a="1"/>
  <c r="CC243" i="2" s="1"/>
  <c r="BU244" i="2" a="1"/>
  <c r="BU244" i="2" s="1"/>
  <c r="BV244" i="2" s="1" a="1"/>
  <c r="BV244" i="2" s="1"/>
  <c r="BW244" i="2" a="1"/>
  <c r="BW244" i="2" s="1"/>
  <c r="BX244" i="2" a="1"/>
  <c r="BX244" i="2" s="1"/>
  <c r="BY244" i="2" a="1"/>
  <c r="BY244" i="2" s="1"/>
  <c r="BZ244" i="2" a="1"/>
  <c r="BZ244" i="2" s="1"/>
  <c r="CC244" i="2" a="1"/>
  <c r="CC244" i="2" s="1"/>
  <c r="BU245" i="2" a="1"/>
  <c r="BU245" i="2" s="1"/>
  <c r="BV245" i="2" s="1" a="1"/>
  <c r="BV245" i="2" s="1"/>
  <c r="BW245" i="2" a="1"/>
  <c r="BW245" i="2" s="1"/>
  <c r="BX245" i="2" a="1"/>
  <c r="BX245" i="2" s="1"/>
  <c r="BY245" i="2" a="1"/>
  <c r="BY245" i="2" s="1"/>
  <c r="BZ245" i="2" a="1"/>
  <c r="BZ245" i="2" s="1"/>
  <c r="CC245" i="2" a="1"/>
  <c r="CC245" i="2" s="1"/>
  <c r="BU246" i="2" a="1"/>
  <c r="BU246" i="2" s="1"/>
  <c r="BV246" i="2" s="1" a="1"/>
  <c r="BV246" i="2" s="1"/>
  <c r="BW246" i="2" a="1"/>
  <c r="BW246" i="2" s="1"/>
  <c r="BX246" i="2" a="1"/>
  <c r="BX246" i="2" s="1"/>
  <c r="BY246" i="2" a="1"/>
  <c r="BY246" i="2" s="1"/>
  <c r="BZ246" i="2" a="1"/>
  <c r="BZ246" i="2" s="1"/>
  <c r="CC246" i="2" a="1"/>
  <c r="CC246" i="2" s="1"/>
  <c r="BU247" i="2" a="1"/>
  <c r="BU247" i="2" s="1"/>
  <c r="BV247" i="2" s="1" a="1"/>
  <c r="BV247" i="2" s="1"/>
  <c r="BW247" i="2" a="1"/>
  <c r="BW247" i="2" s="1"/>
  <c r="BX247" i="2" a="1"/>
  <c r="BX247" i="2" s="1"/>
  <c r="BY247" i="2" a="1"/>
  <c r="BY247" i="2" s="1"/>
  <c r="BZ247" i="2" a="1"/>
  <c r="BZ247" i="2" s="1"/>
  <c r="CC247" i="2" a="1"/>
  <c r="CC247" i="2" s="1"/>
  <c r="BU248" i="2" a="1"/>
  <c r="BU248" i="2" s="1"/>
  <c r="BV248" i="2" s="1" a="1"/>
  <c r="BV248" i="2" s="1"/>
  <c r="BW248" i="2" a="1"/>
  <c r="BW248" i="2" s="1"/>
  <c r="BX248" i="2" a="1"/>
  <c r="BX248" i="2" s="1"/>
  <c r="BY248" i="2" a="1"/>
  <c r="BY248" i="2" s="1"/>
  <c r="BZ248" i="2" a="1"/>
  <c r="BZ248" i="2" s="1"/>
  <c r="CC248" i="2" a="1"/>
  <c r="CC248" i="2" s="1"/>
  <c r="BU249" i="2" a="1"/>
  <c r="BU249" i="2" s="1"/>
  <c r="BV249" i="2" s="1" a="1"/>
  <c r="BV249" i="2" s="1"/>
  <c r="BW249" i="2" a="1"/>
  <c r="BW249" i="2" s="1"/>
  <c r="BX249" i="2" a="1"/>
  <c r="BX249" i="2" s="1"/>
  <c r="BY249" i="2" a="1"/>
  <c r="BY249" i="2" s="1"/>
  <c r="BZ249" i="2" a="1"/>
  <c r="BZ249" i="2" s="1"/>
  <c r="CC249" i="2" a="1"/>
  <c r="CC249" i="2" s="1"/>
  <c r="BU250" i="2" a="1"/>
  <c r="BU250" i="2" s="1"/>
  <c r="BV250" i="2" s="1" a="1"/>
  <c r="BV250" i="2" s="1"/>
  <c r="BW250" i="2" a="1"/>
  <c r="BW250" i="2" s="1"/>
  <c r="BX250" i="2" a="1"/>
  <c r="BX250" i="2" s="1"/>
  <c r="BY250" i="2" a="1"/>
  <c r="BY250" i="2" s="1"/>
  <c r="BZ250" i="2" a="1"/>
  <c r="BZ250" i="2" s="1"/>
  <c r="CC250" i="2" a="1"/>
  <c r="CC250" i="2" s="1"/>
  <c r="BU251" i="2" a="1"/>
  <c r="BU251" i="2" s="1"/>
  <c r="BV251" i="2" s="1" a="1"/>
  <c r="BV251" i="2" s="1"/>
  <c r="BW251" i="2" a="1"/>
  <c r="BW251" i="2" s="1"/>
  <c r="BX251" i="2" a="1"/>
  <c r="BX251" i="2" s="1"/>
  <c r="BY251" i="2" a="1"/>
  <c r="BY251" i="2" s="1"/>
  <c r="BZ251" i="2" a="1"/>
  <c r="BZ251" i="2" s="1"/>
  <c r="CC251" i="2" a="1"/>
  <c r="CC251" i="2" s="1"/>
  <c r="BU252" i="2" a="1"/>
  <c r="BU252" i="2" s="1"/>
  <c r="BV252" i="2" s="1" a="1"/>
  <c r="BV252" i="2" s="1"/>
  <c r="BW252" i="2" a="1"/>
  <c r="BW252" i="2" s="1"/>
  <c r="BX252" i="2" a="1"/>
  <c r="BX252" i="2" s="1"/>
  <c r="BY252" i="2" a="1"/>
  <c r="BY252" i="2" s="1"/>
  <c r="BZ252" i="2" a="1"/>
  <c r="BZ252" i="2" s="1"/>
  <c r="CC252" i="2" a="1"/>
  <c r="CC252" i="2" s="1"/>
  <c r="BU225" i="2" a="1"/>
  <c r="BU225" i="2" s="1"/>
  <c r="BV225" i="2" s="1" a="1"/>
  <c r="BV225" i="2" s="1"/>
  <c r="BW225" i="2" a="1"/>
  <c r="BW225" i="2" s="1"/>
  <c r="BX225" i="2" a="1"/>
  <c r="BX225" i="2" s="1"/>
  <c r="BY225" i="2" a="1"/>
  <c r="BY225" i="2" s="1"/>
  <c r="BZ225" i="2" a="1"/>
  <c r="BZ225" i="2" s="1"/>
  <c r="CC225" i="2" a="1"/>
  <c r="CC225" i="2" s="1"/>
  <c r="BU226" i="2" a="1"/>
  <c r="BU226" i="2" s="1"/>
  <c r="BV226" i="2" s="1" a="1"/>
  <c r="BV226" i="2" s="1"/>
  <c r="BW226" i="2" a="1"/>
  <c r="BW226" i="2" s="1"/>
  <c r="BX226" i="2" a="1"/>
  <c r="BX226" i="2" s="1"/>
  <c r="BY226" i="2" a="1"/>
  <c r="BY226" i="2" s="1"/>
  <c r="BZ226" i="2" a="1"/>
  <c r="BZ226" i="2" s="1"/>
  <c r="CC226" i="2" a="1"/>
  <c r="CC226" i="2" s="1"/>
  <c r="BU227" i="2" a="1"/>
  <c r="BU227" i="2" s="1"/>
  <c r="BV227" i="2" s="1" a="1"/>
  <c r="BV227" i="2" s="1"/>
  <c r="BW227" i="2" a="1"/>
  <c r="BW227" i="2" s="1"/>
  <c r="BX227" i="2" a="1"/>
  <c r="BX227" i="2" s="1"/>
  <c r="BY227" i="2" a="1"/>
  <c r="BY227" i="2" s="1"/>
  <c r="BZ227" i="2" a="1"/>
  <c r="BZ227" i="2" s="1"/>
  <c r="CC227" i="2" a="1"/>
  <c r="CC227" i="2" s="1"/>
  <c r="BU228" i="2" a="1"/>
  <c r="BU228" i="2" s="1"/>
  <c r="BV228" i="2" s="1" a="1"/>
  <c r="BV228" i="2" s="1"/>
  <c r="BW228" i="2" a="1"/>
  <c r="BW228" i="2" s="1"/>
  <c r="BX228" i="2" a="1"/>
  <c r="BX228" i="2" s="1"/>
  <c r="BY228" i="2" a="1"/>
  <c r="BY228" i="2" s="1"/>
  <c r="BZ228" i="2" a="1"/>
  <c r="BZ228" i="2" s="1"/>
  <c r="CC228" i="2" a="1"/>
  <c r="CC228" i="2" s="1"/>
  <c r="BU229" i="2" a="1"/>
  <c r="BU229" i="2" s="1"/>
  <c r="BV229" i="2" s="1" a="1"/>
  <c r="BV229" i="2" s="1"/>
  <c r="BW229" i="2" a="1"/>
  <c r="BW229" i="2" s="1"/>
  <c r="BX229" i="2" a="1"/>
  <c r="BX229" i="2" s="1"/>
  <c r="BY229" i="2" a="1"/>
  <c r="BY229" i="2" s="1"/>
  <c r="BZ229" i="2" a="1"/>
  <c r="BZ229" i="2" s="1"/>
  <c r="CC229" i="2" a="1"/>
  <c r="CC229" i="2" s="1"/>
  <c r="BU230" i="2" a="1"/>
  <c r="BU230" i="2" s="1"/>
  <c r="BV230" i="2" s="1" a="1"/>
  <c r="BV230" i="2" s="1"/>
  <c r="BW230" i="2" a="1"/>
  <c r="BW230" i="2" s="1"/>
  <c r="BX230" i="2" a="1"/>
  <c r="BX230" i="2" s="1"/>
  <c r="BY230" i="2" a="1"/>
  <c r="BY230" i="2" s="1"/>
  <c r="BZ230" i="2" a="1"/>
  <c r="BZ230" i="2" s="1"/>
  <c r="CC230" i="2" a="1"/>
  <c r="CC230" i="2" s="1"/>
  <c r="BU231" i="2" a="1"/>
  <c r="BU231" i="2" s="1"/>
  <c r="BV231" i="2" s="1" a="1"/>
  <c r="BV231" i="2" s="1"/>
  <c r="BW231" i="2" a="1"/>
  <c r="BW231" i="2" s="1"/>
  <c r="BX231" i="2" a="1"/>
  <c r="BX231" i="2" s="1"/>
  <c r="BY231" i="2" a="1"/>
  <c r="BY231" i="2" s="1"/>
  <c r="BZ231" i="2" a="1"/>
  <c r="BZ231" i="2" s="1"/>
  <c r="CC231" i="2" a="1"/>
  <c r="CC231" i="2" s="1"/>
  <c r="BU232" i="2" a="1"/>
  <c r="BU232" i="2" s="1"/>
  <c r="BV232" i="2" s="1" a="1"/>
  <c r="BV232" i="2" s="1"/>
  <c r="BW232" i="2" a="1"/>
  <c r="BW232" i="2" s="1"/>
  <c r="BX232" i="2" a="1"/>
  <c r="BX232" i="2" s="1"/>
  <c r="BY232" i="2" a="1"/>
  <c r="BY232" i="2" s="1"/>
  <c r="BZ232" i="2" a="1"/>
  <c r="BZ232" i="2" s="1"/>
  <c r="CC232" i="2" a="1"/>
  <c r="CC232" i="2" s="1"/>
  <c r="BU233" i="2" a="1"/>
  <c r="BU233" i="2" s="1"/>
  <c r="BV233" i="2" s="1" a="1"/>
  <c r="BV233" i="2" s="1"/>
  <c r="BW233" i="2" a="1"/>
  <c r="BW233" i="2" s="1"/>
  <c r="BX233" i="2" a="1"/>
  <c r="BX233" i="2" s="1"/>
  <c r="BY233" i="2" a="1"/>
  <c r="BY233" i="2" s="1"/>
  <c r="BZ233" i="2" a="1"/>
  <c r="BZ233" i="2" s="1"/>
  <c r="CC233" i="2" a="1"/>
  <c r="CC233" i="2" s="1"/>
  <c r="BU234" i="2" a="1"/>
  <c r="BU234" i="2" s="1"/>
  <c r="BV234" i="2" s="1" a="1"/>
  <c r="BV234" i="2" s="1"/>
  <c r="BW234" i="2" a="1"/>
  <c r="BW234" i="2" s="1"/>
  <c r="BX234" i="2" a="1"/>
  <c r="BX234" i="2" s="1"/>
  <c r="BY234" i="2" a="1"/>
  <c r="BY234" i="2" s="1"/>
  <c r="BZ234" i="2" a="1"/>
  <c r="BZ234" i="2" s="1"/>
  <c r="CC234" i="2" a="1"/>
  <c r="CC234" i="2" s="1"/>
  <c r="BU235" i="2" a="1"/>
  <c r="BU235" i="2" s="1"/>
  <c r="BV235" i="2" s="1" a="1"/>
  <c r="BV235" i="2" s="1"/>
  <c r="BW235" i="2" a="1"/>
  <c r="BW235" i="2" s="1"/>
  <c r="BX235" i="2" a="1"/>
  <c r="BX235" i="2" s="1"/>
  <c r="BY235" i="2" a="1"/>
  <c r="BY235" i="2" s="1"/>
  <c r="BZ235" i="2" a="1"/>
  <c r="BZ235" i="2" s="1"/>
  <c r="CC235" i="2" a="1"/>
  <c r="CC235" i="2" s="1"/>
  <c r="BU236" i="2" a="1"/>
  <c r="BU236" i="2" s="1"/>
  <c r="BV236" i="2" s="1" a="1"/>
  <c r="BV236" i="2" s="1"/>
  <c r="BW236" i="2" a="1"/>
  <c r="BW236" i="2" s="1"/>
  <c r="BX236" i="2" a="1"/>
  <c r="BX236" i="2" s="1"/>
  <c r="BY236" i="2" a="1"/>
  <c r="BY236" i="2" s="1"/>
  <c r="BZ236" i="2" a="1"/>
  <c r="BZ236" i="2" s="1"/>
  <c r="CC236" i="2" a="1"/>
  <c r="CC236" i="2" s="1"/>
  <c r="BU237" i="2" a="1"/>
  <c r="BU237" i="2" s="1"/>
  <c r="BV237" i="2" s="1" a="1"/>
  <c r="BV237" i="2" s="1"/>
  <c r="BW237" i="2" a="1"/>
  <c r="BW237" i="2" s="1"/>
  <c r="BX237" i="2" a="1"/>
  <c r="BX237" i="2" s="1"/>
  <c r="BY237" i="2" a="1"/>
  <c r="BY237" i="2" s="1"/>
  <c r="BZ237" i="2" a="1"/>
  <c r="BZ237" i="2" s="1"/>
  <c r="CC237" i="2" a="1"/>
  <c r="CC237" i="2" s="1"/>
  <c r="BU238" i="2" a="1"/>
  <c r="BU238" i="2" s="1"/>
  <c r="BV238" i="2" s="1" a="1"/>
  <c r="BV238" i="2" s="1"/>
  <c r="BW238" i="2" a="1"/>
  <c r="BW238" i="2" s="1"/>
  <c r="BX238" i="2" a="1"/>
  <c r="BX238" i="2" s="1"/>
  <c r="BY238" i="2" a="1"/>
  <c r="BY238" i="2" s="1"/>
  <c r="BZ238" i="2" a="1"/>
  <c r="BZ238" i="2" s="1"/>
  <c r="CC238" i="2" a="1"/>
  <c r="CC238" i="2" s="1"/>
  <c r="BU211" i="2" a="1"/>
  <c r="BU211" i="2" s="1"/>
  <c r="BV211" i="2" s="1" a="1"/>
  <c r="BV211" i="2" s="1"/>
  <c r="BW211" i="2" a="1"/>
  <c r="BW211" i="2" s="1"/>
  <c r="BX211" i="2" a="1"/>
  <c r="BX211" i="2" s="1"/>
  <c r="BY211" i="2" a="1"/>
  <c r="BY211" i="2" s="1"/>
  <c r="BZ211" i="2" a="1"/>
  <c r="BZ211" i="2" s="1"/>
  <c r="CC211" i="2" a="1"/>
  <c r="CC211" i="2" s="1"/>
  <c r="BU212" i="2" a="1"/>
  <c r="BU212" i="2" s="1"/>
  <c r="BV212" i="2" s="1" a="1"/>
  <c r="BV212" i="2" s="1"/>
  <c r="BW212" i="2" a="1"/>
  <c r="BW212" i="2" s="1"/>
  <c r="BX212" i="2" a="1"/>
  <c r="BX212" i="2" s="1"/>
  <c r="BY212" i="2" a="1"/>
  <c r="BY212" i="2" s="1"/>
  <c r="BZ212" i="2" a="1"/>
  <c r="BZ212" i="2" s="1"/>
  <c r="CC212" i="2" a="1"/>
  <c r="CC212" i="2" s="1"/>
  <c r="BU213" i="2" a="1"/>
  <c r="BU213" i="2" s="1"/>
  <c r="BV213" i="2" s="1" a="1"/>
  <c r="BV213" i="2" s="1"/>
  <c r="BW213" i="2" a="1"/>
  <c r="BW213" i="2" s="1"/>
  <c r="BX213" i="2" a="1"/>
  <c r="BX213" i="2" s="1"/>
  <c r="BY213" i="2" a="1"/>
  <c r="BY213" i="2" s="1"/>
  <c r="BZ213" i="2" a="1"/>
  <c r="BZ213" i="2" s="1"/>
  <c r="CC213" i="2" a="1"/>
  <c r="CC213" i="2" s="1"/>
  <c r="BU214" i="2" a="1"/>
  <c r="BU214" i="2" s="1"/>
  <c r="BV214" i="2" s="1" a="1"/>
  <c r="BV214" i="2" s="1"/>
  <c r="BW214" i="2" a="1"/>
  <c r="BW214" i="2" s="1"/>
  <c r="BX214" i="2" a="1"/>
  <c r="BX214" i="2" s="1"/>
  <c r="BY214" i="2" a="1"/>
  <c r="BY214" i="2" s="1"/>
  <c r="BZ214" i="2" a="1"/>
  <c r="BZ214" i="2" s="1"/>
  <c r="CC214" i="2" a="1"/>
  <c r="CC214" i="2" s="1"/>
  <c r="BU215" i="2" a="1"/>
  <c r="BU215" i="2" s="1"/>
  <c r="BV215" i="2" s="1" a="1"/>
  <c r="BV215" i="2" s="1"/>
  <c r="BW215" i="2" a="1"/>
  <c r="BW215" i="2" s="1"/>
  <c r="BX215" i="2" a="1"/>
  <c r="BX215" i="2" s="1"/>
  <c r="BY215" i="2" a="1"/>
  <c r="BY215" i="2" s="1"/>
  <c r="BZ215" i="2" a="1"/>
  <c r="BZ215" i="2" s="1"/>
  <c r="CC215" i="2" a="1"/>
  <c r="CC215" i="2" s="1"/>
  <c r="BU216" i="2" a="1"/>
  <c r="BU216" i="2" s="1"/>
  <c r="BV216" i="2" s="1" a="1"/>
  <c r="BV216" i="2" s="1"/>
  <c r="BW216" i="2" a="1"/>
  <c r="BW216" i="2" s="1"/>
  <c r="BX216" i="2" a="1"/>
  <c r="BX216" i="2" s="1"/>
  <c r="BY216" i="2" a="1"/>
  <c r="BY216" i="2" s="1"/>
  <c r="BZ216" i="2" a="1"/>
  <c r="BZ216" i="2" s="1"/>
  <c r="CC216" i="2" a="1"/>
  <c r="CC216" i="2" s="1"/>
  <c r="BU217" i="2" a="1"/>
  <c r="BU217" i="2" s="1"/>
  <c r="BV217" i="2" s="1" a="1"/>
  <c r="BV217" i="2" s="1"/>
  <c r="BW217" i="2" a="1"/>
  <c r="BW217" i="2" s="1"/>
  <c r="BX217" i="2" a="1"/>
  <c r="BX217" i="2" s="1"/>
  <c r="BY217" i="2" a="1"/>
  <c r="BY217" i="2" s="1"/>
  <c r="BZ217" i="2" a="1"/>
  <c r="BZ217" i="2" s="1"/>
  <c r="CC217" i="2" a="1"/>
  <c r="CC217" i="2" s="1"/>
  <c r="BU218" i="2" a="1"/>
  <c r="BU218" i="2" s="1"/>
  <c r="BV218" i="2" s="1" a="1"/>
  <c r="BV218" i="2" s="1"/>
  <c r="BW218" i="2" a="1"/>
  <c r="BW218" i="2" s="1"/>
  <c r="BX218" i="2" a="1"/>
  <c r="BX218" i="2" s="1"/>
  <c r="BY218" i="2" a="1"/>
  <c r="BY218" i="2" s="1"/>
  <c r="BZ218" i="2" a="1"/>
  <c r="BZ218" i="2" s="1"/>
  <c r="CC218" i="2" a="1"/>
  <c r="CC218" i="2" s="1"/>
  <c r="BU219" i="2" a="1"/>
  <c r="BU219" i="2" s="1"/>
  <c r="BV219" i="2" s="1" a="1"/>
  <c r="BV219" i="2" s="1"/>
  <c r="BW219" i="2" a="1"/>
  <c r="BW219" i="2" s="1"/>
  <c r="BX219" i="2" a="1"/>
  <c r="BX219" i="2" s="1"/>
  <c r="BY219" i="2" a="1"/>
  <c r="BY219" i="2" s="1"/>
  <c r="BZ219" i="2" a="1"/>
  <c r="BZ219" i="2" s="1"/>
  <c r="CC219" i="2" a="1"/>
  <c r="CC219" i="2" s="1"/>
  <c r="BU220" i="2" a="1"/>
  <c r="BU220" i="2" s="1"/>
  <c r="BV220" i="2" s="1" a="1"/>
  <c r="BV220" i="2" s="1"/>
  <c r="BW220" i="2" a="1"/>
  <c r="BW220" i="2" s="1"/>
  <c r="BX220" i="2" a="1"/>
  <c r="BX220" i="2" s="1"/>
  <c r="BY220" i="2" a="1"/>
  <c r="BY220" i="2" s="1"/>
  <c r="BZ220" i="2" a="1"/>
  <c r="BZ220" i="2" s="1"/>
  <c r="CC220" i="2" a="1"/>
  <c r="CC220" i="2" s="1"/>
  <c r="BU221" i="2" a="1"/>
  <c r="BU221" i="2" s="1"/>
  <c r="BV221" i="2" s="1" a="1"/>
  <c r="BV221" i="2" s="1"/>
  <c r="BW221" i="2" a="1"/>
  <c r="BW221" i="2" s="1"/>
  <c r="BX221" i="2" a="1"/>
  <c r="BX221" i="2" s="1"/>
  <c r="BY221" i="2" a="1"/>
  <c r="BY221" i="2" s="1"/>
  <c r="BZ221" i="2" a="1"/>
  <c r="BZ221" i="2" s="1"/>
  <c r="CC221" i="2" a="1"/>
  <c r="CC221" i="2" s="1"/>
  <c r="BU222" i="2" a="1"/>
  <c r="BU222" i="2" s="1"/>
  <c r="BV222" i="2" s="1" a="1"/>
  <c r="BV222" i="2" s="1"/>
  <c r="BW222" i="2" a="1"/>
  <c r="BW222" i="2" s="1"/>
  <c r="BX222" i="2" a="1"/>
  <c r="BX222" i="2" s="1"/>
  <c r="BY222" i="2" a="1"/>
  <c r="BY222" i="2" s="1"/>
  <c r="BZ222" i="2" a="1"/>
  <c r="BZ222" i="2" s="1"/>
  <c r="CC222" i="2" a="1"/>
  <c r="CC222" i="2" s="1"/>
  <c r="BU223" i="2" a="1"/>
  <c r="BU223" i="2" s="1"/>
  <c r="BV223" i="2" s="1" a="1"/>
  <c r="BV223" i="2" s="1"/>
  <c r="BW223" i="2" a="1"/>
  <c r="BW223" i="2" s="1"/>
  <c r="BX223" i="2" a="1"/>
  <c r="BX223" i="2" s="1"/>
  <c r="BY223" i="2" a="1"/>
  <c r="BY223" i="2" s="1"/>
  <c r="BZ223" i="2" a="1"/>
  <c r="BZ223" i="2" s="1"/>
  <c r="CC223" i="2" a="1"/>
  <c r="CC223" i="2" s="1"/>
  <c r="BU224" i="2" a="1"/>
  <c r="BU224" i="2" s="1"/>
  <c r="BV224" i="2" s="1" a="1"/>
  <c r="BV224" i="2" s="1"/>
  <c r="BW224" i="2" a="1"/>
  <c r="BW224" i="2" s="1"/>
  <c r="BX224" i="2" a="1"/>
  <c r="BX224" i="2" s="1"/>
  <c r="BY224" i="2" a="1"/>
  <c r="BY224" i="2" s="1"/>
  <c r="BZ224" i="2" a="1"/>
  <c r="BZ224" i="2" s="1"/>
  <c r="CC224" i="2" a="1"/>
  <c r="CC224" i="2" s="1"/>
  <c r="BU197" i="2" a="1"/>
  <c r="BU197" i="2" s="1"/>
  <c r="BV197" i="2" s="1" a="1"/>
  <c r="BV197" i="2" s="1"/>
  <c r="BW197" i="2" a="1"/>
  <c r="BW197" i="2" s="1"/>
  <c r="BX197" i="2" a="1"/>
  <c r="BX197" i="2" s="1"/>
  <c r="BY197" i="2" a="1"/>
  <c r="BY197" i="2" s="1"/>
  <c r="BZ197" i="2" a="1"/>
  <c r="BZ197" i="2" s="1"/>
  <c r="CC197" i="2" a="1"/>
  <c r="CC197" i="2" s="1"/>
  <c r="BU198" i="2" a="1"/>
  <c r="BU198" i="2" s="1"/>
  <c r="BV198" i="2" s="1" a="1"/>
  <c r="BV198" i="2" s="1"/>
  <c r="BW198" i="2" a="1"/>
  <c r="BW198" i="2" s="1"/>
  <c r="BX198" i="2" a="1"/>
  <c r="BX198" i="2" s="1"/>
  <c r="BY198" i="2" a="1"/>
  <c r="BY198" i="2" s="1"/>
  <c r="BZ198" i="2" a="1"/>
  <c r="BZ198" i="2" s="1"/>
  <c r="CC198" i="2" a="1"/>
  <c r="CC198" i="2" s="1"/>
  <c r="BU199" i="2" a="1"/>
  <c r="BU199" i="2" s="1"/>
  <c r="BV199" i="2" s="1" a="1"/>
  <c r="BV199" i="2" s="1"/>
  <c r="BW199" i="2" a="1"/>
  <c r="BW199" i="2" s="1"/>
  <c r="BX199" i="2" a="1"/>
  <c r="BX199" i="2" s="1"/>
  <c r="BY199" i="2" a="1"/>
  <c r="BY199" i="2" s="1"/>
  <c r="BZ199" i="2" a="1"/>
  <c r="BZ199" i="2" s="1"/>
  <c r="CC199" i="2" a="1"/>
  <c r="CC199" i="2" s="1"/>
  <c r="BU200" i="2" a="1"/>
  <c r="BU200" i="2" s="1"/>
  <c r="BV200" i="2" s="1" a="1"/>
  <c r="BV200" i="2" s="1"/>
  <c r="BW200" i="2" a="1"/>
  <c r="BW200" i="2" s="1"/>
  <c r="BX200" i="2" a="1"/>
  <c r="BX200" i="2" s="1"/>
  <c r="BY200" i="2" a="1"/>
  <c r="BY200" i="2" s="1"/>
  <c r="BZ200" i="2" a="1"/>
  <c r="BZ200" i="2" s="1"/>
  <c r="CC200" i="2" a="1"/>
  <c r="CC200" i="2" s="1"/>
  <c r="BU201" i="2" a="1"/>
  <c r="BU201" i="2" s="1"/>
  <c r="BV201" i="2" s="1" a="1"/>
  <c r="BV201" i="2" s="1"/>
  <c r="BW201" i="2" a="1"/>
  <c r="BW201" i="2" s="1"/>
  <c r="BX201" i="2" a="1"/>
  <c r="BX201" i="2" s="1"/>
  <c r="BY201" i="2" a="1"/>
  <c r="BY201" i="2" s="1"/>
  <c r="BZ201" i="2" a="1"/>
  <c r="BZ201" i="2" s="1"/>
  <c r="CC201" i="2" a="1"/>
  <c r="CC201" i="2" s="1"/>
  <c r="BU202" i="2" a="1"/>
  <c r="BU202" i="2" s="1"/>
  <c r="BV202" i="2" s="1" a="1"/>
  <c r="BV202" i="2" s="1"/>
  <c r="BW202" i="2" a="1"/>
  <c r="BW202" i="2" s="1"/>
  <c r="BX202" i="2" a="1"/>
  <c r="BX202" i="2" s="1"/>
  <c r="BY202" i="2" a="1"/>
  <c r="BY202" i="2" s="1"/>
  <c r="BZ202" i="2" a="1"/>
  <c r="BZ202" i="2" s="1"/>
  <c r="CC202" i="2" a="1"/>
  <c r="CC202" i="2" s="1"/>
  <c r="BU203" i="2" a="1"/>
  <c r="BU203" i="2" s="1"/>
  <c r="BV203" i="2" s="1" a="1"/>
  <c r="BV203" i="2" s="1"/>
  <c r="BW203" i="2" a="1"/>
  <c r="BW203" i="2" s="1"/>
  <c r="BX203" i="2" a="1"/>
  <c r="BX203" i="2" s="1"/>
  <c r="BY203" i="2" a="1"/>
  <c r="BY203" i="2" s="1"/>
  <c r="BZ203" i="2" a="1"/>
  <c r="BZ203" i="2" s="1"/>
  <c r="CC203" i="2" a="1"/>
  <c r="CC203" i="2" s="1"/>
  <c r="BU204" i="2" a="1"/>
  <c r="BU204" i="2" s="1"/>
  <c r="BV204" i="2" s="1" a="1"/>
  <c r="BV204" i="2" s="1"/>
  <c r="BW204" i="2" a="1"/>
  <c r="BW204" i="2" s="1"/>
  <c r="BX204" i="2" a="1"/>
  <c r="BX204" i="2" s="1"/>
  <c r="BY204" i="2" a="1"/>
  <c r="BY204" i="2" s="1"/>
  <c r="BZ204" i="2" a="1"/>
  <c r="BZ204" i="2" s="1"/>
  <c r="CC204" i="2" a="1"/>
  <c r="CC204" i="2" s="1"/>
  <c r="BU205" i="2" a="1"/>
  <c r="BU205" i="2" s="1"/>
  <c r="BV205" i="2" s="1" a="1"/>
  <c r="BV205" i="2" s="1"/>
  <c r="BW205" i="2" a="1"/>
  <c r="BW205" i="2" s="1"/>
  <c r="BX205" i="2" a="1"/>
  <c r="BX205" i="2" s="1"/>
  <c r="BY205" i="2" a="1"/>
  <c r="BY205" i="2" s="1"/>
  <c r="BZ205" i="2" a="1"/>
  <c r="BZ205" i="2" s="1"/>
  <c r="CC205" i="2" a="1"/>
  <c r="CC205" i="2" s="1"/>
  <c r="BU206" i="2" a="1"/>
  <c r="BU206" i="2" s="1"/>
  <c r="BV206" i="2" s="1" a="1"/>
  <c r="BV206" i="2" s="1"/>
  <c r="BW206" i="2" a="1"/>
  <c r="BW206" i="2" s="1"/>
  <c r="BX206" i="2" a="1"/>
  <c r="BX206" i="2" s="1"/>
  <c r="BY206" i="2" a="1"/>
  <c r="BY206" i="2" s="1"/>
  <c r="BZ206" i="2" a="1"/>
  <c r="BZ206" i="2" s="1"/>
  <c r="CC206" i="2" a="1"/>
  <c r="CC206" i="2" s="1"/>
  <c r="BU207" i="2" a="1"/>
  <c r="BU207" i="2" s="1"/>
  <c r="BV207" i="2" s="1" a="1"/>
  <c r="BV207" i="2" s="1"/>
  <c r="BW207" i="2" a="1"/>
  <c r="BW207" i="2" s="1"/>
  <c r="BX207" i="2" a="1"/>
  <c r="BX207" i="2" s="1"/>
  <c r="BY207" i="2" a="1"/>
  <c r="BY207" i="2" s="1"/>
  <c r="BZ207" i="2" a="1"/>
  <c r="BZ207" i="2" s="1"/>
  <c r="CC207" i="2" a="1"/>
  <c r="CC207" i="2" s="1"/>
  <c r="BU208" i="2" a="1"/>
  <c r="BU208" i="2" s="1"/>
  <c r="BV208" i="2" s="1" a="1"/>
  <c r="BV208" i="2" s="1"/>
  <c r="BW208" i="2" a="1"/>
  <c r="BW208" i="2" s="1"/>
  <c r="BX208" i="2" a="1"/>
  <c r="BX208" i="2" s="1"/>
  <c r="BY208" i="2" a="1"/>
  <c r="BY208" i="2" s="1"/>
  <c r="BZ208" i="2" a="1"/>
  <c r="BZ208" i="2" s="1"/>
  <c r="CC208" i="2" a="1"/>
  <c r="CC208" i="2" s="1"/>
  <c r="BU209" i="2" a="1"/>
  <c r="BU209" i="2" s="1"/>
  <c r="BV209" i="2" s="1" a="1"/>
  <c r="BV209" i="2" s="1"/>
  <c r="BW209" i="2" a="1"/>
  <c r="BW209" i="2" s="1"/>
  <c r="BX209" i="2" a="1"/>
  <c r="BX209" i="2" s="1"/>
  <c r="BY209" i="2" a="1"/>
  <c r="BY209" i="2" s="1"/>
  <c r="BZ209" i="2" a="1"/>
  <c r="BZ209" i="2" s="1"/>
  <c r="CC209" i="2" a="1"/>
  <c r="CC209" i="2" s="1"/>
  <c r="BU210" i="2" a="1"/>
  <c r="BU210" i="2" s="1"/>
  <c r="BV210" i="2" s="1" a="1"/>
  <c r="BV210" i="2" s="1"/>
  <c r="BW210" i="2" a="1"/>
  <c r="BW210" i="2" s="1"/>
  <c r="BX210" i="2" a="1"/>
  <c r="BX210" i="2" s="1"/>
  <c r="BY210" i="2" a="1"/>
  <c r="BY210" i="2" s="1"/>
  <c r="BZ210" i="2" a="1"/>
  <c r="BZ210" i="2" s="1"/>
  <c r="CC210" i="2" a="1"/>
  <c r="CC210" i="2" s="1"/>
  <c r="BU183" i="2" a="1"/>
  <c r="BU183" i="2" s="1"/>
  <c r="BV183" i="2" s="1" a="1"/>
  <c r="BV183" i="2" s="1"/>
  <c r="BW183" i="2" a="1"/>
  <c r="BW183" i="2" s="1"/>
  <c r="BX183" i="2" a="1"/>
  <c r="BX183" i="2" s="1"/>
  <c r="BY183" i="2" a="1"/>
  <c r="BY183" i="2" s="1"/>
  <c r="BZ183" i="2" a="1"/>
  <c r="BZ183" i="2" s="1"/>
  <c r="CC183" i="2" a="1"/>
  <c r="CC183" i="2" s="1"/>
  <c r="BU184" i="2" a="1"/>
  <c r="BU184" i="2" s="1"/>
  <c r="BV184" i="2" s="1" a="1"/>
  <c r="BV184" i="2" s="1"/>
  <c r="BW184" i="2" a="1"/>
  <c r="BW184" i="2" s="1"/>
  <c r="BX184" i="2" a="1"/>
  <c r="BX184" i="2" s="1"/>
  <c r="BY184" i="2" a="1"/>
  <c r="BY184" i="2" s="1"/>
  <c r="BZ184" i="2" a="1"/>
  <c r="BZ184" i="2" s="1"/>
  <c r="CC184" i="2" a="1"/>
  <c r="CC184" i="2" s="1"/>
  <c r="BU185" i="2" a="1"/>
  <c r="BU185" i="2" s="1"/>
  <c r="BV185" i="2" s="1" a="1"/>
  <c r="BV185" i="2" s="1"/>
  <c r="BW185" i="2" a="1"/>
  <c r="BW185" i="2" s="1"/>
  <c r="BX185" i="2" a="1"/>
  <c r="BX185" i="2" s="1"/>
  <c r="BY185" i="2" a="1"/>
  <c r="BY185" i="2" s="1"/>
  <c r="BZ185" i="2" a="1"/>
  <c r="BZ185" i="2" s="1"/>
  <c r="CC185" i="2" a="1"/>
  <c r="CC185" i="2" s="1"/>
  <c r="BU186" i="2" a="1"/>
  <c r="BU186" i="2" s="1"/>
  <c r="BV186" i="2" s="1" a="1"/>
  <c r="BV186" i="2" s="1"/>
  <c r="BW186" i="2" a="1"/>
  <c r="BW186" i="2" s="1"/>
  <c r="BX186" i="2" a="1"/>
  <c r="BX186" i="2" s="1"/>
  <c r="BY186" i="2" a="1"/>
  <c r="BY186" i="2" s="1"/>
  <c r="BZ186" i="2" a="1"/>
  <c r="BZ186" i="2" s="1"/>
  <c r="CC186" i="2" a="1"/>
  <c r="CC186" i="2" s="1"/>
  <c r="BU187" i="2" a="1"/>
  <c r="BU187" i="2" s="1"/>
  <c r="BV187" i="2" s="1" a="1"/>
  <c r="BV187" i="2" s="1"/>
  <c r="BW187" i="2" a="1"/>
  <c r="BW187" i="2" s="1"/>
  <c r="BX187" i="2" a="1"/>
  <c r="BX187" i="2" s="1"/>
  <c r="BY187" i="2" a="1"/>
  <c r="BY187" i="2" s="1"/>
  <c r="BZ187" i="2" a="1"/>
  <c r="BZ187" i="2" s="1"/>
  <c r="CC187" i="2" a="1"/>
  <c r="CC187" i="2" s="1"/>
  <c r="BU188" i="2" a="1"/>
  <c r="BU188" i="2" s="1"/>
  <c r="BV188" i="2" s="1" a="1"/>
  <c r="BV188" i="2" s="1"/>
  <c r="BW188" i="2" a="1"/>
  <c r="BW188" i="2" s="1"/>
  <c r="BX188" i="2" a="1"/>
  <c r="BX188" i="2" s="1"/>
  <c r="BY188" i="2" a="1"/>
  <c r="BY188" i="2" s="1"/>
  <c r="BZ188" i="2" a="1"/>
  <c r="BZ188" i="2" s="1"/>
  <c r="CC188" i="2" a="1"/>
  <c r="CC188" i="2" s="1"/>
  <c r="BU189" i="2" a="1"/>
  <c r="BU189" i="2" s="1"/>
  <c r="BV189" i="2" s="1" a="1"/>
  <c r="BV189" i="2" s="1"/>
  <c r="BW189" i="2" a="1"/>
  <c r="BW189" i="2" s="1"/>
  <c r="BX189" i="2" a="1"/>
  <c r="BX189" i="2" s="1"/>
  <c r="BY189" i="2" a="1"/>
  <c r="BY189" i="2" s="1"/>
  <c r="BZ189" i="2" a="1"/>
  <c r="BZ189" i="2" s="1"/>
  <c r="CC189" i="2" a="1"/>
  <c r="CC189" i="2" s="1"/>
  <c r="BU190" i="2" a="1"/>
  <c r="BU190" i="2" s="1"/>
  <c r="BV190" i="2" s="1" a="1"/>
  <c r="BV190" i="2" s="1"/>
  <c r="BW190" i="2" a="1"/>
  <c r="BW190" i="2" s="1"/>
  <c r="BX190" i="2" a="1"/>
  <c r="BX190" i="2" s="1"/>
  <c r="BY190" i="2" a="1"/>
  <c r="BY190" i="2" s="1"/>
  <c r="BZ190" i="2" a="1"/>
  <c r="BZ190" i="2" s="1"/>
  <c r="CC190" i="2" a="1"/>
  <c r="CC190" i="2" s="1"/>
  <c r="BU191" i="2" a="1"/>
  <c r="BU191" i="2" s="1"/>
  <c r="BV191" i="2" s="1" a="1"/>
  <c r="BV191" i="2" s="1"/>
  <c r="BW191" i="2" a="1"/>
  <c r="BW191" i="2" s="1"/>
  <c r="BX191" i="2" a="1"/>
  <c r="BX191" i="2" s="1"/>
  <c r="BY191" i="2" a="1"/>
  <c r="BY191" i="2" s="1"/>
  <c r="BZ191" i="2" a="1"/>
  <c r="BZ191" i="2" s="1"/>
  <c r="CC191" i="2" a="1"/>
  <c r="CC191" i="2" s="1"/>
  <c r="BU192" i="2" a="1"/>
  <c r="BU192" i="2" s="1"/>
  <c r="BV192" i="2" s="1" a="1"/>
  <c r="BV192" i="2" s="1"/>
  <c r="BW192" i="2" a="1"/>
  <c r="BW192" i="2" s="1"/>
  <c r="BX192" i="2" a="1"/>
  <c r="BX192" i="2" s="1"/>
  <c r="BY192" i="2" a="1"/>
  <c r="BY192" i="2" s="1"/>
  <c r="BZ192" i="2" a="1"/>
  <c r="BZ192" i="2" s="1"/>
  <c r="CC192" i="2" a="1"/>
  <c r="CC192" i="2" s="1"/>
  <c r="BU193" i="2" a="1"/>
  <c r="BU193" i="2" s="1"/>
  <c r="BV193" i="2" s="1" a="1"/>
  <c r="BV193" i="2" s="1"/>
  <c r="BW193" i="2" a="1"/>
  <c r="BW193" i="2" s="1"/>
  <c r="BX193" i="2" a="1"/>
  <c r="BX193" i="2" s="1"/>
  <c r="BY193" i="2" a="1"/>
  <c r="BY193" i="2" s="1"/>
  <c r="BZ193" i="2" a="1"/>
  <c r="BZ193" i="2" s="1"/>
  <c r="CC193" i="2" a="1"/>
  <c r="CC193" i="2" s="1"/>
  <c r="BU194" i="2" a="1"/>
  <c r="BU194" i="2" s="1"/>
  <c r="BV194" i="2" s="1" a="1"/>
  <c r="BV194" i="2" s="1"/>
  <c r="BW194" i="2" a="1"/>
  <c r="BW194" i="2" s="1"/>
  <c r="BX194" i="2" a="1"/>
  <c r="BX194" i="2" s="1"/>
  <c r="BY194" i="2" a="1"/>
  <c r="BY194" i="2" s="1"/>
  <c r="BZ194" i="2" a="1"/>
  <c r="BZ194" i="2" s="1"/>
  <c r="CC194" i="2" a="1"/>
  <c r="CC194" i="2" s="1"/>
  <c r="BU195" i="2" a="1"/>
  <c r="BU195" i="2" s="1"/>
  <c r="BV195" i="2" s="1" a="1"/>
  <c r="BV195" i="2" s="1"/>
  <c r="BW195" i="2" a="1"/>
  <c r="BW195" i="2" s="1"/>
  <c r="BX195" i="2" a="1"/>
  <c r="BX195" i="2" s="1"/>
  <c r="BY195" i="2" a="1"/>
  <c r="BY195" i="2" s="1"/>
  <c r="BZ195" i="2" a="1"/>
  <c r="BZ195" i="2" s="1"/>
  <c r="CC195" i="2" a="1"/>
  <c r="CC195" i="2" s="1"/>
  <c r="BU196" i="2" a="1"/>
  <c r="BU196" i="2" s="1"/>
  <c r="BV196" i="2" s="1" a="1"/>
  <c r="BV196" i="2" s="1"/>
  <c r="BW196" i="2" a="1"/>
  <c r="BW196" i="2" s="1"/>
  <c r="BX196" i="2" a="1"/>
  <c r="BX196" i="2" s="1"/>
  <c r="BY196" i="2" a="1"/>
  <c r="BY196" i="2" s="1"/>
  <c r="BZ196" i="2" a="1"/>
  <c r="BZ196" i="2" s="1"/>
  <c r="CC196" i="2" a="1"/>
  <c r="CC196" i="2" s="1"/>
  <c r="BU169" i="2" a="1"/>
  <c r="BU169" i="2" s="1"/>
  <c r="BV169" i="2" s="1" a="1"/>
  <c r="BV169" i="2" s="1"/>
  <c r="BW169" i="2" a="1"/>
  <c r="BW169" i="2" s="1"/>
  <c r="BX169" i="2" a="1"/>
  <c r="BX169" i="2" s="1"/>
  <c r="BY169" i="2" a="1"/>
  <c r="BY169" i="2" s="1"/>
  <c r="BZ169" i="2" a="1"/>
  <c r="BZ169" i="2" s="1"/>
  <c r="CC169" i="2" a="1"/>
  <c r="CC169" i="2" s="1"/>
  <c r="BU170" i="2" a="1"/>
  <c r="BU170" i="2" s="1"/>
  <c r="BV170" i="2" s="1" a="1"/>
  <c r="BV170" i="2" s="1"/>
  <c r="BW170" i="2" a="1"/>
  <c r="BW170" i="2" s="1"/>
  <c r="BX170" i="2" a="1"/>
  <c r="BX170" i="2" s="1"/>
  <c r="BY170" i="2" a="1"/>
  <c r="BY170" i="2" s="1"/>
  <c r="BZ170" i="2" a="1"/>
  <c r="BZ170" i="2" s="1"/>
  <c r="CC170" i="2" a="1"/>
  <c r="CC170" i="2" s="1"/>
  <c r="BU171" i="2" a="1"/>
  <c r="BU171" i="2" s="1"/>
  <c r="BV171" i="2" s="1" a="1"/>
  <c r="BV171" i="2" s="1"/>
  <c r="BW171" i="2" a="1"/>
  <c r="BW171" i="2" s="1"/>
  <c r="BX171" i="2" a="1"/>
  <c r="BX171" i="2" s="1"/>
  <c r="BY171" i="2" a="1"/>
  <c r="BY171" i="2" s="1"/>
  <c r="BZ171" i="2" a="1"/>
  <c r="BZ171" i="2" s="1"/>
  <c r="CC171" i="2" a="1"/>
  <c r="CC171" i="2" s="1"/>
  <c r="BU172" i="2" a="1"/>
  <c r="BU172" i="2" s="1"/>
  <c r="BV172" i="2" s="1" a="1"/>
  <c r="BV172" i="2" s="1"/>
  <c r="BW172" i="2" a="1"/>
  <c r="BW172" i="2" s="1"/>
  <c r="BX172" i="2" a="1"/>
  <c r="BX172" i="2" s="1"/>
  <c r="BY172" i="2" a="1"/>
  <c r="BY172" i="2" s="1"/>
  <c r="BZ172" i="2" a="1"/>
  <c r="BZ172" i="2" s="1"/>
  <c r="CC172" i="2" a="1"/>
  <c r="CC172" i="2" s="1"/>
  <c r="BU173" i="2" a="1"/>
  <c r="BU173" i="2" s="1"/>
  <c r="BV173" i="2" s="1" a="1"/>
  <c r="BV173" i="2" s="1"/>
  <c r="BW173" i="2" a="1"/>
  <c r="BW173" i="2" s="1"/>
  <c r="BX173" i="2" a="1"/>
  <c r="BX173" i="2" s="1"/>
  <c r="BY173" i="2" a="1"/>
  <c r="BY173" i="2" s="1"/>
  <c r="BZ173" i="2" a="1"/>
  <c r="BZ173" i="2" s="1"/>
  <c r="CC173" i="2" a="1"/>
  <c r="CC173" i="2" s="1"/>
  <c r="BU174" i="2" a="1"/>
  <c r="BU174" i="2" s="1"/>
  <c r="BV174" i="2" s="1" a="1"/>
  <c r="BV174" i="2" s="1"/>
  <c r="BW174" i="2" a="1"/>
  <c r="BW174" i="2" s="1"/>
  <c r="BX174" i="2" a="1"/>
  <c r="BX174" i="2" s="1"/>
  <c r="BY174" i="2" a="1"/>
  <c r="BY174" i="2" s="1"/>
  <c r="BZ174" i="2" a="1"/>
  <c r="BZ174" i="2" s="1"/>
  <c r="CC174" i="2" a="1"/>
  <c r="CC174" i="2" s="1"/>
  <c r="BU175" i="2" a="1"/>
  <c r="BU175" i="2" s="1"/>
  <c r="BV175" i="2" s="1" a="1"/>
  <c r="BV175" i="2" s="1"/>
  <c r="BW175" i="2" a="1"/>
  <c r="BW175" i="2" s="1"/>
  <c r="BX175" i="2" a="1"/>
  <c r="BX175" i="2" s="1"/>
  <c r="BY175" i="2" a="1"/>
  <c r="BY175" i="2" s="1"/>
  <c r="BZ175" i="2" a="1"/>
  <c r="BZ175" i="2" s="1"/>
  <c r="CC175" i="2" a="1"/>
  <c r="CC175" i="2" s="1"/>
  <c r="BU176" i="2" a="1"/>
  <c r="BU176" i="2" s="1"/>
  <c r="BV176" i="2" s="1" a="1"/>
  <c r="BV176" i="2" s="1"/>
  <c r="BW176" i="2" a="1"/>
  <c r="BW176" i="2" s="1"/>
  <c r="BX176" i="2" a="1"/>
  <c r="BX176" i="2" s="1"/>
  <c r="BY176" i="2" a="1"/>
  <c r="BY176" i="2" s="1"/>
  <c r="BZ176" i="2" a="1"/>
  <c r="BZ176" i="2" s="1"/>
  <c r="CC176" i="2" a="1"/>
  <c r="CC176" i="2" s="1"/>
  <c r="BU177" i="2" a="1"/>
  <c r="BU177" i="2" s="1"/>
  <c r="BV177" i="2" s="1" a="1"/>
  <c r="BV177" i="2" s="1"/>
  <c r="BW177" i="2" a="1"/>
  <c r="BW177" i="2" s="1"/>
  <c r="BX177" i="2" a="1"/>
  <c r="BX177" i="2" s="1"/>
  <c r="BY177" i="2" a="1"/>
  <c r="BY177" i="2" s="1"/>
  <c r="BZ177" i="2" a="1"/>
  <c r="BZ177" i="2" s="1"/>
  <c r="CC177" i="2" a="1"/>
  <c r="CC177" i="2" s="1"/>
  <c r="BU178" i="2" a="1"/>
  <c r="BU178" i="2" s="1"/>
  <c r="BV178" i="2" s="1" a="1"/>
  <c r="BV178" i="2" s="1"/>
  <c r="BW178" i="2" a="1"/>
  <c r="BW178" i="2" s="1"/>
  <c r="BX178" i="2" a="1"/>
  <c r="BX178" i="2" s="1"/>
  <c r="BY178" i="2" a="1"/>
  <c r="BY178" i="2" s="1"/>
  <c r="BZ178" i="2" a="1"/>
  <c r="BZ178" i="2" s="1"/>
  <c r="CC178" i="2" a="1"/>
  <c r="CC178" i="2" s="1"/>
  <c r="BU179" i="2" a="1"/>
  <c r="BU179" i="2" s="1"/>
  <c r="BV179" i="2" s="1" a="1"/>
  <c r="BV179" i="2" s="1"/>
  <c r="BW179" i="2" a="1"/>
  <c r="BW179" i="2" s="1"/>
  <c r="BX179" i="2" a="1"/>
  <c r="BX179" i="2" s="1"/>
  <c r="BY179" i="2" a="1"/>
  <c r="BY179" i="2" s="1"/>
  <c r="BZ179" i="2" a="1"/>
  <c r="BZ179" i="2" s="1"/>
  <c r="CC179" i="2" a="1"/>
  <c r="CC179" i="2" s="1"/>
  <c r="BU180" i="2" a="1"/>
  <c r="BU180" i="2" s="1"/>
  <c r="BV180" i="2" s="1" a="1"/>
  <c r="BV180" i="2" s="1"/>
  <c r="BW180" i="2" a="1"/>
  <c r="BW180" i="2" s="1"/>
  <c r="BX180" i="2" a="1"/>
  <c r="BX180" i="2" s="1"/>
  <c r="BY180" i="2" a="1"/>
  <c r="BY180" i="2" s="1"/>
  <c r="BZ180" i="2" a="1"/>
  <c r="BZ180" i="2" s="1"/>
  <c r="CC180" i="2" a="1"/>
  <c r="CC180" i="2" s="1"/>
  <c r="BU181" i="2" a="1"/>
  <c r="BU181" i="2" s="1"/>
  <c r="BV181" i="2" s="1" a="1"/>
  <c r="BV181" i="2" s="1"/>
  <c r="BW181" i="2" a="1"/>
  <c r="BW181" i="2" s="1"/>
  <c r="BX181" i="2" a="1"/>
  <c r="BX181" i="2" s="1"/>
  <c r="BY181" i="2" a="1"/>
  <c r="BY181" i="2" s="1"/>
  <c r="BZ181" i="2" a="1"/>
  <c r="BZ181" i="2" s="1"/>
  <c r="CC181" i="2" a="1"/>
  <c r="CC181" i="2" s="1"/>
  <c r="BU182" i="2" a="1"/>
  <c r="BU182" i="2" s="1"/>
  <c r="BV182" i="2" s="1" a="1"/>
  <c r="BV182" i="2" s="1"/>
  <c r="BW182" i="2" a="1"/>
  <c r="BW182" i="2" s="1"/>
  <c r="BX182" i="2" a="1"/>
  <c r="BX182" i="2" s="1"/>
  <c r="BY182" i="2" a="1"/>
  <c r="BY182" i="2" s="1"/>
  <c r="BZ182" i="2" a="1"/>
  <c r="BZ182" i="2" s="1"/>
  <c r="CC182" i="2" a="1"/>
  <c r="CC182" i="2" s="1"/>
  <c r="BY155" i="2" a="1"/>
  <c r="BY155" i="2" s="1"/>
  <c r="BU155" i="2" a="1"/>
  <c r="BU155" i="2" s="1"/>
  <c r="BV155" i="2" s="1" a="1"/>
  <c r="BV155" i="2" s="1"/>
  <c r="BW155" i="2" a="1"/>
  <c r="BW155" i="2" s="1"/>
  <c r="BX155" i="2" a="1"/>
  <c r="BX155" i="2" s="1"/>
  <c r="BZ155" i="2" a="1"/>
  <c r="BZ155" i="2" s="1"/>
  <c r="CC155" i="2" a="1"/>
  <c r="CC155" i="2" s="1"/>
  <c r="BY156" i="2" a="1"/>
  <c r="BY156" i="2" s="1"/>
  <c r="BU156" i="2" a="1"/>
  <c r="BU156" i="2" s="1"/>
  <c r="BV156" i="2" s="1" a="1"/>
  <c r="BV156" i="2" s="1"/>
  <c r="BW156" i="2" a="1"/>
  <c r="BW156" i="2" s="1"/>
  <c r="BX156" i="2" a="1"/>
  <c r="BX156" i="2" s="1"/>
  <c r="BZ156" i="2" a="1"/>
  <c r="BZ156" i="2" s="1"/>
  <c r="CC156" i="2" a="1"/>
  <c r="CC156" i="2" s="1"/>
  <c r="BY157" i="2" a="1"/>
  <c r="BY157" i="2" s="1"/>
  <c r="BU157" i="2" a="1"/>
  <c r="BU157" i="2" s="1"/>
  <c r="BV157" i="2" s="1" a="1"/>
  <c r="BV157" i="2" s="1"/>
  <c r="BW157" i="2" a="1"/>
  <c r="BW157" i="2" s="1"/>
  <c r="BX157" i="2" a="1"/>
  <c r="BX157" i="2" s="1"/>
  <c r="BZ157" i="2" a="1"/>
  <c r="BZ157" i="2" s="1"/>
  <c r="CC157" i="2" a="1"/>
  <c r="CC157" i="2" s="1"/>
  <c r="BY158" i="2" a="1"/>
  <c r="BY158" i="2" s="1"/>
  <c r="BU158" i="2" a="1"/>
  <c r="BU158" i="2" s="1"/>
  <c r="BV158" i="2" s="1" a="1"/>
  <c r="BV158" i="2" s="1"/>
  <c r="BW158" i="2" a="1"/>
  <c r="BW158" i="2" s="1"/>
  <c r="BX158" i="2" a="1"/>
  <c r="BX158" i="2" s="1"/>
  <c r="BZ158" i="2" a="1"/>
  <c r="BZ158" i="2" s="1"/>
  <c r="CC158" i="2" a="1"/>
  <c r="CC158" i="2" s="1"/>
  <c r="BY159" i="2" a="1"/>
  <c r="BY159" i="2" s="1"/>
  <c r="BU159" i="2" a="1"/>
  <c r="BU159" i="2" s="1"/>
  <c r="BV159" i="2" s="1" a="1"/>
  <c r="BV159" i="2" s="1"/>
  <c r="BW159" i="2" a="1"/>
  <c r="BW159" i="2" s="1"/>
  <c r="BX159" i="2" a="1"/>
  <c r="BX159" i="2" s="1"/>
  <c r="BZ159" i="2" a="1"/>
  <c r="BZ159" i="2" s="1"/>
  <c r="CC159" i="2" a="1"/>
  <c r="CC159" i="2" s="1"/>
  <c r="BY160" i="2" a="1"/>
  <c r="BY160" i="2" s="1"/>
  <c r="BU160" i="2" a="1"/>
  <c r="BU160" i="2" s="1"/>
  <c r="BV160" i="2" s="1" a="1"/>
  <c r="BV160" i="2" s="1"/>
  <c r="BW160" i="2" a="1"/>
  <c r="BW160" i="2" s="1"/>
  <c r="BX160" i="2" a="1"/>
  <c r="BX160" i="2" s="1"/>
  <c r="BZ160" i="2" a="1"/>
  <c r="BZ160" i="2" s="1"/>
  <c r="CC160" i="2" a="1"/>
  <c r="CC160" i="2" s="1"/>
  <c r="BY161" i="2" a="1"/>
  <c r="BY161" i="2" s="1"/>
  <c r="BU161" i="2" a="1"/>
  <c r="BU161" i="2" s="1"/>
  <c r="BV161" i="2" s="1" a="1"/>
  <c r="BV161" i="2" s="1"/>
  <c r="BW161" i="2" a="1"/>
  <c r="BW161" i="2" s="1"/>
  <c r="BX161" i="2" a="1"/>
  <c r="BX161" i="2" s="1"/>
  <c r="BZ161" i="2" a="1"/>
  <c r="BZ161" i="2" s="1"/>
  <c r="CC161" i="2" a="1"/>
  <c r="CC161" i="2" s="1"/>
  <c r="BY162" i="2" a="1"/>
  <c r="BY162" i="2" s="1"/>
  <c r="BU162" i="2" a="1"/>
  <c r="BU162" i="2" s="1"/>
  <c r="BV162" i="2" s="1" a="1"/>
  <c r="BV162" i="2" s="1"/>
  <c r="BW162" i="2" a="1"/>
  <c r="BW162" i="2" s="1"/>
  <c r="BX162" i="2" a="1"/>
  <c r="BX162" i="2" s="1"/>
  <c r="BZ162" i="2" a="1"/>
  <c r="BZ162" i="2" s="1"/>
  <c r="CC162" i="2" a="1"/>
  <c r="CC162" i="2" s="1"/>
  <c r="BY163" i="2" a="1"/>
  <c r="BY163" i="2" s="1"/>
  <c r="BU163" i="2" a="1"/>
  <c r="BU163" i="2" s="1"/>
  <c r="BV163" i="2" s="1" a="1"/>
  <c r="BV163" i="2" s="1"/>
  <c r="BW163" i="2" a="1"/>
  <c r="BW163" i="2" s="1"/>
  <c r="BX163" i="2" a="1"/>
  <c r="BX163" i="2" s="1"/>
  <c r="BZ163" i="2" a="1"/>
  <c r="BZ163" i="2" s="1"/>
  <c r="CC163" i="2" a="1"/>
  <c r="CC163" i="2" s="1"/>
  <c r="BY164" i="2" a="1"/>
  <c r="BY164" i="2" s="1"/>
  <c r="BU164" i="2" a="1"/>
  <c r="BU164" i="2" s="1"/>
  <c r="BV164" i="2" s="1" a="1"/>
  <c r="BV164" i="2" s="1"/>
  <c r="BW164" i="2" a="1"/>
  <c r="BW164" i="2" s="1"/>
  <c r="BX164" i="2" a="1"/>
  <c r="BX164" i="2" s="1"/>
  <c r="BZ164" i="2" a="1"/>
  <c r="BZ164" i="2" s="1"/>
  <c r="CC164" i="2" a="1"/>
  <c r="CC164" i="2" s="1"/>
  <c r="BU165" i="2" a="1"/>
  <c r="BU165" i="2" s="1"/>
  <c r="BV165" i="2" s="1" a="1"/>
  <c r="BV165" i="2" s="1"/>
  <c r="BW165" i="2" a="1"/>
  <c r="BW165" i="2" s="1"/>
  <c r="BX165" i="2" a="1"/>
  <c r="BX165" i="2" s="1"/>
  <c r="BY165" i="2" a="1"/>
  <c r="BY165" i="2" s="1"/>
  <c r="BZ165" i="2" a="1"/>
  <c r="BZ165" i="2" s="1"/>
  <c r="CC165" i="2" a="1"/>
  <c r="CC165" i="2" s="1"/>
  <c r="BU166" i="2" a="1"/>
  <c r="BU166" i="2" s="1"/>
  <c r="BV166" i="2" s="1" a="1"/>
  <c r="BV166" i="2" s="1"/>
  <c r="BW166" i="2" a="1"/>
  <c r="BW166" i="2" s="1"/>
  <c r="BX166" i="2" a="1"/>
  <c r="BX166" i="2" s="1"/>
  <c r="BY166" i="2" a="1"/>
  <c r="BY166" i="2" s="1"/>
  <c r="BZ166" i="2" a="1"/>
  <c r="BZ166" i="2" s="1"/>
  <c r="CC166" i="2" a="1"/>
  <c r="CC166" i="2" s="1"/>
  <c r="BU167" i="2" a="1"/>
  <c r="BU167" i="2" s="1"/>
  <c r="BV167" i="2" s="1" a="1"/>
  <c r="BV167" i="2" s="1"/>
  <c r="BW167" i="2" a="1"/>
  <c r="BW167" i="2" s="1"/>
  <c r="BX167" i="2" a="1"/>
  <c r="BX167" i="2" s="1"/>
  <c r="BY167" i="2" a="1"/>
  <c r="BY167" i="2" s="1"/>
  <c r="BZ167" i="2" a="1"/>
  <c r="BZ167" i="2" s="1"/>
  <c r="CC167" i="2" a="1"/>
  <c r="CC167" i="2" s="1"/>
  <c r="BU168" i="2" a="1"/>
  <c r="BU168" i="2" s="1"/>
  <c r="BV168" i="2" s="1" a="1"/>
  <c r="BV168" i="2" s="1"/>
  <c r="BW168" i="2" a="1"/>
  <c r="BW168" i="2" s="1"/>
  <c r="BX168" i="2" a="1"/>
  <c r="BX168" i="2" s="1"/>
  <c r="BY168" i="2" a="1"/>
  <c r="BY168" i="2" s="1"/>
  <c r="BZ168" i="2" a="1"/>
  <c r="BZ168" i="2" s="1"/>
  <c r="CC168" i="2" a="1"/>
  <c r="CC168" i="2" s="1"/>
  <c r="BY141" i="2" a="1"/>
  <c r="BY141" i="2" s="1"/>
  <c r="BU141" i="2" a="1"/>
  <c r="BU141" i="2" s="1"/>
  <c r="BV141" i="2" s="1" a="1"/>
  <c r="BV141" i="2" s="1"/>
  <c r="BW141" i="2" a="1"/>
  <c r="BW141" i="2" s="1"/>
  <c r="BX141" i="2" a="1"/>
  <c r="BX141" i="2" s="1"/>
  <c r="BZ141" i="2" a="1"/>
  <c r="BZ141" i="2" s="1"/>
  <c r="CC141" i="2" a="1"/>
  <c r="CC141" i="2" s="1"/>
  <c r="BY142" i="2" a="1"/>
  <c r="BY142" i="2" s="1"/>
  <c r="BU142" i="2" a="1"/>
  <c r="BU142" i="2" s="1"/>
  <c r="BV142" i="2" s="1" a="1"/>
  <c r="BV142" i="2" s="1"/>
  <c r="BW142" i="2" a="1"/>
  <c r="BW142" i="2" s="1"/>
  <c r="BX142" i="2" a="1"/>
  <c r="BX142" i="2" s="1"/>
  <c r="BZ142" i="2" a="1"/>
  <c r="BZ142" i="2" s="1"/>
  <c r="CC142" i="2" a="1"/>
  <c r="CC142" i="2" s="1"/>
  <c r="BY143" i="2" a="1"/>
  <c r="BY143" i="2" s="1"/>
  <c r="BU143" i="2" a="1"/>
  <c r="BU143" i="2" s="1"/>
  <c r="BV143" i="2" s="1" a="1"/>
  <c r="BV143" i="2" s="1"/>
  <c r="BW143" i="2" a="1"/>
  <c r="BW143" i="2" s="1"/>
  <c r="BX143" i="2" a="1"/>
  <c r="BX143" i="2" s="1"/>
  <c r="BZ143" i="2" a="1"/>
  <c r="BZ143" i="2" s="1"/>
  <c r="CC143" i="2" a="1"/>
  <c r="CC143" i="2" s="1"/>
  <c r="BY144" i="2" a="1"/>
  <c r="BY144" i="2" s="1"/>
  <c r="BU144" i="2" a="1"/>
  <c r="BU144" i="2" s="1"/>
  <c r="BV144" i="2" s="1" a="1"/>
  <c r="BV144" i="2" s="1"/>
  <c r="BW144" i="2" a="1"/>
  <c r="BW144" i="2" s="1"/>
  <c r="BX144" i="2" a="1"/>
  <c r="BX144" i="2" s="1"/>
  <c r="BZ144" i="2" a="1"/>
  <c r="BZ144" i="2" s="1"/>
  <c r="CC144" i="2" a="1"/>
  <c r="CC144" i="2" s="1"/>
  <c r="BY145" i="2" a="1"/>
  <c r="BY145" i="2" s="1"/>
  <c r="BU145" i="2" a="1"/>
  <c r="BU145" i="2" s="1"/>
  <c r="BV145" i="2" s="1" a="1"/>
  <c r="BV145" i="2" s="1"/>
  <c r="BW145" i="2" a="1"/>
  <c r="BW145" i="2" s="1"/>
  <c r="BX145" i="2" a="1"/>
  <c r="BX145" i="2" s="1"/>
  <c r="BZ145" i="2" a="1"/>
  <c r="BZ145" i="2" s="1"/>
  <c r="CC145" i="2" a="1"/>
  <c r="CC145" i="2" s="1"/>
  <c r="BY146" i="2" a="1"/>
  <c r="BY146" i="2" s="1"/>
  <c r="BU146" i="2" a="1"/>
  <c r="BU146" i="2" s="1"/>
  <c r="BV146" i="2" s="1" a="1"/>
  <c r="BV146" i="2" s="1"/>
  <c r="BW146" i="2" a="1"/>
  <c r="BW146" i="2" s="1"/>
  <c r="BX146" i="2" a="1"/>
  <c r="BX146" i="2" s="1"/>
  <c r="BZ146" i="2" a="1"/>
  <c r="BZ146" i="2" s="1"/>
  <c r="CC146" i="2" a="1"/>
  <c r="CC146" i="2" s="1"/>
  <c r="BY147" i="2" a="1"/>
  <c r="BY147" i="2" s="1"/>
  <c r="BU147" i="2" a="1"/>
  <c r="BU147" i="2" s="1"/>
  <c r="BV147" i="2" s="1" a="1"/>
  <c r="BV147" i="2" s="1"/>
  <c r="BW147" i="2" a="1"/>
  <c r="BW147" i="2" s="1"/>
  <c r="BX147" i="2" a="1"/>
  <c r="BX147" i="2" s="1"/>
  <c r="BZ147" i="2" a="1"/>
  <c r="BZ147" i="2" s="1"/>
  <c r="CC147" i="2" a="1"/>
  <c r="CC147" i="2" s="1"/>
  <c r="BY148" i="2" a="1"/>
  <c r="BY148" i="2" s="1"/>
  <c r="BU148" i="2" a="1"/>
  <c r="BU148" i="2" s="1"/>
  <c r="BV148" i="2" s="1" a="1"/>
  <c r="BV148" i="2" s="1"/>
  <c r="BW148" i="2" a="1"/>
  <c r="BW148" i="2" s="1"/>
  <c r="BX148" i="2" a="1"/>
  <c r="BX148" i="2" s="1"/>
  <c r="BZ148" i="2" a="1"/>
  <c r="BZ148" i="2" s="1"/>
  <c r="CC148" i="2" a="1"/>
  <c r="CC148" i="2" s="1"/>
  <c r="BY149" i="2" a="1"/>
  <c r="BY149" i="2" s="1"/>
  <c r="BU149" i="2" a="1"/>
  <c r="BU149" i="2" s="1"/>
  <c r="BV149" i="2" s="1" a="1"/>
  <c r="BV149" i="2" s="1"/>
  <c r="BW149" i="2" a="1"/>
  <c r="BW149" i="2" s="1"/>
  <c r="BX149" i="2" a="1"/>
  <c r="BX149" i="2" s="1"/>
  <c r="BZ149" i="2" a="1"/>
  <c r="BZ149" i="2" s="1"/>
  <c r="CC149" i="2" a="1"/>
  <c r="CC149" i="2" s="1"/>
  <c r="BY150" i="2" a="1"/>
  <c r="BY150" i="2" s="1"/>
  <c r="BU150" i="2" a="1"/>
  <c r="BU150" i="2" s="1"/>
  <c r="BV150" i="2" s="1" a="1"/>
  <c r="BV150" i="2" s="1"/>
  <c r="BW150" i="2" a="1"/>
  <c r="BW150" i="2" s="1"/>
  <c r="BX150" i="2" a="1"/>
  <c r="BX150" i="2" s="1"/>
  <c r="BZ150" i="2" a="1"/>
  <c r="BZ150" i="2" s="1"/>
  <c r="CC150" i="2" a="1"/>
  <c r="CC150" i="2" s="1"/>
  <c r="BY151" i="2" a="1"/>
  <c r="BY151" i="2" s="1"/>
  <c r="BU151" i="2" a="1"/>
  <c r="BU151" i="2" s="1"/>
  <c r="BV151" i="2" s="1" a="1"/>
  <c r="BV151" i="2" s="1"/>
  <c r="BW151" i="2" a="1"/>
  <c r="BW151" i="2" s="1"/>
  <c r="BX151" i="2" a="1"/>
  <c r="BX151" i="2" s="1"/>
  <c r="BZ151" i="2" a="1"/>
  <c r="BZ151" i="2" s="1"/>
  <c r="CC151" i="2" a="1"/>
  <c r="CC151" i="2" s="1"/>
  <c r="BY152" i="2" a="1"/>
  <c r="BY152" i="2" s="1"/>
  <c r="BU152" i="2" a="1"/>
  <c r="BU152" i="2" s="1"/>
  <c r="BV152" i="2" s="1" a="1"/>
  <c r="BV152" i="2" s="1"/>
  <c r="BW152" i="2" a="1"/>
  <c r="BW152" i="2" s="1"/>
  <c r="BX152" i="2" a="1"/>
  <c r="BX152" i="2" s="1"/>
  <c r="BZ152" i="2" a="1"/>
  <c r="BZ152" i="2" s="1"/>
  <c r="CC152" i="2" a="1"/>
  <c r="CC152" i="2" s="1"/>
  <c r="BY153" i="2" a="1"/>
  <c r="BY153" i="2" s="1"/>
  <c r="BU153" i="2" a="1"/>
  <c r="BU153" i="2" s="1"/>
  <c r="BV153" i="2" s="1" a="1"/>
  <c r="BV153" i="2" s="1"/>
  <c r="BW153" i="2" a="1"/>
  <c r="BW153" i="2" s="1"/>
  <c r="BX153" i="2" a="1"/>
  <c r="BX153" i="2" s="1"/>
  <c r="BZ153" i="2" a="1"/>
  <c r="BZ153" i="2" s="1"/>
  <c r="CC153" i="2" a="1"/>
  <c r="CC153" i="2" s="1"/>
  <c r="BY154" i="2" a="1"/>
  <c r="BY154" i="2" s="1"/>
  <c r="BU154" i="2" a="1"/>
  <c r="BU154" i="2" s="1"/>
  <c r="BV154" i="2" s="1" a="1"/>
  <c r="BV154" i="2" s="1"/>
  <c r="BW154" i="2" a="1"/>
  <c r="BW154" i="2" s="1"/>
  <c r="BX154" i="2" a="1"/>
  <c r="BX154" i="2" s="1"/>
  <c r="BZ154" i="2" a="1"/>
  <c r="BZ154" i="2" s="1"/>
  <c r="CC154" i="2" a="1"/>
  <c r="CC154" i="2" s="1"/>
  <c r="BY127" i="2" a="1"/>
  <c r="BY127" i="2" s="1"/>
  <c r="BU127" i="2" a="1"/>
  <c r="BU127" i="2" s="1"/>
  <c r="BV127" i="2" s="1" a="1"/>
  <c r="BV127" i="2" s="1"/>
  <c r="BW127" i="2" a="1"/>
  <c r="BW127" i="2" s="1"/>
  <c r="BX127" i="2" a="1"/>
  <c r="BX127" i="2" s="1"/>
  <c r="BZ127" i="2" a="1"/>
  <c r="BZ127" i="2" s="1"/>
  <c r="CC127" i="2" a="1"/>
  <c r="CC127" i="2" s="1"/>
  <c r="BY128" i="2" a="1"/>
  <c r="BY128" i="2" s="1"/>
  <c r="BU128" i="2" a="1"/>
  <c r="BU128" i="2" s="1"/>
  <c r="BV128" i="2" s="1" a="1"/>
  <c r="BV128" i="2" s="1"/>
  <c r="BW128" i="2" a="1"/>
  <c r="BW128" i="2" s="1"/>
  <c r="BX128" i="2" a="1"/>
  <c r="BX128" i="2" s="1"/>
  <c r="BZ128" i="2" a="1"/>
  <c r="BZ128" i="2" s="1"/>
  <c r="CC128" i="2" a="1"/>
  <c r="CC128" i="2" s="1"/>
  <c r="BY129" i="2" a="1"/>
  <c r="BY129" i="2" s="1"/>
  <c r="BU129" i="2" a="1"/>
  <c r="BU129" i="2" s="1"/>
  <c r="BV129" i="2" s="1" a="1"/>
  <c r="BV129" i="2" s="1"/>
  <c r="BW129" i="2" a="1"/>
  <c r="BW129" i="2" s="1"/>
  <c r="BX129" i="2" a="1"/>
  <c r="BX129" i="2" s="1"/>
  <c r="BZ129" i="2" a="1"/>
  <c r="BZ129" i="2" s="1"/>
  <c r="CC129" i="2" a="1"/>
  <c r="CC129" i="2" s="1"/>
  <c r="BY130" i="2" a="1"/>
  <c r="BY130" i="2" s="1"/>
  <c r="BU130" i="2" a="1"/>
  <c r="BU130" i="2" s="1"/>
  <c r="BV130" i="2" s="1" a="1"/>
  <c r="BV130" i="2" s="1"/>
  <c r="BW130" i="2" a="1"/>
  <c r="BW130" i="2" s="1"/>
  <c r="BX130" i="2" a="1"/>
  <c r="BX130" i="2" s="1"/>
  <c r="BZ130" i="2" a="1"/>
  <c r="BZ130" i="2" s="1"/>
  <c r="CC130" i="2" a="1"/>
  <c r="CC130" i="2" s="1"/>
  <c r="BY131" i="2" a="1"/>
  <c r="BY131" i="2" s="1"/>
  <c r="BU131" i="2" a="1"/>
  <c r="BU131" i="2" s="1"/>
  <c r="BV131" i="2" s="1" a="1"/>
  <c r="BV131" i="2" s="1"/>
  <c r="BW131" i="2" a="1"/>
  <c r="BW131" i="2" s="1"/>
  <c r="BX131" i="2" a="1"/>
  <c r="BX131" i="2" s="1"/>
  <c r="BZ131" i="2" a="1"/>
  <c r="BZ131" i="2" s="1"/>
  <c r="CC131" i="2" a="1"/>
  <c r="CC131" i="2" s="1"/>
  <c r="BY132" i="2" a="1"/>
  <c r="BY132" i="2" s="1"/>
  <c r="BU132" i="2" a="1"/>
  <c r="BU132" i="2" s="1"/>
  <c r="BV132" i="2" s="1" a="1"/>
  <c r="BV132" i="2" s="1"/>
  <c r="BW132" i="2" a="1"/>
  <c r="BW132" i="2" s="1"/>
  <c r="BX132" i="2" a="1"/>
  <c r="BX132" i="2" s="1"/>
  <c r="BZ132" i="2" a="1"/>
  <c r="BZ132" i="2" s="1"/>
  <c r="CC132" i="2" a="1"/>
  <c r="CC132" i="2" s="1"/>
  <c r="BY133" i="2" a="1"/>
  <c r="BY133" i="2" s="1"/>
  <c r="BU133" i="2" a="1"/>
  <c r="BU133" i="2" s="1"/>
  <c r="BV133" i="2" s="1" a="1"/>
  <c r="BV133" i="2" s="1"/>
  <c r="BW133" i="2" a="1"/>
  <c r="BW133" i="2" s="1"/>
  <c r="BX133" i="2" a="1"/>
  <c r="BX133" i="2" s="1"/>
  <c r="BZ133" i="2" a="1"/>
  <c r="BZ133" i="2" s="1"/>
  <c r="CC133" i="2" a="1"/>
  <c r="CC133" i="2" s="1"/>
  <c r="BY134" i="2" a="1"/>
  <c r="BY134" i="2" s="1"/>
  <c r="BU134" i="2" a="1"/>
  <c r="BU134" i="2" s="1"/>
  <c r="BV134" i="2" s="1" a="1"/>
  <c r="BV134" i="2" s="1"/>
  <c r="BW134" i="2" a="1"/>
  <c r="BW134" i="2" s="1"/>
  <c r="BX134" i="2" a="1"/>
  <c r="BX134" i="2" s="1"/>
  <c r="BZ134" i="2" a="1"/>
  <c r="BZ134" i="2" s="1"/>
  <c r="CC134" i="2" a="1"/>
  <c r="CC134" i="2" s="1"/>
  <c r="BY135" i="2" a="1"/>
  <c r="BY135" i="2" s="1"/>
  <c r="BU135" i="2" a="1"/>
  <c r="BU135" i="2" s="1"/>
  <c r="BV135" i="2" s="1" a="1"/>
  <c r="BV135" i="2" s="1"/>
  <c r="BW135" i="2" a="1"/>
  <c r="BW135" i="2" s="1"/>
  <c r="BX135" i="2" a="1"/>
  <c r="BX135" i="2" s="1"/>
  <c r="BZ135" i="2" a="1"/>
  <c r="BZ135" i="2" s="1"/>
  <c r="CC135" i="2" a="1"/>
  <c r="CC135" i="2" s="1"/>
  <c r="BY136" i="2" a="1"/>
  <c r="BY136" i="2" s="1"/>
  <c r="BU136" i="2" a="1"/>
  <c r="BU136" i="2" s="1"/>
  <c r="BV136" i="2" s="1" a="1"/>
  <c r="BV136" i="2" s="1"/>
  <c r="BW136" i="2" a="1"/>
  <c r="BW136" i="2" s="1"/>
  <c r="BX136" i="2" a="1"/>
  <c r="BX136" i="2" s="1"/>
  <c r="BZ136" i="2" a="1"/>
  <c r="BZ136" i="2" s="1"/>
  <c r="CC136" i="2" a="1"/>
  <c r="CC136" i="2" s="1"/>
  <c r="BY137" i="2" a="1"/>
  <c r="BY137" i="2" s="1"/>
  <c r="BU137" i="2" a="1"/>
  <c r="BU137" i="2" s="1"/>
  <c r="BV137" i="2" s="1" a="1"/>
  <c r="BV137" i="2" s="1"/>
  <c r="BW137" i="2" a="1"/>
  <c r="BW137" i="2" s="1"/>
  <c r="BX137" i="2" a="1"/>
  <c r="BX137" i="2" s="1"/>
  <c r="BZ137" i="2" a="1"/>
  <c r="BZ137" i="2" s="1"/>
  <c r="CC137" i="2" a="1"/>
  <c r="CC137" i="2" s="1"/>
  <c r="BY138" i="2" a="1"/>
  <c r="BY138" i="2" s="1"/>
  <c r="BU138" i="2" a="1"/>
  <c r="BU138" i="2" s="1"/>
  <c r="BV138" i="2" s="1" a="1"/>
  <c r="BV138" i="2" s="1"/>
  <c r="BW138" i="2" a="1"/>
  <c r="BW138" i="2" s="1"/>
  <c r="BX138" i="2" a="1"/>
  <c r="BX138" i="2" s="1"/>
  <c r="BZ138" i="2" a="1"/>
  <c r="BZ138" i="2" s="1"/>
  <c r="CC138" i="2" a="1"/>
  <c r="CC138" i="2" s="1"/>
  <c r="BY139" i="2" a="1"/>
  <c r="BY139" i="2" s="1"/>
  <c r="BU139" i="2" a="1"/>
  <c r="BU139" i="2" s="1"/>
  <c r="BV139" i="2" s="1" a="1"/>
  <c r="BV139" i="2" s="1"/>
  <c r="BW139" i="2" a="1"/>
  <c r="BW139" i="2" s="1"/>
  <c r="BX139" i="2" a="1"/>
  <c r="BX139" i="2" s="1"/>
  <c r="BZ139" i="2" a="1"/>
  <c r="BZ139" i="2" s="1"/>
  <c r="CC139" i="2" a="1"/>
  <c r="CC139" i="2" s="1"/>
  <c r="BY140" i="2" a="1"/>
  <c r="BY140" i="2" s="1"/>
  <c r="BU140" i="2" a="1"/>
  <c r="BU140" i="2" s="1"/>
  <c r="BV140" i="2" s="1" a="1"/>
  <c r="BV140" i="2" s="1"/>
  <c r="BW140" i="2" a="1"/>
  <c r="BW140" i="2" s="1"/>
  <c r="BX140" i="2" a="1"/>
  <c r="BX140" i="2" s="1"/>
  <c r="BZ140" i="2" a="1"/>
  <c r="BZ140" i="2" s="1"/>
  <c r="CC140" i="2" a="1"/>
  <c r="CC140" i="2" s="1"/>
  <c r="BY113" i="2" a="1"/>
  <c r="BY113" i="2" s="1"/>
  <c r="BU113" i="2" a="1"/>
  <c r="BU113" i="2" s="1"/>
  <c r="BV113" i="2" s="1" a="1"/>
  <c r="BV113" i="2" s="1"/>
  <c r="BW113" i="2" a="1"/>
  <c r="BW113" i="2" s="1"/>
  <c r="BX113" i="2" a="1"/>
  <c r="BX113" i="2" s="1"/>
  <c r="BZ113" i="2" a="1"/>
  <c r="BZ113" i="2" s="1"/>
  <c r="CC113" i="2" a="1"/>
  <c r="CC113" i="2" s="1"/>
  <c r="BY114" i="2" a="1"/>
  <c r="BY114" i="2" s="1"/>
  <c r="BU114" i="2" a="1"/>
  <c r="BU114" i="2" s="1"/>
  <c r="BV114" i="2" s="1" a="1"/>
  <c r="BV114" i="2" s="1"/>
  <c r="BW114" i="2" a="1"/>
  <c r="BW114" i="2" s="1"/>
  <c r="BX114" i="2" a="1"/>
  <c r="BX114" i="2" s="1"/>
  <c r="BZ114" i="2" a="1"/>
  <c r="BZ114" i="2" s="1"/>
  <c r="CC114" i="2" a="1"/>
  <c r="CC114" i="2" s="1"/>
  <c r="BY115" i="2" a="1"/>
  <c r="BY115" i="2" s="1"/>
  <c r="BU115" i="2" a="1"/>
  <c r="BU115" i="2" s="1"/>
  <c r="BV115" i="2" s="1" a="1"/>
  <c r="BV115" i="2" s="1"/>
  <c r="BW115" i="2" a="1"/>
  <c r="BW115" i="2" s="1"/>
  <c r="BX115" i="2" a="1"/>
  <c r="BX115" i="2" s="1"/>
  <c r="BZ115" i="2" a="1"/>
  <c r="BZ115" i="2" s="1"/>
  <c r="CC115" i="2" a="1"/>
  <c r="CC115" i="2" s="1"/>
  <c r="BY116" i="2" a="1"/>
  <c r="BY116" i="2" s="1"/>
  <c r="BU116" i="2" a="1"/>
  <c r="BU116" i="2" s="1"/>
  <c r="BV116" i="2" s="1" a="1"/>
  <c r="BV116" i="2" s="1"/>
  <c r="BW116" i="2" a="1"/>
  <c r="BW116" i="2" s="1"/>
  <c r="BX116" i="2" a="1"/>
  <c r="BX116" i="2" s="1"/>
  <c r="BZ116" i="2" a="1"/>
  <c r="BZ116" i="2" s="1"/>
  <c r="CC116" i="2" a="1"/>
  <c r="CC116" i="2" s="1"/>
  <c r="BY117" i="2" a="1"/>
  <c r="BY117" i="2" s="1"/>
  <c r="BU117" i="2" a="1"/>
  <c r="BU117" i="2" s="1"/>
  <c r="BV117" i="2" s="1" a="1"/>
  <c r="BV117" i="2" s="1"/>
  <c r="BW117" i="2" a="1"/>
  <c r="BW117" i="2" s="1"/>
  <c r="BX117" i="2" a="1"/>
  <c r="BX117" i="2" s="1"/>
  <c r="BZ117" i="2" a="1"/>
  <c r="BZ117" i="2" s="1"/>
  <c r="CC117" i="2" a="1"/>
  <c r="CC117" i="2" s="1"/>
  <c r="BY118" i="2" a="1"/>
  <c r="BY118" i="2" s="1"/>
  <c r="BU118" i="2" a="1"/>
  <c r="BU118" i="2" s="1"/>
  <c r="BV118" i="2" s="1" a="1"/>
  <c r="BV118" i="2" s="1"/>
  <c r="BW118" i="2" a="1"/>
  <c r="BW118" i="2" s="1"/>
  <c r="BX118" i="2" a="1"/>
  <c r="BX118" i="2" s="1"/>
  <c r="BZ118" i="2" a="1"/>
  <c r="BZ118" i="2" s="1"/>
  <c r="CC118" i="2" a="1"/>
  <c r="CC118" i="2" s="1"/>
  <c r="BY119" i="2" a="1"/>
  <c r="BY119" i="2" s="1"/>
  <c r="BU119" i="2" a="1"/>
  <c r="BU119" i="2" s="1"/>
  <c r="BV119" i="2" s="1" a="1"/>
  <c r="BV119" i="2" s="1"/>
  <c r="BW119" i="2" a="1"/>
  <c r="BW119" i="2" s="1"/>
  <c r="BX119" i="2" a="1"/>
  <c r="BX119" i="2" s="1"/>
  <c r="BZ119" i="2" a="1"/>
  <c r="BZ119" i="2" s="1"/>
  <c r="CC119" i="2" a="1"/>
  <c r="CC119" i="2" s="1"/>
  <c r="BY120" i="2" a="1"/>
  <c r="BY120" i="2" s="1"/>
  <c r="BU120" i="2" a="1"/>
  <c r="BU120" i="2" s="1"/>
  <c r="BV120" i="2" s="1" a="1"/>
  <c r="BV120" i="2" s="1"/>
  <c r="BW120" i="2" a="1"/>
  <c r="BW120" i="2" s="1"/>
  <c r="BX120" i="2" a="1"/>
  <c r="BX120" i="2" s="1"/>
  <c r="BZ120" i="2" a="1"/>
  <c r="BZ120" i="2" s="1"/>
  <c r="CC120" i="2" a="1"/>
  <c r="CC120" i="2" s="1"/>
  <c r="BY121" i="2" a="1"/>
  <c r="BY121" i="2" s="1"/>
  <c r="BU121" i="2" a="1"/>
  <c r="BU121" i="2" s="1"/>
  <c r="BV121" i="2" s="1" a="1"/>
  <c r="BV121" i="2" s="1"/>
  <c r="BW121" i="2" a="1"/>
  <c r="BW121" i="2" s="1"/>
  <c r="BX121" i="2" a="1"/>
  <c r="BX121" i="2" s="1"/>
  <c r="BZ121" i="2" a="1"/>
  <c r="BZ121" i="2" s="1"/>
  <c r="CC121" i="2" a="1"/>
  <c r="CC121" i="2" s="1"/>
  <c r="BY122" i="2" a="1"/>
  <c r="BY122" i="2" s="1"/>
  <c r="BU122" i="2" a="1"/>
  <c r="BU122" i="2" s="1"/>
  <c r="BV122" i="2" s="1" a="1"/>
  <c r="BV122" i="2" s="1"/>
  <c r="BW122" i="2" a="1"/>
  <c r="BW122" i="2" s="1"/>
  <c r="BX122" i="2" a="1"/>
  <c r="BX122" i="2" s="1"/>
  <c r="BZ122" i="2" a="1"/>
  <c r="BZ122" i="2" s="1"/>
  <c r="CC122" i="2" a="1"/>
  <c r="CC122" i="2" s="1"/>
  <c r="BY123" i="2" a="1"/>
  <c r="BY123" i="2" s="1"/>
  <c r="BU123" i="2" a="1"/>
  <c r="BU123" i="2" s="1"/>
  <c r="BV123" i="2" s="1" a="1"/>
  <c r="BV123" i="2" s="1"/>
  <c r="BW123" i="2" a="1"/>
  <c r="BW123" i="2" s="1"/>
  <c r="BX123" i="2" a="1"/>
  <c r="BX123" i="2" s="1"/>
  <c r="BZ123" i="2" a="1"/>
  <c r="BZ123" i="2" s="1"/>
  <c r="CC123" i="2" a="1"/>
  <c r="CC123" i="2" s="1"/>
  <c r="BY124" i="2" a="1"/>
  <c r="BY124" i="2" s="1"/>
  <c r="BU124" i="2" a="1"/>
  <c r="BU124" i="2" s="1"/>
  <c r="BV124" i="2" s="1" a="1"/>
  <c r="BV124" i="2" s="1"/>
  <c r="BW124" i="2" a="1"/>
  <c r="BW124" i="2" s="1"/>
  <c r="BX124" i="2" a="1"/>
  <c r="BX124" i="2" s="1"/>
  <c r="BZ124" i="2" a="1"/>
  <c r="BZ124" i="2" s="1"/>
  <c r="CC124" i="2" a="1"/>
  <c r="CC124" i="2" s="1"/>
  <c r="BY125" i="2" a="1"/>
  <c r="BY125" i="2" s="1"/>
  <c r="BU125" i="2" a="1"/>
  <c r="BU125" i="2" s="1"/>
  <c r="BV125" i="2" s="1" a="1"/>
  <c r="BV125" i="2" s="1"/>
  <c r="BW125" i="2" a="1"/>
  <c r="BW125" i="2" s="1"/>
  <c r="BX125" i="2" a="1"/>
  <c r="BX125" i="2" s="1"/>
  <c r="BZ125" i="2" a="1"/>
  <c r="BZ125" i="2" s="1"/>
  <c r="CC125" i="2" a="1"/>
  <c r="CC125" i="2" s="1"/>
  <c r="BY126" i="2" a="1"/>
  <c r="BY126" i="2" s="1"/>
  <c r="BU126" i="2" a="1"/>
  <c r="BU126" i="2" s="1"/>
  <c r="BV126" i="2" s="1" a="1"/>
  <c r="BV126" i="2" s="1"/>
  <c r="BW126" i="2" a="1"/>
  <c r="BW126" i="2" s="1"/>
  <c r="BX126" i="2" a="1"/>
  <c r="BX126" i="2" s="1"/>
  <c r="BZ126" i="2" a="1"/>
  <c r="BZ126" i="2" s="1"/>
  <c r="CC126" i="2" a="1"/>
  <c r="CC126" i="2" s="1"/>
  <c r="BY99" i="2" a="1"/>
  <c r="BY99" i="2" s="1"/>
  <c r="BU99" i="2" a="1"/>
  <c r="BU99" i="2" s="1"/>
  <c r="BV99" i="2" s="1" a="1"/>
  <c r="BV99" i="2" s="1"/>
  <c r="BW99" i="2" a="1"/>
  <c r="BW99" i="2" s="1"/>
  <c r="BX99" i="2" a="1"/>
  <c r="BX99" i="2" s="1"/>
  <c r="BZ99" i="2" a="1"/>
  <c r="BZ99" i="2" s="1"/>
  <c r="CC99" i="2" a="1"/>
  <c r="CC99" i="2" s="1"/>
  <c r="BY100" i="2" a="1"/>
  <c r="BY100" i="2" s="1"/>
  <c r="BU100" i="2" a="1"/>
  <c r="BU100" i="2" s="1"/>
  <c r="BV100" i="2" s="1" a="1"/>
  <c r="BV100" i="2" s="1"/>
  <c r="BW100" i="2" a="1"/>
  <c r="BW100" i="2" s="1"/>
  <c r="BX100" i="2" a="1"/>
  <c r="BX100" i="2" s="1"/>
  <c r="BZ100" i="2" a="1"/>
  <c r="BZ100" i="2" s="1"/>
  <c r="CC100" i="2" a="1"/>
  <c r="CC100" i="2" s="1"/>
  <c r="BY101" i="2" a="1"/>
  <c r="BY101" i="2" s="1"/>
  <c r="BU101" i="2" a="1"/>
  <c r="BU101" i="2" s="1"/>
  <c r="BV101" i="2" s="1" a="1"/>
  <c r="BV101" i="2" s="1"/>
  <c r="BW101" i="2" a="1"/>
  <c r="BW101" i="2" s="1"/>
  <c r="BX101" i="2" a="1"/>
  <c r="BX101" i="2" s="1"/>
  <c r="BZ101" i="2" a="1"/>
  <c r="BZ101" i="2" s="1"/>
  <c r="CC101" i="2" a="1"/>
  <c r="CC101" i="2" s="1"/>
  <c r="BY102" i="2" a="1"/>
  <c r="BY102" i="2" s="1"/>
  <c r="BU102" i="2" a="1"/>
  <c r="BU102" i="2" s="1"/>
  <c r="BV102" i="2" s="1" a="1"/>
  <c r="BV102" i="2" s="1"/>
  <c r="BW102" i="2" a="1"/>
  <c r="BW102" i="2" s="1"/>
  <c r="BX102" i="2" a="1"/>
  <c r="BX102" i="2" s="1"/>
  <c r="BZ102" i="2" a="1"/>
  <c r="BZ102" i="2" s="1"/>
  <c r="CC102" i="2" a="1"/>
  <c r="CC102" i="2" s="1"/>
  <c r="BY103" i="2" a="1"/>
  <c r="BY103" i="2" s="1"/>
  <c r="BU103" i="2" a="1"/>
  <c r="BU103" i="2" s="1"/>
  <c r="BV103" i="2" s="1" a="1"/>
  <c r="BV103" i="2" s="1"/>
  <c r="BW103" i="2" a="1"/>
  <c r="BW103" i="2" s="1"/>
  <c r="BX103" i="2" a="1"/>
  <c r="BX103" i="2" s="1"/>
  <c r="BZ103" i="2" a="1"/>
  <c r="BZ103" i="2" s="1"/>
  <c r="CC103" i="2" a="1"/>
  <c r="CC103" i="2" s="1"/>
  <c r="BY104" i="2" a="1"/>
  <c r="BY104" i="2" s="1"/>
  <c r="BU104" i="2" a="1"/>
  <c r="BU104" i="2" s="1"/>
  <c r="BV104" i="2" s="1" a="1"/>
  <c r="BV104" i="2" s="1"/>
  <c r="BW104" i="2" a="1"/>
  <c r="BW104" i="2" s="1"/>
  <c r="BX104" i="2" a="1"/>
  <c r="BX104" i="2" s="1"/>
  <c r="BZ104" i="2" a="1"/>
  <c r="BZ104" i="2" s="1"/>
  <c r="CC104" i="2" a="1"/>
  <c r="CC104" i="2" s="1"/>
  <c r="BY105" i="2" a="1"/>
  <c r="BY105" i="2" s="1"/>
  <c r="BU105" i="2" a="1"/>
  <c r="BU105" i="2" s="1"/>
  <c r="BV105" i="2" s="1" a="1"/>
  <c r="BV105" i="2" s="1"/>
  <c r="BW105" i="2" a="1"/>
  <c r="BW105" i="2" s="1"/>
  <c r="BX105" i="2" a="1"/>
  <c r="BX105" i="2" s="1"/>
  <c r="BZ105" i="2" a="1"/>
  <c r="BZ105" i="2" s="1"/>
  <c r="CC105" i="2" a="1"/>
  <c r="CC105" i="2" s="1"/>
  <c r="BY106" i="2" a="1"/>
  <c r="BY106" i="2" s="1"/>
  <c r="BU106" i="2" a="1"/>
  <c r="BU106" i="2" s="1"/>
  <c r="BV106" i="2" s="1" a="1"/>
  <c r="BV106" i="2" s="1"/>
  <c r="BW106" i="2" a="1"/>
  <c r="BW106" i="2" s="1"/>
  <c r="BX106" i="2" a="1"/>
  <c r="BX106" i="2" s="1"/>
  <c r="BZ106" i="2" a="1"/>
  <c r="BZ106" i="2" s="1"/>
  <c r="CC106" i="2" a="1"/>
  <c r="CC106" i="2" s="1"/>
  <c r="BY107" i="2" a="1"/>
  <c r="BY107" i="2" s="1"/>
  <c r="BU107" i="2" a="1"/>
  <c r="BU107" i="2" s="1"/>
  <c r="BV107" i="2" s="1" a="1"/>
  <c r="BV107" i="2" s="1"/>
  <c r="BW107" i="2" a="1"/>
  <c r="BW107" i="2" s="1"/>
  <c r="BX107" i="2" a="1"/>
  <c r="BX107" i="2" s="1"/>
  <c r="BZ107" i="2" a="1"/>
  <c r="BZ107" i="2" s="1"/>
  <c r="CC107" i="2" a="1"/>
  <c r="CC107" i="2" s="1"/>
  <c r="BY108" i="2" a="1"/>
  <c r="BY108" i="2" s="1"/>
  <c r="BU108" i="2" a="1"/>
  <c r="BU108" i="2" s="1"/>
  <c r="BV108" i="2" s="1" a="1"/>
  <c r="BV108" i="2" s="1"/>
  <c r="BW108" i="2" a="1"/>
  <c r="BW108" i="2" s="1"/>
  <c r="BX108" i="2" a="1"/>
  <c r="BX108" i="2" s="1"/>
  <c r="BZ108" i="2" a="1"/>
  <c r="BZ108" i="2" s="1"/>
  <c r="CC108" i="2" a="1"/>
  <c r="CC108" i="2" s="1"/>
  <c r="BY109" i="2" a="1"/>
  <c r="BY109" i="2" s="1"/>
  <c r="BU109" i="2" a="1"/>
  <c r="BU109" i="2" s="1"/>
  <c r="BV109" i="2" s="1" a="1"/>
  <c r="BV109" i="2" s="1"/>
  <c r="BW109" i="2" a="1"/>
  <c r="BW109" i="2" s="1"/>
  <c r="BX109" i="2" a="1"/>
  <c r="BX109" i="2" s="1"/>
  <c r="BZ109" i="2" a="1"/>
  <c r="BZ109" i="2" s="1"/>
  <c r="CC109" i="2" a="1"/>
  <c r="CC109" i="2" s="1"/>
  <c r="BY110" i="2" a="1"/>
  <c r="BY110" i="2" s="1"/>
  <c r="BU110" i="2" a="1"/>
  <c r="BU110" i="2" s="1"/>
  <c r="BV110" i="2" s="1" a="1"/>
  <c r="BV110" i="2" s="1"/>
  <c r="BW110" i="2" a="1"/>
  <c r="BW110" i="2" s="1"/>
  <c r="BX110" i="2" a="1"/>
  <c r="BX110" i="2" s="1"/>
  <c r="BZ110" i="2" a="1"/>
  <c r="BZ110" i="2" s="1"/>
  <c r="CC110" i="2" a="1"/>
  <c r="CC110" i="2" s="1"/>
  <c r="BY111" i="2" a="1"/>
  <c r="BY111" i="2" s="1"/>
  <c r="BU111" i="2" a="1"/>
  <c r="BU111" i="2" s="1"/>
  <c r="BV111" i="2" s="1" a="1"/>
  <c r="BV111" i="2" s="1"/>
  <c r="BW111" i="2" a="1"/>
  <c r="BW111" i="2" s="1"/>
  <c r="BX111" i="2" a="1"/>
  <c r="BX111" i="2" s="1"/>
  <c r="BZ111" i="2" a="1"/>
  <c r="BZ111" i="2" s="1"/>
  <c r="CC111" i="2" a="1"/>
  <c r="CC111" i="2" s="1"/>
  <c r="BY112" i="2" a="1"/>
  <c r="BY112" i="2" s="1"/>
  <c r="BU112" i="2" a="1"/>
  <c r="BU112" i="2" s="1"/>
  <c r="BV112" i="2" s="1" a="1"/>
  <c r="BV112" i="2" s="1"/>
  <c r="BW112" i="2" a="1"/>
  <c r="BW112" i="2" s="1"/>
  <c r="BX112" i="2" a="1"/>
  <c r="BX112" i="2" s="1"/>
  <c r="BZ112" i="2" a="1"/>
  <c r="BZ112" i="2" s="1"/>
  <c r="CC112" i="2" a="1"/>
  <c r="CC112" i="2" s="1"/>
  <c r="BY85" i="2" a="1"/>
  <c r="BY85" i="2" s="1"/>
  <c r="BU85" i="2" a="1"/>
  <c r="BU85" i="2" s="1"/>
  <c r="BV85" i="2" s="1" a="1"/>
  <c r="BV85" i="2" s="1"/>
  <c r="BW85" i="2" a="1"/>
  <c r="BW85" i="2" s="1"/>
  <c r="BX85" i="2" a="1"/>
  <c r="BX85" i="2" s="1"/>
  <c r="BZ85" i="2" a="1"/>
  <c r="BZ85" i="2" s="1"/>
  <c r="CC85" i="2" a="1"/>
  <c r="CC85" i="2" s="1"/>
  <c r="BY86" i="2" a="1"/>
  <c r="BY86" i="2" s="1"/>
  <c r="BU86" i="2" a="1"/>
  <c r="BU86" i="2" s="1"/>
  <c r="BV86" i="2" s="1" a="1"/>
  <c r="BV86" i="2" s="1"/>
  <c r="BW86" i="2" a="1"/>
  <c r="BW86" i="2" s="1"/>
  <c r="BX86" i="2" a="1"/>
  <c r="BX86" i="2" s="1"/>
  <c r="BZ86" i="2" a="1"/>
  <c r="BZ86" i="2" s="1"/>
  <c r="CC86" i="2" a="1"/>
  <c r="CC86" i="2" s="1"/>
  <c r="BY87" i="2" a="1"/>
  <c r="BY87" i="2" s="1"/>
  <c r="BU87" i="2" a="1"/>
  <c r="BU87" i="2" s="1"/>
  <c r="BV87" i="2" s="1" a="1"/>
  <c r="BV87" i="2" s="1"/>
  <c r="BW87" i="2" a="1"/>
  <c r="BW87" i="2" s="1"/>
  <c r="BX87" i="2" a="1"/>
  <c r="BX87" i="2" s="1"/>
  <c r="BZ87" i="2" a="1"/>
  <c r="BZ87" i="2" s="1"/>
  <c r="CC87" i="2" a="1"/>
  <c r="CC87" i="2" s="1"/>
  <c r="BY88" i="2" a="1"/>
  <c r="BY88" i="2" s="1"/>
  <c r="BU88" i="2" a="1"/>
  <c r="BU88" i="2" s="1"/>
  <c r="BV88" i="2" s="1" a="1"/>
  <c r="BV88" i="2" s="1"/>
  <c r="BW88" i="2" a="1"/>
  <c r="BW88" i="2" s="1"/>
  <c r="BX88" i="2" a="1"/>
  <c r="BX88" i="2" s="1"/>
  <c r="BZ88" i="2" a="1"/>
  <c r="BZ88" i="2" s="1"/>
  <c r="CC88" i="2" a="1"/>
  <c r="CC88" i="2" s="1"/>
  <c r="BY89" i="2" a="1"/>
  <c r="BY89" i="2" s="1"/>
  <c r="BU89" i="2" a="1"/>
  <c r="BU89" i="2" s="1"/>
  <c r="BV89" i="2" s="1" a="1"/>
  <c r="BV89" i="2" s="1"/>
  <c r="BW89" i="2" a="1"/>
  <c r="BW89" i="2" s="1"/>
  <c r="BX89" i="2" a="1"/>
  <c r="BX89" i="2" s="1"/>
  <c r="BZ89" i="2" a="1"/>
  <c r="BZ89" i="2" s="1"/>
  <c r="CC89" i="2" a="1"/>
  <c r="CC89" i="2" s="1"/>
  <c r="BY90" i="2" a="1"/>
  <c r="BY90" i="2" s="1"/>
  <c r="BU90" i="2" a="1"/>
  <c r="BU90" i="2" s="1"/>
  <c r="BV90" i="2" s="1" a="1"/>
  <c r="BV90" i="2" s="1"/>
  <c r="BW90" i="2" a="1"/>
  <c r="BW90" i="2" s="1"/>
  <c r="BX90" i="2" a="1"/>
  <c r="BX90" i="2" s="1"/>
  <c r="BZ90" i="2" a="1"/>
  <c r="BZ90" i="2" s="1"/>
  <c r="CC90" i="2" a="1"/>
  <c r="CC90" i="2" s="1"/>
  <c r="BY91" i="2" a="1"/>
  <c r="BY91" i="2" s="1"/>
  <c r="BU91" i="2" a="1"/>
  <c r="BU91" i="2" s="1"/>
  <c r="BV91" i="2" s="1" a="1"/>
  <c r="BV91" i="2" s="1"/>
  <c r="BW91" i="2" a="1"/>
  <c r="BW91" i="2" s="1"/>
  <c r="BX91" i="2" a="1"/>
  <c r="BX91" i="2" s="1"/>
  <c r="BZ91" i="2" a="1"/>
  <c r="BZ91" i="2" s="1"/>
  <c r="CC91" i="2" a="1"/>
  <c r="CC91" i="2" s="1"/>
  <c r="BY92" i="2" a="1"/>
  <c r="BY92" i="2" s="1"/>
  <c r="BU92" i="2" a="1"/>
  <c r="BU92" i="2" s="1"/>
  <c r="BV92" i="2" s="1" a="1"/>
  <c r="BV92" i="2" s="1"/>
  <c r="BW92" i="2" a="1"/>
  <c r="BW92" i="2" s="1"/>
  <c r="BX92" i="2" a="1"/>
  <c r="BX92" i="2" s="1"/>
  <c r="BZ92" i="2" a="1"/>
  <c r="BZ92" i="2" s="1"/>
  <c r="CC92" i="2" a="1"/>
  <c r="CC92" i="2" s="1"/>
  <c r="BY93" i="2" a="1"/>
  <c r="BY93" i="2" s="1"/>
  <c r="BU93" i="2" a="1"/>
  <c r="BU93" i="2" s="1"/>
  <c r="BV93" i="2" s="1" a="1"/>
  <c r="BV93" i="2" s="1"/>
  <c r="BW93" i="2" a="1"/>
  <c r="BW93" i="2" s="1"/>
  <c r="BX93" i="2" a="1"/>
  <c r="BX93" i="2" s="1"/>
  <c r="BZ93" i="2" a="1"/>
  <c r="BZ93" i="2" s="1"/>
  <c r="CC93" i="2" a="1"/>
  <c r="CC93" i="2" s="1"/>
  <c r="BY94" i="2" a="1"/>
  <c r="BY94" i="2" s="1"/>
  <c r="BU94" i="2" a="1"/>
  <c r="BU94" i="2" s="1"/>
  <c r="BV94" i="2" s="1" a="1"/>
  <c r="BV94" i="2" s="1"/>
  <c r="BW94" i="2" a="1"/>
  <c r="BW94" i="2" s="1"/>
  <c r="BX94" i="2" a="1"/>
  <c r="BX94" i="2" s="1"/>
  <c r="BZ94" i="2" a="1"/>
  <c r="BZ94" i="2" s="1"/>
  <c r="CC94" i="2" a="1"/>
  <c r="CC94" i="2" s="1"/>
  <c r="BY95" i="2" a="1"/>
  <c r="BY95" i="2" s="1"/>
  <c r="BU95" i="2" a="1"/>
  <c r="BU95" i="2" s="1"/>
  <c r="BV95" i="2" s="1" a="1"/>
  <c r="BV95" i="2" s="1"/>
  <c r="BW95" i="2" a="1"/>
  <c r="BW95" i="2" s="1"/>
  <c r="BX95" i="2" a="1"/>
  <c r="BX95" i="2" s="1"/>
  <c r="BZ95" i="2" a="1"/>
  <c r="BZ95" i="2" s="1"/>
  <c r="CC95" i="2" a="1"/>
  <c r="CC95" i="2" s="1"/>
  <c r="BY96" i="2" a="1"/>
  <c r="BY96" i="2" s="1"/>
  <c r="BU96" i="2" a="1"/>
  <c r="BU96" i="2" s="1"/>
  <c r="BV96" i="2" s="1" a="1"/>
  <c r="BV96" i="2" s="1"/>
  <c r="BW96" i="2" a="1"/>
  <c r="BW96" i="2" s="1"/>
  <c r="BX96" i="2" a="1"/>
  <c r="BX96" i="2" s="1"/>
  <c r="BZ96" i="2" a="1"/>
  <c r="BZ96" i="2" s="1"/>
  <c r="CC96" i="2" a="1"/>
  <c r="CC96" i="2" s="1"/>
  <c r="BY97" i="2" a="1"/>
  <c r="BY97" i="2" s="1"/>
  <c r="BU97" i="2" a="1"/>
  <c r="BU97" i="2" s="1"/>
  <c r="BV97" i="2" s="1" a="1"/>
  <c r="BV97" i="2" s="1"/>
  <c r="BW97" i="2" a="1"/>
  <c r="BW97" i="2" s="1"/>
  <c r="BX97" i="2" a="1"/>
  <c r="BX97" i="2" s="1"/>
  <c r="BZ97" i="2" a="1"/>
  <c r="BZ97" i="2" s="1"/>
  <c r="CC97" i="2" a="1"/>
  <c r="CC97" i="2" s="1"/>
  <c r="BY98" i="2" a="1"/>
  <c r="BY98" i="2" s="1"/>
  <c r="BU98" i="2" a="1"/>
  <c r="BU98" i="2" s="1"/>
  <c r="BV98" i="2" s="1" a="1"/>
  <c r="BV98" i="2" s="1"/>
  <c r="BW98" i="2" a="1"/>
  <c r="BW98" i="2" s="1"/>
  <c r="BX98" i="2" a="1"/>
  <c r="BX98" i="2" s="1"/>
  <c r="BZ98" i="2" a="1"/>
  <c r="BZ98" i="2" s="1"/>
  <c r="CC98" i="2" a="1"/>
  <c r="CC98" i="2" s="1"/>
  <c r="BY71" i="2" a="1"/>
  <c r="BY71" i="2" s="1"/>
  <c r="BU71" i="2" a="1"/>
  <c r="BU71" i="2" s="1"/>
  <c r="BV71" i="2" s="1" a="1"/>
  <c r="BV71" i="2" s="1"/>
  <c r="BW71" i="2" a="1"/>
  <c r="BW71" i="2" s="1"/>
  <c r="BX71" i="2" a="1"/>
  <c r="BX71" i="2" s="1"/>
  <c r="BZ71" i="2" a="1"/>
  <c r="BZ71" i="2" s="1"/>
  <c r="CC71" i="2" a="1"/>
  <c r="CC71" i="2" s="1"/>
  <c r="BY72" i="2" a="1"/>
  <c r="BY72" i="2" s="1"/>
  <c r="BU72" i="2" a="1"/>
  <c r="BU72" i="2" s="1"/>
  <c r="BV72" i="2" s="1" a="1"/>
  <c r="BV72" i="2" s="1"/>
  <c r="BW72" i="2" a="1"/>
  <c r="BW72" i="2" s="1"/>
  <c r="BX72" i="2" a="1"/>
  <c r="BX72" i="2" s="1"/>
  <c r="BZ72" i="2" a="1"/>
  <c r="BZ72" i="2" s="1"/>
  <c r="CC72" i="2" a="1"/>
  <c r="CC72" i="2" s="1"/>
  <c r="BY73" i="2" a="1"/>
  <c r="BY73" i="2" s="1"/>
  <c r="BU73" i="2" a="1"/>
  <c r="BU73" i="2" s="1"/>
  <c r="BV73" i="2" s="1" a="1"/>
  <c r="BV73" i="2" s="1"/>
  <c r="BW73" i="2" a="1"/>
  <c r="BW73" i="2" s="1"/>
  <c r="BX73" i="2" a="1"/>
  <c r="BX73" i="2" s="1"/>
  <c r="BZ73" i="2" a="1"/>
  <c r="BZ73" i="2" s="1"/>
  <c r="CC73" i="2" a="1"/>
  <c r="CC73" i="2" s="1"/>
  <c r="BY74" i="2" a="1"/>
  <c r="BY74" i="2" s="1"/>
  <c r="BU74" i="2" a="1"/>
  <c r="BU74" i="2" s="1"/>
  <c r="BV74" i="2" s="1" a="1"/>
  <c r="BV74" i="2" s="1"/>
  <c r="BW74" i="2" a="1"/>
  <c r="BW74" i="2" s="1"/>
  <c r="BX74" i="2" a="1"/>
  <c r="BX74" i="2" s="1"/>
  <c r="BZ74" i="2" a="1"/>
  <c r="BZ74" i="2" s="1"/>
  <c r="CC74" i="2" a="1"/>
  <c r="CC74" i="2" s="1"/>
  <c r="BY75" i="2" a="1"/>
  <c r="BY75" i="2" s="1"/>
  <c r="BU75" i="2" a="1"/>
  <c r="BU75" i="2" s="1"/>
  <c r="BV75" i="2" s="1" a="1"/>
  <c r="BV75" i="2" s="1"/>
  <c r="BW75" i="2" a="1"/>
  <c r="BW75" i="2" s="1"/>
  <c r="BX75" i="2" a="1"/>
  <c r="BX75" i="2" s="1"/>
  <c r="BZ75" i="2" a="1"/>
  <c r="BZ75" i="2" s="1"/>
  <c r="CC75" i="2" a="1"/>
  <c r="CC75" i="2" s="1"/>
  <c r="BY76" i="2" a="1"/>
  <c r="BY76" i="2" s="1"/>
  <c r="BU76" i="2" a="1"/>
  <c r="BU76" i="2" s="1"/>
  <c r="BV76" i="2" s="1" a="1"/>
  <c r="BV76" i="2" s="1"/>
  <c r="BW76" i="2" a="1"/>
  <c r="BW76" i="2" s="1"/>
  <c r="BX76" i="2" a="1"/>
  <c r="BX76" i="2" s="1"/>
  <c r="BZ76" i="2" a="1"/>
  <c r="BZ76" i="2" s="1"/>
  <c r="CC76" i="2" a="1"/>
  <c r="CC76" i="2" s="1"/>
  <c r="BY77" i="2" a="1"/>
  <c r="BY77" i="2" s="1"/>
  <c r="BU77" i="2" a="1"/>
  <c r="BU77" i="2" s="1"/>
  <c r="BV77" i="2" s="1" a="1"/>
  <c r="BV77" i="2" s="1"/>
  <c r="BW77" i="2" a="1"/>
  <c r="BW77" i="2" s="1"/>
  <c r="BX77" i="2" a="1"/>
  <c r="BX77" i="2" s="1"/>
  <c r="BZ77" i="2" a="1"/>
  <c r="BZ77" i="2" s="1"/>
  <c r="CC77" i="2" a="1"/>
  <c r="CC77" i="2" s="1"/>
  <c r="BY78" i="2" a="1"/>
  <c r="BY78" i="2" s="1"/>
  <c r="BU78" i="2" a="1"/>
  <c r="BU78" i="2" s="1"/>
  <c r="BV78" i="2" s="1" a="1"/>
  <c r="BV78" i="2" s="1"/>
  <c r="BW78" i="2" a="1"/>
  <c r="BW78" i="2" s="1"/>
  <c r="BX78" i="2" a="1"/>
  <c r="BX78" i="2" s="1"/>
  <c r="BZ78" i="2" a="1"/>
  <c r="BZ78" i="2" s="1"/>
  <c r="CC78" i="2" a="1"/>
  <c r="CC78" i="2" s="1"/>
  <c r="BY79" i="2" a="1"/>
  <c r="BY79" i="2" s="1"/>
  <c r="BU79" i="2" a="1"/>
  <c r="BU79" i="2" s="1"/>
  <c r="BV79" i="2" s="1" a="1"/>
  <c r="BV79" i="2" s="1"/>
  <c r="BW79" i="2" a="1"/>
  <c r="BW79" i="2" s="1"/>
  <c r="BX79" i="2" a="1"/>
  <c r="BX79" i="2" s="1"/>
  <c r="BZ79" i="2" a="1"/>
  <c r="BZ79" i="2" s="1"/>
  <c r="CC79" i="2" a="1"/>
  <c r="CC79" i="2" s="1"/>
  <c r="BY80" i="2" a="1"/>
  <c r="BY80" i="2" s="1"/>
  <c r="BU80" i="2" a="1"/>
  <c r="BU80" i="2" s="1"/>
  <c r="BV80" i="2" s="1" a="1"/>
  <c r="BV80" i="2" s="1"/>
  <c r="BW80" i="2" a="1"/>
  <c r="BW80" i="2" s="1"/>
  <c r="BX80" i="2" a="1"/>
  <c r="BX80" i="2" s="1"/>
  <c r="BZ80" i="2" a="1"/>
  <c r="BZ80" i="2" s="1"/>
  <c r="CC80" i="2" a="1"/>
  <c r="CC80" i="2" s="1"/>
  <c r="BY81" i="2" a="1"/>
  <c r="BY81" i="2" s="1"/>
  <c r="BU81" i="2" a="1"/>
  <c r="BU81" i="2" s="1"/>
  <c r="BV81" i="2" s="1" a="1"/>
  <c r="BV81" i="2" s="1"/>
  <c r="BW81" i="2" a="1"/>
  <c r="BW81" i="2" s="1"/>
  <c r="BX81" i="2" a="1"/>
  <c r="BX81" i="2" s="1"/>
  <c r="BZ81" i="2" a="1"/>
  <c r="BZ81" i="2" s="1"/>
  <c r="CC81" i="2" a="1"/>
  <c r="CC81" i="2" s="1"/>
  <c r="BY82" i="2" a="1"/>
  <c r="BY82" i="2" s="1"/>
  <c r="BU82" i="2" a="1"/>
  <c r="BU82" i="2" s="1"/>
  <c r="BV82" i="2" s="1" a="1"/>
  <c r="BV82" i="2" s="1"/>
  <c r="BW82" i="2" a="1"/>
  <c r="BW82" i="2" s="1"/>
  <c r="BX82" i="2" a="1"/>
  <c r="BX82" i="2" s="1"/>
  <c r="BZ82" i="2" a="1"/>
  <c r="BZ82" i="2" s="1"/>
  <c r="CC82" i="2" a="1"/>
  <c r="CC82" i="2" s="1"/>
  <c r="BY83" i="2" a="1"/>
  <c r="BY83" i="2" s="1"/>
  <c r="BU83" i="2" a="1"/>
  <c r="BU83" i="2" s="1"/>
  <c r="BV83" i="2" s="1" a="1"/>
  <c r="BV83" i="2" s="1"/>
  <c r="BW83" i="2" a="1"/>
  <c r="BW83" i="2" s="1"/>
  <c r="BX83" i="2" a="1"/>
  <c r="BX83" i="2" s="1"/>
  <c r="BZ83" i="2" a="1"/>
  <c r="BZ83" i="2" s="1"/>
  <c r="CC83" i="2" a="1"/>
  <c r="CC83" i="2" s="1"/>
  <c r="BY84" i="2" a="1"/>
  <c r="BY84" i="2" s="1"/>
  <c r="BU84" i="2" a="1"/>
  <c r="BU84" i="2" s="1"/>
  <c r="BV84" i="2" s="1" a="1"/>
  <c r="BV84" i="2" s="1"/>
  <c r="BW84" i="2" a="1"/>
  <c r="BW84" i="2" s="1"/>
  <c r="BX84" i="2" a="1"/>
  <c r="BX84" i="2" s="1"/>
  <c r="BZ84" i="2" a="1"/>
  <c r="BZ84" i="2" s="1"/>
  <c r="CC84" i="2" a="1"/>
  <c r="CC84" i="2" s="1"/>
  <c r="BY57" i="2" a="1"/>
  <c r="BY57" i="2" s="1"/>
  <c r="BU57" i="2" a="1"/>
  <c r="BU57" i="2" s="1"/>
  <c r="BV57" i="2" s="1" a="1"/>
  <c r="BV57" i="2" s="1"/>
  <c r="BW57" i="2" a="1"/>
  <c r="BW57" i="2" s="1"/>
  <c r="BX57" i="2" a="1"/>
  <c r="BX57" i="2" s="1"/>
  <c r="BZ57" i="2" a="1"/>
  <c r="BZ57" i="2" s="1"/>
  <c r="CC57" i="2" a="1"/>
  <c r="CC57" i="2" s="1"/>
  <c r="BY58" i="2" a="1"/>
  <c r="BY58" i="2" s="1"/>
  <c r="BU58" i="2" a="1"/>
  <c r="BU58" i="2" s="1"/>
  <c r="BV58" i="2" s="1" a="1"/>
  <c r="BV58" i="2" s="1"/>
  <c r="BW58" i="2" a="1"/>
  <c r="BW58" i="2" s="1"/>
  <c r="BX58" i="2" a="1"/>
  <c r="BX58" i="2" s="1"/>
  <c r="BZ58" i="2" a="1"/>
  <c r="BZ58" i="2" s="1"/>
  <c r="CC58" i="2" a="1"/>
  <c r="CC58" i="2" s="1"/>
  <c r="BY59" i="2" a="1"/>
  <c r="BY59" i="2" s="1"/>
  <c r="BU59" i="2" a="1"/>
  <c r="BU59" i="2" s="1"/>
  <c r="BV59" i="2" s="1" a="1"/>
  <c r="BV59" i="2" s="1"/>
  <c r="BW59" i="2" a="1"/>
  <c r="BW59" i="2" s="1"/>
  <c r="BX59" i="2" a="1"/>
  <c r="BX59" i="2" s="1"/>
  <c r="BZ59" i="2" a="1"/>
  <c r="BZ59" i="2" s="1"/>
  <c r="CC59" i="2" a="1"/>
  <c r="CC59" i="2" s="1"/>
  <c r="BY60" i="2" a="1"/>
  <c r="BY60" i="2" s="1"/>
  <c r="BU60" i="2" a="1"/>
  <c r="BU60" i="2" s="1"/>
  <c r="BV60" i="2" s="1" a="1"/>
  <c r="BV60" i="2" s="1"/>
  <c r="BW60" i="2" a="1"/>
  <c r="BW60" i="2" s="1"/>
  <c r="BX60" i="2" a="1"/>
  <c r="BX60" i="2" s="1"/>
  <c r="BZ60" i="2" a="1"/>
  <c r="BZ60" i="2" s="1"/>
  <c r="CC60" i="2" a="1"/>
  <c r="CC60" i="2" s="1"/>
  <c r="BY61" i="2" a="1"/>
  <c r="BY61" i="2" s="1"/>
  <c r="BU61" i="2" a="1"/>
  <c r="BU61" i="2" s="1"/>
  <c r="BV61" i="2" s="1" a="1"/>
  <c r="BV61" i="2" s="1"/>
  <c r="BW61" i="2" a="1"/>
  <c r="BW61" i="2" s="1"/>
  <c r="BX61" i="2" a="1"/>
  <c r="BX61" i="2" s="1"/>
  <c r="BZ61" i="2" a="1"/>
  <c r="BZ61" i="2" s="1"/>
  <c r="CC61" i="2" a="1"/>
  <c r="CC61" i="2" s="1"/>
  <c r="BY62" i="2" a="1"/>
  <c r="BY62" i="2" s="1"/>
  <c r="BU62" i="2" a="1"/>
  <c r="BU62" i="2" s="1"/>
  <c r="BV62" i="2" s="1" a="1"/>
  <c r="BV62" i="2" s="1"/>
  <c r="BW62" i="2" a="1"/>
  <c r="BW62" i="2" s="1"/>
  <c r="BX62" i="2" a="1"/>
  <c r="BX62" i="2" s="1"/>
  <c r="BZ62" i="2" a="1"/>
  <c r="BZ62" i="2" s="1"/>
  <c r="CC62" i="2" a="1"/>
  <c r="CC62" i="2" s="1"/>
  <c r="BY63" i="2" a="1"/>
  <c r="BY63" i="2" s="1"/>
  <c r="BU63" i="2" a="1"/>
  <c r="BU63" i="2" s="1"/>
  <c r="BV63" i="2" s="1" a="1"/>
  <c r="BV63" i="2" s="1"/>
  <c r="BW63" i="2" a="1"/>
  <c r="BW63" i="2" s="1"/>
  <c r="BX63" i="2" a="1"/>
  <c r="BX63" i="2" s="1"/>
  <c r="BZ63" i="2" a="1"/>
  <c r="BZ63" i="2" s="1"/>
  <c r="CC63" i="2" a="1"/>
  <c r="CC63" i="2" s="1"/>
  <c r="BY64" i="2" a="1"/>
  <c r="BY64" i="2" s="1"/>
  <c r="BU64" i="2" a="1"/>
  <c r="BU64" i="2" s="1"/>
  <c r="BV64" i="2" s="1" a="1"/>
  <c r="BV64" i="2" s="1"/>
  <c r="BW64" i="2" a="1"/>
  <c r="BW64" i="2" s="1"/>
  <c r="BX64" i="2" a="1"/>
  <c r="BX64" i="2" s="1"/>
  <c r="BZ64" i="2" a="1"/>
  <c r="BZ64" i="2" s="1"/>
  <c r="CC64" i="2" a="1"/>
  <c r="CC64" i="2" s="1"/>
  <c r="BY65" i="2" a="1"/>
  <c r="BY65" i="2" s="1"/>
  <c r="BU65" i="2" a="1"/>
  <c r="BU65" i="2" s="1"/>
  <c r="BV65" i="2" s="1" a="1"/>
  <c r="BV65" i="2" s="1"/>
  <c r="BW65" i="2" a="1"/>
  <c r="BW65" i="2" s="1"/>
  <c r="BX65" i="2" a="1"/>
  <c r="BX65" i="2" s="1"/>
  <c r="BZ65" i="2" a="1"/>
  <c r="BZ65" i="2" s="1"/>
  <c r="CC65" i="2" a="1"/>
  <c r="CC65" i="2" s="1"/>
  <c r="BY66" i="2" a="1"/>
  <c r="BY66" i="2" s="1"/>
  <c r="BU66" i="2" a="1"/>
  <c r="BU66" i="2" s="1"/>
  <c r="BV66" i="2" s="1" a="1"/>
  <c r="BV66" i="2" s="1"/>
  <c r="BW66" i="2" a="1"/>
  <c r="BW66" i="2" s="1"/>
  <c r="BX66" i="2" a="1"/>
  <c r="BX66" i="2" s="1"/>
  <c r="BZ66" i="2" a="1"/>
  <c r="BZ66" i="2" s="1"/>
  <c r="CC66" i="2" a="1"/>
  <c r="CC66" i="2" s="1"/>
  <c r="BY67" i="2" a="1"/>
  <c r="BY67" i="2" s="1"/>
  <c r="BU67" i="2" a="1"/>
  <c r="BU67" i="2" s="1"/>
  <c r="BV67" i="2" s="1" a="1"/>
  <c r="BV67" i="2" s="1"/>
  <c r="BW67" i="2" a="1"/>
  <c r="BW67" i="2" s="1"/>
  <c r="BX67" i="2" a="1"/>
  <c r="BX67" i="2" s="1"/>
  <c r="BZ67" i="2" a="1"/>
  <c r="BZ67" i="2" s="1"/>
  <c r="CC67" i="2" a="1"/>
  <c r="CC67" i="2" s="1"/>
  <c r="BY68" i="2" a="1"/>
  <c r="BY68" i="2" s="1"/>
  <c r="BU68" i="2" a="1"/>
  <c r="BU68" i="2" s="1"/>
  <c r="BV68" i="2" s="1" a="1"/>
  <c r="BV68" i="2" s="1"/>
  <c r="BW68" i="2" a="1"/>
  <c r="BW68" i="2" s="1"/>
  <c r="BX68" i="2" a="1"/>
  <c r="BX68" i="2" s="1"/>
  <c r="BZ68" i="2" a="1"/>
  <c r="BZ68" i="2" s="1"/>
  <c r="CC68" i="2" a="1"/>
  <c r="CC68" i="2" s="1"/>
  <c r="BY69" i="2" a="1"/>
  <c r="BY69" i="2" s="1"/>
  <c r="BU69" i="2" a="1"/>
  <c r="BU69" i="2" s="1"/>
  <c r="BV69" i="2" s="1" a="1"/>
  <c r="BV69" i="2" s="1"/>
  <c r="BW69" i="2" a="1"/>
  <c r="BW69" i="2" s="1"/>
  <c r="BX69" i="2" a="1"/>
  <c r="BX69" i="2" s="1"/>
  <c r="BZ69" i="2" a="1"/>
  <c r="BZ69" i="2" s="1"/>
  <c r="CC69" i="2" a="1"/>
  <c r="CC69" i="2" s="1"/>
  <c r="BY70" i="2" a="1"/>
  <c r="BY70" i="2" s="1"/>
  <c r="BU70" i="2" a="1"/>
  <c r="BU70" i="2" s="1"/>
  <c r="BV70" i="2" s="1" a="1"/>
  <c r="BV70" i="2" s="1"/>
  <c r="BW70" i="2" a="1"/>
  <c r="BW70" i="2" s="1"/>
  <c r="BX70" i="2" a="1"/>
  <c r="BX70" i="2" s="1"/>
  <c r="BZ70" i="2" a="1"/>
  <c r="BZ70" i="2" s="1"/>
  <c r="CC70" i="2" a="1"/>
  <c r="CC70" i="2" s="1"/>
  <c r="BY43" i="2" a="1"/>
  <c r="BY43" i="2" s="1"/>
  <c r="BU43" i="2" a="1"/>
  <c r="BU43" i="2" s="1"/>
  <c r="BV43" i="2" s="1" a="1"/>
  <c r="BV43" i="2" s="1"/>
  <c r="BW43" i="2" a="1"/>
  <c r="BW43" i="2" s="1"/>
  <c r="BX43" i="2" a="1"/>
  <c r="BX43" i="2" s="1"/>
  <c r="BZ43" i="2" a="1"/>
  <c r="BZ43" i="2" s="1"/>
  <c r="CC43" i="2" a="1"/>
  <c r="CC43" i="2" s="1"/>
  <c r="BY44" i="2" a="1"/>
  <c r="BY44" i="2" s="1"/>
  <c r="BU44" i="2" a="1"/>
  <c r="BU44" i="2" s="1"/>
  <c r="BV44" i="2" s="1" a="1"/>
  <c r="BV44" i="2" s="1"/>
  <c r="BW44" i="2" a="1"/>
  <c r="BW44" i="2" s="1"/>
  <c r="BX44" i="2" a="1"/>
  <c r="BX44" i="2" s="1"/>
  <c r="BZ44" i="2" a="1"/>
  <c r="BZ44" i="2" s="1"/>
  <c r="CC44" i="2" a="1"/>
  <c r="CC44" i="2" s="1"/>
  <c r="BY45" i="2" a="1"/>
  <c r="BY45" i="2" s="1"/>
  <c r="BW45" i="2" a="1"/>
  <c r="BW45" i="2" s="1"/>
  <c r="BX45" i="2" a="1"/>
  <c r="BX45" i="2" s="1"/>
  <c r="BZ45" i="2" a="1"/>
  <c r="BZ45" i="2" s="1"/>
  <c r="CC45" i="2" a="1"/>
  <c r="CC45" i="2" s="1"/>
  <c r="BY46" i="2" a="1"/>
  <c r="BY46" i="2" s="1"/>
  <c r="BW46" i="2" a="1"/>
  <c r="BW46" i="2" s="1"/>
  <c r="BX46" i="2" a="1"/>
  <c r="BX46" i="2" s="1"/>
  <c r="BZ46" i="2" a="1"/>
  <c r="BZ46" i="2" s="1"/>
  <c r="CC46" i="2" a="1"/>
  <c r="CC46" i="2" s="1"/>
  <c r="BY47" i="2" a="1"/>
  <c r="BY47" i="2" s="1"/>
  <c r="BW47" i="2" a="1"/>
  <c r="BW47" i="2" s="1"/>
  <c r="BX47" i="2" a="1"/>
  <c r="BX47" i="2" s="1"/>
  <c r="BZ47" i="2" a="1"/>
  <c r="BZ47" i="2" s="1"/>
  <c r="CC47" i="2" a="1"/>
  <c r="CC47" i="2" s="1"/>
  <c r="BY48" i="2" a="1"/>
  <c r="BY48" i="2" s="1"/>
  <c r="BW48" i="2" a="1"/>
  <c r="BW48" i="2" s="1"/>
  <c r="BX48" i="2" a="1"/>
  <c r="BX48" i="2" s="1"/>
  <c r="BZ48" i="2" a="1"/>
  <c r="BZ48" i="2" s="1"/>
  <c r="CC48" i="2" a="1"/>
  <c r="CC48" i="2" s="1"/>
  <c r="BY49" i="2" a="1"/>
  <c r="BY49" i="2" s="1"/>
  <c r="BU49" i="2" a="1"/>
  <c r="BU49" i="2" s="1"/>
  <c r="BV49" i="2" s="1" a="1"/>
  <c r="BV49" i="2" s="1"/>
  <c r="BW49" i="2" a="1"/>
  <c r="BW49" i="2" s="1"/>
  <c r="BX49" i="2" a="1"/>
  <c r="BX49" i="2" s="1"/>
  <c r="BZ49" i="2" a="1"/>
  <c r="BZ49" i="2" s="1"/>
  <c r="CC49" i="2" a="1"/>
  <c r="CC49" i="2" s="1"/>
  <c r="BY50" i="2" a="1"/>
  <c r="BY50" i="2" s="1"/>
  <c r="BU50" i="2" a="1"/>
  <c r="BU50" i="2" s="1"/>
  <c r="BV50" i="2" s="1" a="1"/>
  <c r="BV50" i="2" s="1"/>
  <c r="BW50" i="2" a="1"/>
  <c r="BW50" i="2" s="1"/>
  <c r="BX50" i="2" a="1"/>
  <c r="BX50" i="2" s="1"/>
  <c r="BZ50" i="2" a="1"/>
  <c r="BZ50" i="2" s="1"/>
  <c r="CC50" i="2" a="1"/>
  <c r="CC50" i="2" s="1"/>
  <c r="CC51" i="2" a="1"/>
  <c r="CC51" i="2" s="1"/>
  <c r="BW51" i="2" a="1"/>
  <c r="BW51" i="2" s="1"/>
  <c r="BX51" i="2" a="1"/>
  <c r="BX51" i="2" s="1"/>
  <c r="BY51" i="2" a="1"/>
  <c r="BY51" i="2" s="1"/>
  <c r="BZ51" i="2" a="1"/>
  <c r="BZ51" i="2" s="1"/>
  <c r="BY52" i="2" a="1"/>
  <c r="BY52" i="2" s="1"/>
  <c r="BU52" i="2" a="1"/>
  <c r="BU52" i="2" s="1"/>
  <c r="BV52" i="2" s="1" a="1"/>
  <c r="BV52" i="2" s="1"/>
  <c r="BW52" i="2" a="1"/>
  <c r="BW52" i="2" s="1"/>
  <c r="BX52" i="2" a="1"/>
  <c r="BX52" i="2" s="1"/>
  <c r="BZ52" i="2" a="1"/>
  <c r="BZ52" i="2" s="1"/>
  <c r="CC52" i="2" a="1"/>
  <c r="CC52" i="2" s="1"/>
  <c r="BY53" i="2" a="1"/>
  <c r="BY53" i="2" s="1"/>
  <c r="BU53" i="2" a="1"/>
  <c r="BU53" i="2" s="1"/>
  <c r="BV53" i="2" s="1" a="1"/>
  <c r="BV53" i="2" s="1"/>
  <c r="BW53" i="2" a="1"/>
  <c r="BW53" i="2" s="1"/>
  <c r="BX53" i="2" a="1"/>
  <c r="BX53" i="2" s="1"/>
  <c r="BZ53" i="2" a="1"/>
  <c r="BZ53" i="2" s="1"/>
  <c r="CC53" i="2" a="1"/>
  <c r="CC53" i="2" s="1"/>
  <c r="BY54" i="2" a="1"/>
  <c r="BY54" i="2" s="1"/>
  <c r="BU54" i="2" a="1"/>
  <c r="BU54" i="2" s="1"/>
  <c r="BV54" i="2" s="1" a="1"/>
  <c r="BV54" i="2" s="1"/>
  <c r="BW54" i="2" a="1"/>
  <c r="BW54" i="2" s="1"/>
  <c r="BX54" i="2" a="1"/>
  <c r="BX54" i="2" s="1"/>
  <c r="BZ54" i="2" a="1"/>
  <c r="BZ54" i="2" s="1"/>
  <c r="CC54" i="2" a="1"/>
  <c r="CC54" i="2" s="1"/>
  <c r="BY55" i="2" a="1"/>
  <c r="BY55" i="2" s="1"/>
  <c r="BU55" i="2" a="1"/>
  <c r="BU55" i="2" s="1"/>
  <c r="BV55" i="2" s="1" a="1"/>
  <c r="BV55" i="2" s="1"/>
  <c r="BW55" i="2" a="1"/>
  <c r="BW55" i="2" s="1"/>
  <c r="BX55" i="2" a="1"/>
  <c r="BX55" i="2" s="1"/>
  <c r="BZ55" i="2" a="1"/>
  <c r="BZ55" i="2" s="1"/>
  <c r="CC55" i="2" a="1"/>
  <c r="CC55" i="2" s="1"/>
  <c r="BY56" i="2" a="1"/>
  <c r="BY56" i="2" s="1"/>
  <c r="BU56" i="2" a="1"/>
  <c r="BU56" i="2" s="1"/>
  <c r="BV56" i="2" s="1" a="1"/>
  <c r="BV56" i="2" s="1"/>
  <c r="BW56" i="2" a="1"/>
  <c r="BW56" i="2" s="1"/>
  <c r="BX56" i="2" a="1"/>
  <c r="BX56" i="2" s="1"/>
  <c r="BZ56" i="2" a="1"/>
  <c r="BZ56" i="2" s="1"/>
  <c r="CC56" i="2" a="1"/>
  <c r="CC56" i="2" s="1"/>
  <c r="BY29" i="2" a="1"/>
  <c r="BY29" i="2" s="1"/>
  <c r="BU29" i="2" a="1"/>
  <c r="BU29" i="2" s="1"/>
  <c r="BV29" i="2" s="1" a="1"/>
  <c r="BV29" i="2" s="1"/>
  <c r="BW29" i="2" a="1"/>
  <c r="BW29" i="2" s="1"/>
  <c r="BX29" i="2" a="1"/>
  <c r="BX29" i="2" s="1"/>
  <c r="BZ29" i="2" a="1"/>
  <c r="BZ29" i="2" s="1"/>
  <c r="CC29" i="2" a="1"/>
  <c r="CC29" i="2" s="1"/>
  <c r="BY30" i="2" a="1"/>
  <c r="BY30" i="2" s="1"/>
  <c r="BU30" i="2" a="1"/>
  <c r="BU30" i="2" s="1"/>
  <c r="BV30" i="2" s="1" a="1"/>
  <c r="BV30" i="2" s="1"/>
  <c r="BW30" i="2" a="1"/>
  <c r="BW30" i="2" s="1"/>
  <c r="BX30" i="2" a="1"/>
  <c r="BX30" i="2" s="1"/>
  <c r="BZ30" i="2" a="1"/>
  <c r="BZ30" i="2" s="1"/>
  <c r="CC30" i="2" a="1"/>
  <c r="CC30" i="2" s="1"/>
  <c r="BY31" i="2" a="1"/>
  <c r="BY31" i="2" s="1"/>
  <c r="BU31" i="2" a="1"/>
  <c r="BU31" i="2" s="1"/>
  <c r="BV31" i="2" s="1" a="1"/>
  <c r="BV31" i="2" s="1"/>
  <c r="BW31" i="2" a="1"/>
  <c r="BW31" i="2" s="1"/>
  <c r="BX31" i="2" a="1"/>
  <c r="BX31" i="2" s="1"/>
  <c r="BZ31" i="2" a="1"/>
  <c r="BZ31" i="2" s="1"/>
  <c r="CC31" i="2" a="1"/>
  <c r="CC31" i="2" s="1"/>
  <c r="BY32" i="2" a="1"/>
  <c r="BY32" i="2" s="1"/>
  <c r="BU32" i="2" a="1"/>
  <c r="BU32" i="2" s="1"/>
  <c r="BV32" i="2" s="1" a="1"/>
  <c r="BV32" i="2" s="1"/>
  <c r="BW32" i="2" a="1"/>
  <c r="BW32" i="2" s="1"/>
  <c r="BX32" i="2" a="1"/>
  <c r="BX32" i="2" s="1"/>
  <c r="BZ32" i="2" a="1"/>
  <c r="BZ32" i="2" s="1"/>
  <c r="CC32" i="2" a="1"/>
  <c r="CC32" i="2" s="1"/>
  <c r="BY33" i="2" a="1"/>
  <c r="BY33" i="2" s="1"/>
  <c r="BU33" i="2" a="1"/>
  <c r="BU33" i="2" s="1"/>
  <c r="BV33" i="2" s="1" a="1"/>
  <c r="BV33" i="2" s="1"/>
  <c r="BW33" i="2" a="1"/>
  <c r="BW33" i="2" s="1"/>
  <c r="BX33" i="2" a="1"/>
  <c r="BX33" i="2" s="1"/>
  <c r="BZ33" i="2" a="1"/>
  <c r="BZ33" i="2" s="1"/>
  <c r="CC33" i="2" a="1"/>
  <c r="CC33" i="2" s="1"/>
  <c r="BY34" i="2" a="1"/>
  <c r="BY34" i="2" s="1"/>
  <c r="BU34" i="2" a="1"/>
  <c r="BU34" i="2" s="1"/>
  <c r="BV34" i="2" s="1" a="1"/>
  <c r="BV34" i="2" s="1"/>
  <c r="BW34" i="2" a="1"/>
  <c r="BW34" i="2" s="1"/>
  <c r="BX34" i="2" a="1"/>
  <c r="BX34" i="2" s="1"/>
  <c r="BZ34" i="2" a="1"/>
  <c r="BZ34" i="2" s="1"/>
  <c r="CC34" i="2" a="1"/>
  <c r="CC34" i="2" s="1"/>
  <c r="BY35" i="2" a="1"/>
  <c r="BY35" i="2" s="1"/>
  <c r="BU35" i="2" a="1"/>
  <c r="BU35" i="2" s="1"/>
  <c r="BV35" i="2" s="1" a="1"/>
  <c r="BV35" i="2" s="1"/>
  <c r="BW35" i="2" a="1"/>
  <c r="BW35" i="2" s="1"/>
  <c r="BX35" i="2" a="1"/>
  <c r="BX35" i="2" s="1"/>
  <c r="BZ35" i="2" a="1"/>
  <c r="BZ35" i="2" s="1"/>
  <c r="CC35" i="2" a="1"/>
  <c r="CC35" i="2" s="1"/>
  <c r="BY36" i="2" a="1"/>
  <c r="BY36" i="2" s="1"/>
  <c r="BU36" i="2" a="1"/>
  <c r="BU36" i="2" s="1"/>
  <c r="BV36" i="2" s="1" a="1"/>
  <c r="BV36" i="2" s="1"/>
  <c r="BW36" i="2" a="1"/>
  <c r="BW36" i="2" s="1"/>
  <c r="BX36" i="2" a="1"/>
  <c r="BX36" i="2" s="1"/>
  <c r="BZ36" i="2" a="1"/>
  <c r="BZ36" i="2" s="1"/>
  <c r="CC36" i="2" a="1"/>
  <c r="CC36" i="2" s="1"/>
  <c r="BY37" i="2" a="1"/>
  <c r="BY37" i="2" s="1"/>
  <c r="BU37" i="2" a="1"/>
  <c r="BU37" i="2" s="1"/>
  <c r="BV37" i="2" s="1" a="1"/>
  <c r="BV37" i="2" s="1"/>
  <c r="BW37" i="2" a="1"/>
  <c r="BW37" i="2" s="1"/>
  <c r="BX37" i="2" a="1"/>
  <c r="BX37" i="2" s="1"/>
  <c r="BZ37" i="2" a="1"/>
  <c r="BZ37" i="2" s="1"/>
  <c r="CC37" i="2" a="1"/>
  <c r="CC37" i="2" s="1"/>
  <c r="BY38" i="2" a="1"/>
  <c r="BY38" i="2" s="1"/>
  <c r="BU38" i="2" a="1"/>
  <c r="BU38" i="2" s="1"/>
  <c r="BV38" i="2" s="1" a="1"/>
  <c r="BV38" i="2" s="1"/>
  <c r="BW38" i="2" a="1"/>
  <c r="BW38" i="2" s="1"/>
  <c r="BX38" i="2" a="1"/>
  <c r="BX38" i="2" s="1"/>
  <c r="BZ38" i="2" a="1"/>
  <c r="BZ38" i="2" s="1"/>
  <c r="CC38" i="2" a="1"/>
  <c r="CC38" i="2" s="1"/>
  <c r="BY39" i="2" a="1"/>
  <c r="BY39" i="2" s="1"/>
  <c r="BU39" i="2" a="1"/>
  <c r="BU39" i="2" s="1"/>
  <c r="BV39" i="2" s="1" a="1"/>
  <c r="BV39" i="2" s="1"/>
  <c r="BW39" i="2" a="1"/>
  <c r="BW39" i="2" s="1"/>
  <c r="BX39" i="2" a="1"/>
  <c r="BX39" i="2" s="1"/>
  <c r="BZ39" i="2" a="1"/>
  <c r="BZ39" i="2" s="1"/>
  <c r="CC39" i="2" a="1"/>
  <c r="CC39" i="2" s="1"/>
  <c r="BY40" i="2" a="1"/>
  <c r="BY40" i="2" s="1"/>
  <c r="BU40" i="2" a="1"/>
  <c r="BU40" i="2" s="1"/>
  <c r="BV40" i="2" s="1" a="1"/>
  <c r="BV40" i="2" s="1"/>
  <c r="BW40" i="2" a="1"/>
  <c r="BW40" i="2" s="1"/>
  <c r="BX40" i="2" a="1"/>
  <c r="BX40" i="2" s="1"/>
  <c r="BZ40" i="2" a="1"/>
  <c r="BZ40" i="2" s="1"/>
  <c r="CC40" i="2" a="1"/>
  <c r="CC40" i="2" s="1"/>
  <c r="BY41" i="2" a="1"/>
  <c r="BY41" i="2" s="1"/>
  <c r="BU41" i="2" a="1"/>
  <c r="BU41" i="2" s="1"/>
  <c r="BV41" i="2" s="1" a="1"/>
  <c r="BV41" i="2" s="1"/>
  <c r="BW41" i="2" a="1"/>
  <c r="BW41" i="2" s="1"/>
  <c r="BX41" i="2" a="1"/>
  <c r="BX41" i="2" s="1"/>
  <c r="BZ41" i="2" a="1"/>
  <c r="BZ41" i="2" s="1"/>
  <c r="CC41" i="2" a="1"/>
  <c r="CC41" i="2" s="1"/>
  <c r="BY42" i="2" a="1"/>
  <c r="BY42" i="2" s="1"/>
  <c r="BU42" i="2" a="1"/>
  <c r="BU42" i="2" s="1"/>
  <c r="BV42" i="2" s="1" a="1"/>
  <c r="BV42" i="2" s="1"/>
  <c r="BW42" i="2" a="1"/>
  <c r="BW42" i="2" s="1"/>
  <c r="BX42" i="2" a="1"/>
  <c r="BX42" i="2" s="1"/>
  <c r="BZ42" i="2" a="1"/>
  <c r="BZ42" i="2" s="1"/>
  <c r="CC42" i="2" a="1"/>
  <c r="CC42" i="2" s="1"/>
  <c r="BY15" i="2" a="1"/>
  <c r="BY15" i="2" s="1"/>
  <c r="BU15" i="2" a="1"/>
  <c r="BU15" i="2" s="1"/>
  <c r="BV15" i="2" s="1" a="1"/>
  <c r="BV15" i="2" s="1"/>
  <c r="BW15" i="2" a="1"/>
  <c r="BW15" i="2" s="1"/>
  <c r="BX15" i="2" a="1"/>
  <c r="BX15" i="2" s="1"/>
  <c r="BZ15" i="2" a="1"/>
  <c r="BZ15" i="2" s="1"/>
  <c r="CC15" i="2" a="1"/>
  <c r="CC15" i="2" s="1"/>
  <c r="CR15" i="2"/>
  <c r="CT15" i="2"/>
  <c r="CU15" i="2"/>
  <c r="CW15" i="2" a="1"/>
  <c r="CW15" i="2" s="1"/>
  <c r="CX15" i="2" a="1"/>
  <c r="CX15" i="2" s="1"/>
  <c r="CY15" i="2" a="1"/>
  <c r="CY15" i="2" s="1"/>
  <c r="BY16" i="2" a="1"/>
  <c r="BY16" i="2" s="1"/>
  <c r="BU16" i="2" a="1"/>
  <c r="BU16" i="2" s="1"/>
  <c r="BV16" i="2" s="1" a="1"/>
  <c r="BV16" i="2" s="1"/>
  <c r="BW16" i="2" a="1"/>
  <c r="BW16" i="2" s="1"/>
  <c r="BX16" i="2" a="1"/>
  <c r="BX16" i="2" s="1"/>
  <c r="BZ16" i="2" a="1"/>
  <c r="BZ16" i="2" s="1"/>
  <c r="CC16" i="2" a="1"/>
  <c r="CC16" i="2" s="1"/>
  <c r="CR16" i="2"/>
  <c r="CT16" i="2"/>
  <c r="CU16" i="2"/>
  <c r="CW16" i="2" a="1"/>
  <c r="CW16" i="2" s="1"/>
  <c r="CX16" i="2" a="1"/>
  <c r="CX16" i="2" s="1"/>
  <c r="CY16" i="2" a="1"/>
  <c r="CY16" i="2" s="1"/>
  <c r="BY17" i="2" a="1"/>
  <c r="BY17" i="2" s="1"/>
  <c r="BU17" i="2" a="1"/>
  <c r="BU17" i="2" s="1"/>
  <c r="BV17" i="2" s="1" a="1"/>
  <c r="BV17" i="2" s="1"/>
  <c r="BW17" i="2" a="1"/>
  <c r="BW17" i="2" s="1"/>
  <c r="BX17" i="2" a="1"/>
  <c r="BX17" i="2" s="1"/>
  <c r="BZ17" i="2" a="1"/>
  <c r="BZ17" i="2" s="1"/>
  <c r="CC17" i="2" a="1"/>
  <c r="CC17" i="2" s="1"/>
  <c r="CR17" i="2"/>
  <c r="CT17" i="2"/>
  <c r="CU17" i="2"/>
  <c r="CW17" i="2" a="1"/>
  <c r="CW17" i="2" s="1"/>
  <c r="CX17" i="2" a="1"/>
  <c r="CX17" i="2" s="1"/>
  <c r="CY17" i="2" a="1"/>
  <c r="CY17" i="2" s="1"/>
  <c r="BY18" i="2" a="1"/>
  <c r="BY18" i="2" s="1"/>
  <c r="BU18" i="2" a="1"/>
  <c r="BU18" i="2" s="1"/>
  <c r="BV18" i="2" s="1" a="1"/>
  <c r="BV18" i="2" s="1"/>
  <c r="BW18" i="2" a="1"/>
  <c r="BW18" i="2" s="1"/>
  <c r="BX18" i="2" a="1"/>
  <c r="BX18" i="2" s="1"/>
  <c r="BZ18" i="2" a="1"/>
  <c r="BZ18" i="2" s="1"/>
  <c r="CC18" i="2" a="1"/>
  <c r="CC18" i="2" s="1"/>
  <c r="CR18" i="2"/>
  <c r="CT18" i="2"/>
  <c r="CU18" i="2"/>
  <c r="CW18" i="2" a="1"/>
  <c r="CW18" i="2" s="1"/>
  <c r="CX18" i="2" a="1"/>
  <c r="CX18" i="2" s="1"/>
  <c r="CY18" i="2" a="1"/>
  <c r="CY18" i="2" s="1"/>
  <c r="BY19" i="2" a="1"/>
  <c r="BY19" i="2" s="1"/>
  <c r="BU19" i="2" a="1"/>
  <c r="BU19" i="2" s="1"/>
  <c r="BV19" i="2" s="1" a="1"/>
  <c r="BV19" i="2" s="1"/>
  <c r="BW19" i="2" a="1"/>
  <c r="BW19" i="2" s="1"/>
  <c r="BX19" i="2" a="1"/>
  <c r="BX19" i="2" s="1"/>
  <c r="BZ19" i="2" a="1"/>
  <c r="BZ19" i="2" s="1"/>
  <c r="CC19" i="2" a="1"/>
  <c r="CC19" i="2" s="1"/>
  <c r="CR19" i="2"/>
  <c r="CT19" i="2"/>
  <c r="CU19" i="2"/>
  <c r="CW19" i="2" a="1"/>
  <c r="CW19" i="2" s="1"/>
  <c r="CX19" i="2" a="1"/>
  <c r="CX19" i="2" s="1"/>
  <c r="CY19" i="2" a="1"/>
  <c r="CY19" i="2" s="1"/>
  <c r="BY20" i="2" a="1"/>
  <c r="BY20" i="2" s="1"/>
  <c r="BU20" i="2" a="1"/>
  <c r="BU20" i="2" s="1"/>
  <c r="BV20" i="2" s="1" a="1"/>
  <c r="BV20" i="2" s="1"/>
  <c r="BW20" i="2" a="1"/>
  <c r="BW20" i="2" s="1"/>
  <c r="BX20" i="2" a="1"/>
  <c r="BX20" i="2" s="1"/>
  <c r="BZ20" i="2" a="1"/>
  <c r="BZ20" i="2" s="1"/>
  <c r="CC20" i="2" a="1"/>
  <c r="CC20" i="2" s="1"/>
  <c r="CR20" i="2"/>
  <c r="CT20" i="2"/>
  <c r="CU20" i="2"/>
  <c r="CW20" i="2" a="1"/>
  <c r="CW20" i="2" s="1"/>
  <c r="CX20" i="2" a="1"/>
  <c r="CX20" i="2" s="1"/>
  <c r="CY20" i="2" a="1"/>
  <c r="CY20" i="2" s="1"/>
  <c r="BY21" i="2" a="1"/>
  <c r="BY21" i="2" s="1"/>
  <c r="BU21" i="2" a="1"/>
  <c r="BU21" i="2" s="1"/>
  <c r="BV21" i="2" s="1" a="1"/>
  <c r="BV21" i="2" s="1"/>
  <c r="BW21" i="2" a="1"/>
  <c r="BW21" i="2" s="1"/>
  <c r="BX21" i="2" a="1"/>
  <c r="BX21" i="2" s="1"/>
  <c r="BZ21" i="2" a="1"/>
  <c r="BZ21" i="2" s="1"/>
  <c r="CC21" i="2" a="1"/>
  <c r="CC21" i="2" s="1"/>
  <c r="BY22" i="2" a="1"/>
  <c r="BY22" i="2" s="1"/>
  <c r="BU22" i="2" a="1"/>
  <c r="BU22" i="2" s="1"/>
  <c r="BV22" i="2" s="1" a="1"/>
  <c r="BV22" i="2" s="1"/>
  <c r="BW22" i="2" a="1"/>
  <c r="BW22" i="2" s="1"/>
  <c r="BX22" i="2" a="1"/>
  <c r="BX22" i="2" s="1"/>
  <c r="BZ22" i="2" a="1"/>
  <c r="BZ22" i="2" s="1"/>
  <c r="CC22" i="2" a="1"/>
  <c r="CC22" i="2" s="1"/>
  <c r="BY23" i="2" a="1"/>
  <c r="BY23" i="2" s="1"/>
  <c r="BU23" i="2" a="1"/>
  <c r="BU23" i="2" s="1"/>
  <c r="BV23" i="2" s="1" a="1"/>
  <c r="BV23" i="2" s="1"/>
  <c r="BW23" i="2" a="1"/>
  <c r="BW23" i="2" s="1"/>
  <c r="BX23" i="2" a="1"/>
  <c r="BX23" i="2" s="1"/>
  <c r="BZ23" i="2" a="1"/>
  <c r="BZ23" i="2" s="1"/>
  <c r="CC23" i="2" a="1"/>
  <c r="CC23" i="2" s="1"/>
  <c r="BY24" i="2" a="1"/>
  <c r="BY24" i="2" s="1"/>
  <c r="BU24" i="2" a="1"/>
  <c r="BU24" i="2" s="1"/>
  <c r="BV24" i="2" s="1" a="1"/>
  <c r="BV24" i="2" s="1"/>
  <c r="BW24" i="2" a="1"/>
  <c r="BW24" i="2" s="1"/>
  <c r="BX24" i="2" a="1"/>
  <c r="BX24" i="2" s="1"/>
  <c r="BZ24" i="2" a="1"/>
  <c r="BZ24" i="2" s="1"/>
  <c r="CC24" i="2" a="1"/>
  <c r="CC24" i="2" s="1"/>
  <c r="BY25" i="2" a="1"/>
  <c r="BY25" i="2" s="1"/>
  <c r="BU25" i="2" a="1"/>
  <c r="BU25" i="2" s="1"/>
  <c r="BV25" i="2" s="1" a="1"/>
  <c r="BV25" i="2" s="1"/>
  <c r="BW25" i="2" a="1"/>
  <c r="BW25" i="2" s="1"/>
  <c r="BX25" i="2" a="1"/>
  <c r="BX25" i="2" s="1"/>
  <c r="BZ25" i="2" a="1"/>
  <c r="BZ25" i="2" s="1"/>
  <c r="CC25" i="2" a="1"/>
  <c r="CC25" i="2" s="1"/>
  <c r="BY26" i="2" a="1"/>
  <c r="BY26" i="2" s="1"/>
  <c r="BU26" i="2" a="1"/>
  <c r="BU26" i="2" s="1"/>
  <c r="BV26" i="2" s="1" a="1"/>
  <c r="BV26" i="2" s="1"/>
  <c r="BW26" i="2" a="1"/>
  <c r="BW26" i="2" s="1"/>
  <c r="BX26" i="2" a="1"/>
  <c r="BX26" i="2" s="1"/>
  <c r="BZ26" i="2" a="1"/>
  <c r="BZ26" i="2" s="1"/>
  <c r="CC26" i="2" a="1"/>
  <c r="CC26" i="2" s="1"/>
  <c r="BY27" i="2" a="1"/>
  <c r="BY27" i="2" s="1"/>
  <c r="BU27" i="2" a="1"/>
  <c r="BU27" i="2" s="1"/>
  <c r="BV27" i="2" s="1" a="1"/>
  <c r="BV27" i="2" s="1"/>
  <c r="BW27" i="2" a="1"/>
  <c r="BW27" i="2" s="1"/>
  <c r="BX27" i="2" a="1"/>
  <c r="BX27" i="2" s="1"/>
  <c r="BZ27" i="2" a="1"/>
  <c r="BZ27" i="2" s="1"/>
  <c r="CC27" i="2" a="1"/>
  <c r="CC27" i="2" s="1"/>
  <c r="BY28" i="2" a="1"/>
  <c r="BY28" i="2" s="1"/>
  <c r="BU28" i="2" a="1"/>
  <c r="BU28" i="2" s="1"/>
  <c r="BV28" i="2" s="1" a="1"/>
  <c r="BV28" i="2" s="1"/>
  <c r="BW28" i="2" a="1"/>
  <c r="BW28" i="2" s="1"/>
  <c r="BX28" i="2" a="1"/>
  <c r="BX28" i="2" s="1"/>
  <c r="BZ28" i="2" a="1"/>
  <c r="BZ28" i="2" s="1"/>
  <c r="CC28" i="2" a="1"/>
  <c r="CC28" i="2" s="1"/>
  <c r="BY2" i="2" a="1"/>
  <c r="BY2" i="2" s="1"/>
  <c r="BU2" i="2" a="1"/>
  <c r="BU2" i="2" s="1"/>
  <c r="BV2" i="2" s="1" a="1"/>
  <c r="BV2" i="2" s="1"/>
  <c r="BW2" i="2" a="1"/>
  <c r="BW2" i="2" s="1"/>
  <c r="BX2" i="2" a="1"/>
  <c r="BX2" i="2" s="1"/>
  <c r="BZ2" i="2" a="1"/>
  <c r="BZ2" i="2" s="1"/>
  <c r="CB2" i="2" a="1"/>
  <c r="CB2" i="2" s="1"/>
  <c r="CC2" i="2" a="1"/>
  <c r="CC2" i="2" s="1"/>
  <c r="CD2" i="2" a="1"/>
  <c r="CD2" i="2" s="1"/>
  <c r="CE2" i="2" a="1"/>
  <c r="CE2" i="2" s="1"/>
  <c r="CF2" i="2" a="1"/>
  <c r="CF2" i="2" s="1"/>
  <c r="CH2" i="2"/>
  <c r="CR2" i="2"/>
  <c r="CW2" i="2" a="1"/>
  <c r="CW2" i="2" s="1"/>
  <c r="CX2" i="2" a="1"/>
  <c r="CX2" i="2" s="1"/>
  <c r="CY2" i="2" a="1"/>
  <c r="CY2" i="2" s="1"/>
  <c r="BY3" i="2" a="1"/>
  <c r="BY3" i="2" s="1"/>
  <c r="BU3" i="2" a="1"/>
  <c r="BU3" i="2" s="1"/>
  <c r="BV3" i="2" s="1" a="1"/>
  <c r="BV3" i="2" s="1"/>
  <c r="BW3" i="2" a="1"/>
  <c r="BW3" i="2" s="1"/>
  <c r="BX3" i="2" a="1"/>
  <c r="BX3" i="2" s="1"/>
  <c r="BZ3" i="2" a="1"/>
  <c r="BZ3" i="2" s="1"/>
  <c r="CC3" i="2" a="1"/>
  <c r="CC3" i="2" s="1"/>
  <c r="CR3" i="2"/>
  <c r="CW3" i="2" a="1"/>
  <c r="CW3" i="2" s="1"/>
  <c r="CX3" i="2" a="1"/>
  <c r="CX3" i="2" s="1"/>
  <c r="CY3" i="2" a="1"/>
  <c r="CY3" i="2" s="1"/>
  <c r="BY4" i="2" a="1"/>
  <c r="BY4" i="2" s="1"/>
  <c r="BU4" i="2" a="1"/>
  <c r="BU4" i="2" s="1"/>
  <c r="BV4" i="2" s="1" a="1"/>
  <c r="BV4" i="2" s="1"/>
  <c r="BW4" i="2" a="1"/>
  <c r="BW4" i="2" s="1"/>
  <c r="BX4" i="2" a="1"/>
  <c r="BX4" i="2" s="1"/>
  <c r="BZ4" i="2" a="1"/>
  <c r="BZ4" i="2" s="1"/>
  <c r="CC4" i="2" a="1"/>
  <c r="CC4" i="2" s="1"/>
  <c r="CR4" i="2"/>
  <c r="CW4" i="2" a="1"/>
  <c r="CW4" i="2" s="1"/>
  <c r="CX4" i="2" a="1"/>
  <c r="CX4" i="2" s="1"/>
  <c r="CY4" i="2" a="1"/>
  <c r="CY4" i="2" s="1"/>
  <c r="BY5" i="2" a="1"/>
  <c r="BY5" i="2" s="1"/>
  <c r="BU5" i="2" a="1"/>
  <c r="BU5" i="2" s="1"/>
  <c r="BV5" i="2" s="1" a="1"/>
  <c r="BV5" i="2" s="1"/>
  <c r="BW5" i="2" a="1"/>
  <c r="BW5" i="2" s="1"/>
  <c r="BX5" i="2" a="1"/>
  <c r="BX5" i="2" s="1"/>
  <c r="BZ5" i="2" a="1"/>
  <c r="BZ5" i="2" s="1"/>
  <c r="CC5" i="2" a="1"/>
  <c r="CC5" i="2" s="1"/>
  <c r="CR5" i="2"/>
  <c r="CU5" i="2"/>
  <c r="CW5" i="2" a="1"/>
  <c r="CW5" i="2" s="1"/>
  <c r="CX5" i="2" a="1"/>
  <c r="CX5" i="2" s="1"/>
  <c r="CY5" i="2" a="1"/>
  <c r="CY5" i="2" s="1"/>
  <c r="BY6" i="2" a="1"/>
  <c r="BY6" i="2" s="1"/>
  <c r="BU6" i="2" a="1"/>
  <c r="BU6" i="2" s="1"/>
  <c r="BV6" i="2" s="1" a="1"/>
  <c r="BV6" i="2" s="1"/>
  <c r="BW6" i="2" a="1"/>
  <c r="BW6" i="2" s="1"/>
  <c r="BX6" i="2" a="1"/>
  <c r="BX6" i="2" s="1"/>
  <c r="BZ6" i="2" a="1"/>
  <c r="BZ6" i="2" s="1"/>
  <c r="CC6" i="2" a="1"/>
  <c r="CC6" i="2" s="1"/>
  <c r="CR6" i="2"/>
  <c r="CW6" i="2" a="1"/>
  <c r="CW6" i="2" s="1"/>
  <c r="CX6" i="2" a="1"/>
  <c r="CX6" i="2" s="1"/>
  <c r="CY6" i="2" a="1"/>
  <c r="CY6" i="2" s="1"/>
  <c r="BY7" i="2" a="1"/>
  <c r="BY7" i="2" s="1"/>
  <c r="BU7" i="2" a="1"/>
  <c r="BU7" i="2" s="1"/>
  <c r="BV7" i="2" s="1" a="1"/>
  <c r="BV7" i="2" s="1"/>
  <c r="BW7" i="2" a="1"/>
  <c r="BW7" i="2" s="1"/>
  <c r="BX7" i="2" a="1"/>
  <c r="BX7" i="2" s="1"/>
  <c r="BZ7" i="2" a="1"/>
  <c r="BZ7" i="2" s="1"/>
  <c r="CC7" i="2" a="1"/>
  <c r="CC7" i="2" s="1"/>
  <c r="CR7" i="2"/>
  <c r="CT7" i="2"/>
  <c r="CU7" i="2"/>
  <c r="CW7" i="2" a="1"/>
  <c r="CW7" i="2" s="1"/>
  <c r="CX7" i="2" a="1"/>
  <c r="CX7" i="2" s="1"/>
  <c r="CY7" i="2" a="1"/>
  <c r="CY7" i="2" s="1"/>
  <c r="BY8" i="2" a="1"/>
  <c r="BY8" i="2" s="1"/>
  <c r="BU8" i="2" a="1"/>
  <c r="BU8" i="2" s="1"/>
  <c r="BV8" i="2" s="1" a="1"/>
  <c r="BV8" i="2" s="1"/>
  <c r="BW8" i="2" a="1"/>
  <c r="BW8" i="2" s="1"/>
  <c r="BX8" i="2" a="1"/>
  <c r="BX8" i="2" s="1"/>
  <c r="BZ8" i="2" a="1"/>
  <c r="BZ8" i="2" s="1"/>
  <c r="CC8" i="2" a="1"/>
  <c r="CC8" i="2" s="1"/>
  <c r="CR8" i="2"/>
  <c r="CT8" i="2"/>
  <c r="CU8" i="2"/>
  <c r="CW8" i="2" a="1"/>
  <c r="CW8" i="2" s="1"/>
  <c r="CX8" i="2" a="1"/>
  <c r="CX8" i="2" s="1"/>
  <c r="CY8" i="2" a="1"/>
  <c r="CY8" i="2" s="1"/>
  <c r="BY9" i="2" a="1"/>
  <c r="BY9" i="2" s="1"/>
  <c r="BU9" i="2" a="1"/>
  <c r="BU9" i="2" s="1"/>
  <c r="BV9" i="2" s="1" a="1"/>
  <c r="BV9" i="2" s="1"/>
  <c r="BW9" i="2" a="1"/>
  <c r="BW9" i="2" s="1"/>
  <c r="BX9" i="2" a="1"/>
  <c r="BX9" i="2" s="1"/>
  <c r="BZ9" i="2" a="1"/>
  <c r="BZ9" i="2" s="1"/>
  <c r="CC9" i="2" a="1"/>
  <c r="CC9" i="2" s="1"/>
  <c r="CR9" i="2"/>
  <c r="CT9" i="2"/>
  <c r="CU9" i="2"/>
  <c r="CW9" i="2" a="1"/>
  <c r="CW9" i="2" s="1"/>
  <c r="CX9" i="2" a="1"/>
  <c r="CX9" i="2" s="1"/>
  <c r="CY9" i="2" a="1"/>
  <c r="CY9" i="2" s="1"/>
  <c r="BY10" i="2" a="1"/>
  <c r="BY10" i="2" s="1"/>
  <c r="BU10" i="2" a="1"/>
  <c r="BU10" i="2" s="1"/>
  <c r="BV10" i="2" s="1" a="1"/>
  <c r="BV10" i="2" s="1"/>
  <c r="BW10" i="2" a="1"/>
  <c r="BW10" i="2" s="1"/>
  <c r="BX10" i="2" a="1"/>
  <c r="BX10" i="2" s="1"/>
  <c r="BZ10" i="2" a="1"/>
  <c r="BZ10" i="2" s="1"/>
  <c r="CC10" i="2" a="1"/>
  <c r="CC10" i="2" s="1"/>
  <c r="CR10" i="2"/>
  <c r="CT10" i="2"/>
  <c r="CU10" i="2"/>
  <c r="CW10" i="2" a="1"/>
  <c r="CW10" i="2" s="1"/>
  <c r="CX10" i="2" a="1"/>
  <c r="CX10" i="2" s="1"/>
  <c r="CY10" i="2" a="1"/>
  <c r="CY10" i="2" s="1"/>
  <c r="BY11" i="2" a="1"/>
  <c r="BY11" i="2" s="1"/>
  <c r="BU11" i="2" a="1"/>
  <c r="BU11" i="2" s="1"/>
  <c r="BV11" i="2" s="1" a="1"/>
  <c r="BV11" i="2" s="1"/>
  <c r="BW11" i="2" a="1"/>
  <c r="BW11" i="2" s="1"/>
  <c r="BX11" i="2" a="1"/>
  <c r="BX11" i="2" s="1"/>
  <c r="BZ11" i="2" a="1"/>
  <c r="BZ11" i="2" s="1"/>
  <c r="CC11" i="2" a="1"/>
  <c r="CC11" i="2" s="1"/>
  <c r="CR11" i="2"/>
  <c r="CT11" i="2"/>
  <c r="CW11" i="2" a="1"/>
  <c r="CW11" i="2" s="1"/>
  <c r="CX11" i="2" a="1"/>
  <c r="CX11" i="2" s="1"/>
  <c r="CY11" i="2" a="1"/>
  <c r="CY11" i="2" s="1"/>
  <c r="BY12" i="2" a="1"/>
  <c r="BY12" i="2" s="1"/>
  <c r="BU12" i="2" a="1"/>
  <c r="BU12" i="2" s="1"/>
  <c r="BV12" i="2" s="1" a="1"/>
  <c r="BV12" i="2" s="1"/>
  <c r="BW12" i="2" a="1"/>
  <c r="BW12" i="2" s="1"/>
  <c r="BX12" i="2" a="1"/>
  <c r="BX12" i="2" s="1"/>
  <c r="BZ12" i="2" a="1"/>
  <c r="BZ12" i="2" s="1"/>
  <c r="CC12" i="2" a="1"/>
  <c r="CC12" i="2" s="1"/>
  <c r="CR12" i="2"/>
  <c r="CT12" i="2"/>
  <c r="CW12" i="2" a="1"/>
  <c r="CW12" i="2" s="1"/>
  <c r="CX12" i="2" a="1"/>
  <c r="CX12" i="2" s="1"/>
  <c r="CY12" i="2" a="1"/>
  <c r="CY12" i="2" s="1"/>
  <c r="BY13" i="2" a="1"/>
  <c r="BY13" i="2" s="1"/>
  <c r="BU13" i="2" a="1"/>
  <c r="BU13" i="2" s="1"/>
  <c r="BV13" i="2" s="1" a="1"/>
  <c r="BV13" i="2" s="1"/>
  <c r="BW13" i="2" a="1"/>
  <c r="BW13" i="2" s="1"/>
  <c r="BX13" i="2" a="1"/>
  <c r="BX13" i="2" s="1"/>
  <c r="BZ13" i="2" a="1"/>
  <c r="BZ13" i="2" s="1"/>
  <c r="CC13" i="2" a="1"/>
  <c r="CC13" i="2" s="1"/>
  <c r="CR13" i="2"/>
  <c r="CT13" i="2"/>
  <c r="CW13" i="2" a="1"/>
  <c r="CW13" i="2" s="1"/>
  <c r="CX13" i="2" a="1"/>
  <c r="CX13" i="2" s="1"/>
  <c r="CY13" i="2" a="1"/>
  <c r="CY13" i="2" s="1"/>
  <c r="BY14" i="2" a="1"/>
  <c r="BY14" i="2" s="1"/>
  <c r="BU14" i="2" a="1"/>
  <c r="BU14" i="2" s="1"/>
  <c r="BV14" i="2" s="1" a="1"/>
  <c r="BV14" i="2" s="1"/>
  <c r="BW14" i="2" a="1"/>
  <c r="BW14" i="2" s="1"/>
  <c r="BX14" i="2" a="1"/>
  <c r="BX14" i="2" s="1"/>
  <c r="BZ14" i="2" a="1"/>
  <c r="BZ14" i="2" s="1"/>
  <c r="CC14" i="2" a="1"/>
  <c r="CC14" i="2" s="1"/>
  <c r="CR14" i="2"/>
  <c r="CT14" i="2"/>
  <c r="CU14" i="2"/>
  <c r="CW14" i="2" a="1"/>
  <c r="CW14" i="2" s="1"/>
  <c r="CX14" i="2" a="1"/>
  <c r="CX14" i="2" s="1"/>
  <c r="CY14" i="2" a="1"/>
  <c r="CY14" i="2" s="1"/>
  <c r="AI75" i="32"/>
  <c r="AM75" i="32"/>
  <c r="AQ75" i="32"/>
  <c r="N35" i="32" a="1"/>
  <c r="N35" i="32" s="1"/>
  <c r="N36" i="32" a="1"/>
  <c r="N36" i="32" s="1"/>
  <c r="N37" i="32" a="1"/>
  <c r="N37" i="32" s="1"/>
  <c r="N38" i="32" a="1"/>
  <c r="N38" i="32" s="1"/>
  <c r="N39" i="32" a="1"/>
  <c r="N39" i="32" s="1"/>
  <c r="N40" i="32" a="1"/>
  <c r="N40" i="32" s="1"/>
  <c r="N41" i="32" a="1"/>
  <c r="N41" i="32" s="1"/>
  <c r="N42" i="32" a="1"/>
  <c r="N42" i="32" s="1"/>
  <c r="N43" i="32" a="1"/>
  <c r="N43" i="32" s="1"/>
  <c r="N44" i="32" a="1"/>
  <c r="N44" i="32" s="1"/>
  <c r="N45" i="32" a="1"/>
  <c r="N45" i="32" s="1"/>
  <c r="AG50" i="32"/>
  <c r="AO50" i="32"/>
  <c r="AG2" i="32"/>
  <c r="D3" i="32"/>
  <c r="D9" i="32"/>
  <c r="D15" i="32"/>
  <c r="Q3" i="32"/>
  <c r="Q9" i="32"/>
  <c r="Q15" i="32"/>
  <c r="J10" i="49" s="1"/>
  <c r="AL15" i="32" a="1"/>
  <c r="AL15" i="32" s="1"/>
  <c r="AP15" i="32" a="1"/>
  <c r="AP15" i="32" s="1"/>
  <c r="N21" i="32" a="1"/>
  <c r="N21" i="32" s="1"/>
  <c r="N22" i="32" a="1"/>
  <c r="N22" i="32" s="1"/>
  <c r="N23" i="32" a="1"/>
  <c r="N23" i="32" s="1"/>
  <c r="N24" i="32" a="1"/>
  <c r="N24" i="32" s="1"/>
  <c r="N25" i="32" a="1"/>
  <c r="N25" i="32" s="1"/>
  <c r="N26" i="32" a="1"/>
  <c r="N26" i="32" s="1"/>
  <c r="N29" i="32" a="1"/>
  <c r="N29" i="32" s="1"/>
  <c r="T29" i="32"/>
  <c r="N32" i="32" a="1"/>
  <c r="N32" i="32" s="1"/>
  <c r="N34" i="32" a="1"/>
  <c r="N34" i="32" s="1"/>
  <c r="N39" i="9" a="1"/>
  <c r="N39" i="9" s="1"/>
  <c r="N40" i="9" a="1"/>
  <c r="N40" i="9" s="1"/>
  <c r="N41" i="9" a="1"/>
  <c r="N41" i="9" s="1"/>
  <c r="Y42" i="9"/>
  <c r="N42" i="9" a="1"/>
  <c r="N42" i="9" s="1"/>
  <c r="T42" i="9"/>
  <c r="N43" i="9" a="1"/>
  <c r="N43" i="9" s="1"/>
  <c r="N44" i="9" a="1"/>
  <c r="N44" i="9" s="1"/>
  <c r="N45" i="9" a="1"/>
  <c r="N45" i="9" s="1"/>
  <c r="B3" i="9"/>
  <c r="D3" i="9"/>
  <c r="H3" i="9"/>
  <c r="O3" i="9"/>
  <c r="Q3" i="9"/>
  <c r="K8" i="9"/>
  <c r="B9" i="9"/>
  <c r="D9" i="9"/>
  <c r="H9" i="9"/>
  <c r="O9" i="9"/>
  <c r="Q9" i="9"/>
  <c r="K14" i="9"/>
  <c r="B15" i="9"/>
  <c r="D15" i="9"/>
  <c r="H15" i="9"/>
  <c r="O15" i="9"/>
  <c r="Q15" i="9"/>
  <c r="N21" i="9" a="1"/>
  <c r="N21" i="9" s="1"/>
  <c r="T21" i="9"/>
  <c r="N22" i="9" a="1"/>
  <c r="N22" i="9" s="1"/>
  <c r="N23" i="9" a="1"/>
  <c r="N23" i="9" s="1"/>
  <c r="N24" i="9" a="1"/>
  <c r="N24" i="9" s="1"/>
  <c r="N25" i="9" a="1"/>
  <c r="N25" i="9" s="1"/>
  <c r="N26" i="9" a="1"/>
  <c r="N26" i="9" s="1"/>
  <c r="N29" i="9" a="1"/>
  <c r="N29" i="9" s="1"/>
  <c r="T29" i="9"/>
  <c r="N32" i="9" a="1"/>
  <c r="N32" i="9" s="1"/>
  <c r="N34" i="9" a="1"/>
  <c r="N34" i="9" s="1"/>
  <c r="N35" i="9" a="1"/>
  <c r="N35" i="9" s="1"/>
  <c r="N36" i="9" a="1"/>
  <c r="N36" i="9" s="1"/>
  <c r="N37" i="9" a="1"/>
  <c r="N37" i="9" s="1"/>
  <c r="N38" i="9" a="1"/>
  <c r="N38" i="9" s="1"/>
  <c r="T38" i="9"/>
  <c r="E9" i="9" l="1"/>
  <c r="K3" i="49" s="1"/>
  <c r="E3" i="9"/>
  <c r="K2" i="49" s="1"/>
  <c r="E15" i="32"/>
  <c r="K10" i="49" s="1"/>
  <c r="E3" i="32"/>
  <c r="K8" i="49" s="1"/>
  <c r="E15" i="9"/>
  <c r="K4" i="49" s="1"/>
  <c r="J4" i="49"/>
  <c r="J3" i="49"/>
  <c r="E9" i="32"/>
  <c r="K9" i="49" s="1"/>
  <c r="J9" i="49"/>
  <c r="J8" i="49"/>
  <c r="J2" i="49"/>
  <c r="CQ8" i="2" a="1"/>
  <c r="CQ8" i="2" s="1"/>
  <c r="CQ6" i="2" a="1"/>
  <c r="CQ6" i="2" s="1"/>
  <c r="CJ2" i="2" a="1"/>
  <c r="CJ2" i="2" s="1"/>
  <c r="CQ4" i="2" a="1"/>
  <c r="CQ4" i="2" s="1"/>
  <c r="CI2" i="2" a="1"/>
  <c r="CI2" i="2" s="1"/>
  <c r="CQ5" i="2" a="1"/>
  <c r="CQ5" i="2" s="1"/>
  <c r="CQ7" i="2" a="1"/>
  <c r="CQ7" i="2" s="1"/>
  <c r="CQ2" i="2" a="1"/>
  <c r="CQ2" i="2" s="1"/>
  <c r="CQ3" i="2" a="1"/>
  <c r="CQ3" i="2" s="1"/>
  <c r="AH42" i="32" a="1"/>
  <c r="AH42" i="32" s="1"/>
  <c r="AA9" i="32"/>
  <c r="AA15" i="32"/>
  <c r="AA3" i="32"/>
  <c r="AL43" i="9" a="1"/>
  <c r="AL43" i="9" s="1"/>
  <c r="AL92" i="9" a="1"/>
  <c r="AL92" i="9" s="1"/>
  <c r="AP43" i="9" a="1"/>
  <c r="AP43" i="9" s="1"/>
  <c r="AP92" i="9" a="1"/>
  <c r="AP92" i="9" s="1"/>
  <c r="AH92" i="9" a="1"/>
  <c r="AH92" i="9" s="1"/>
  <c r="AH43" i="9" a="1"/>
  <c r="AH43" i="9" s="1"/>
  <c r="C3" i="32" a="1"/>
  <c r="H15" i="32"/>
  <c r="I15" i="32" s="1"/>
  <c r="M10" i="49" s="1"/>
  <c r="H9" i="32"/>
  <c r="I9" i="32" s="1"/>
  <c r="M9" i="49" s="1"/>
  <c r="H3" i="32"/>
  <c r="I3" i="32" s="1"/>
  <c r="M8" i="49" s="1"/>
  <c r="AP40" i="32"/>
  <c r="AL40" i="32"/>
  <c r="O9" i="32"/>
  <c r="O3" i="32"/>
  <c r="O15" i="32"/>
  <c r="K61" i="9" a="1"/>
  <c r="K61" i="9" s="1"/>
  <c r="X61" i="9" s="1"/>
  <c r="K55" i="9" a="1"/>
  <c r="K55" i="9" s="1"/>
  <c r="X55" i="9" s="1"/>
  <c r="K67" i="9" a="1"/>
  <c r="K67" i="9" s="1"/>
  <c r="X67" i="9" s="1"/>
  <c r="C63" i="9" a="1"/>
  <c r="C57" i="9" a="1"/>
  <c r="C51" i="9" a="1"/>
  <c r="I3" i="9"/>
  <c r="M2" i="49" s="1"/>
  <c r="I15" i="9"/>
  <c r="AO2" i="32"/>
  <c r="AK2" i="32"/>
  <c r="I9" i="9"/>
  <c r="AH22" i="9" l="1"/>
  <c r="AH46" i="9"/>
  <c r="AH45" i="9"/>
  <c r="AP22" i="9"/>
  <c r="AP45" i="9"/>
  <c r="AP46" i="9"/>
  <c r="AL22" i="9"/>
  <c r="AL46" i="9"/>
  <c r="AL45" i="9"/>
  <c r="P52" i="9"/>
  <c r="P54" i="9"/>
  <c r="P53" i="9"/>
  <c r="N7" i="32" a="1"/>
  <c r="N7" i="32" s="1"/>
  <c r="J7" i="32"/>
  <c r="M7" i="32" s="1"/>
  <c r="K53" i="9" a="1"/>
  <c r="K53" i="9" s="1"/>
  <c r="J54" i="9"/>
  <c r="J53" i="9"/>
  <c r="J52" i="9"/>
  <c r="K58" i="9" a="1"/>
  <c r="K58" i="9" s="1"/>
  <c r="J58" i="9"/>
  <c r="J60" i="9"/>
  <c r="J59" i="9"/>
  <c r="K65" i="9" a="1"/>
  <c r="K65" i="9" s="1"/>
  <c r="J65" i="9"/>
  <c r="M65" i="9" s="1"/>
  <c r="J64" i="9"/>
  <c r="J66" i="9"/>
  <c r="K7" i="32" a="1"/>
  <c r="K7" i="32" s="1"/>
  <c r="J4" i="32"/>
  <c r="J5" i="32"/>
  <c r="J6" i="32"/>
  <c r="M4" i="49"/>
  <c r="M3" i="49"/>
  <c r="K6" i="32" a="1"/>
  <c r="K6" i="32" s="1"/>
  <c r="K14" i="32"/>
  <c r="AL42" i="32" a="1"/>
  <c r="AL42" i="32" s="1"/>
  <c r="AL45" i="32" s="1"/>
  <c r="K4" i="32" a="1"/>
  <c r="K4" i="32" s="1"/>
  <c r="K5" i="32" a="1"/>
  <c r="K5" i="32" s="1"/>
  <c r="C9" i="32" a="1"/>
  <c r="C3" i="32"/>
  <c r="AC3" i="32"/>
  <c r="AH44" i="32"/>
  <c r="AH21" i="32"/>
  <c r="G9" i="32"/>
  <c r="G15" i="32"/>
  <c r="K52" i="9" a="1"/>
  <c r="K52" i="9" s="1"/>
  <c r="K60" i="9" a="1"/>
  <c r="K60" i="9" s="1"/>
  <c r="K64" i="9" a="1"/>
  <c r="K64" i="9" s="1"/>
  <c r="C51" i="9"/>
  <c r="P51" i="9" s="1"/>
  <c r="C57" i="9"/>
  <c r="K54" i="9" a="1"/>
  <c r="K54" i="9" s="1"/>
  <c r="K59" i="9" a="1"/>
  <c r="K59" i="9" s="1"/>
  <c r="C63" i="9"/>
  <c r="K66" i="9" a="1"/>
  <c r="K66" i="9" s="1"/>
  <c r="AC51" i="9"/>
  <c r="AH71" i="9"/>
  <c r="AH94" i="9"/>
  <c r="AL94" i="9"/>
  <c r="AL71" i="9"/>
  <c r="AC57" i="9"/>
  <c r="AL95" i="9"/>
  <c r="AC63" i="9"/>
  <c r="AP95" i="9"/>
  <c r="AP71" i="9"/>
  <c r="AP94" i="9"/>
  <c r="AC9" i="9"/>
  <c r="AC3" i="9"/>
  <c r="J3" i="32" l="1"/>
  <c r="J63" i="9"/>
  <c r="U63" i="9" s="1" a="1"/>
  <c r="U63" i="9" s="1"/>
  <c r="J57" i="9"/>
  <c r="R57" i="9" s="1" a="1"/>
  <c r="R57" i="9" s="1"/>
  <c r="J51" i="9"/>
  <c r="J11" i="32"/>
  <c r="J10" i="32"/>
  <c r="J12" i="32"/>
  <c r="K13" i="32" a="1"/>
  <c r="K13" i="32" s="1"/>
  <c r="L9" i="49"/>
  <c r="L10" i="49"/>
  <c r="K12" i="32" a="1"/>
  <c r="K12" i="32" s="1"/>
  <c r="K11" i="32" a="1"/>
  <c r="K11" i="32" s="1"/>
  <c r="AL21" i="32"/>
  <c r="K10" i="32" a="1"/>
  <c r="K10" i="32" s="1"/>
  <c r="K3" i="32" a="1"/>
  <c r="K3" i="32" s="1"/>
  <c r="C9" i="32"/>
  <c r="AC9" i="32"/>
  <c r="AL44" i="32"/>
  <c r="K63" i="9" a="1"/>
  <c r="K63" i="9" s="1"/>
  <c r="K51" i="9" a="1"/>
  <c r="K51" i="9" s="1"/>
  <c r="K57" i="9" a="1"/>
  <c r="K57" i="9" s="1"/>
  <c r="T57" i="9" s="1"/>
  <c r="H393" i="1"/>
  <c r="U57" i="9" l="1" a="1"/>
  <c r="U57" i="9" s="1"/>
  <c r="R63" i="9" a="1"/>
  <c r="R63" i="9" s="1"/>
  <c r="S63" i="9" a="1"/>
  <c r="S63" i="9" s="1"/>
  <c r="J9" i="32"/>
  <c r="S9" i="32" s="1" a="1"/>
  <c r="S9" i="32" s="1"/>
  <c r="K9" i="32" a="1"/>
  <c r="K9" i="32" s="1"/>
  <c r="G69" i="9"/>
  <c r="T51" i="9"/>
  <c r="AC15" i="9" l="1"/>
  <c r="C3" i="9" a="1"/>
  <c r="C9" i="9" a="1"/>
  <c r="CU13" i="2"/>
  <c r="CU12" i="2"/>
  <c r="CU11" i="2"/>
  <c r="CT6" i="2"/>
  <c r="CT5" i="2"/>
  <c r="CT4" i="2"/>
  <c r="CT3" i="2"/>
  <c r="CT2" i="2"/>
  <c r="J12" i="9" l="1"/>
  <c r="J11" i="9"/>
  <c r="J10" i="9"/>
  <c r="J5" i="9"/>
  <c r="J4" i="9"/>
  <c r="J6" i="9"/>
  <c r="N8" i="9" a="1"/>
  <c r="N8" i="9" s="1"/>
  <c r="N7" i="9" a="1"/>
  <c r="N7" i="9" s="1"/>
  <c r="K13" i="9" a="1"/>
  <c r="K13" i="9" s="1"/>
  <c r="AP42" i="32" a="1"/>
  <c r="AP42" i="32" s="1"/>
  <c r="K7" i="9" a="1"/>
  <c r="K7" i="9" s="1"/>
  <c r="K20" i="32"/>
  <c r="C15" i="32" a="1"/>
  <c r="C9" i="9"/>
  <c r="J9" i="9" s="1"/>
  <c r="K10" i="9" a="1"/>
  <c r="K10" i="9" s="1"/>
  <c r="K11" i="9" a="1"/>
  <c r="K11" i="9" s="1"/>
  <c r="K12" i="9" a="1"/>
  <c r="K12" i="9" s="1"/>
  <c r="C3" i="9"/>
  <c r="J3" i="9" s="1"/>
  <c r="K6" i="9" a="1"/>
  <c r="K6" i="9" s="1"/>
  <c r="K4" i="9" a="1"/>
  <c r="K4" i="9" s="1"/>
  <c r="K5" i="9" a="1"/>
  <c r="K5" i="9" s="1"/>
  <c r="C15" i="9" a="1"/>
  <c r="K20" i="9"/>
  <c r="J18" i="9" l="1"/>
  <c r="J17" i="9"/>
  <c r="J16" i="9"/>
  <c r="M7" i="9"/>
  <c r="S9" i="9" a="1"/>
  <c r="S9" i="9" s="1"/>
  <c r="S3" i="9" a="1"/>
  <c r="S3" i="9" s="1"/>
  <c r="J16" i="32"/>
  <c r="J17" i="32"/>
  <c r="J18" i="32"/>
  <c r="K19" i="9" a="1"/>
  <c r="K19" i="9" s="1"/>
  <c r="K18" i="32" a="1"/>
  <c r="K18" i="32" s="1"/>
  <c r="K19" i="32" a="1"/>
  <c r="K19" i="32" s="1"/>
  <c r="C15" i="32"/>
  <c r="K16" i="32" a="1"/>
  <c r="K16" i="32" s="1"/>
  <c r="AC15" i="32"/>
  <c r="AP44" i="32"/>
  <c r="AP21" i="32"/>
  <c r="AP45" i="32"/>
  <c r="K17" i="32" a="1"/>
  <c r="K17" i="32" s="1"/>
  <c r="K18" i="9" a="1"/>
  <c r="K18" i="9" s="1"/>
  <c r="K16" i="9" a="1"/>
  <c r="K16" i="9" s="1"/>
  <c r="K17" i="9" a="1"/>
  <c r="K17" i="9" s="1"/>
  <c r="K3" i="9" a="1"/>
  <c r="K3" i="9" s="1"/>
  <c r="C15" i="9"/>
  <c r="J15" i="9" s="1"/>
  <c r="K9" i="9" a="1"/>
  <c r="K9" i="9" s="1"/>
  <c r="J15" i="32" l="1"/>
  <c r="S15" i="32" s="1" a="1"/>
  <c r="S15" i="32" s="1"/>
  <c r="K15" i="32" a="1"/>
  <c r="K15" i="32" s="1"/>
  <c r="G21" i="9"/>
  <c r="K15" i="9" a="1"/>
  <c r="K15" i="9" s="1"/>
  <c r="G21" i="32"/>
  <c r="T21" i="32" l="1"/>
  <c r="CU4" i="2" l="1"/>
  <c r="CU2" i="2"/>
  <c r="CU3" i="2"/>
  <c r="CU6" i="2"/>
  <c r="I18" i="16" l="1"/>
  <c r="A3" i="4" l="1" a="1"/>
  <c r="A3" i="4" s="1"/>
  <c r="B3" i="4" a="1"/>
  <c r="B3" i="4" s="1"/>
  <c r="C3" i="4" a="1"/>
  <c r="C3" i="4" s="1"/>
  <c r="D3" i="4" a="1"/>
  <c r="D3" i="4" s="1"/>
  <c r="R3" i="4" a="1"/>
  <c r="R3" i="4" s="1"/>
  <c r="X3" i="4" a="1"/>
  <c r="X3" i="4" s="1"/>
  <c r="Y3" i="4" s="1"/>
  <c r="A4" i="4" a="1"/>
  <c r="A4" i="4" s="1"/>
  <c r="B4" i="4" a="1"/>
  <c r="B4" i="4" s="1"/>
  <c r="C4" i="4" a="1"/>
  <c r="C4" i="4" s="1"/>
  <c r="D4" i="4" a="1"/>
  <c r="D4" i="4" s="1"/>
  <c r="F4" i="4" a="1"/>
  <c r="F4" i="4" s="1"/>
  <c r="R4" i="4" a="1"/>
  <c r="R4" i="4" s="1"/>
  <c r="X4" i="4" a="1"/>
  <c r="X4" i="4" s="1"/>
  <c r="Y4" i="4" s="1"/>
  <c r="A5" i="4" a="1"/>
  <c r="A5" i="4" s="1"/>
  <c r="B5" i="4" a="1"/>
  <c r="B5" i="4" s="1"/>
  <c r="C5" i="4" a="1"/>
  <c r="C5" i="4" s="1"/>
  <c r="D5" i="4" a="1"/>
  <c r="D5" i="4" s="1"/>
  <c r="F5" i="4" a="1"/>
  <c r="F5" i="4" s="1"/>
  <c r="R5" i="4" a="1"/>
  <c r="R5" i="4" s="1"/>
  <c r="X5" i="4" a="1"/>
  <c r="X5" i="4" s="1"/>
  <c r="Y5" i="4" s="1"/>
  <c r="A6" i="4" a="1"/>
  <c r="A6" i="4" s="1"/>
  <c r="B6" i="4" a="1"/>
  <c r="B6" i="4" s="1"/>
  <c r="C6" i="4" a="1"/>
  <c r="C6" i="4" s="1"/>
  <c r="D6" i="4" a="1"/>
  <c r="D6" i="4" s="1"/>
  <c r="F6" i="4" a="1"/>
  <c r="F6" i="4" s="1"/>
  <c r="R6" i="4" a="1"/>
  <c r="R6" i="4" s="1"/>
  <c r="X6" i="4" a="1"/>
  <c r="X6" i="4" s="1"/>
  <c r="Y6" i="4" s="1"/>
  <c r="A7" i="4" a="1"/>
  <c r="A7" i="4" s="1"/>
  <c r="B7" i="4" a="1"/>
  <c r="B7" i="4" s="1"/>
  <c r="C7" i="4" a="1"/>
  <c r="C7" i="4" s="1"/>
  <c r="D7" i="4" a="1"/>
  <c r="D7" i="4" s="1"/>
  <c r="F7" i="4" a="1"/>
  <c r="F7" i="4" s="1"/>
  <c r="R7" i="4" a="1"/>
  <c r="R7" i="4" s="1"/>
  <c r="X7" i="4" a="1"/>
  <c r="X7" i="4" s="1"/>
  <c r="Y7" i="4" s="1"/>
  <c r="A8" i="4" a="1"/>
  <c r="A8" i="4" s="1"/>
  <c r="B8" i="4" a="1"/>
  <c r="B8" i="4" s="1"/>
  <c r="C8" i="4" a="1"/>
  <c r="C8" i="4" s="1"/>
  <c r="D8" i="4" a="1"/>
  <c r="D8" i="4" s="1"/>
  <c r="F8" i="4" a="1"/>
  <c r="F8" i="4" s="1"/>
  <c r="R8" i="4" a="1"/>
  <c r="R8" i="4" s="1"/>
  <c r="X8" i="4" a="1"/>
  <c r="X8" i="4" s="1"/>
  <c r="Y8" i="4" s="1"/>
  <c r="W4" i="4" l="1"/>
  <c r="I5" i="4"/>
  <c r="N5" i="4" s="1"/>
  <c r="W7" i="4"/>
  <c r="H5" i="4"/>
  <c r="W6" i="4"/>
  <c r="W5" i="4"/>
  <c r="I7" i="4"/>
  <c r="N7" i="4" s="1"/>
  <c r="H4" i="4"/>
  <c r="H7" i="4"/>
  <c r="W8" i="4"/>
  <c r="I8" i="4"/>
  <c r="H8" i="4"/>
  <c r="BB25" i="4" s="1"/>
  <c r="H3" i="4"/>
  <c r="AH9" i="4" s="1"/>
  <c r="I6" i="4"/>
  <c r="H6" i="4"/>
  <c r="I4" i="4"/>
  <c r="AP25" i="4" l="1"/>
  <c r="AP9" i="4"/>
  <c r="AL25" i="4"/>
  <c r="AL9" i="4"/>
  <c r="AX25" i="4"/>
  <c r="AX9" i="4"/>
  <c r="F3" i="4" a="1"/>
  <c r="F3" i="4" s="1"/>
  <c r="I3" i="4" s="1"/>
  <c r="K3" i="4" s="1"/>
  <c r="AH25" i="4"/>
  <c r="AT9" i="4"/>
  <c r="AT25" i="4"/>
  <c r="K7" i="4"/>
  <c r="K5" i="4"/>
  <c r="K4" i="4"/>
  <c r="N4" i="4"/>
  <c r="K8" i="4"/>
  <c r="N8" i="4"/>
  <c r="N6" i="4"/>
  <c r="K6" i="4"/>
  <c r="W3" i="4" l="1"/>
  <c r="N3" i="4"/>
  <c r="AG23" i="4"/>
  <c r="AK23" i="4"/>
  <c r="AO23" i="4"/>
  <c r="AS23" i="4"/>
  <c r="AW23" i="4"/>
  <c r="BA23" i="4"/>
  <c r="G4" i="4" l="1" a="1"/>
  <c r="G4" i="4" s="1"/>
  <c r="E4" i="4" l="1"/>
  <c r="D13" i="16" l="1"/>
  <c r="E13" i="16"/>
  <c r="R9" i="32" s="1" a="1"/>
  <c r="R9" i="32" s="1"/>
  <c r="F13" i="16"/>
  <c r="G13" i="16"/>
  <c r="H13" i="16"/>
  <c r="I13" i="16"/>
  <c r="J13" i="16"/>
  <c r="K13" i="16"/>
  <c r="D14" i="16"/>
  <c r="E14" i="16"/>
  <c r="S5" i="5" s="1" a="1"/>
  <c r="S5" i="5" s="1"/>
  <c r="G14" i="16"/>
  <c r="H14" i="16"/>
  <c r="I14" i="16"/>
  <c r="J14" i="16"/>
  <c r="K14" i="16"/>
  <c r="D15" i="16"/>
  <c r="E15" i="16"/>
  <c r="F15" i="16"/>
  <c r="G15" i="16"/>
  <c r="H15" i="16"/>
  <c r="I15" i="16"/>
  <c r="J15" i="16"/>
  <c r="K15" i="16"/>
  <c r="D16" i="16"/>
  <c r="E16" i="16"/>
  <c r="F16" i="16"/>
  <c r="G16" i="16"/>
  <c r="H16" i="16"/>
  <c r="I16" i="16"/>
  <c r="J16" i="16"/>
  <c r="K16" i="16"/>
  <c r="D17" i="16"/>
  <c r="E17" i="16"/>
  <c r="U9" i="32" s="1" a="1"/>
  <c r="U9" i="32" s="1"/>
  <c r="F17" i="16"/>
  <c r="G17" i="16"/>
  <c r="H17" i="16"/>
  <c r="I17" i="16"/>
  <c r="J17" i="16"/>
  <c r="K17" i="16"/>
  <c r="D18" i="16"/>
  <c r="E18" i="16"/>
  <c r="F18" i="16"/>
  <c r="G18" i="16"/>
  <c r="H18" i="16"/>
  <c r="J18" i="16"/>
  <c r="K18" i="16"/>
  <c r="D19" i="16"/>
  <c r="E19" i="16"/>
  <c r="F19" i="16"/>
  <c r="G19" i="16"/>
  <c r="H19" i="16"/>
  <c r="I19" i="16"/>
  <c r="J19" i="16"/>
  <c r="K19" i="16"/>
  <c r="D20" i="16"/>
  <c r="E20" i="16"/>
  <c r="F20" i="16"/>
  <c r="G20" i="16"/>
  <c r="H20" i="16"/>
  <c r="I20" i="16"/>
  <c r="J20" i="16"/>
  <c r="K20" i="16"/>
  <c r="D21" i="16"/>
  <c r="E21" i="16"/>
  <c r="F21" i="16"/>
  <c r="G21" i="16"/>
  <c r="H21" i="16"/>
  <c r="I21" i="16"/>
  <c r="J21" i="16"/>
  <c r="K21" i="16"/>
  <c r="D22" i="16"/>
  <c r="E22" i="16"/>
  <c r="F22" i="16"/>
  <c r="G22" i="16"/>
  <c r="H22" i="16"/>
  <c r="I22" i="16"/>
  <c r="J22" i="16"/>
  <c r="K22" i="16"/>
  <c r="J38" i="17"/>
  <c r="I38" i="17"/>
  <c r="H38" i="17"/>
  <c r="G38" i="17"/>
  <c r="F38" i="17"/>
  <c r="E38" i="17"/>
  <c r="D38" i="17"/>
  <c r="J37" i="17"/>
  <c r="I37" i="17"/>
  <c r="H37" i="17"/>
  <c r="G37" i="17"/>
  <c r="F37" i="17"/>
  <c r="E37" i="17"/>
  <c r="D37" i="17"/>
  <c r="J36" i="17"/>
  <c r="I36" i="17"/>
  <c r="H36" i="17"/>
  <c r="G36" i="17"/>
  <c r="F36" i="17"/>
  <c r="E36" i="17"/>
  <c r="D36" i="17"/>
  <c r="J35" i="17"/>
  <c r="I35" i="17"/>
  <c r="H35" i="17"/>
  <c r="G35" i="17"/>
  <c r="F35" i="17"/>
  <c r="E35" i="17"/>
  <c r="D35" i="17"/>
  <c r="J34" i="17"/>
  <c r="I34" i="17"/>
  <c r="H34" i="17"/>
  <c r="G34" i="17"/>
  <c r="F34" i="17"/>
  <c r="E34" i="17"/>
  <c r="D34" i="17"/>
  <c r="J33" i="17"/>
  <c r="I33" i="17"/>
  <c r="H33" i="17"/>
  <c r="G33" i="17"/>
  <c r="F33" i="17"/>
  <c r="E33" i="17"/>
  <c r="D33" i="17"/>
  <c r="J32" i="17"/>
  <c r="I32" i="17"/>
  <c r="H32" i="17"/>
  <c r="G32" i="17"/>
  <c r="F32" i="17"/>
  <c r="E32" i="17"/>
  <c r="D32" i="17"/>
  <c r="J31" i="17"/>
  <c r="I31" i="17"/>
  <c r="H31" i="17"/>
  <c r="G31" i="17"/>
  <c r="F31" i="17"/>
  <c r="E31" i="17"/>
  <c r="D31" i="17"/>
  <c r="J30" i="17"/>
  <c r="I30" i="17"/>
  <c r="H30" i="17"/>
  <c r="G30" i="17"/>
  <c r="AP71" i="32" s="1" a="1"/>
  <c r="AP71" i="32" s="1"/>
  <c r="AQ71" i="32" s="1"/>
  <c r="F30" i="17"/>
  <c r="E30" i="17"/>
  <c r="D30" i="17"/>
  <c r="J29" i="17"/>
  <c r="I29" i="17"/>
  <c r="H29" i="17"/>
  <c r="G29" i="17"/>
  <c r="F29" i="17"/>
  <c r="E29" i="17"/>
  <c r="D29" i="17"/>
  <c r="J28" i="17"/>
  <c r="I28" i="17"/>
  <c r="H28" i="17"/>
  <c r="G28" i="17"/>
  <c r="F28" i="17"/>
  <c r="E28" i="17"/>
  <c r="D28" i="17"/>
  <c r="J27" i="17"/>
  <c r="I27" i="17"/>
  <c r="H27" i="17"/>
  <c r="G27" i="17"/>
  <c r="F27" i="17"/>
  <c r="E27" i="17"/>
  <c r="D27" i="17"/>
  <c r="J26" i="17"/>
  <c r="I26" i="17"/>
  <c r="H26" i="17"/>
  <c r="G26" i="17"/>
  <c r="F26" i="17"/>
  <c r="E26" i="17"/>
  <c r="D26" i="17"/>
  <c r="J25" i="17"/>
  <c r="I25" i="17"/>
  <c r="H25" i="17"/>
  <c r="G25" i="17"/>
  <c r="F25" i="17"/>
  <c r="E25" i="17"/>
  <c r="D25" i="17"/>
  <c r="J24" i="17"/>
  <c r="I24" i="17"/>
  <c r="H24" i="17"/>
  <c r="G24" i="17"/>
  <c r="F24" i="17"/>
  <c r="AL71" i="32" s="1" a="1"/>
  <c r="AL71" i="32" s="1"/>
  <c r="E24" i="17"/>
  <c r="D24" i="17"/>
  <c r="J23" i="17"/>
  <c r="I23" i="17"/>
  <c r="H23" i="17"/>
  <c r="G23" i="17"/>
  <c r="F23" i="17"/>
  <c r="E23" i="17"/>
  <c r="D23" i="17"/>
  <c r="J22" i="17"/>
  <c r="I22" i="17"/>
  <c r="H22" i="17"/>
  <c r="G22" i="17"/>
  <c r="F22" i="17"/>
  <c r="E22" i="17"/>
  <c r="D22" i="17"/>
  <c r="J21" i="17"/>
  <c r="I21" i="17"/>
  <c r="H21" i="17"/>
  <c r="G21" i="17"/>
  <c r="F21" i="17"/>
  <c r="E21" i="17"/>
  <c r="D21" i="17"/>
  <c r="U15" i="32" l="1" a="1"/>
  <c r="U15" i="32" s="1"/>
  <c r="R15" i="32" a="1"/>
  <c r="R15" i="32" s="1"/>
  <c r="AF250" i="56" a="1"/>
  <c r="AF250" i="56" s="1"/>
  <c r="AF190" i="56" a="1"/>
  <c r="AF190" i="56" s="1"/>
  <c r="AF310" i="56" a="1"/>
  <c r="AF310" i="56" s="1"/>
  <c r="AF460" i="56" a="1"/>
  <c r="AF460" i="56" s="1"/>
  <c r="AF100" i="56" a="1"/>
  <c r="AF100" i="56" s="1"/>
  <c r="AF400" i="56" a="1"/>
  <c r="AF400" i="56" s="1"/>
  <c r="AF520" i="56" a="1"/>
  <c r="AF520" i="56" s="1"/>
  <c r="AF220" i="56" a="1"/>
  <c r="AF220" i="56" s="1"/>
  <c r="AF280" i="56" a="1"/>
  <c r="AF280" i="56" s="1"/>
  <c r="AF130" i="56" a="1"/>
  <c r="AF130" i="56" s="1"/>
  <c r="AF370" i="56" a="1"/>
  <c r="AF370" i="56" s="1"/>
  <c r="AF490" i="56" a="1"/>
  <c r="AF490" i="56" s="1"/>
  <c r="AF70" i="56" a="1"/>
  <c r="AF70" i="56" s="1"/>
  <c r="AF430" i="56" a="1"/>
  <c r="AF430" i="56" s="1"/>
  <c r="AF160" i="56" a="1"/>
  <c r="AF160" i="56" s="1"/>
  <c r="AF10" i="56" a="1"/>
  <c r="AF10" i="56" s="1"/>
  <c r="AF40" i="56" a="1"/>
  <c r="AF40" i="56" s="1"/>
  <c r="AF340" i="56" a="1"/>
  <c r="AF340" i="56" s="1"/>
  <c r="AF508" i="56" a="1"/>
  <c r="AF508" i="56" s="1"/>
  <c r="AF418" i="56" a="1"/>
  <c r="AF418" i="56" s="1"/>
  <c r="AF328" i="56" a="1"/>
  <c r="AF328" i="56" s="1"/>
  <c r="AF178" i="56" a="1"/>
  <c r="AF178" i="56" s="1"/>
  <c r="AF358" i="56" a="1"/>
  <c r="AF358" i="56" s="1"/>
  <c r="AF28" i="56" a="1"/>
  <c r="AF28" i="56" s="1"/>
  <c r="AF88" i="56" a="1"/>
  <c r="AF88" i="56" s="1"/>
  <c r="AF268" i="56" a="1"/>
  <c r="AF268" i="56" s="1"/>
  <c r="AF238" i="56" a="1"/>
  <c r="AF238" i="56" s="1"/>
  <c r="AF148" i="56" a="1"/>
  <c r="AF148" i="56" s="1"/>
  <c r="AF478" i="56" a="1"/>
  <c r="AF478" i="56" s="1"/>
  <c r="AF538" i="56" a="1"/>
  <c r="AF538" i="56" s="1"/>
  <c r="AF208" i="56" a="1"/>
  <c r="AF208" i="56" s="1"/>
  <c r="AF448" i="56" a="1"/>
  <c r="AF448" i="56" s="1"/>
  <c r="AF298" i="56" a="1"/>
  <c r="AF298" i="56" s="1"/>
  <c r="AF118" i="56" a="1"/>
  <c r="AF118" i="56" s="1"/>
  <c r="AF388" i="56" a="1"/>
  <c r="AF388" i="56" s="1"/>
  <c r="AF58" i="56" a="1"/>
  <c r="AF58" i="56" s="1"/>
  <c r="AF529" i="56" a="1"/>
  <c r="AF529" i="56" s="1"/>
  <c r="AF439" i="56" a="1"/>
  <c r="AF439" i="56" s="1"/>
  <c r="AF229" i="56" a="1"/>
  <c r="AF229" i="56" s="1"/>
  <c r="AF259" i="56" a="1"/>
  <c r="AF259" i="56" s="1"/>
  <c r="AF409" i="56" a="1"/>
  <c r="AF409" i="56" s="1"/>
  <c r="AF169" i="56" a="1"/>
  <c r="AF169" i="56" s="1"/>
  <c r="AF109" i="56" a="1"/>
  <c r="AF109" i="56" s="1"/>
  <c r="AF379" i="56" a="1"/>
  <c r="AF379" i="56" s="1"/>
  <c r="AF199" i="56" a="1"/>
  <c r="AF199" i="56" s="1"/>
  <c r="AF469" i="56" a="1"/>
  <c r="AF469" i="56" s="1"/>
  <c r="AF139" i="56" a="1"/>
  <c r="AF139" i="56" s="1"/>
  <c r="AF319" i="56" a="1"/>
  <c r="AF319" i="56" s="1"/>
  <c r="AF289" i="56" a="1"/>
  <c r="AF289" i="56" s="1"/>
  <c r="AF79" i="56" a="1"/>
  <c r="AF79" i="56" s="1"/>
  <c r="AF499" i="56" a="1"/>
  <c r="AF499" i="56" s="1"/>
  <c r="AF349" i="56" a="1"/>
  <c r="AF349" i="56" s="1"/>
  <c r="AF49" i="56" a="1"/>
  <c r="AF49" i="56" s="1"/>
  <c r="AF19" i="56" a="1"/>
  <c r="AF19" i="56" s="1"/>
  <c r="AF408" i="56" a="1"/>
  <c r="AF408" i="56" s="1"/>
  <c r="AF318" i="56" a="1"/>
  <c r="AF318" i="56" s="1"/>
  <c r="AF288" i="56" a="1"/>
  <c r="AF288" i="56" s="1"/>
  <c r="AF258" i="56" a="1"/>
  <c r="AF258" i="56" s="1"/>
  <c r="AF138" i="56" a="1"/>
  <c r="AF138" i="56" s="1"/>
  <c r="AF348" i="56" a="1"/>
  <c r="AF348" i="56" s="1"/>
  <c r="AF378" i="56" a="1"/>
  <c r="AF378" i="56" s="1"/>
  <c r="AF168" i="56" a="1"/>
  <c r="AF168" i="56" s="1"/>
  <c r="AF18" i="56" a="1"/>
  <c r="AF18" i="56" s="1"/>
  <c r="AF78" i="56" a="1"/>
  <c r="AF78" i="56" s="1"/>
  <c r="AF438" i="56" a="1"/>
  <c r="AF438" i="56" s="1"/>
  <c r="AF228" i="56" a="1"/>
  <c r="AF228" i="56" s="1"/>
  <c r="AF498" i="56" a="1"/>
  <c r="AF498" i="56" s="1"/>
  <c r="AF48" i="56" a="1"/>
  <c r="AF48" i="56" s="1"/>
  <c r="AF198" i="56" a="1"/>
  <c r="AF198" i="56" s="1"/>
  <c r="AF528" i="56" a="1"/>
  <c r="AF528" i="56" s="1"/>
  <c r="AF108" i="56" a="1"/>
  <c r="AF108" i="56" s="1"/>
  <c r="AF468" i="56" a="1"/>
  <c r="AF468" i="56" s="1"/>
  <c r="AF389" i="56" a="1"/>
  <c r="AF389" i="56" s="1"/>
  <c r="AF269" i="56" a="1"/>
  <c r="AF269" i="56" s="1"/>
  <c r="AF509" i="56" a="1"/>
  <c r="AF509" i="56" s="1"/>
  <c r="AF59" i="56" a="1"/>
  <c r="AF59" i="56" s="1"/>
  <c r="AF149" i="56" a="1"/>
  <c r="AF149" i="56" s="1"/>
  <c r="AF119" i="56" a="1"/>
  <c r="AF119" i="56" s="1"/>
  <c r="AF419" i="56" a="1"/>
  <c r="AF419" i="56" s="1"/>
  <c r="AF179" i="56" a="1"/>
  <c r="AF179" i="56" s="1"/>
  <c r="AF539" i="56" a="1"/>
  <c r="AF539" i="56" s="1"/>
  <c r="AF29" i="56" a="1"/>
  <c r="AF29" i="56" s="1"/>
  <c r="AF359" i="56" a="1"/>
  <c r="AF359" i="56" s="1"/>
  <c r="AF299" i="56" a="1"/>
  <c r="AF299" i="56" s="1"/>
  <c r="AF89" i="56" a="1"/>
  <c r="AF89" i="56" s="1"/>
  <c r="AF209" i="56" a="1"/>
  <c r="AF209" i="56" s="1"/>
  <c r="AF239" i="56" a="1"/>
  <c r="AF239" i="56" s="1"/>
  <c r="AF329" i="56" a="1"/>
  <c r="AF329" i="56" s="1"/>
  <c r="AF449" i="56" a="1"/>
  <c r="AF449" i="56" s="1"/>
  <c r="AF479" i="56" a="1"/>
  <c r="AF479" i="56" s="1"/>
  <c r="AF387" i="56" a="1"/>
  <c r="AF387" i="56" s="1"/>
  <c r="AF447" i="56" a="1"/>
  <c r="AF447" i="56" s="1"/>
  <c r="AF237" i="56" a="1"/>
  <c r="AF237" i="56" s="1"/>
  <c r="AF297" i="56" a="1"/>
  <c r="AF297" i="56" s="1"/>
  <c r="AF207" i="56" a="1"/>
  <c r="AF207" i="56" s="1"/>
  <c r="AF87" i="56" a="1"/>
  <c r="AF87" i="56" s="1"/>
  <c r="AF327" i="56" a="1"/>
  <c r="AF327" i="56" s="1"/>
  <c r="AF357" i="56" a="1"/>
  <c r="AF357" i="56" s="1"/>
  <c r="AF477" i="56" a="1"/>
  <c r="AF477" i="56" s="1"/>
  <c r="AF117" i="56" a="1"/>
  <c r="AF117" i="56" s="1"/>
  <c r="AF417" i="56" a="1"/>
  <c r="AF417" i="56" s="1"/>
  <c r="AF27" i="56" a="1"/>
  <c r="AF27" i="56" s="1"/>
  <c r="AF57" i="56" a="1"/>
  <c r="AF57" i="56" s="1"/>
  <c r="AF177" i="56" a="1"/>
  <c r="AF177" i="56" s="1"/>
  <c r="AF537" i="56" a="1"/>
  <c r="AF537" i="56" s="1"/>
  <c r="AF147" i="56" a="1"/>
  <c r="AF147" i="56" s="1"/>
  <c r="AF267" i="56" a="1"/>
  <c r="AF267" i="56" s="1"/>
  <c r="AF507" i="56" a="1"/>
  <c r="AF507" i="56" s="1"/>
  <c r="AH71" i="32" a="1"/>
  <c r="AH71" i="32" s="1"/>
  <c r="AI71" i="32" s="1"/>
  <c r="AF311" i="56" a="1"/>
  <c r="AF311" i="56" s="1"/>
  <c r="AF431" i="56" a="1"/>
  <c r="AF431" i="56" s="1"/>
  <c r="AF131" i="56" a="1"/>
  <c r="AF131" i="56" s="1"/>
  <c r="AF11" i="56" a="1"/>
  <c r="AF11" i="56" s="1"/>
  <c r="AF371" i="56" a="1"/>
  <c r="AF371" i="56" s="1"/>
  <c r="AF251" i="56" a="1"/>
  <c r="AF251" i="56" s="1"/>
  <c r="AF521" i="56" a="1"/>
  <c r="AF521" i="56" s="1"/>
  <c r="AF71" i="56" a="1"/>
  <c r="AF71" i="56" s="1"/>
  <c r="AF221" i="56" a="1"/>
  <c r="AF221" i="56" s="1"/>
  <c r="AF101" i="56" a="1"/>
  <c r="AF101" i="56" s="1"/>
  <c r="AF401" i="56" a="1"/>
  <c r="AF401" i="56" s="1"/>
  <c r="AF491" i="56" a="1"/>
  <c r="AF491" i="56" s="1"/>
  <c r="AF41" i="56" a="1"/>
  <c r="AF41" i="56" s="1"/>
  <c r="AF161" i="56" a="1"/>
  <c r="AF161" i="56" s="1"/>
  <c r="AF191" i="56" a="1"/>
  <c r="AF191" i="56" s="1"/>
  <c r="AF281" i="56" a="1"/>
  <c r="AF281" i="56" s="1"/>
  <c r="AF461" i="56" a="1"/>
  <c r="AF461" i="56" s="1"/>
  <c r="AF341" i="56" a="1"/>
  <c r="AF341" i="56" s="1"/>
  <c r="AF399" i="56" a="1"/>
  <c r="AF399" i="56" s="1"/>
  <c r="AF219" i="56" a="1"/>
  <c r="AF219" i="56" s="1"/>
  <c r="AF69" i="56" a="1"/>
  <c r="AF69" i="56" s="1"/>
  <c r="AF309" i="56" a="1"/>
  <c r="AF309" i="56" s="1"/>
  <c r="AF9" i="56" a="1"/>
  <c r="AF9" i="56" s="1"/>
  <c r="AF339" i="56" a="1"/>
  <c r="AF339" i="56" s="1"/>
  <c r="AF39" i="56" a="1"/>
  <c r="AF39" i="56" s="1"/>
  <c r="AF249" i="56" a="1"/>
  <c r="AF249" i="56" s="1"/>
  <c r="AF279" i="56" a="1"/>
  <c r="AF279" i="56" s="1"/>
  <c r="AF189" i="56" a="1"/>
  <c r="AF189" i="56" s="1"/>
  <c r="AF459" i="56" a="1"/>
  <c r="AF459" i="56" s="1"/>
  <c r="AF369" i="56" a="1"/>
  <c r="AF369" i="56" s="1"/>
  <c r="AF519" i="56" a="1"/>
  <c r="AF519" i="56" s="1"/>
  <c r="AF99" i="56" a="1"/>
  <c r="AF99" i="56" s="1"/>
  <c r="AF129" i="56" a="1"/>
  <c r="AF129" i="56" s="1"/>
  <c r="AF429" i="56" a="1"/>
  <c r="AF429" i="56" s="1"/>
  <c r="AF159" i="56" a="1"/>
  <c r="AF159" i="56" s="1"/>
  <c r="AF489" i="56" a="1"/>
  <c r="AF489" i="56" s="1"/>
  <c r="AF380" i="56" a="1"/>
  <c r="AF380" i="56" s="1"/>
  <c r="AF440" i="56" a="1"/>
  <c r="AF440" i="56" s="1"/>
  <c r="AF290" i="56" a="1"/>
  <c r="AF290" i="56" s="1"/>
  <c r="AF80" i="56" a="1"/>
  <c r="AF80" i="56" s="1"/>
  <c r="AF50" i="56" a="1"/>
  <c r="AF50" i="56" s="1"/>
  <c r="AF20" i="56" a="1"/>
  <c r="AF20" i="56" s="1"/>
  <c r="AF110" i="56" a="1"/>
  <c r="AF110" i="56" s="1"/>
  <c r="AF230" i="56" a="1"/>
  <c r="AF230" i="56" s="1"/>
  <c r="AF320" i="56" a="1"/>
  <c r="AF320" i="56" s="1"/>
  <c r="AF170" i="56" a="1"/>
  <c r="AF170" i="56" s="1"/>
  <c r="AF140" i="56" a="1"/>
  <c r="AF140" i="56" s="1"/>
  <c r="AF500" i="56" a="1"/>
  <c r="AF500" i="56" s="1"/>
  <c r="AF530" i="56" a="1"/>
  <c r="AF530" i="56" s="1"/>
  <c r="AF200" i="56" a="1"/>
  <c r="AF200" i="56" s="1"/>
  <c r="AF350" i="56" a="1"/>
  <c r="AF350" i="56" s="1"/>
  <c r="AF260" i="56" a="1"/>
  <c r="AF260" i="56" s="1"/>
  <c r="AF470" i="56" a="1"/>
  <c r="AF470" i="56" s="1"/>
  <c r="AF410" i="56" a="1"/>
  <c r="AF410" i="56" s="1"/>
  <c r="AM71" i="32"/>
  <c r="C44" i="13"/>
  <c r="C43" i="13"/>
  <c r="C42" i="13"/>
  <c r="C41" i="13"/>
  <c r="C40" i="13"/>
  <c r="C39" i="13"/>
  <c r="C38" i="13"/>
  <c r="C37" i="13"/>
  <c r="C36" i="13"/>
  <c r="C35" i="13"/>
  <c r="C33" i="13"/>
  <c r="C34" i="13"/>
  <c r="D2" i="1" l="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M15" i="1" l="1" a="1"/>
  <c r="M15" i="1" s="1"/>
  <c r="M387" i="1" a="1"/>
  <c r="M387" i="1" s="1"/>
  <c r="M5" i="1" a="1"/>
  <c r="M5" i="1" s="1"/>
  <c r="M318" i="1" a="1"/>
  <c r="M318" i="1" s="1"/>
  <c r="M47" i="1" a="1"/>
  <c r="M47" i="1" s="1"/>
  <c r="L17" i="1" a="1"/>
  <c r="L17" i="1" s="1"/>
  <c r="M196" i="1" a="1"/>
  <c r="M196" i="1" s="1"/>
  <c r="L353" i="1" a="1"/>
  <c r="L353" i="1" s="1"/>
  <c r="M98" i="1" a="1"/>
  <c r="M98" i="1" s="1"/>
  <c r="L240" i="1" a="1"/>
  <c r="L240" i="1" s="1"/>
  <c r="L23" i="1" a="1"/>
  <c r="L23" i="1" s="1"/>
  <c r="M161" i="1" a="1"/>
  <c r="M161" i="1" s="1"/>
  <c r="L196" i="1" a="1"/>
  <c r="L196" i="1" s="1"/>
  <c r="L106" i="1" a="1"/>
  <c r="L106" i="1" s="1"/>
  <c r="L78" i="1" a="1"/>
  <c r="L78" i="1" s="1"/>
  <c r="L287" i="1" a="1"/>
  <c r="L287" i="1" s="1"/>
  <c r="L171" i="1" a="1"/>
  <c r="L171" i="1" s="1"/>
  <c r="L172" i="1" a="1"/>
  <c r="L172" i="1" s="1"/>
  <c r="L145" i="1" a="1"/>
  <c r="L145" i="1" s="1"/>
  <c r="L59" i="1" a="1"/>
  <c r="L59" i="1" s="1"/>
  <c r="M273" i="1" a="1"/>
  <c r="M273" i="1" s="1"/>
  <c r="M266" i="1" a="1"/>
  <c r="M266" i="1" s="1"/>
  <c r="M152" i="1" a="1"/>
  <c r="M152" i="1" s="1"/>
  <c r="M45" i="1" a="1"/>
  <c r="M45" i="1" s="1"/>
  <c r="M101" i="1" a="1"/>
  <c r="M101" i="1" s="1"/>
  <c r="L350" i="1" a="1"/>
  <c r="L350" i="1" s="1"/>
  <c r="M187" i="1" a="1"/>
  <c r="M187" i="1" s="1"/>
  <c r="M81" i="1" a="1"/>
  <c r="M81" i="1" s="1"/>
  <c r="L157" i="1" a="1"/>
  <c r="L157" i="1" s="1"/>
  <c r="L9" i="1" a="1"/>
  <c r="L9" i="1" s="1"/>
  <c r="L136" i="1" a="1"/>
  <c r="L136" i="1" s="1"/>
  <c r="M371" i="1" a="1"/>
  <c r="M371" i="1" s="1"/>
  <c r="M222" i="1" a="1"/>
  <c r="M222" i="1" s="1"/>
  <c r="M368" i="1" a="1"/>
  <c r="M368" i="1" s="1"/>
  <c r="L189" i="1" a="1"/>
  <c r="L189" i="1" s="1"/>
  <c r="M334" i="1" a="1"/>
  <c r="M334" i="1" s="1"/>
  <c r="M16" i="1" a="1"/>
  <c r="M16" i="1" s="1"/>
  <c r="M7" i="1" a="1"/>
  <c r="M7" i="1" s="1"/>
  <c r="M13" i="1" a="1"/>
  <c r="M13" i="1" s="1"/>
  <c r="M258" i="1" a="1"/>
  <c r="M258" i="1" s="1"/>
  <c r="M138" i="1" a="1"/>
  <c r="M138" i="1" s="1"/>
  <c r="L71" i="1" a="1"/>
  <c r="L71" i="1" s="1"/>
  <c r="L253" i="1" a="1"/>
  <c r="L253" i="1" s="1"/>
  <c r="M66" i="1" a="1"/>
  <c r="M66" i="1" s="1"/>
  <c r="L229" i="1" a="1"/>
  <c r="L229" i="1" s="1"/>
  <c r="L202" i="1" a="1"/>
  <c r="L202" i="1" s="1"/>
  <c r="L2" i="1" a="1"/>
  <c r="L2" i="1" s="1"/>
  <c r="M210" i="1" a="1"/>
  <c r="M210" i="1" s="1"/>
  <c r="M154" i="1" a="1"/>
  <c r="M154" i="1" s="1"/>
  <c r="M297" i="1" a="1"/>
  <c r="M297" i="1" s="1"/>
  <c r="L311" i="1" a="1"/>
  <c r="L311" i="1" s="1"/>
  <c r="L64" i="1" a="1"/>
  <c r="L64" i="1" s="1"/>
  <c r="L363" i="1" a="1"/>
  <c r="L363" i="1" s="1"/>
  <c r="M306" i="1" a="1"/>
  <c r="M306" i="1" s="1"/>
  <c r="M33" i="1" a="1"/>
  <c r="M33" i="1" s="1"/>
  <c r="M8" i="1" a="1"/>
  <c r="M8" i="1" s="1"/>
  <c r="M31" i="1" a="1"/>
  <c r="M31" i="1" s="1"/>
  <c r="M278" i="1" a="1"/>
  <c r="M278" i="1" s="1"/>
  <c r="M158" i="1" a="1"/>
  <c r="M158" i="1" s="1"/>
  <c r="L95" i="1" a="1"/>
  <c r="L95" i="1" s="1"/>
  <c r="L281" i="1" a="1"/>
  <c r="L281" i="1" s="1"/>
  <c r="M90" i="1" a="1"/>
  <c r="M90" i="1" s="1"/>
  <c r="L257" i="1" a="1"/>
  <c r="L257" i="1" s="1"/>
  <c r="L231" i="1" a="1"/>
  <c r="L231" i="1" s="1"/>
  <c r="L61" i="1" a="1"/>
  <c r="L61" i="1" s="1"/>
  <c r="M153" i="1" a="1"/>
  <c r="M153" i="1" s="1"/>
  <c r="M74" i="1" a="1"/>
  <c r="M74" i="1" s="1"/>
  <c r="M247" i="1" a="1"/>
  <c r="M247" i="1" s="1"/>
  <c r="L277" i="1" a="1"/>
  <c r="L277" i="1" s="1"/>
  <c r="L183" i="1" a="1"/>
  <c r="L183" i="1" s="1"/>
  <c r="L247" i="1" a="1"/>
  <c r="L247" i="1" s="1"/>
  <c r="L62" i="1" a="1"/>
  <c r="L62" i="1" s="1"/>
  <c r="L85" i="1" a="1"/>
  <c r="L85" i="1" s="1"/>
  <c r="L8" i="1" a="1"/>
  <c r="L8" i="1" s="1"/>
  <c r="L114" i="1" a="1"/>
  <c r="L114" i="1" s="1"/>
  <c r="M136" i="1" a="1"/>
  <c r="M136" i="1" s="1"/>
  <c r="L334" i="1" a="1"/>
  <c r="L334" i="1" s="1"/>
  <c r="M263" i="1" a="1"/>
  <c r="M263" i="1" s="1"/>
  <c r="L225" i="1" a="1"/>
  <c r="L225" i="1" s="1"/>
  <c r="M40" i="1" a="1"/>
  <c r="M40" i="1" s="1"/>
  <c r="L291" i="1" a="1"/>
  <c r="L291" i="1" s="1"/>
  <c r="L299" i="1" a="1"/>
  <c r="L299" i="1" s="1"/>
  <c r="M379" i="1" a="1"/>
  <c r="M379" i="1" s="1"/>
  <c r="M268" i="1" a="1"/>
  <c r="M268" i="1" s="1"/>
  <c r="M102" i="1" a="1"/>
  <c r="M102" i="1" s="1"/>
  <c r="M50" i="1" a="1"/>
  <c r="M50" i="1" s="1"/>
  <c r="L19" i="1" a="1"/>
  <c r="L19" i="1" s="1"/>
  <c r="M6" i="1" a="1"/>
  <c r="M6" i="1" s="1"/>
  <c r="M337" i="1" a="1"/>
  <c r="M337" i="1" s="1"/>
  <c r="M65" i="1" a="1"/>
  <c r="M65" i="1" s="1"/>
  <c r="L42" i="1" a="1"/>
  <c r="L42" i="1" s="1"/>
  <c r="M238" i="1" a="1"/>
  <c r="M238" i="1" s="1"/>
  <c r="L375" i="1" a="1"/>
  <c r="L375" i="1" s="1"/>
  <c r="M118" i="1" a="1"/>
  <c r="M118" i="1" s="1"/>
  <c r="L264" i="1" a="1"/>
  <c r="L264" i="1" s="1"/>
  <c r="L47" i="1" a="1"/>
  <c r="L47" i="1" s="1"/>
  <c r="M181" i="1" a="1"/>
  <c r="M181" i="1" s="1"/>
  <c r="L224" i="1" a="1"/>
  <c r="L224" i="1" s="1"/>
  <c r="L135" i="1" a="1"/>
  <c r="L135" i="1" s="1"/>
  <c r="M30" i="1" a="1"/>
  <c r="M30" i="1" s="1"/>
  <c r="L317" i="1" a="1"/>
  <c r="L317" i="1" s="1"/>
  <c r="L200" i="1" a="1"/>
  <c r="L200" i="1" s="1"/>
  <c r="L201" i="1" a="1"/>
  <c r="L201" i="1" s="1"/>
  <c r="L174" i="1" a="1"/>
  <c r="L174" i="1" s="1"/>
  <c r="L123" i="1" a="1"/>
  <c r="L123" i="1" s="1"/>
  <c r="M331" i="1" a="1"/>
  <c r="M331" i="1" s="1"/>
  <c r="M293" i="1" a="1"/>
  <c r="M293" i="1" s="1"/>
  <c r="M184" i="1" a="1"/>
  <c r="M184" i="1" s="1"/>
  <c r="M72" i="1" a="1"/>
  <c r="M72" i="1" s="1"/>
  <c r="M128" i="1" a="1"/>
  <c r="M128" i="1" s="1"/>
  <c r="L380" i="1" a="1"/>
  <c r="L380" i="1" s="1"/>
  <c r="M245" i="1" a="1"/>
  <c r="M245" i="1" s="1"/>
  <c r="M131" i="1" a="1"/>
  <c r="M131" i="1" s="1"/>
  <c r="L245" i="1" a="1"/>
  <c r="L245" i="1" s="1"/>
  <c r="L276" i="1" a="1"/>
  <c r="L276" i="1" s="1"/>
  <c r="L386" i="1" a="1"/>
  <c r="L386" i="1" s="1"/>
  <c r="L251" i="1" a="1"/>
  <c r="L251" i="1" s="1"/>
  <c r="L128" i="1" a="1"/>
  <c r="L128" i="1" s="1"/>
  <c r="L73" i="1" a="1"/>
  <c r="L73" i="1" s="1"/>
  <c r="L342" i="1" a="1"/>
  <c r="L342" i="1" s="1"/>
  <c r="L221" i="1" a="1"/>
  <c r="L221" i="1" s="1"/>
  <c r="L41" i="1" a="1"/>
  <c r="L41" i="1" s="1"/>
  <c r="M356" i="1" a="1"/>
  <c r="M356" i="1" s="1"/>
  <c r="L66" i="1" a="1"/>
  <c r="L66" i="1" s="1"/>
  <c r="M28" i="1" a="1"/>
  <c r="M28" i="1" s="1"/>
  <c r="L288" i="1" a="1"/>
  <c r="L288" i="1" s="1"/>
  <c r="M201" i="1" a="1"/>
  <c r="M201" i="1" s="1"/>
  <c r="L166" i="1" a="1"/>
  <c r="L166" i="1" s="1"/>
  <c r="L343" i="1" a="1"/>
  <c r="L343" i="1" s="1"/>
  <c r="L230" i="1" a="1"/>
  <c r="L230" i="1" s="1"/>
  <c r="L180" i="1" a="1"/>
  <c r="L180" i="1" s="1"/>
  <c r="M321" i="1" a="1"/>
  <c r="M321" i="1" s="1"/>
  <c r="M127" i="1" a="1"/>
  <c r="M127" i="1" s="1"/>
  <c r="M46" i="1" a="1"/>
  <c r="M46" i="1" s="1"/>
  <c r="M189" i="1" a="1"/>
  <c r="M189" i="1" s="1"/>
  <c r="M307" i="1" a="1"/>
  <c r="M307" i="1" s="1"/>
  <c r="M168" i="1" a="1"/>
  <c r="M168" i="1" s="1"/>
  <c r="L159" i="1" a="1"/>
  <c r="L159" i="1" s="1"/>
  <c r="M137" i="1" a="1"/>
  <c r="M137" i="1" s="1"/>
  <c r="L63" i="1" a="1"/>
  <c r="L63" i="1" s="1"/>
  <c r="M376" i="1" a="1"/>
  <c r="M376" i="1" s="1"/>
  <c r="L90" i="1" a="1"/>
  <c r="L90" i="1" s="1"/>
  <c r="M116" i="1" a="1"/>
  <c r="M116" i="1" s="1"/>
  <c r="L312" i="1" a="1"/>
  <c r="L312" i="1" s="1"/>
  <c r="M242" i="1" a="1"/>
  <c r="M242" i="1" s="1"/>
  <c r="L197" i="1" a="1"/>
  <c r="L197" i="1" s="1"/>
  <c r="L369" i="1" a="1"/>
  <c r="L369" i="1" s="1"/>
  <c r="L258" i="1" a="1"/>
  <c r="L258" i="1" s="1"/>
  <c r="L242" i="1" a="1"/>
  <c r="L242" i="1" s="1"/>
  <c r="M350" i="1" a="1"/>
  <c r="M350" i="1" s="1"/>
  <c r="M236" i="1" a="1"/>
  <c r="M236" i="1" s="1"/>
  <c r="M185" i="1" a="1"/>
  <c r="M185" i="1" s="1"/>
  <c r="M355" i="1" a="1"/>
  <c r="M355" i="1" s="1"/>
  <c r="L389" i="1" a="1"/>
  <c r="L389" i="1" s="1"/>
  <c r="L307" i="1" a="1"/>
  <c r="L307" i="1" s="1"/>
  <c r="M311" i="1" a="1"/>
  <c r="M311" i="1" s="1"/>
  <c r="L190" i="1" a="1"/>
  <c r="L190" i="1" s="1"/>
  <c r="M17" i="1" a="1"/>
  <c r="M17" i="1" s="1"/>
  <c r="M24" i="1" a="1"/>
  <c r="M24" i="1" s="1"/>
  <c r="M14" i="1" a="1"/>
  <c r="M14" i="1" s="1"/>
  <c r="M320" i="1" a="1"/>
  <c r="M320" i="1" s="1"/>
  <c r="M179" i="1" a="1"/>
  <c r="M179" i="1" s="1"/>
  <c r="L120" i="1" a="1"/>
  <c r="L120" i="1" s="1"/>
  <c r="L314" i="1" a="1"/>
  <c r="L314" i="1" s="1"/>
  <c r="M121" i="1" a="1"/>
  <c r="M121" i="1" s="1"/>
  <c r="L290" i="1" a="1"/>
  <c r="L290" i="1" s="1"/>
  <c r="L262" i="1" a="1"/>
  <c r="L262" i="1" s="1"/>
  <c r="L125" i="1" a="1"/>
  <c r="L125" i="1" s="1"/>
  <c r="M267" i="1" a="1"/>
  <c r="M267" i="1" s="1"/>
  <c r="M211" i="1" a="1"/>
  <c r="M211" i="1" s="1"/>
  <c r="M69" i="1" a="1"/>
  <c r="M69" i="1" s="1"/>
  <c r="L151" i="1" a="1"/>
  <c r="L151" i="1" s="1"/>
  <c r="M25" i="1" a="1"/>
  <c r="M25" i="1" s="1"/>
  <c r="L74" i="1" a="1"/>
  <c r="L74" i="1" s="1"/>
  <c r="M55" i="1" a="1"/>
  <c r="M55" i="1" s="1"/>
  <c r="L187" i="1" a="1"/>
  <c r="L187" i="1" s="1"/>
  <c r="M384" i="1" a="1"/>
  <c r="M384" i="1" s="1"/>
  <c r="M198" i="1" a="1"/>
  <c r="M198" i="1" s="1"/>
  <c r="M261" i="1" a="1"/>
  <c r="M261" i="1" s="1"/>
  <c r="M38" i="1" a="1"/>
  <c r="M38" i="1" s="1"/>
  <c r="L192" i="1" a="1"/>
  <c r="L192" i="1" s="1"/>
  <c r="M344" i="1" a="1"/>
  <c r="M344" i="1" s="1"/>
  <c r="M64" i="1" a="1"/>
  <c r="M64" i="1" s="1"/>
  <c r="L315" i="1" a="1"/>
  <c r="L315" i="1" s="1"/>
  <c r="M231" i="1" a="1"/>
  <c r="M231" i="1" s="1"/>
  <c r="M122" i="1" a="1"/>
  <c r="M122" i="1" s="1"/>
  <c r="L370" i="1" a="1"/>
  <c r="L370" i="1" s="1"/>
  <c r="L371" i="1" a="1"/>
  <c r="L371" i="1" s="1"/>
  <c r="L346" i="1" a="1"/>
  <c r="L346" i="1" s="1"/>
  <c r="M77" i="1" a="1"/>
  <c r="M77" i="1" s="1"/>
  <c r="L301" i="1" a="1"/>
  <c r="L301" i="1" s="1"/>
  <c r="L83" i="1" a="1"/>
  <c r="L83" i="1" s="1"/>
  <c r="M351" i="1" a="1"/>
  <c r="M351" i="1" s="1"/>
  <c r="M381" i="1" a="1"/>
  <c r="M381" i="1" s="1"/>
  <c r="M295" i="1" a="1"/>
  <c r="M295" i="1" s="1"/>
  <c r="M186" i="1" a="1"/>
  <c r="M186" i="1" s="1"/>
  <c r="L209" i="1" a="1"/>
  <c r="L209" i="1" s="1"/>
  <c r="L97" i="1" a="1"/>
  <c r="L97" i="1" s="1"/>
  <c r="L98" i="1" a="1"/>
  <c r="L98" i="1" s="1"/>
  <c r="L127" i="1" a="1"/>
  <c r="L127" i="1" s="1"/>
  <c r="M54" i="1" a="1"/>
  <c r="M54" i="1" s="1"/>
  <c r="M191" i="1" a="1"/>
  <c r="M191" i="1" s="1"/>
  <c r="L302" i="1" a="1"/>
  <c r="L302" i="1" s="1"/>
  <c r="L75" i="1" a="1"/>
  <c r="L75" i="1" s="1"/>
  <c r="L33" i="1" a="1"/>
  <c r="L33" i="1" s="1"/>
  <c r="M142" i="1" a="1"/>
  <c r="M142" i="1" s="1"/>
  <c r="M87" i="1" a="1"/>
  <c r="M87" i="1" s="1"/>
  <c r="L173" i="1" a="1"/>
  <c r="L173" i="1" s="1"/>
  <c r="M10" i="1" a="1"/>
  <c r="M10" i="1" s="1"/>
  <c r="L96" i="1" a="1"/>
  <c r="L96" i="1" s="1"/>
  <c r="M75" i="1" a="1"/>
  <c r="M75" i="1" s="1"/>
  <c r="L211" i="1" a="1"/>
  <c r="L211" i="1" s="1"/>
  <c r="L18" i="1" a="1"/>
  <c r="L18" i="1" s="1"/>
  <c r="M218" i="1" a="1"/>
  <c r="M218" i="1" s="1"/>
  <c r="M282" i="1" a="1"/>
  <c r="M282" i="1" s="1"/>
  <c r="M59" i="1" a="1"/>
  <c r="M59" i="1" s="1"/>
  <c r="L216" i="1" a="1"/>
  <c r="L216" i="1" s="1"/>
  <c r="M367" i="1" a="1"/>
  <c r="M367" i="1" s="1"/>
  <c r="M89" i="1" a="1"/>
  <c r="M89" i="1" s="1"/>
  <c r="L341" i="1" a="1"/>
  <c r="L341" i="1" s="1"/>
  <c r="M260" i="1" a="1"/>
  <c r="M260" i="1" s="1"/>
  <c r="M148" i="1" a="1"/>
  <c r="M148" i="1" s="1"/>
  <c r="M41" i="1" a="1"/>
  <c r="M41" i="1" s="1"/>
  <c r="M68" i="1" a="1"/>
  <c r="M68" i="1" s="1"/>
  <c r="L372" i="1" a="1"/>
  <c r="L372" i="1" s="1"/>
  <c r="M130" i="1" a="1"/>
  <c r="M130" i="1" s="1"/>
  <c r="L358" i="1" a="1"/>
  <c r="L358" i="1" s="1"/>
  <c r="L113" i="1" a="1"/>
  <c r="L113" i="1" s="1"/>
  <c r="M380" i="1" a="1"/>
  <c r="M380" i="1" s="1"/>
  <c r="L26" i="1" a="1"/>
  <c r="L26" i="1" s="1"/>
  <c r="M327" i="1" a="1"/>
  <c r="M327" i="1" s="1"/>
  <c r="M212" i="1" a="1"/>
  <c r="M212" i="1" s="1"/>
  <c r="L270" i="1" a="1"/>
  <c r="L270" i="1" s="1"/>
  <c r="L154" i="1" a="1"/>
  <c r="L154" i="1" s="1"/>
  <c r="L333" i="1" a="1"/>
  <c r="L333" i="1" s="1"/>
  <c r="L362" i="1" a="1"/>
  <c r="L362" i="1" s="1"/>
  <c r="M144" i="1" a="1"/>
  <c r="M144" i="1" s="1"/>
  <c r="L102" i="1" a="1"/>
  <c r="L102" i="1" s="1"/>
  <c r="M333" i="1" a="1"/>
  <c r="M333" i="1" s="1"/>
  <c r="L332" i="1" a="1"/>
  <c r="L332" i="1" s="1"/>
  <c r="L278" i="1" a="1"/>
  <c r="L278" i="1" s="1"/>
  <c r="L65" i="1" a="1"/>
  <c r="L65" i="1" s="1"/>
  <c r="M104" i="1" a="1"/>
  <c r="M104" i="1" s="1"/>
  <c r="L195" i="1" a="1"/>
  <c r="L195" i="1" s="1"/>
  <c r="M26" i="1" a="1"/>
  <c r="M26" i="1" s="1"/>
  <c r="L118" i="1" a="1"/>
  <c r="L118" i="1" s="1"/>
  <c r="M94" i="1" a="1"/>
  <c r="M94" i="1" s="1"/>
  <c r="L235" i="1" a="1"/>
  <c r="L235" i="1" s="1"/>
  <c r="L43" i="1" a="1"/>
  <c r="L43" i="1" s="1"/>
  <c r="M239" i="1" a="1"/>
  <c r="M239" i="1" s="1"/>
  <c r="M302" i="1" a="1"/>
  <c r="M302" i="1" s="1"/>
  <c r="M79" i="1" a="1"/>
  <c r="M79" i="1" s="1"/>
  <c r="L241" i="1" a="1"/>
  <c r="L241" i="1" s="1"/>
  <c r="M21" i="1" a="1"/>
  <c r="M21" i="1" s="1"/>
  <c r="M117" i="1" a="1"/>
  <c r="M117" i="1" s="1"/>
  <c r="L367" i="1" a="1"/>
  <c r="L367" i="1" s="1"/>
  <c r="M288" i="1" a="1"/>
  <c r="M288" i="1" s="1"/>
  <c r="M174" i="1" a="1"/>
  <c r="M174" i="1" s="1"/>
  <c r="M34" i="1" a="1"/>
  <c r="M34" i="1" s="1"/>
  <c r="M35" i="1" a="1"/>
  <c r="M35" i="1" s="1"/>
  <c r="L140" i="1" a="1"/>
  <c r="L140" i="1" s="1"/>
  <c r="M298" i="1" a="1"/>
  <c r="M298" i="1" s="1"/>
  <c r="L115" i="1" a="1"/>
  <c r="L115" i="1" s="1"/>
  <c r="M37" i="1" a="1"/>
  <c r="M37" i="1" s="1"/>
  <c r="M221" i="1" a="1"/>
  <c r="M221" i="1" s="1"/>
  <c r="M304" i="1" a="1"/>
  <c r="M304" i="1" s="1"/>
  <c r="M313" i="1" a="1"/>
  <c r="M313" i="1" s="1"/>
  <c r="M315" i="1" a="1"/>
  <c r="M315" i="1" s="1"/>
  <c r="L50" i="1" a="1"/>
  <c r="L50" i="1" s="1"/>
  <c r="M124" i="1" a="1"/>
  <c r="M124" i="1" s="1"/>
  <c r="M162" i="1" a="1"/>
  <c r="M162" i="1" s="1"/>
  <c r="M52" i="1" a="1"/>
  <c r="M52" i="1" s="1"/>
  <c r="L347" i="1" a="1"/>
  <c r="L347" i="1" s="1"/>
  <c r="M352" i="1" a="1"/>
  <c r="M352" i="1" s="1"/>
  <c r="L149" i="1" a="1"/>
  <c r="L149" i="1" s="1"/>
  <c r="L29" i="1" a="1"/>
  <c r="L29" i="1" s="1"/>
  <c r="L384" i="1" a="1"/>
  <c r="L384" i="1" s="1"/>
  <c r="L186" i="1" a="1"/>
  <c r="L186" i="1" s="1"/>
  <c r="L388" i="1" a="1"/>
  <c r="L388" i="1" s="1"/>
  <c r="L359" i="1" a="1"/>
  <c r="L359" i="1" s="1"/>
  <c r="M165" i="1" a="1"/>
  <c r="M165" i="1" s="1"/>
  <c r="L198" i="1" a="1"/>
  <c r="L198" i="1" s="1"/>
  <c r="L206" i="1" a="1"/>
  <c r="L206" i="1" s="1"/>
  <c r="L188" i="1" a="1"/>
  <c r="L188" i="1" s="1"/>
  <c r="M112" i="1" a="1"/>
  <c r="M112" i="1" s="1"/>
  <c r="L141" i="1" a="1"/>
  <c r="L141" i="1" s="1"/>
  <c r="M219" i="1" a="1"/>
  <c r="M219" i="1" s="1"/>
  <c r="L237" i="1" a="1"/>
  <c r="L237" i="1" s="1"/>
  <c r="M86" i="1" a="1"/>
  <c r="M86" i="1" s="1"/>
  <c r="L391" i="1" a="1"/>
  <c r="L391" i="1" s="1"/>
  <c r="M20" i="1" a="1"/>
  <c r="M20" i="1" s="1"/>
  <c r="M322" i="1" a="1"/>
  <c r="M322" i="1" s="1"/>
  <c r="L45" i="1" a="1"/>
  <c r="L45" i="1" s="1"/>
  <c r="M233" i="1" a="1"/>
  <c r="M233" i="1" s="1"/>
  <c r="M100" i="1" a="1"/>
  <c r="M100" i="1" s="1"/>
  <c r="M49" i="1" a="1"/>
  <c r="M49" i="1" s="1"/>
  <c r="L158" i="1" a="1"/>
  <c r="L158" i="1" s="1"/>
  <c r="M223" i="1" a="1"/>
  <c r="M223" i="1" s="1"/>
  <c r="L250" i="1" a="1"/>
  <c r="L250" i="1" s="1"/>
  <c r="M364" i="1" a="1"/>
  <c r="M364" i="1" s="1"/>
  <c r="L77" i="1" a="1"/>
  <c r="L77" i="1" s="1"/>
  <c r="M292" i="1" a="1"/>
  <c r="M292" i="1" s="1"/>
  <c r="M126" i="1" a="1"/>
  <c r="M126" i="1" s="1"/>
  <c r="M105" i="1" a="1"/>
  <c r="M105" i="1" s="1"/>
  <c r="L246" i="1" a="1"/>
  <c r="L246" i="1" s="1"/>
  <c r="L36" i="1" a="1"/>
  <c r="L36" i="1" s="1"/>
  <c r="L272" i="1" a="1"/>
  <c r="L272" i="1" s="1"/>
  <c r="M388" i="1" a="1"/>
  <c r="M388" i="1" s="1"/>
  <c r="L254" i="1" a="1"/>
  <c r="L254" i="1" s="1"/>
  <c r="M317" i="1" a="1"/>
  <c r="M317" i="1" s="1"/>
  <c r="M294" i="1" a="1"/>
  <c r="M294" i="1" s="1"/>
  <c r="M214" i="1" a="1"/>
  <c r="M214" i="1" s="1"/>
  <c r="L316" i="1" a="1"/>
  <c r="L316" i="1" s="1"/>
  <c r="L286" i="1" a="1"/>
  <c r="L286" i="1" s="1"/>
  <c r="L294" i="1" a="1"/>
  <c r="L294" i="1" s="1"/>
  <c r="M389" i="1" a="1"/>
  <c r="M389" i="1" s="1"/>
  <c r="L137" i="1" a="1"/>
  <c r="L137" i="1" s="1"/>
  <c r="M246" i="1" a="1"/>
  <c r="M246" i="1" s="1"/>
  <c r="L234" i="1" a="1"/>
  <c r="L234" i="1" s="1"/>
  <c r="M143" i="1" a="1"/>
  <c r="M143" i="1" s="1"/>
  <c r="L279" i="1" a="1"/>
  <c r="L279" i="1" s="1"/>
  <c r="M253" i="1" a="1"/>
  <c r="M253" i="1" s="1"/>
  <c r="L308" i="1" a="1"/>
  <c r="L308" i="1" s="1"/>
  <c r="L144" i="1" a="1"/>
  <c r="L144" i="1" s="1"/>
  <c r="L170" i="1" a="1"/>
  <c r="L170" i="1" s="1"/>
  <c r="M330" i="1" a="1"/>
  <c r="M330" i="1" s="1"/>
  <c r="L267" i="1" a="1"/>
  <c r="L267" i="1" s="1"/>
  <c r="M360" i="1" a="1"/>
  <c r="M360" i="1" s="1"/>
  <c r="L218" i="1" a="1"/>
  <c r="L218" i="1" s="1"/>
  <c r="M272" i="1" a="1"/>
  <c r="M272" i="1" s="1"/>
  <c r="L330" i="1" a="1"/>
  <c r="L330" i="1" s="1"/>
  <c r="L168" i="1" a="1"/>
  <c r="L168" i="1" s="1"/>
  <c r="L199" i="1" a="1"/>
  <c r="L199" i="1" s="1"/>
  <c r="M391" i="1" a="1"/>
  <c r="M391" i="1" s="1"/>
  <c r="L296" i="1" a="1"/>
  <c r="L296" i="1" s="1"/>
  <c r="L69" i="1" a="1"/>
  <c r="L69" i="1" s="1"/>
  <c r="M111" i="1" a="1"/>
  <c r="M111" i="1" s="1"/>
  <c r="M290" i="1" a="1"/>
  <c r="M290" i="1" s="1"/>
  <c r="L352" i="1" a="1"/>
  <c r="L352" i="1" s="1"/>
  <c r="L265" i="1" a="1"/>
  <c r="L265" i="1" s="1"/>
  <c r="L227" i="1" a="1"/>
  <c r="L227" i="1" s="1"/>
  <c r="L60" i="1" a="1"/>
  <c r="L60" i="1" s="1"/>
  <c r="L323" i="1" a="1"/>
  <c r="L323" i="1" s="1"/>
  <c r="M18" i="1" a="1"/>
  <c r="M18" i="1" s="1"/>
  <c r="M2" i="1" a="1"/>
  <c r="M2" i="1" s="1"/>
  <c r="L162" i="1" a="1"/>
  <c r="L162" i="1" s="1"/>
  <c r="M319" i="1" a="1"/>
  <c r="M319" i="1" s="1"/>
  <c r="L139" i="1" a="1"/>
  <c r="L139" i="1" s="1"/>
  <c r="M58" i="1" a="1"/>
  <c r="M58" i="1" s="1"/>
  <c r="M241" i="1" a="1"/>
  <c r="M241" i="1" s="1"/>
  <c r="M324" i="1" a="1"/>
  <c r="M324" i="1" s="1"/>
  <c r="M342" i="1" a="1"/>
  <c r="M342" i="1" s="1"/>
  <c r="M347" i="1" a="1"/>
  <c r="M347" i="1" s="1"/>
  <c r="L80" i="1" a="1"/>
  <c r="L80" i="1" s="1"/>
  <c r="M150" i="1" a="1"/>
  <c r="M150" i="1" s="1"/>
  <c r="M213" i="1" a="1"/>
  <c r="M213" i="1" s="1"/>
  <c r="M107" i="1" a="1"/>
  <c r="M107" i="1" s="1"/>
  <c r="L373" i="1" a="1"/>
  <c r="L373" i="1" s="1"/>
  <c r="L56" i="1" a="1"/>
  <c r="L56" i="1" s="1"/>
  <c r="L178" i="1" a="1"/>
  <c r="L178" i="1" s="1"/>
  <c r="L89" i="1" a="1"/>
  <c r="L89" i="1" s="1"/>
  <c r="M82" i="1" a="1"/>
  <c r="M82" i="1" s="1"/>
  <c r="M192" i="1" a="1"/>
  <c r="M192" i="1" s="1"/>
  <c r="M251" i="1" a="1"/>
  <c r="M251" i="1" s="1"/>
  <c r="L10" i="1" a="1"/>
  <c r="L10" i="1" s="1"/>
  <c r="M252" i="1" a="1"/>
  <c r="M252" i="1" s="1"/>
  <c r="M109" i="1" a="1"/>
  <c r="M109" i="1" s="1"/>
  <c r="L35" i="1" a="1"/>
  <c r="L35" i="1" s="1"/>
  <c r="M3" i="1" a="1"/>
  <c r="M3" i="1" s="1"/>
  <c r="M240" i="1" a="1"/>
  <c r="M240" i="1" s="1"/>
  <c r="L12" i="1" a="1"/>
  <c r="L12" i="1" s="1"/>
  <c r="M208" i="1" a="1"/>
  <c r="M208" i="1" s="1"/>
  <c r="M71" i="1" a="1"/>
  <c r="M71" i="1" s="1"/>
  <c r="L354" i="1" a="1"/>
  <c r="L354" i="1" s="1"/>
  <c r="L72" i="1" a="1"/>
  <c r="L72" i="1" s="1"/>
  <c r="L280" i="1" a="1"/>
  <c r="L280" i="1" s="1"/>
  <c r="L228" i="1" a="1"/>
  <c r="L228" i="1" s="1"/>
  <c r="L212" i="1" a="1"/>
  <c r="L212" i="1" s="1"/>
  <c r="M171" i="1" a="1"/>
  <c r="M171" i="1" s="1"/>
  <c r="L318" i="1" a="1"/>
  <c r="L318" i="1" s="1"/>
  <c r="M274" i="1" a="1"/>
  <c r="M274" i="1" s="1"/>
  <c r="L268" i="1" a="1"/>
  <c r="L268" i="1" s="1"/>
  <c r="M308" i="1" a="1"/>
  <c r="M308" i="1" s="1"/>
  <c r="M254" i="1" a="1"/>
  <c r="M254" i="1" s="1"/>
  <c r="M4" i="1" a="1"/>
  <c r="M4" i="1" s="1"/>
  <c r="L236" i="1" a="1"/>
  <c r="L236" i="1" s="1"/>
  <c r="M202" i="1" a="1"/>
  <c r="M202" i="1" s="1"/>
  <c r="L344" i="1" a="1"/>
  <c r="L344" i="1" s="1"/>
  <c r="L3" i="1" a="1"/>
  <c r="L3" i="1" s="1"/>
  <c r="L297" i="1" a="1"/>
  <c r="L297" i="1" s="1"/>
  <c r="L194" i="1" a="1"/>
  <c r="L194" i="1" s="1"/>
  <c r="M275" i="1" a="1"/>
  <c r="M275" i="1" s="1"/>
  <c r="M42" i="1" a="1"/>
  <c r="M42" i="1" s="1"/>
  <c r="L260" i="1" a="1"/>
  <c r="L260" i="1" s="1"/>
  <c r="M286" i="1" a="1"/>
  <c r="M286" i="1" s="1"/>
  <c r="M92" i="1" a="1"/>
  <c r="M92" i="1" s="1"/>
  <c r="M43" i="1" a="1"/>
  <c r="M43" i="1" s="1"/>
  <c r="L324" i="1" a="1"/>
  <c r="L324" i="1" s="1"/>
  <c r="M108" i="1" a="1"/>
  <c r="M108" i="1" s="1"/>
  <c r="L249" i="1" a="1"/>
  <c r="L249" i="1" s="1"/>
  <c r="M9" i="1" a="1"/>
  <c r="M9" i="1" s="1"/>
  <c r="L285" i="1" a="1"/>
  <c r="L285" i="1" s="1"/>
  <c r="M312" i="1" a="1"/>
  <c r="M312" i="1" s="1"/>
  <c r="M123" i="1" a="1"/>
  <c r="M123" i="1" s="1"/>
  <c r="M70" i="1" a="1"/>
  <c r="M70" i="1" s="1"/>
  <c r="M129" i="1" a="1"/>
  <c r="M129" i="1" s="1"/>
  <c r="M310" i="1" a="1"/>
  <c r="M310" i="1" s="1"/>
  <c r="M167" i="1" a="1"/>
  <c r="M167" i="1" s="1"/>
  <c r="M61" i="1" a="1"/>
  <c r="M61" i="1" s="1"/>
  <c r="L46" i="1" a="1"/>
  <c r="L46" i="1" s="1"/>
  <c r="M22" i="1" a="1"/>
  <c r="M22" i="1" s="1"/>
  <c r="L21" i="1" a="1"/>
  <c r="L21" i="1" s="1"/>
  <c r="L25" i="1" a="1"/>
  <c r="L25" i="1" s="1"/>
  <c r="M357" i="1" a="1"/>
  <c r="M357" i="1" s="1"/>
  <c r="M57" i="1" a="1"/>
  <c r="M57" i="1" s="1"/>
  <c r="L131" i="1" a="1"/>
  <c r="L131" i="1" s="1"/>
  <c r="M11" i="1" a="1"/>
  <c r="M11" i="1" s="1"/>
  <c r="L70" i="1" a="1"/>
  <c r="L70" i="1" s="1"/>
  <c r="M120" i="1" a="1"/>
  <c r="M120" i="1" s="1"/>
  <c r="L53" i="1" a="1"/>
  <c r="L53" i="1" s="1"/>
  <c r="L55" i="1" a="1"/>
  <c r="L55" i="1" s="1"/>
  <c r="L31" i="1" a="1"/>
  <c r="L31" i="1" s="1"/>
  <c r="M369" i="1" a="1"/>
  <c r="M369" i="1" s="1"/>
  <c r="L365" i="1" a="1"/>
  <c r="L365" i="1" s="1"/>
  <c r="M29" i="1" a="1"/>
  <c r="M29" i="1" s="1"/>
  <c r="L94" i="1" a="1"/>
  <c r="L94" i="1" s="1"/>
  <c r="M146" i="1" a="1"/>
  <c r="M146" i="1" s="1"/>
  <c r="L82" i="1" a="1"/>
  <c r="L82" i="1" s="1"/>
  <c r="L84" i="1" a="1"/>
  <c r="L84" i="1" s="1"/>
  <c r="M141" i="1" a="1"/>
  <c r="M141" i="1" s="1"/>
  <c r="M36" i="1" a="1"/>
  <c r="M36" i="1" s="1"/>
  <c r="L184" i="1" a="1"/>
  <c r="L184" i="1" s="1"/>
  <c r="M339" i="1" a="1"/>
  <c r="M339" i="1" s="1"/>
  <c r="L164" i="1" a="1"/>
  <c r="L164" i="1" s="1"/>
  <c r="M220" i="1" a="1"/>
  <c r="M220" i="1" s="1"/>
  <c r="M283" i="1" a="1"/>
  <c r="M283" i="1" s="1"/>
  <c r="M88" i="1" a="1"/>
  <c r="M88" i="1" s="1"/>
  <c r="M372" i="1" a="1"/>
  <c r="M372" i="1" s="1"/>
  <c r="M374" i="1" a="1"/>
  <c r="M374" i="1" s="1"/>
  <c r="L110" i="1" a="1"/>
  <c r="L110" i="1" s="1"/>
  <c r="M182" i="1" a="1"/>
  <c r="M182" i="1" s="1"/>
  <c r="M271" i="1" a="1"/>
  <c r="M271" i="1" s="1"/>
  <c r="M164" i="1" a="1"/>
  <c r="M164" i="1" s="1"/>
  <c r="M44" i="1" a="1"/>
  <c r="M44" i="1" s="1"/>
  <c r="L86" i="1" a="1"/>
  <c r="L86" i="1" s="1"/>
  <c r="L207" i="1" a="1"/>
  <c r="L207" i="1" s="1"/>
  <c r="L152" i="1" a="1"/>
  <c r="L152" i="1" s="1"/>
  <c r="M133" i="1" a="1"/>
  <c r="M133" i="1" s="1"/>
  <c r="L103" i="1" a="1"/>
  <c r="L103" i="1" s="1"/>
  <c r="M363" i="1" a="1"/>
  <c r="M363" i="1" s="1"/>
  <c r="L193" i="1" a="1"/>
  <c r="L193" i="1" s="1"/>
  <c r="L329" i="1" a="1"/>
  <c r="L329" i="1" s="1"/>
  <c r="M160" i="1" a="1"/>
  <c r="M160" i="1" s="1"/>
  <c r="M383" i="1" a="1"/>
  <c r="M383" i="1" s="1"/>
  <c r="M303" i="1" a="1"/>
  <c r="M303" i="1" s="1"/>
  <c r="L14" i="1" a="1"/>
  <c r="L14" i="1" s="1"/>
  <c r="M329" i="1" a="1"/>
  <c r="M329" i="1" s="1"/>
  <c r="L117" i="1" a="1"/>
  <c r="L117" i="1" s="1"/>
  <c r="M190" i="1" a="1"/>
  <c r="M190" i="1" s="1"/>
  <c r="M195" i="1" a="1"/>
  <c r="M195" i="1" s="1"/>
  <c r="M178" i="1" a="1"/>
  <c r="M178" i="1" s="1"/>
  <c r="L138" i="1" a="1"/>
  <c r="L138" i="1" s="1"/>
  <c r="M323" i="1" a="1"/>
  <c r="M323" i="1" s="1"/>
  <c r="L49" i="1" a="1"/>
  <c r="L49" i="1" s="1"/>
  <c r="M390" i="1" a="1"/>
  <c r="M390" i="1" s="1"/>
  <c r="L148" i="1" a="1"/>
  <c r="L148" i="1" s="1"/>
  <c r="M248" i="1" a="1"/>
  <c r="M248" i="1" s="1"/>
  <c r="L126" i="1" a="1"/>
  <c r="L126" i="1" s="1"/>
  <c r="M197" i="1" a="1"/>
  <c r="M197" i="1" s="1"/>
  <c r="L163" i="1" a="1"/>
  <c r="L163" i="1" s="1"/>
  <c r="M343" i="1" a="1"/>
  <c r="M343" i="1" s="1"/>
  <c r="L79" i="1" a="1"/>
  <c r="L79" i="1" s="1"/>
  <c r="L326" i="1" a="1"/>
  <c r="L326" i="1" s="1"/>
  <c r="L177" i="1" a="1"/>
  <c r="L177" i="1" s="1"/>
  <c r="M359" i="1" a="1"/>
  <c r="M359" i="1" s="1"/>
  <c r="L361" i="1" a="1"/>
  <c r="L361" i="1" s="1"/>
  <c r="M216" i="1" a="1"/>
  <c r="M216" i="1" s="1"/>
  <c r="L259" i="1" a="1"/>
  <c r="L259" i="1" s="1"/>
  <c r="M365" i="1" a="1"/>
  <c r="M365" i="1" s="1"/>
  <c r="L109" i="1" a="1"/>
  <c r="L109" i="1" s="1"/>
  <c r="L382" i="1" a="1"/>
  <c r="L382" i="1" s="1"/>
  <c r="L205" i="1" a="1"/>
  <c r="L205" i="1" s="1"/>
  <c r="M53" i="1" a="1"/>
  <c r="M53" i="1" s="1"/>
  <c r="L34" i="1" a="1"/>
  <c r="L34" i="1" s="1"/>
  <c r="M234" i="1" a="1"/>
  <c r="M234" i="1" s="1"/>
  <c r="L284" i="1" a="1"/>
  <c r="L284" i="1" s="1"/>
  <c r="L22" i="1" a="1"/>
  <c r="L22" i="1" s="1"/>
  <c r="L282" i="1" a="1"/>
  <c r="L282" i="1" s="1"/>
  <c r="M378" i="1" a="1"/>
  <c r="M378" i="1" s="1"/>
  <c r="M325" i="1" a="1"/>
  <c r="M325" i="1" s="1"/>
  <c r="M301" i="1" a="1"/>
  <c r="M301" i="1" s="1"/>
  <c r="L390" i="1" a="1"/>
  <c r="L390" i="1" s="1"/>
  <c r="M224" i="1" a="1"/>
  <c r="M224" i="1" s="1"/>
  <c r="M27" i="1" a="1"/>
  <c r="M27" i="1" s="1"/>
  <c r="L309" i="1" a="1"/>
  <c r="L309" i="1" s="1"/>
  <c r="L11" i="1" a="1"/>
  <c r="L11" i="1" s="1"/>
  <c r="M149" i="1" a="1"/>
  <c r="M149" i="1" s="1"/>
  <c r="M97" i="1" a="1"/>
  <c r="M97" i="1" s="1"/>
  <c r="M157" i="1" a="1"/>
  <c r="M157" i="1" s="1"/>
  <c r="L214" i="1" a="1"/>
  <c r="L214" i="1" s="1"/>
  <c r="L99" i="1" a="1"/>
  <c r="L99" i="1" s="1"/>
  <c r="M78" i="1" a="1"/>
  <c r="M78" i="1" s="1"/>
  <c r="L331" i="1" a="1"/>
  <c r="L331" i="1" s="1"/>
  <c r="L40" i="1" a="1"/>
  <c r="L40" i="1" s="1"/>
  <c r="M207" i="1" a="1"/>
  <c r="M207" i="1" s="1"/>
  <c r="M125" i="1" a="1"/>
  <c r="M125" i="1" s="1"/>
  <c r="M244" i="1" a="1"/>
  <c r="M244" i="1" s="1"/>
  <c r="M110" i="1" a="1"/>
  <c r="M110" i="1" s="1"/>
  <c r="M83" i="1" a="1"/>
  <c r="M83" i="1" s="1"/>
  <c r="M96" i="1" a="1"/>
  <c r="M96" i="1" s="1"/>
  <c r="M156" i="1" a="1"/>
  <c r="M156" i="1" s="1"/>
  <c r="L76" i="1" a="1"/>
  <c r="L76" i="1" s="1"/>
  <c r="M265" i="1" a="1"/>
  <c r="M265" i="1" s="1"/>
  <c r="M183" i="1" a="1"/>
  <c r="M183" i="1" s="1"/>
  <c r="M309" i="1" a="1"/>
  <c r="M309" i="1" s="1"/>
  <c r="M12" i="1" a="1"/>
  <c r="M12" i="1" s="1"/>
  <c r="M177" i="1" a="1"/>
  <c r="M177" i="1" s="1"/>
  <c r="L289" i="1" a="1"/>
  <c r="L289" i="1" s="1"/>
  <c r="M173" i="1" a="1"/>
  <c r="M173" i="1" s="1"/>
  <c r="M291" i="1" a="1"/>
  <c r="M291" i="1" s="1"/>
  <c r="L124" i="1" a="1"/>
  <c r="L124" i="1" s="1"/>
  <c r="L116" i="1" a="1"/>
  <c r="L116" i="1" s="1"/>
  <c r="M270" i="1" a="1"/>
  <c r="M270" i="1" s="1"/>
  <c r="L273" i="1" a="1"/>
  <c r="L273" i="1" s="1"/>
  <c r="L304" i="1" a="1"/>
  <c r="L304" i="1" s="1"/>
  <c r="L222" i="1" a="1"/>
  <c r="L222" i="1" s="1"/>
  <c r="L223" i="1" a="1"/>
  <c r="L223" i="1" s="1"/>
  <c r="M194" i="1" a="1"/>
  <c r="M194" i="1" s="1"/>
  <c r="L146" i="1" a="1"/>
  <c r="L146" i="1" s="1"/>
  <c r="M135" i="1" a="1"/>
  <c r="M135" i="1" s="1"/>
  <c r="M332" i="1" a="1"/>
  <c r="M332" i="1" s="1"/>
  <c r="L179" i="1" a="1"/>
  <c r="L179" i="1" s="1"/>
  <c r="M281" i="1" a="1"/>
  <c r="M281" i="1" s="1"/>
  <c r="L27" i="1" a="1"/>
  <c r="L27" i="1" s="1"/>
  <c r="M229" i="1" a="1"/>
  <c r="M229" i="1" s="1"/>
  <c r="L133" i="1" a="1"/>
  <c r="L133" i="1" s="1"/>
  <c r="L87" i="1" a="1"/>
  <c r="L87" i="1" s="1"/>
  <c r="M200" i="1" a="1"/>
  <c r="M200" i="1" s="1"/>
  <c r="L39" i="1" a="1"/>
  <c r="L39" i="1" s="1"/>
  <c r="M346" i="1" a="1"/>
  <c r="M346" i="1" s="1"/>
  <c r="M32" i="1" a="1"/>
  <c r="M32" i="1" s="1"/>
  <c r="M259" i="1" a="1"/>
  <c r="M259" i="1" s="1"/>
  <c r="L313" i="1" a="1"/>
  <c r="L313" i="1" s="1"/>
  <c r="M204" i="1" a="1"/>
  <c r="M204" i="1" s="1"/>
  <c r="M349" i="1" a="1"/>
  <c r="M349" i="1" s="1"/>
  <c r="L181" i="1" a="1"/>
  <c r="L181" i="1" s="1"/>
  <c r="L147" i="1" a="1"/>
  <c r="L147" i="1" s="1"/>
  <c r="M296" i="1" a="1"/>
  <c r="M296" i="1" s="1"/>
  <c r="L328" i="1" a="1"/>
  <c r="L328" i="1" s="1"/>
  <c r="M228" i="1" a="1"/>
  <c r="M228" i="1" s="1"/>
  <c r="M249" i="1" a="1"/>
  <c r="M249" i="1" s="1"/>
  <c r="L310" i="1" a="1"/>
  <c r="L310" i="1" s="1"/>
  <c r="M366" i="1" a="1"/>
  <c r="M366" i="1" s="1"/>
  <c r="M23" i="1" a="1"/>
  <c r="M23" i="1" s="1"/>
  <c r="M279" i="1" a="1"/>
  <c r="M279" i="1" s="1"/>
  <c r="L335" i="1" a="1"/>
  <c r="L335" i="1" s="1"/>
  <c r="M230" i="1" a="1"/>
  <c r="M230" i="1" s="1"/>
  <c r="M377" i="1" a="1"/>
  <c r="M377" i="1" s="1"/>
  <c r="L243" i="1" a="1"/>
  <c r="L243" i="1" s="1"/>
  <c r="L176" i="1" a="1"/>
  <c r="L176" i="1" s="1"/>
  <c r="M328" i="1" a="1"/>
  <c r="M328" i="1" s="1"/>
  <c r="M166" i="1" a="1"/>
  <c r="M166" i="1" s="1"/>
  <c r="M250" i="1" a="1"/>
  <c r="M250" i="1" s="1"/>
  <c r="L155" i="1" a="1"/>
  <c r="L155" i="1" s="1"/>
  <c r="M132" i="1" a="1"/>
  <c r="M132" i="1" s="1"/>
  <c r="L134" i="1" a="1"/>
  <c r="L134" i="1" s="1"/>
  <c r="M235" i="1" a="1"/>
  <c r="M235" i="1" s="1"/>
  <c r="L338" i="1" a="1"/>
  <c r="L338" i="1" s="1"/>
  <c r="M151" i="1" a="1"/>
  <c r="M151" i="1" s="1"/>
  <c r="L165" i="1" a="1"/>
  <c r="L165" i="1" s="1"/>
  <c r="L24" i="1" a="1"/>
  <c r="L24" i="1" s="1"/>
  <c r="L275" i="1" a="1"/>
  <c r="L275" i="1" s="1"/>
  <c r="M95" i="1" a="1"/>
  <c r="M95" i="1" s="1"/>
  <c r="M206" i="1" a="1"/>
  <c r="M206" i="1" s="1"/>
  <c r="L54" i="1" a="1"/>
  <c r="L54" i="1" s="1"/>
  <c r="L130" i="1" a="1"/>
  <c r="L130" i="1" s="1"/>
  <c r="M115" i="1" a="1"/>
  <c r="M115" i="1" s="1"/>
  <c r="M232" i="1" a="1"/>
  <c r="M232" i="1" s="1"/>
  <c r="L271" i="1" a="1"/>
  <c r="L271" i="1" s="1"/>
  <c r="L108" i="1" a="1"/>
  <c r="L108" i="1" s="1"/>
  <c r="M145" i="1" a="1"/>
  <c r="M145" i="1" s="1"/>
  <c r="L175" i="1" a="1"/>
  <c r="L175" i="1" s="1"/>
  <c r="L37" i="1" a="1"/>
  <c r="L37" i="1" s="1"/>
  <c r="M176" i="1" a="1"/>
  <c r="M176" i="1" s="1"/>
  <c r="M289" i="1" a="1"/>
  <c r="M289" i="1" s="1"/>
  <c r="L383" i="1" a="1"/>
  <c r="L383" i="1" s="1"/>
  <c r="M199" i="1" a="1"/>
  <c r="M199" i="1" s="1"/>
  <c r="M203" i="1" a="1"/>
  <c r="M203" i="1" s="1"/>
  <c r="L232" i="1" a="1"/>
  <c r="L232" i="1" s="1"/>
  <c r="M227" i="1" a="1"/>
  <c r="M227" i="1" s="1"/>
  <c r="M361" i="1" a="1"/>
  <c r="M361" i="1" s="1"/>
  <c r="L298" i="1" a="1"/>
  <c r="L298" i="1" s="1"/>
  <c r="M358" i="1" a="1"/>
  <c r="M358" i="1" s="1"/>
  <c r="L30" i="1" a="1"/>
  <c r="L30" i="1" s="1"/>
  <c r="M255" i="1" a="1"/>
  <c r="M255" i="1" s="1"/>
  <c r="L293" i="1" a="1"/>
  <c r="L293" i="1" s="1"/>
  <c r="L385" i="1" a="1"/>
  <c r="L385" i="1" s="1"/>
  <c r="L91" i="1" a="1"/>
  <c r="L91" i="1" s="1"/>
  <c r="L15" i="1" a="1"/>
  <c r="L15" i="1" s="1"/>
  <c r="L121" i="1" a="1"/>
  <c r="L121" i="1" s="1"/>
  <c r="M336" i="1" a="1"/>
  <c r="M336" i="1" s="1"/>
  <c r="L107" i="1" a="1"/>
  <c r="L107" i="1" s="1"/>
  <c r="M114" i="1" a="1"/>
  <c r="M114" i="1" s="1"/>
  <c r="M300" i="1" a="1"/>
  <c r="M300" i="1" s="1"/>
  <c r="L357" i="1" a="1"/>
  <c r="L357" i="1" s="1"/>
  <c r="M256" i="1" a="1"/>
  <c r="M256" i="1" s="1"/>
  <c r="L16" i="1" a="1"/>
  <c r="L16" i="1" s="1"/>
  <c r="L300" i="1" a="1"/>
  <c r="L300" i="1" s="1"/>
  <c r="L204" i="1" a="1"/>
  <c r="L204" i="1" s="1"/>
  <c r="M354" i="1" a="1"/>
  <c r="M354" i="1" s="1"/>
  <c r="L160" i="1" a="1"/>
  <c r="L160" i="1" s="1"/>
  <c r="L156" i="1" a="1"/>
  <c r="L156" i="1" s="1"/>
  <c r="L387" i="1" a="1"/>
  <c r="L387" i="1" s="1"/>
  <c r="L129" i="1" a="1"/>
  <c r="L129" i="1" s="1"/>
  <c r="M134" i="1" a="1"/>
  <c r="M134" i="1" s="1"/>
  <c r="M341" i="1" a="1"/>
  <c r="M341" i="1" s="1"/>
  <c r="L379" i="1" a="1"/>
  <c r="L379" i="1" s="1"/>
  <c r="M314" i="1" a="1"/>
  <c r="M314" i="1" s="1"/>
  <c r="L51" i="1" a="1"/>
  <c r="L51" i="1" s="1"/>
  <c r="L355" i="1" a="1"/>
  <c r="L355" i="1" s="1"/>
  <c r="L233" i="1" a="1"/>
  <c r="L233" i="1" s="1"/>
  <c r="L28" i="1" a="1"/>
  <c r="L28" i="1" s="1"/>
  <c r="M62" i="1" a="1"/>
  <c r="M62" i="1" s="1"/>
  <c r="L248" i="1" a="1"/>
  <c r="L248" i="1" s="1"/>
  <c r="M338" i="1" a="1"/>
  <c r="M338" i="1" s="1"/>
  <c r="L217" i="1" a="1"/>
  <c r="L217" i="1" s="1"/>
  <c r="M155" i="1" a="1"/>
  <c r="M155" i="1" s="1"/>
  <c r="M362" i="1" a="1"/>
  <c r="M362" i="1" s="1"/>
  <c r="M39" i="1" a="1"/>
  <c r="M39" i="1" s="1"/>
  <c r="M345" i="1" a="1"/>
  <c r="M345" i="1" s="1"/>
  <c r="L81" i="1" a="1"/>
  <c r="L81" i="1" s="1"/>
  <c r="M51" i="1" a="1"/>
  <c r="M51" i="1" s="1"/>
  <c r="L266" i="1" a="1"/>
  <c r="L266" i="1" s="1"/>
  <c r="L88" i="1" a="1"/>
  <c r="L88" i="1" s="1"/>
  <c r="M276" i="1" a="1"/>
  <c r="M276" i="1" s="1"/>
  <c r="M370" i="1" a="1"/>
  <c r="M370" i="1" s="1"/>
  <c r="L226" i="1" a="1"/>
  <c r="L226" i="1" s="1"/>
  <c r="L239" i="1" a="1"/>
  <c r="L239" i="1" s="1"/>
  <c r="M175" i="1" a="1"/>
  <c r="M175" i="1" s="1"/>
  <c r="M385" i="1" a="1"/>
  <c r="M385" i="1" s="1"/>
  <c r="M60" i="1" a="1"/>
  <c r="M60" i="1" s="1"/>
  <c r="M373" i="1" a="1"/>
  <c r="M373" i="1" s="1"/>
  <c r="L111" i="1" a="1"/>
  <c r="L111" i="1" s="1"/>
  <c r="M106" i="1" a="1"/>
  <c r="M106" i="1" s="1"/>
  <c r="L295" i="1" a="1"/>
  <c r="L295" i="1" s="1"/>
  <c r="L150" i="1" a="1"/>
  <c r="L150" i="1" s="1"/>
  <c r="L169" i="1" a="1"/>
  <c r="L169" i="1" s="1"/>
  <c r="L161" i="1" a="1"/>
  <c r="L161" i="1" s="1"/>
  <c r="L100" i="1" a="1"/>
  <c r="L100" i="1" s="1"/>
  <c r="M113" i="1" a="1"/>
  <c r="M113" i="1" s="1"/>
  <c r="L119" i="1" a="1"/>
  <c r="L119" i="1" s="1"/>
  <c r="L256" i="1" a="1"/>
  <c r="L256" i="1" s="1"/>
  <c r="M209" i="1" a="1"/>
  <c r="M209" i="1" s="1"/>
  <c r="M103" i="1" a="1"/>
  <c r="M103" i="1" s="1"/>
  <c r="L339" i="1" a="1"/>
  <c r="L339" i="1" s="1"/>
  <c r="M56" i="1" a="1"/>
  <c r="M56" i="1" s="1"/>
  <c r="M67" i="1" a="1"/>
  <c r="M67" i="1" s="1"/>
  <c r="L377" i="1" a="1"/>
  <c r="L377" i="1" s="1"/>
  <c r="L7" i="1" a="1"/>
  <c r="L7" i="1" s="1"/>
  <c r="M76" i="1" a="1"/>
  <c r="M76" i="1" s="1"/>
  <c r="M91" i="1" a="1"/>
  <c r="M91" i="1" s="1"/>
  <c r="M73" i="1" a="1"/>
  <c r="M73" i="1" s="1"/>
  <c r="M284" i="1" a="1"/>
  <c r="M284" i="1" s="1"/>
  <c r="M285" i="1" a="1"/>
  <c r="M285" i="1" s="1"/>
  <c r="L191" i="1" a="1"/>
  <c r="L191" i="1" s="1"/>
  <c r="M386" i="1" a="1"/>
  <c r="M386" i="1" s="1"/>
  <c r="L210" i="1" a="1"/>
  <c r="L210" i="1" s="1"/>
  <c r="M188" i="1" a="1"/>
  <c r="M188" i="1" s="1"/>
  <c r="L366" i="1" a="1"/>
  <c r="L366" i="1" s="1"/>
  <c r="M269" i="1" a="1"/>
  <c r="M269" i="1" s="1"/>
  <c r="L104" i="1" a="1"/>
  <c r="L104" i="1" s="1"/>
  <c r="L356" i="1" a="1"/>
  <c r="L356" i="1" s="1"/>
  <c r="L122" i="1" a="1"/>
  <c r="L122" i="1" s="1"/>
  <c r="L327" i="1" a="1"/>
  <c r="L327" i="1" s="1"/>
  <c r="M262" i="1" a="1"/>
  <c r="M262" i="1" s="1"/>
  <c r="M172" i="1" a="1"/>
  <c r="M172" i="1" s="1"/>
  <c r="M382" i="1" a="1"/>
  <c r="M382" i="1" s="1"/>
  <c r="L220" i="1" a="1"/>
  <c r="L220" i="1" s="1"/>
  <c r="M139" i="1" a="1"/>
  <c r="M139" i="1" s="1"/>
  <c r="L238" i="1" a="1"/>
  <c r="L238" i="1" s="1"/>
  <c r="M226" i="1" a="1"/>
  <c r="M226" i="1" s="1"/>
  <c r="L38" i="1" a="1"/>
  <c r="L38" i="1" s="1"/>
  <c r="M159" i="1" a="1"/>
  <c r="M159" i="1" s="1"/>
  <c r="L263" i="1" a="1"/>
  <c r="L263" i="1" s="1"/>
  <c r="L132" i="1" a="1"/>
  <c r="L132" i="1" s="1"/>
  <c r="L67" i="1" a="1"/>
  <c r="L67" i="1" s="1"/>
  <c r="M375" i="1" a="1"/>
  <c r="M375" i="1" s="1"/>
  <c r="L32" i="1" a="1"/>
  <c r="L32" i="1" s="1"/>
  <c r="L306" i="1" a="1"/>
  <c r="L306" i="1" s="1"/>
  <c r="M287" i="1" a="1"/>
  <c r="M287" i="1" s="1"/>
  <c r="L321" i="1" a="1"/>
  <c r="L321" i="1" s="1"/>
  <c r="M335" i="1" a="1"/>
  <c r="M335" i="1" s="1"/>
  <c r="L261" i="1" a="1"/>
  <c r="L261" i="1" s="1"/>
  <c r="M217" i="1" a="1"/>
  <c r="M217" i="1" s="1"/>
  <c r="L20" i="1" a="1"/>
  <c r="L20" i="1" s="1"/>
  <c r="M80" i="1" a="1"/>
  <c r="M80" i="1" s="1"/>
  <c r="L13" i="1" a="1"/>
  <c r="L13" i="1" s="1"/>
  <c r="L142" i="1" a="1"/>
  <c r="L142" i="1" s="1"/>
  <c r="M163" i="1" a="1"/>
  <c r="M163" i="1" s="1"/>
  <c r="L322" i="1" a="1"/>
  <c r="L322" i="1" s="1"/>
  <c r="L208" i="1" a="1"/>
  <c r="L208" i="1" s="1"/>
  <c r="L336" i="1" a="1"/>
  <c r="L336" i="1" s="1"/>
  <c r="M63" i="1" a="1"/>
  <c r="M63" i="1" s="1"/>
  <c r="L337" i="1" a="1"/>
  <c r="L337" i="1" s="1"/>
  <c r="L283" i="1" a="1"/>
  <c r="L283" i="1" s="1"/>
  <c r="M237" i="1" a="1"/>
  <c r="M237" i="1" s="1"/>
  <c r="L44" i="1" a="1"/>
  <c r="L44" i="1" s="1"/>
  <c r="M99" i="1" a="1"/>
  <c r="M99" i="1" s="1"/>
  <c r="L48" i="1" a="1"/>
  <c r="L48" i="1" s="1"/>
  <c r="L319" i="1" a="1"/>
  <c r="L319" i="1" s="1"/>
  <c r="M215" i="1" a="1"/>
  <c r="M215" i="1" s="1"/>
  <c r="L348" i="1" a="1"/>
  <c r="L348" i="1" s="1"/>
  <c r="L269" i="1" a="1"/>
  <c r="L269" i="1" s="1"/>
  <c r="L4" i="1" a="1"/>
  <c r="L4" i="1" s="1"/>
  <c r="M84" i="1" a="1"/>
  <c r="M84" i="1" s="1"/>
  <c r="M280" i="1" a="1"/>
  <c r="M280" i="1" s="1"/>
  <c r="L305" i="1" a="1"/>
  <c r="L305" i="1" s="1"/>
  <c r="M257" i="1" a="1"/>
  <c r="M257" i="1" s="1"/>
  <c r="L68" i="1" a="1"/>
  <c r="L68" i="1" s="1"/>
  <c r="M119" i="1" a="1"/>
  <c r="M119" i="1" s="1"/>
  <c r="M147" i="1" a="1"/>
  <c r="M147" i="1" s="1"/>
  <c r="L345" i="1" a="1"/>
  <c r="L345" i="1" s="1"/>
  <c r="L182" i="1" a="1"/>
  <c r="L182" i="1" s="1"/>
  <c r="L376" i="1" a="1"/>
  <c r="L376" i="1" s="1"/>
  <c r="L325" i="1" a="1"/>
  <c r="L325" i="1" s="1"/>
  <c r="L252" i="1" a="1"/>
  <c r="L252" i="1" s="1"/>
  <c r="L5" i="1" a="1"/>
  <c r="L5" i="1" s="1"/>
  <c r="L185" i="1" a="1"/>
  <c r="L185" i="1" s="1"/>
  <c r="M19" i="1" a="1"/>
  <c r="M19" i="1" s="1"/>
  <c r="M277" i="1" a="1"/>
  <c r="M277" i="1" s="1"/>
  <c r="L92" i="1" a="1"/>
  <c r="L92" i="1" s="1"/>
  <c r="M140" i="1" a="1"/>
  <c r="M140" i="1" s="1"/>
  <c r="M205" i="1" a="1"/>
  <c r="M205" i="1" s="1"/>
  <c r="M93" i="1" a="1"/>
  <c r="M93" i="1" s="1"/>
  <c r="L244" i="1" a="1"/>
  <c r="L244" i="1" s="1"/>
  <c r="M326" i="1" a="1"/>
  <c r="M326" i="1" s="1"/>
  <c r="L381" i="1" a="1"/>
  <c r="L381" i="1" s="1"/>
  <c r="M170" i="1" a="1"/>
  <c r="M170" i="1" s="1"/>
  <c r="L255" i="1" a="1"/>
  <c r="L255" i="1" s="1"/>
  <c r="M85" i="1" a="1"/>
  <c r="M85" i="1" s="1"/>
  <c r="L374" i="1" a="1"/>
  <c r="L374" i="1" s="1"/>
  <c r="L105" i="1" a="1"/>
  <c r="L105" i="1" s="1"/>
  <c r="L112" i="1" a="1"/>
  <c r="L112" i="1" s="1"/>
  <c r="L349" i="1" a="1"/>
  <c r="L349" i="1" s="1"/>
  <c r="L101" i="1" a="1"/>
  <c r="L101" i="1" s="1"/>
  <c r="L6" i="1" a="1"/>
  <c r="L6" i="1" s="1"/>
  <c r="L143" i="1" a="1"/>
  <c r="L143" i="1" s="1"/>
  <c r="L292" i="1" a="1"/>
  <c r="L292" i="1" s="1"/>
  <c r="L93" i="1" a="1"/>
  <c r="L93" i="1" s="1"/>
  <c r="L274" i="1" a="1"/>
  <c r="L274" i="1" s="1"/>
  <c r="L167" i="1" a="1"/>
  <c r="L167" i="1" s="1"/>
  <c r="L320" i="1" a="1"/>
  <c r="L320" i="1" s="1"/>
  <c r="L153" i="1" a="1"/>
  <c r="L153" i="1" s="1"/>
  <c r="M169" i="1" a="1"/>
  <c r="M169" i="1" s="1"/>
  <c r="L340" i="1" a="1"/>
  <c r="L340" i="1" s="1"/>
  <c r="M243" i="1" a="1"/>
  <c r="M243" i="1" s="1"/>
  <c r="M193" i="1" a="1"/>
  <c r="M193" i="1" s="1"/>
  <c r="L215" i="1" a="1"/>
  <c r="L215" i="1" s="1"/>
  <c r="L58" i="1" a="1"/>
  <c r="L58" i="1" s="1"/>
  <c r="L364" i="1" a="1"/>
  <c r="L364" i="1" s="1"/>
  <c r="M225" i="1" a="1"/>
  <c r="M225" i="1" s="1"/>
  <c r="M264" i="1" a="1"/>
  <c r="M264" i="1" s="1"/>
  <c r="M353" i="1" a="1"/>
  <c r="M353" i="1" s="1"/>
  <c r="L360" i="1" a="1"/>
  <c r="L360" i="1" s="1"/>
  <c r="L378" i="1" a="1"/>
  <c r="L378" i="1" s="1"/>
  <c r="L203" i="1" a="1"/>
  <c r="L203" i="1" s="1"/>
  <c r="L219" i="1" a="1"/>
  <c r="L219" i="1" s="1"/>
  <c r="M340" i="1" a="1"/>
  <c r="M340" i="1" s="1"/>
  <c r="M316" i="1" a="1"/>
  <c r="M316" i="1" s="1"/>
  <c r="M305" i="1" a="1"/>
  <c r="M305" i="1" s="1"/>
  <c r="M299" i="1" a="1"/>
  <c r="M299" i="1" s="1"/>
  <c r="M348" i="1" a="1"/>
  <c r="M348" i="1" s="1"/>
  <c r="L57" i="1" a="1"/>
  <c r="L57" i="1" s="1"/>
  <c r="L303" i="1" a="1"/>
  <c r="L303" i="1" s="1"/>
  <c r="M180" i="1" a="1"/>
  <c r="M180" i="1" s="1"/>
  <c r="L351" i="1" a="1"/>
  <c r="L351" i="1" s="1"/>
  <c r="L368" i="1" a="1"/>
  <c r="L368" i="1" s="1"/>
  <c r="L52" i="1" a="1"/>
  <c r="L52" i="1" s="1"/>
  <c r="M48" i="1" a="1"/>
  <c r="M48" i="1" s="1"/>
  <c r="L213" i="1" a="1"/>
  <c r="L213" i="1" s="1"/>
  <c r="I2" i="1"/>
  <c r="J2" i="1" s="1"/>
  <c r="I3" i="1"/>
  <c r="J3" i="1" s="1"/>
  <c r="I4" i="1"/>
  <c r="J4" i="1" s="1"/>
  <c r="I5" i="1"/>
  <c r="J5" i="1" s="1"/>
  <c r="I6" i="1"/>
  <c r="J6" i="1" s="1"/>
  <c r="I7" i="1"/>
  <c r="J7" i="1" s="1"/>
  <c r="I8" i="1"/>
  <c r="I9" i="1"/>
  <c r="I10" i="1"/>
  <c r="I11" i="1"/>
  <c r="I12" i="1"/>
  <c r="I13" i="1"/>
  <c r="I14" i="1"/>
  <c r="I15" i="1"/>
  <c r="I16" i="1"/>
  <c r="I17" i="1"/>
  <c r="I18" i="1"/>
  <c r="I19" i="1"/>
  <c r="I20" i="1"/>
  <c r="I21" i="1"/>
  <c r="I22" i="1"/>
  <c r="I23" i="1"/>
  <c r="I24" i="1"/>
  <c r="J24" i="1" s="1"/>
  <c r="I25" i="1"/>
  <c r="I26" i="1"/>
  <c r="J26" i="1" s="1"/>
  <c r="I27" i="1"/>
  <c r="I28" i="1"/>
  <c r="I29" i="1"/>
  <c r="I30" i="1"/>
  <c r="I31" i="1"/>
  <c r="I32" i="1"/>
  <c r="I33" i="1"/>
  <c r="I34" i="1"/>
  <c r="I35" i="1"/>
  <c r="I36" i="1"/>
  <c r="I37" i="1"/>
  <c r="I38" i="1"/>
  <c r="I39" i="1"/>
  <c r="I40" i="1"/>
  <c r="I41" i="1"/>
  <c r="I42" i="1"/>
  <c r="I43" i="1"/>
  <c r="I44" i="1"/>
  <c r="I45" i="1"/>
  <c r="I46" i="1"/>
  <c r="J46" i="1" s="1"/>
  <c r="I47" i="1"/>
  <c r="J47" i="1" s="1"/>
  <c r="I48" i="1"/>
  <c r="J48" i="1" s="1"/>
  <c r="I49" i="1"/>
  <c r="J49" i="1" s="1"/>
  <c r="I50" i="1"/>
  <c r="J50" i="1" s="1"/>
  <c r="I51" i="1"/>
  <c r="J51" i="1" s="1"/>
  <c r="I52" i="1"/>
  <c r="J52" i="1" s="1"/>
  <c r="I53" i="1"/>
  <c r="J53" i="1" s="1"/>
  <c r="I54" i="1"/>
  <c r="I55" i="1"/>
  <c r="I56" i="1"/>
  <c r="J56" i="1" s="1"/>
  <c r="I57" i="1"/>
  <c r="J57" i="1" s="1"/>
  <c r="I58" i="1"/>
  <c r="I59" i="1"/>
  <c r="I60" i="1"/>
  <c r="J60" i="1" s="1"/>
  <c r="I61" i="1"/>
  <c r="I62" i="1"/>
  <c r="I63" i="1"/>
  <c r="I64" i="1"/>
  <c r="I65" i="1"/>
  <c r="I66" i="1"/>
  <c r="I67" i="1"/>
  <c r="I68" i="1"/>
  <c r="J68" i="1" s="1"/>
  <c r="I69" i="1"/>
  <c r="J69" i="1" s="1"/>
  <c r="I70" i="1"/>
  <c r="J70" i="1" s="1"/>
  <c r="I71" i="1"/>
  <c r="J71" i="1" s="1"/>
  <c r="I72" i="1"/>
  <c r="I73" i="1"/>
  <c r="I74" i="1"/>
  <c r="I75" i="1"/>
  <c r="I76" i="1"/>
  <c r="I77" i="1"/>
  <c r="I78" i="1"/>
  <c r="I79" i="1"/>
  <c r="I80" i="1"/>
  <c r="I81" i="1"/>
  <c r="I82" i="1"/>
  <c r="J82" i="1" s="1"/>
  <c r="I83" i="1"/>
  <c r="I84" i="1"/>
  <c r="I85" i="1"/>
  <c r="J85" i="1" s="1"/>
  <c r="I86" i="1"/>
  <c r="I87" i="1"/>
  <c r="I88" i="1"/>
  <c r="I89" i="1"/>
  <c r="I90" i="1"/>
  <c r="J90" i="1" s="1"/>
  <c r="I91" i="1"/>
  <c r="I92" i="1"/>
  <c r="J92" i="1" s="1"/>
  <c r="I93" i="1"/>
  <c r="J93" i="1" s="1"/>
  <c r="I94" i="1"/>
  <c r="I95" i="1"/>
  <c r="J95" i="1" s="1"/>
  <c r="I96" i="1"/>
  <c r="J96" i="1" s="1"/>
  <c r="I97" i="1"/>
  <c r="J97" i="1" s="1"/>
  <c r="I98" i="1"/>
  <c r="J98" i="1" s="1"/>
  <c r="I99" i="1"/>
  <c r="J99" i="1" s="1"/>
  <c r="I100" i="1"/>
  <c r="I101" i="1"/>
  <c r="I102" i="1"/>
  <c r="I103" i="1"/>
  <c r="I104" i="1"/>
  <c r="J104" i="1" s="1"/>
  <c r="I105" i="1"/>
  <c r="I106" i="1"/>
  <c r="I107" i="1"/>
  <c r="I108" i="1"/>
  <c r="I109" i="1"/>
  <c r="I110" i="1"/>
  <c r="I111" i="1"/>
  <c r="I112" i="1"/>
  <c r="J112" i="1" s="1"/>
  <c r="I113" i="1"/>
  <c r="J113" i="1" s="1"/>
  <c r="I114" i="1"/>
  <c r="J114" i="1" s="1"/>
  <c r="I115" i="1"/>
  <c r="I116" i="1"/>
  <c r="I117" i="1"/>
  <c r="I118" i="1"/>
  <c r="I119" i="1"/>
  <c r="I120" i="1"/>
  <c r="I121" i="1"/>
  <c r="I122" i="1"/>
  <c r="I123" i="1"/>
  <c r="I124" i="1"/>
  <c r="I125" i="1"/>
  <c r="I126" i="1"/>
  <c r="I127" i="1"/>
  <c r="I128" i="1"/>
  <c r="I129" i="1"/>
  <c r="I130" i="1"/>
  <c r="I131" i="1"/>
  <c r="I132" i="1"/>
  <c r="I133" i="1"/>
  <c r="I134" i="1"/>
  <c r="J134" i="1" s="1"/>
  <c r="I135" i="1"/>
  <c r="J135" i="1" s="1"/>
  <c r="I136" i="1"/>
  <c r="J136" i="1" s="1"/>
  <c r="I137" i="1"/>
  <c r="J137" i="1" s="1"/>
  <c r="I138" i="1"/>
  <c r="J138" i="1" s="1"/>
  <c r="I139" i="1"/>
  <c r="J139" i="1" s="1"/>
  <c r="I140" i="1"/>
  <c r="I141" i="1"/>
  <c r="I142" i="1"/>
  <c r="I143" i="1"/>
  <c r="I144" i="1"/>
  <c r="J144" i="1" s="1"/>
  <c r="I145" i="1"/>
  <c r="I146" i="1"/>
  <c r="I147" i="1"/>
  <c r="I148" i="1"/>
  <c r="I149" i="1"/>
  <c r="I150" i="1"/>
  <c r="I151" i="1"/>
  <c r="I152" i="1"/>
  <c r="I153" i="1"/>
  <c r="I154" i="1"/>
  <c r="I155" i="1"/>
  <c r="J155" i="1" s="1"/>
  <c r="I156" i="1"/>
  <c r="J156" i="1" s="1"/>
  <c r="I157" i="1"/>
  <c r="J157" i="1" s="1"/>
  <c r="I158" i="1"/>
  <c r="J158" i="1" s="1"/>
  <c r="I159" i="1"/>
  <c r="J159" i="1" s="1"/>
  <c r="I160" i="1"/>
  <c r="J160" i="1" s="1"/>
  <c r="I161" i="1"/>
  <c r="J161" i="1" s="1"/>
  <c r="I162" i="1"/>
  <c r="J162" i="1" s="1"/>
  <c r="I163" i="1"/>
  <c r="J163" i="1" s="1"/>
  <c r="I164" i="1"/>
  <c r="I165" i="1"/>
  <c r="I166" i="1"/>
  <c r="I167" i="1"/>
  <c r="I168" i="1"/>
  <c r="I169" i="1"/>
  <c r="I170" i="1"/>
  <c r="I171" i="1"/>
  <c r="I172" i="1"/>
  <c r="I173" i="1"/>
  <c r="I174" i="1"/>
  <c r="I175" i="1"/>
  <c r="I176" i="1"/>
  <c r="I177" i="1"/>
  <c r="I178" i="1"/>
  <c r="J178" i="1" s="1"/>
  <c r="I179" i="1"/>
  <c r="J179" i="1" s="1"/>
  <c r="I180" i="1"/>
  <c r="J180" i="1" s="1"/>
  <c r="I181" i="1"/>
  <c r="J181" i="1" s="1"/>
  <c r="I182" i="1"/>
  <c r="J182" i="1" s="1"/>
  <c r="I183" i="1"/>
  <c r="J183" i="1" s="1"/>
  <c r="I184" i="1"/>
  <c r="J184" i="1" s="1"/>
  <c r="I185" i="1"/>
  <c r="J185" i="1" s="1"/>
  <c r="I186" i="1"/>
  <c r="I187" i="1"/>
  <c r="I188" i="1"/>
  <c r="J188" i="1" s="1"/>
  <c r="I189" i="1"/>
  <c r="I190" i="1"/>
  <c r="I191" i="1"/>
  <c r="I192" i="1"/>
  <c r="I193" i="1"/>
  <c r="I194" i="1"/>
  <c r="I195" i="1"/>
  <c r="I196" i="1"/>
  <c r="I197" i="1"/>
  <c r="I198" i="1"/>
  <c r="I199" i="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I212" i="1"/>
  <c r="I213" i="1"/>
  <c r="I214" i="1"/>
  <c r="I215" i="1"/>
  <c r="I216" i="1"/>
  <c r="I217" i="1"/>
  <c r="I218" i="1"/>
  <c r="I219" i="1"/>
  <c r="I220" i="1"/>
  <c r="I221" i="1"/>
  <c r="I222" i="1"/>
  <c r="J222" i="1" s="1"/>
  <c r="I223" i="1"/>
  <c r="J223" i="1" s="1"/>
  <c r="I224" i="1"/>
  <c r="J224" i="1" s="1"/>
  <c r="I225" i="1"/>
  <c r="J225" i="1" s="1"/>
  <c r="I226" i="1"/>
  <c r="J226" i="1" s="1"/>
  <c r="I227" i="1"/>
  <c r="J227" i="1" s="1"/>
  <c r="I228" i="1"/>
  <c r="J228" i="1" s="1"/>
  <c r="I229" i="1"/>
  <c r="J229" i="1" s="1"/>
  <c r="I230" i="1"/>
  <c r="I231" i="1"/>
  <c r="I232" i="1"/>
  <c r="I233" i="1"/>
  <c r="I234" i="1"/>
  <c r="I235" i="1"/>
  <c r="I236" i="1"/>
  <c r="I237" i="1"/>
  <c r="I238" i="1"/>
  <c r="I239" i="1"/>
  <c r="I240" i="1"/>
  <c r="I241" i="1"/>
  <c r="I242" i="1"/>
  <c r="I243" i="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I256" i="1"/>
  <c r="I257" i="1"/>
  <c r="I258" i="1"/>
  <c r="I259" i="1"/>
  <c r="I260" i="1"/>
  <c r="I261" i="1"/>
  <c r="I262" i="1"/>
  <c r="I263" i="1"/>
  <c r="I264" i="1"/>
  <c r="I265" i="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I279" i="1"/>
  <c r="I280" i="1"/>
  <c r="I281" i="1"/>
  <c r="I282" i="1"/>
  <c r="I283" i="1"/>
  <c r="I284" i="1"/>
  <c r="I285" i="1"/>
  <c r="I286" i="1"/>
  <c r="I287" i="1"/>
  <c r="I288" i="1"/>
  <c r="J288" i="1" s="1"/>
  <c r="I289" i="1"/>
  <c r="J289" i="1" s="1"/>
  <c r="I290" i="1"/>
  <c r="J290" i="1" s="1"/>
  <c r="I291" i="1"/>
  <c r="J291" i="1" s="1"/>
  <c r="I292" i="1"/>
  <c r="J292" i="1" s="1"/>
  <c r="I293" i="1"/>
  <c r="J293" i="1" s="1"/>
  <c r="I294" i="1"/>
  <c r="J294" i="1" s="1"/>
  <c r="I295" i="1"/>
  <c r="J295" i="1" s="1"/>
  <c r="I296" i="1"/>
  <c r="J296" i="1" s="1"/>
  <c r="I297" i="1"/>
  <c r="I298" i="1"/>
  <c r="I299" i="1"/>
  <c r="I300" i="1"/>
  <c r="I301" i="1"/>
  <c r="I302" i="1"/>
  <c r="I303" i="1"/>
  <c r="I304" i="1"/>
  <c r="I305" i="1"/>
  <c r="I306" i="1"/>
  <c r="I307" i="1"/>
  <c r="I308" i="1"/>
  <c r="I309" i="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I323" i="1"/>
  <c r="I324" i="1"/>
  <c r="I325" i="1"/>
  <c r="I326" i="1"/>
  <c r="I327" i="1"/>
  <c r="I328" i="1"/>
  <c r="I329" i="1"/>
  <c r="I330" i="1"/>
  <c r="I331" i="1"/>
  <c r="I332" i="1"/>
  <c r="J332" i="1" s="1"/>
  <c r="I333" i="1"/>
  <c r="J333" i="1" s="1"/>
  <c r="I334" i="1"/>
  <c r="J334" i="1" s="1"/>
  <c r="I335" i="1"/>
  <c r="J335" i="1" s="1"/>
  <c r="I336" i="1"/>
  <c r="J336" i="1" s="1"/>
  <c r="I337" i="1"/>
  <c r="J337" i="1" s="1"/>
  <c r="I338" i="1"/>
  <c r="J338" i="1" s="1"/>
  <c r="I339" i="1"/>
  <c r="I340" i="1"/>
  <c r="I341" i="1"/>
  <c r="I342" i="1"/>
  <c r="I343" i="1"/>
  <c r="I344" i="1"/>
  <c r="I345" i="1"/>
  <c r="I346" i="1"/>
  <c r="I347" i="1"/>
  <c r="I348" i="1"/>
  <c r="I349" i="1"/>
  <c r="I350" i="1"/>
  <c r="I351" i="1"/>
  <c r="I352" i="1"/>
  <c r="I353" i="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I367" i="1"/>
  <c r="I368" i="1"/>
  <c r="I369" i="1"/>
  <c r="I370" i="1"/>
  <c r="I371" i="1"/>
  <c r="I372" i="1"/>
  <c r="I373" i="1"/>
  <c r="I374" i="1"/>
  <c r="I375" i="1"/>
  <c r="I376" i="1"/>
  <c r="J376" i="1" s="1"/>
  <c r="I377" i="1"/>
  <c r="J377" i="1" s="1"/>
  <c r="I378" i="1"/>
  <c r="J378" i="1" s="1"/>
  <c r="I379" i="1"/>
  <c r="J379" i="1" s="1"/>
  <c r="I380" i="1"/>
  <c r="J380" i="1" s="1"/>
  <c r="I381" i="1"/>
  <c r="I382" i="1"/>
  <c r="I383" i="1"/>
  <c r="I384" i="1"/>
  <c r="I385" i="1"/>
  <c r="I386" i="1"/>
  <c r="I387" i="1"/>
  <c r="I388" i="1"/>
  <c r="I389" i="1"/>
  <c r="I390" i="1"/>
  <c r="I39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F69" i="29" l="1" a="1"/>
  <c r="F69" i="29" s="1"/>
  <c r="F48" i="29" a="1"/>
  <c r="F48" i="29" s="1"/>
  <c r="F26" i="29" a="1"/>
  <c r="F26" i="29" s="1"/>
  <c r="F47" i="29" a="1"/>
  <c r="F47" i="29" s="1"/>
  <c r="F25" i="29" a="1"/>
  <c r="F25" i="29" s="1"/>
  <c r="F64" i="29" a="1"/>
  <c r="F64" i="29" s="1"/>
  <c r="F40" i="29" a="1"/>
  <c r="F40" i="29" s="1"/>
  <c r="F16" i="29" a="1"/>
  <c r="F16" i="29" s="1"/>
  <c r="F68" i="29" a="1"/>
  <c r="F68" i="29" s="1"/>
  <c r="F67" i="29" a="1"/>
  <c r="F67" i="29" s="1"/>
  <c r="F46" i="29" a="1"/>
  <c r="F46" i="29" s="1"/>
  <c r="F24" i="29" a="1"/>
  <c r="F24" i="29" s="1"/>
  <c r="F44" i="29" a="1"/>
  <c r="F44" i="29" s="1"/>
  <c r="F18" i="29" a="1"/>
  <c r="F18" i="29" s="1"/>
  <c r="F66" i="29" a="1"/>
  <c r="F66" i="29" s="1"/>
  <c r="F45" i="29" a="1"/>
  <c r="F45" i="29" s="1"/>
  <c r="F43" i="29" a="1"/>
  <c r="F43" i="29" s="1"/>
  <c r="F39" i="29" a="1"/>
  <c r="F39" i="29" s="1"/>
  <c r="F65" i="29" a="1"/>
  <c r="F65" i="29" s="1"/>
  <c r="F21" i="29" a="1"/>
  <c r="F21" i="29" s="1"/>
  <c r="F60" i="29" a="1"/>
  <c r="F60" i="29" s="1"/>
  <c r="F38" i="29" a="1"/>
  <c r="F38" i="29" s="1"/>
  <c r="F17" i="29" a="1"/>
  <c r="F17" i="29" s="1"/>
  <c r="F61" i="29" a="1"/>
  <c r="F61" i="29" s="1"/>
  <c r="F59" i="29" a="1"/>
  <c r="F59" i="29" s="1"/>
  <c r="F57" i="29" a="1"/>
  <c r="F57" i="29" s="1"/>
  <c r="F35" i="29" a="1"/>
  <c r="F35" i="29" s="1"/>
  <c r="F13" i="29" a="1"/>
  <c r="F13" i="29" s="1"/>
  <c r="F11" i="29" a="1"/>
  <c r="F11" i="29" s="1"/>
  <c r="F56" i="29" a="1"/>
  <c r="F56" i="29" s="1"/>
  <c r="F34" i="29" a="1"/>
  <c r="F34" i="29" s="1"/>
  <c r="F12" i="29" a="1"/>
  <c r="F12" i="29" s="1"/>
  <c r="F33" i="29" a="1"/>
  <c r="F33" i="29" s="1"/>
  <c r="F36" i="29" a="1"/>
  <c r="F36" i="29" s="1"/>
  <c r="F55" i="29" a="1"/>
  <c r="F55" i="29" s="1"/>
  <c r="F54" i="29" a="1"/>
  <c r="F54" i="29" s="1"/>
  <c r="F32" i="29" a="1"/>
  <c r="F32" i="29" s="1"/>
  <c r="F10" i="29" a="1"/>
  <c r="F10" i="29" s="1"/>
  <c r="F20" i="29" a="1"/>
  <c r="F20" i="29" s="1"/>
  <c r="F37" i="29" a="1"/>
  <c r="F37" i="29" s="1"/>
  <c r="F53" i="29" a="1"/>
  <c r="F53" i="29" s="1"/>
  <c r="F31" i="29" a="1"/>
  <c r="F31" i="29" s="1"/>
  <c r="F9" i="29" a="1"/>
  <c r="F9" i="29" s="1"/>
  <c r="F63" i="29" a="1"/>
  <c r="F63" i="29" s="1"/>
  <c r="F58" i="29" a="1"/>
  <c r="F58" i="29" s="1"/>
  <c r="F52" i="29" a="1"/>
  <c r="F52" i="29" s="1"/>
  <c r="F30" i="29" a="1"/>
  <c r="F30" i="29" s="1"/>
  <c r="F8" i="29" a="1"/>
  <c r="F8" i="29" s="1"/>
  <c r="F42" i="29" a="1"/>
  <c r="F42" i="29" s="1"/>
  <c r="F15" i="29" a="1"/>
  <c r="F15" i="29" s="1"/>
  <c r="F51" i="29" a="1"/>
  <c r="F51" i="29" s="1"/>
  <c r="F29" i="29" a="1"/>
  <c r="F29" i="29" s="1"/>
  <c r="F7" i="29" a="1"/>
  <c r="F7" i="29" s="1"/>
  <c r="F19" i="29" a="1"/>
  <c r="F19" i="29" s="1"/>
  <c r="F14" i="29" a="1"/>
  <c r="F14" i="29" s="1"/>
  <c r="F50" i="29" a="1"/>
  <c r="F50" i="29" s="1"/>
  <c r="F28" i="29" a="1"/>
  <c r="F28" i="29" s="1"/>
  <c r="F6" i="29" a="1"/>
  <c r="F6" i="29" s="1"/>
  <c r="F23" i="29" a="1"/>
  <c r="F23" i="29" s="1"/>
  <c r="F41" i="29" a="1"/>
  <c r="F41" i="29" s="1"/>
  <c r="F49" i="29" a="1"/>
  <c r="F49" i="29" s="1"/>
  <c r="F27" i="29" a="1"/>
  <c r="F27" i="29" s="1"/>
  <c r="F5" i="29" a="1"/>
  <c r="F5" i="29" s="1"/>
  <c r="F22" i="29" a="1"/>
  <c r="F22" i="29" s="1"/>
  <c r="F62" i="29" a="1"/>
  <c r="F62" i="29" s="1"/>
  <c r="Z63" i="1" a="1"/>
  <c r="Z63" i="1" s="1"/>
  <c r="Z62" i="1" a="1"/>
  <c r="Z62" i="1" s="1"/>
  <c r="Z64" i="1" a="1"/>
  <c r="Z64" i="1" s="1"/>
  <c r="Z61" i="1" a="1"/>
  <c r="Z61" i="1" s="1"/>
  <c r="Z60" i="1" a="1"/>
  <c r="Z60" i="1" s="1"/>
  <c r="Z59" i="1" a="1"/>
  <c r="Z59" i="1" s="1"/>
  <c r="Z41" i="1" a="1"/>
  <c r="Z41" i="1" s="1"/>
  <c r="Z22" i="1" a="1"/>
  <c r="Z22" i="1" s="1"/>
  <c r="Z2" i="1" a="1"/>
  <c r="Z2" i="1" s="1"/>
  <c r="Z40" i="1" a="1"/>
  <c r="Z40" i="1" s="1"/>
  <c r="Z50" i="1" a="1"/>
  <c r="Z50" i="1" s="1"/>
  <c r="Z29" i="1" a="1"/>
  <c r="Z29" i="1" s="1"/>
  <c r="Z46" i="1" a="1"/>
  <c r="Z46" i="1" s="1"/>
  <c r="Z7" i="1" a="1"/>
  <c r="Z7" i="1" s="1"/>
  <c r="Z24" i="1" a="1"/>
  <c r="Z24" i="1" s="1"/>
  <c r="Z42" i="1" a="1"/>
  <c r="Z42" i="1" s="1"/>
  <c r="Z58" i="1" a="1"/>
  <c r="Z58" i="1" s="1"/>
  <c r="Z21" i="1" a="1"/>
  <c r="Z21" i="1" s="1"/>
  <c r="Z31" i="1" a="1"/>
  <c r="Z31" i="1" s="1"/>
  <c r="Z47" i="1" a="1"/>
  <c r="Z47" i="1" s="1"/>
  <c r="Z26" i="1" a="1"/>
  <c r="Z26" i="1" s="1"/>
  <c r="Z5" i="1" a="1"/>
  <c r="Z5" i="1" s="1"/>
  <c r="Z39" i="1" a="1"/>
  <c r="Z39" i="1" s="1"/>
  <c r="Z20" i="1" a="1"/>
  <c r="Z20" i="1" s="1"/>
  <c r="Z49" i="1" a="1"/>
  <c r="Z49" i="1" s="1"/>
  <c r="Z48" i="1" a="1"/>
  <c r="Z48" i="1" s="1"/>
  <c r="Z28" i="1" a="1"/>
  <c r="Z28" i="1" s="1"/>
  <c r="Z27" i="1" a="1"/>
  <c r="Z27" i="1" s="1"/>
  <c r="Z45" i="1" a="1"/>
  <c r="Z45" i="1" s="1"/>
  <c r="Z6" i="1" a="1"/>
  <c r="Z6" i="1" s="1"/>
  <c r="Z43" i="1" a="1"/>
  <c r="Z43" i="1" s="1"/>
  <c r="Z23" i="1" a="1"/>
  <c r="Z23" i="1" s="1"/>
  <c r="Z57" i="1" a="1"/>
  <c r="Z57" i="1" s="1"/>
  <c r="Z38" i="1" a="1"/>
  <c r="Z38" i="1" s="1"/>
  <c r="Z19" i="1" a="1"/>
  <c r="Z19" i="1" s="1"/>
  <c r="Z56" i="1" a="1"/>
  <c r="Z56" i="1" s="1"/>
  <c r="Z37" i="1" a="1"/>
  <c r="Z37" i="1" s="1"/>
  <c r="Z18" i="1" a="1"/>
  <c r="Z18" i="1" s="1"/>
  <c r="Z55" i="1" a="1"/>
  <c r="Z55" i="1" s="1"/>
  <c r="Z36" i="1" a="1"/>
  <c r="Z36" i="1" s="1"/>
  <c r="Z17" i="1" a="1"/>
  <c r="Z17" i="1" s="1"/>
  <c r="Z16" i="1" a="1"/>
  <c r="Z16" i="1" s="1"/>
  <c r="Z54" i="1" a="1"/>
  <c r="Z54" i="1" s="1"/>
  <c r="Z35" i="1" a="1"/>
  <c r="Z35" i="1" s="1"/>
  <c r="Z15" i="1" a="1"/>
  <c r="Z15" i="1" s="1"/>
  <c r="Z53" i="1" a="1"/>
  <c r="Z53" i="1" s="1"/>
  <c r="Z34" i="1" a="1"/>
  <c r="Z34" i="1" s="1"/>
  <c r="Z14" i="1" a="1"/>
  <c r="Z14" i="1" s="1"/>
  <c r="Z52" i="1" a="1"/>
  <c r="Z52" i="1" s="1"/>
  <c r="Z33" i="1" a="1"/>
  <c r="Z33" i="1" s="1"/>
  <c r="Z51" i="1" a="1"/>
  <c r="Z51" i="1" s="1"/>
  <c r="Z13" i="1" a="1"/>
  <c r="Z13" i="1" s="1"/>
  <c r="Z32" i="1" a="1"/>
  <c r="Z32" i="1" s="1"/>
  <c r="Z12" i="1" a="1"/>
  <c r="Z12" i="1" s="1"/>
  <c r="Z11" i="1" a="1"/>
  <c r="Z11" i="1" s="1"/>
  <c r="Z30" i="1" a="1"/>
  <c r="Z30" i="1" s="1"/>
  <c r="Z10" i="1" a="1"/>
  <c r="Z10" i="1" s="1"/>
  <c r="Z9" i="1" a="1"/>
  <c r="Z9" i="1" s="1"/>
  <c r="Z8" i="1" a="1"/>
  <c r="Z8" i="1" s="1"/>
  <c r="Z25" i="1" a="1"/>
  <c r="Z25" i="1" s="1"/>
  <c r="Z44" i="1" a="1"/>
  <c r="Z44" i="1" s="1"/>
  <c r="Z4" i="1" a="1"/>
  <c r="Z4" i="1" s="1"/>
  <c r="Z3" i="1" a="1"/>
  <c r="Z3" i="1" s="1"/>
  <c r="N292" i="1" a="1"/>
  <c r="N292" i="1" s="1"/>
  <c r="O292" i="1"/>
  <c r="O252" i="1"/>
  <c r="N252" i="1" a="1"/>
  <c r="N252" i="1" s="1"/>
  <c r="N337" i="1" a="1"/>
  <c r="N337" i="1" s="1"/>
  <c r="O337" i="1"/>
  <c r="N38" i="1" a="1"/>
  <c r="N38" i="1" s="1"/>
  <c r="O239" i="1"/>
  <c r="N239" i="1" a="1"/>
  <c r="N239" i="1" s="1"/>
  <c r="N30" i="1" a="1"/>
  <c r="N30" i="1" s="1"/>
  <c r="O275" i="1"/>
  <c r="N275" i="1" a="1"/>
  <c r="N275" i="1" s="1"/>
  <c r="N34" i="1" a="1"/>
  <c r="N34" i="1" s="1"/>
  <c r="O138" i="1"/>
  <c r="N138" i="1" a="1"/>
  <c r="N138" i="1" s="1"/>
  <c r="O110" i="1"/>
  <c r="N110" i="1" a="1"/>
  <c r="N110" i="1" s="1"/>
  <c r="N70" i="1" a="1"/>
  <c r="N70" i="1" s="1"/>
  <c r="O70" i="1"/>
  <c r="O354" i="1"/>
  <c r="N354" i="1" a="1"/>
  <c r="N354" i="1" s="1"/>
  <c r="N141" i="1" a="1"/>
  <c r="N141" i="1" s="1"/>
  <c r="O141" i="1"/>
  <c r="O65" i="1"/>
  <c r="N65" i="1" a="1"/>
  <c r="N65" i="1" s="1"/>
  <c r="O341" i="1"/>
  <c r="N341" i="1" a="1"/>
  <c r="N341" i="1" s="1"/>
  <c r="N97" i="1" a="1"/>
  <c r="N97" i="1" s="1"/>
  <c r="O97" i="1"/>
  <c r="O187" i="1"/>
  <c r="N187" i="1" a="1"/>
  <c r="N187" i="1" s="1"/>
  <c r="N389" i="1" a="1"/>
  <c r="N389" i="1" s="1"/>
  <c r="O389" i="1"/>
  <c r="O253" i="1"/>
  <c r="N253" i="1" a="1"/>
  <c r="N253" i="1" s="1"/>
  <c r="N6" i="1" a="1"/>
  <c r="N6" i="1" s="1"/>
  <c r="N336" i="1" a="1"/>
  <c r="N336" i="1" s="1"/>
  <c r="O336" i="1"/>
  <c r="N377" i="1" a="1"/>
  <c r="N377" i="1" s="1"/>
  <c r="O377" i="1"/>
  <c r="N129" i="1" a="1"/>
  <c r="N129" i="1" s="1"/>
  <c r="O129" i="1"/>
  <c r="O165" i="1"/>
  <c r="N165" i="1" a="1"/>
  <c r="N165" i="1" s="1"/>
  <c r="O222" i="1"/>
  <c r="N222" i="1" a="1"/>
  <c r="N222" i="1" s="1"/>
  <c r="N205" i="1" a="1"/>
  <c r="N205" i="1" s="1"/>
  <c r="O205" i="1"/>
  <c r="O260" i="1"/>
  <c r="N260" i="1" a="1"/>
  <c r="N260" i="1" s="1"/>
  <c r="O36" i="1"/>
  <c r="N36" i="1" a="1"/>
  <c r="N36" i="1" s="1"/>
  <c r="N71" i="1" a="1"/>
  <c r="N71" i="1" s="1"/>
  <c r="N59" i="1" a="1"/>
  <c r="N59" i="1" s="1"/>
  <c r="O219" i="1"/>
  <c r="N219" i="1" a="1"/>
  <c r="N219" i="1" s="1"/>
  <c r="O101" i="1"/>
  <c r="N101" i="1" a="1"/>
  <c r="N101" i="1" s="1"/>
  <c r="O182" i="1"/>
  <c r="N182" i="1" a="1"/>
  <c r="N182" i="1" s="1"/>
  <c r="O208" i="1"/>
  <c r="N208" i="1" a="1"/>
  <c r="N208" i="1" s="1"/>
  <c r="O387" i="1"/>
  <c r="N387" i="1" a="1"/>
  <c r="N387" i="1" s="1"/>
  <c r="O147" i="1"/>
  <c r="N147" i="1" a="1"/>
  <c r="N147" i="1" s="1"/>
  <c r="O304" i="1"/>
  <c r="N304" i="1" a="1"/>
  <c r="N304" i="1" s="1"/>
  <c r="N331" i="1" a="1"/>
  <c r="N331" i="1" s="1"/>
  <c r="O331" i="1"/>
  <c r="N382" i="1" a="1"/>
  <c r="N382" i="1" s="1"/>
  <c r="O382" i="1"/>
  <c r="N12" i="1" a="1"/>
  <c r="N12" i="1" s="1"/>
  <c r="O267" i="1"/>
  <c r="N267" i="1" a="1"/>
  <c r="N267" i="1" s="1"/>
  <c r="N246" i="1" a="1"/>
  <c r="N246" i="1" s="1"/>
  <c r="O246" i="1"/>
  <c r="N206" i="1" a="1"/>
  <c r="N206" i="1" s="1"/>
  <c r="O206" i="1"/>
  <c r="N140" i="1" a="1"/>
  <c r="N140" i="1" s="1"/>
  <c r="O140" i="1"/>
  <c r="N216" i="1" a="1"/>
  <c r="N216" i="1" s="1"/>
  <c r="O216" i="1"/>
  <c r="N343" i="1" a="1"/>
  <c r="N343" i="1" s="1"/>
  <c r="O343" i="1"/>
  <c r="N257" i="1" a="1"/>
  <c r="N257" i="1" s="1"/>
  <c r="O257" i="1"/>
  <c r="O145" i="1"/>
  <c r="N145" i="1" a="1"/>
  <c r="N145" i="1" s="1"/>
  <c r="N213" i="1" a="1"/>
  <c r="N213" i="1" s="1"/>
  <c r="O213" i="1"/>
  <c r="N57" i="1" a="1"/>
  <c r="N57" i="1" s="1"/>
  <c r="N203" i="1" a="1"/>
  <c r="N203" i="1" s="1"/>
  <c r="O203" i="1"/>
  <c r="N349" i="1" a="1"/>
  <c r="N349" i="1" s="1"/>
  <c r="O349" i="1"/>
  <c r="N345" i="1" a="1"/>
  <c r="N345" i="1" s="1"/>
  <c r="O345" i="1"/>
  <c r="O322" i="1"/>
  <c r="N322" i="1" a="1"/>
  <c r="N322" i="1" s="1"/>
  <c r="O220" i="1"/>
  <c r="N220" i="1" a="1"/>
  <c r="N220" i="1" s="1"/>
  <c r="N88" i="1" a="1"/>
  <c r="N88" i="1" s="1"/>
  <c r="O88" i="1"/>
  <c r="N156" i="1" a="1"/>
  <c r="N156" i="1" s="1"/>
  <c r="O156" i="1"/>
  <c r="N338" i="1" a="1"/>
  <c r="N338" i="1" s="1"/>
  <c r="O338" i="1"/>
  <c r="O181" i="1"/>
  <c r="N181" i="1" a="1"/>
  <c r="N181" i="1" s="1"/>
  <c r="N273" i="1" a="1"/>
  <c r="N273" i="1" s="1"/>
  <c r="O273" i="1"/>
  <c r="O109" i="1"/>
  <c r="N109" i="1" a="1"/>
  <c r="N109" i="1" s="1"/>
  <c r="N117" i="1" a="1"/>
  <c r="N117" i="1" s="1"/>
  <c r="O117" i="1"/>
  <c r="O139" i="1"/>
  <c r="N139" i="1" a="1"/>
  <c r="N139" i="1" s="1"/>
  <c r="N198" i="1" a="1"/>
  <c r="N198" i="1" s="1"/>
  <c r="O198" i="1"/>
  <c r="O102" i="1"/>
  <c r="N102" i="1" a="1"/>
  <c r="N102" i="1" s="1"/>
  <c r="O151" i="1"/>
  <c r="N151" i="1" a="1"/>
  <c r="N151" i="1" s="1"/>
  <c r="O166" i="1"/>
  <c r="N166" i="1" a="1"/>
  <c r="N166" i="1" s="1"/>
  <c r="N172" i="1" a="1"/>
  <c r="N172" i="1" s="1"/>
  <c r="O172" i="1"/>
  <c r="N378" i="1" a="1"/>
  <c r="N378" i="1" s="1"/>
  <c r="O378" i="1"/>
  <c r="N112" i="1" a="1"/>
  <c r="N112" i="1" s="1"/>
  <c r="O112" i="1"/>
  <c r="N339" i="1" a="1"/>
  <c r="N339" i="1" s="1"/>
  <c r="O339" i="1"/>
  <c r="O266" i="1"/>
  <c r="N266" i="1" a="1"/>
  <c r="N266" i="1" s="1"/>
  <c r="N160" i="1" a="1"/>
  <c r="N160" i="1" s="1"/>
  <c r="O160" i="1"/>
  <c r="O232" i="1"/>
  <c r="N232" i="1" a="1"/>
  <c r="N232" i="1" s="1"/>
  <c r="O99" i="1"/>
  <c r="N99" i="1" a="1"/>
  <c r="N99" i="1" s="1"/>
  <c r="N25" i="1" a="1"/>
  <c r="N25" i="1" s="1"/>
  <c r="O194" i="1"/>
  <c r="N194" i="1" a="1"/>
  <c r="N194" i="1" s="1"/>
  <c r="N170" i="1" a="1"/>
  <c r="N170" i="1" s="1"/>
  <c r="O170" i="1"/>
  <c r="N242" i="1" a="1"/>
  <c r="N242" i="1" s="1"/>
  <c r="O242" i="1"/>
  <c r="O123" i="1"/>
  <c r="N123" i="1" a="1"/>
  <c r="N123" i="1" s="1"/>
  <c r="O281" i="1"/>
  <c r="N281" i="1" a="1"/>
  <c r="N281" i="1" s="1"/>
  <c r="N171" i="1" a="1"/>
  <c r="N171" i="1" s="1"/>
  <c r="O171" i="1"/>
  <c r="N287" i="1" a="1"/>
  <c r="N287" i="1" s="1"/>
  <c r="O287" i="1"/>
  <c r="N55" i="1" a="1"/>
  <c r="N55" i="1" s="1"/>
  <c r="O78" i="1"/>
  <c r="N78" i="1" a="1"/>
  <c r="N78" i="1" s="1"/>
  <c r="O327" i="1"/>
  <c r="N327" i="1" a="1"/>
  <c r="N327" i="1" s="1"/>
  <c r="N300" i="1" a="1"/>
  <c r="N300" i="1" s="1"/>
  <c r="O300" i="1"/>
  <c r="N383" i="1" a="1"/>
  <c r="N383" i="1" s="1"/>
  <c r="O383" i="1"/>
  <c r="N155" i="1" a="1"/>
  <c r="N155" i="1" s="1"/>
  <c r="O155" i="1"/>
  <c r="N361" i="1" a="1"/>
  <c r="N361" i="1" s="1"/>
  <c r="O361" i="1"/>
  <c r="N184" i="1" a="1"/>
  <c r="N184" i="1" s="1"/>
  <c r="O184" i="1"/>
  <c r="N46" i="1" a="1"/>
  <c r="N46" i="1" s="1"/>
  <c r="N344" i="1" a="1"/>
  <c r="N344" i="1" s="1"/>
  <c r="O344" i="1"/>
  <c r="O186" i="1"/>
  <c r="N186" i="1" a="1"/>
  <c r="N186" i="1" s="1"/>
  <c r="O367" i="1"/>
  <c r="N367" i="1" a="1"/>
  <c r="N367" i="1" s="1"/>
  <c r="N154" i="1" a="1"/>
  <c r="N154" i="1" s="1"/>
  <c r="O154" i="1"/>
  <c r="O211" i="1"/>
  <c r="N211" i="1" a="1"/>
  <c r="N211" i="1" s="1"/>
  <c r="O125" i="1"/>
  <c r="N125" i="1" a="1"/>
  <c r="N125" i="1" s="1"/>
  <c r="O197" i="1"/>
  <c r="N197" i="1" a="1"/>
  <c r="N197" i="1" s="1"/>
  <c r="N66" i="1" a="1"/>
  <c r="N66" i="1" s="1"/>
  <c r="N200" i="1" a="1"/>
  <c r="N200" i="1" s="1"/>
  <c r="O200" i="1"/>
  <c r="O106" i="1"/>
  <c r="N106" i="1" a="1"/>
  <c r="N106" i="1" s="1"/>
  <c r="N255" i="1" a="1"/>
  <c r="N255" i="1" s="1"/>
  <c r="O255" i="1"/>
  <c r="O305" i="1"/>
  <c r="N305" i="1" a="1"/>
  <c r="N305" i="1" s="1"/>
  <c r="N20" i="1" a="1"/>
  <c r="N20" i="1" s="1"/>
  <c r="O122" i="1"/>
  <c r="N122" i="1" a="1"/>
  <c r="N122" i="1" s="1"/>
  <c r="N119" i="1" a="1"/>
  <c r="N119" i="1" s="1"/>
  <c r="O119" i="1"/>
  <c r="N16" i="1" a="1"/>
  <c r="N16" i="1" s="1"/>
  <c r="N10" i="1" a="1"/>
  <c r="N10" i="1" s="1"/>
  <c r="O323" i="1"/>
  <c r="N323" i="1" a="1"/>
  <c r="N323" i="1" s="1"/>
  <c r="O279" i="1"/>
  <c r="N279" i="1" a="1"/>
  <c r="N279" i="1" s="1"/>
  <c r="N250" i="1" a="1"/>
  <c r="N250" i="1" s="1"/>
  <c r="O250" i="1"/>
  <c r="O384" i="1"/>
  <c r="N384" i="1" a="1"/>
  <c r="N384" i="1" s="1"/>
  <c r="N270" i="1" a="1"/>
  <c r="N270" i="1" s="1"/>
  <c r="O270" i="1"/>
  <c r="N346" i="1" a="1"/>
  <c r="N346" i="1" s="1"/>
  <c r="O346" i="1"/>
  <c r="O262" i="1"/>
  <c r="N262" i="1" a="1"/>
  <c r="N262" i="1" s="1"/>
  <c r="N317" i="1" a="1"/>
  <c r="N317" i="1" s="1"/>
  <c r="O317" i="1"/>
  <c r="O225" i="1"/>
  <c r="N225" i="1" a="1"/>
  <c r="N225" i="1" s="1"/>
  <c r="O189" i="1"/>
  <c r="N189" i="1" a="1"/>
  <c r="N189" i="1" s="1"/>
  <c r="O196" i="1"/>
  <c r="N196" i="1" a="1"/>
  <c r="N196" i="1" s="1"/>
  <c r="N360" i="1" a="1"/>
  <c r="N360" i="1" s="1"/>
  <c r="O360" i="1"/>
  <c r="N215" i="1" a="1"/>
  <c r="N215" i="1" s="1"/>
  <c r="O215" i="1"/>
  <c r="N175" i="1" a="1"/>
  <c r="N175" i="1" s="1"/>
  <c r="O175" i="1"/>
  <c r="O167" i="1"/>
  <c r="N167" i="1" a="1"/>
  <c r="N167" i="1" s="1"/>
  <c r="N132" i="1" a="1"/>
  <c r="N132" i="1" s="1"/>
  <c r="O132" i="1"/>
  <c r="O385" i="1"/>
  <c r="N385" i="1" a="1"/>
  <c r="N385" i="1" s="1"/>
  <c r="O190" i="1"/>
  <c r="N190" i="1" a="1"/>
  <c r="N190" i="1" s="1"/>
  <c r="O277" i="1"/>
  <c r="N277" i="1" a="1"/>
  <c r="N277" i="1" s="1"/>
  <c r="N2" i="1" a="1"/>
  <c r="N2" i="1" s="1"/>
  <c r="Q2" i="1" a="1"/>
  <c r="Q2" i="1" s="1"/>
  <c r="O143" i="1"/>
  <c r="N143" i="1" a="1"/>
  <c r="N143" i="1" s="1"/>
  <c r="O325" i="1"/>
  <c r="N325" i="1" a="1"/>
  <c r="N325" i="1" s="1"/>
  <c r="N7" i="1" a="1"/>
  <c r="N7" i="1" s="1"/>
  <c r="N226" i="1" a="1"/>
  <c r="N226" i="1" s="1"/>
  <c r="O226" i="1"/>
  <c r="N24" i="1" a="1"/>
  <c r="N24" i="1" s="1"/>
  <c r="N328" i="1" a="1"/>
  <c r="N328" i="1" s="1"/>
  <c r="O328" i="1"/>
  <c r="O223" i="1"/>
  <c r="N223" i="1" a="1"/>
  <c r="N223" i="1" s="1"/>
  <c r="O218" i="1"/>
  <c r="N218" i="1" a="1"/>
  <c r="N218" i="1" s="1"/>
  <c r="N272" i="1" a="1"/>
  <c r="N272" i="1" s="1"/>
  <c r="O272" i="1"/>
  <c r="N115" i="1" a="1"/>
  <c r="N115" i="1" s="1"/>
  <c r="O115" i="1"/>
  <c r="O278" i="1"/>
  <c r="N278" i="1" a="1"/>
  <c r="N278" i="1" s="1"/>
  <c r="O209" i="1"/>
  <c r="N209" i="1" a="1"/>
  <c r="N209" i="1" s="1"/>
  <c r="O180" i="1"/>
  <c r="N180" i="1" a="1"/>
  <c r="N180" i="1" s="1"/>
  <c r="N19" i="1" a="1"/>
  <c r="N19" i="1" s="1"/>
  <c r="N61" i="1" a="1"/>
  <c r="N61" i="1" s="1"/>
  <c r="N376" i="1" a="1"/>
  <c r="N376" i="1" s="1"/>
  <c r="O376" i="1"/>
  <c r="O238" i="1"/>
  <c r="N238" i="1" a="1"/>
  <c r="N238" i="1" s="1"/>
  <c r="N298" i="1" a="1"/>
  <c r="N298" i="1" s="1"/>
  <c r="O298" i="1"/>
  <c r="N40" i="1" a="1"/>
  <c r="N40" i="1" s="1"/>
  <c r="N131" i="1" a="1"/>
  <c r="N131" i="1" s="1"/>
  <c r="O131" i="1"/>
  <c r="O188" i="1"/>
  <c r="N188" i="1" a="1"/>
  <c r="N188" i="1" s="1"/>
  <c r="N332" i="1" a="1"/>
  <c r="N332" i="1" s="1"/>
  <c r="O332" i="1"/>
  <c r="N74" i="1" a="1"/>
  <c r="N74" i="1" s="1"/>
  <c r="O74" i="1"/>
  <c r="O230" i="1"/>
  <c r="N230" i="1" a="1"/>
  <c r="N230" i="1" s="1"/>
  <c r="O231" i="1"/>
  <c r="N231" i="1" a="1"/>
  <c r="N231" i="1" s="1"/>
  <c r="O105" i="1"/>
  <c r="N105" i="1" a="1"/>
  <c r="N105" i="1" s="1"/>
  <c r="O142" i="1"/>
  <c r="N142" i="1" a="1"/>
  <c r="N142" i="1" s="1"/>
  <c r="N134" i="1" a="1"/>
  <c r="N134" i="1" s="1"/>
  <c r="O134" i="1"/>
  <c r="N116" i="1" a="1"/>
  <c r="N116" i="1" s="1"/>
  <c r="O116" i="1"/>
  <c r="N214" i="1" a="1"/>
  <c r="N214" i="1" s="1"/>
  <c r="O214" i="1"/>
  <c r="O259" i="1"/>
  <c r="N259" i="1" a="1"/>
  <c r="N259" i="1" s="1"/>
  <c r="N14" i="1" a="1"/>
  <c r="N14" i="1" s="1"/>
  <c r="O164" i="1"/>
  <c r="N164" i="1" a="1"/>
  <c r="N164" i="1" s="1"/>
  <c r="N21" i="1" a="1"/>
  <c r="N21" i="1" s="1"/>
  <c r="O297" i="1"/>
  <c r="N297" i="1" a="1"/>
  <c r="N297" i="1" s="1"/>
  <c r="N35" i="1" a="1"/>
  <c r="N35" i="1" s="1"/>
  <c r="N162" i="1" a="1"/>
  <c r="N162" i="1" s="1"/>
  <c r="O162" i="1"/>
  <c r="O144" i="1"/>
  <c r="N144" i="1" a="1"/>
  <c r="N144" i="1" s="1"/>
  <c r="N359" i="1" a="1"/>
  <c r="N359" i="1" s="1"/>
  <c r="O359" i="1"/>
  <c r="O362" i="1"/>
  <c r="N362" i="1" a="1"/>
  <c r="N362" i="1" s="1"/>
  <c r="N83" i="1" a="1"/>
  <c r="N83" i="1" s="1"/>
  <c r="O83" i="1"/>
  <c r="N258" i="1" a="1"/>
  <c r="N258" i="1" s="1"/>
  <c r="O258" i="1"/>
  <c r="N288" i="1" a="1"/>
  <c r="N288" i="1" s="1"/>
  <c r="O288" i="1"/>
  <c r="N174" i="1" a="1"/>
  <c r="N174" i="1" s="1"/>
  <c r="O174" i="1"/>
  <c r="N299" i="1" a="1"/>
  <c r="N299" i="1" s="1"/>
  <c r="O299" i="1"/>
  <c r="N95" i="1" a="1"/>
  <c r="N95" i="1" s="1"/>
  <c r="O95" i="1"/>
  <c r="N374" i="1" a="1"/>
  <c r="N374" i="1" s="1"/>
  <c r="O374" i="1"/>
  <c r="N68" i="1" a="1"/>
  <c r="N68" i="1" s="1"/>
  <c r="N13" i="1" a="1"/>
  <c r="N13" i="1" s="1"/>
  <c r="O81" i="1"/>
  <c r="N81" i="1" a="1"/>
  <c r="N81" i="1" s="1"/>
  <c r="N204" i="1" a="1"/>
  <c r="N204" i="1" s="1"/>
  <c r="O204" i="1"/>
  <c r="N313" i="1" a="1"/>
  <c r="N313" i="1" s="1"/>
  <c r="O313" i="1"/>
  <c r="O124" i="1"/>
  <c r="N124" i="1" a="1"/>
  <c r="N124" i="1" s="1"/>
  <c r="N3" i="1" a="1"/>
  <c r="N3" i="1" s="1"/>
  <c r="O308" i="1"/>
  <c r="N308" i="1" a="1"/>
  <c r="N308" i="1" s="1"/>
  <c r="O77" i="1"/>
  <c r="N77" i="1" a="1"/>
  <c r="N77" i="1" s="1"/>
  <c r="O388" i="1"/>
  <c r="N388" i="1" a="1"/>
  <c r="N388" i="1" s="1"/>
  <c r="N333" i="1" a="1"/>
  <c r="N333" i="1" s="1"/>
  <c r="O333" i="1"/>
  <c r="N18" i="1" a="1"/>
  <c r="N18" i="1" s="1"/>
  <c r="N301" i="1" a="1"/>
  <c r="N301" i="1" s="1"/>
  <c r="O301" i="1"/>
  <c r="O369" i="1"/>
  <c r="N369" i="1" a="1"/>
  <c r="N369" i="1" s="1"/>
  <c r="N201" i="1" a="1"/>
  <c r="N201" i="1" s="1"/>
  <c r="O201" i="1"/>
  <c r="N291" i="1" a="1"/>
  <c r="N291" i="1" s="1"/>
  <c r="O291" i="1"/>
  <c r="N256" i="1" a="1"/>
  <c r="N256" i="1" s="1"/>
  <c r="O256" i="1"/>
  <c r="O364" i="1"/>
  <c r="N364" i="1" a="1"/>
  <c r="N364" i="1" s="1"/>
  <c r="O356" i="1"/>
  <c r="N356" i="1" a="1"/>
  <c r="N356" i="1" s="1"/>
  <c r="N289" i="1" a="1"/>
  <c r="N289" i="1" s="1"/>
  <c r="O289" i="1"/>
  <c r="N11" i="1" a="1"/>
  <c r="N11" i="1" s="1"/>
  <c r="N177" i="1" a="1"/>
  <c r="N177" i="1" s="1"/>
  <c r="O177" i="1"/>
  <c r="N329" i="1" a="1"/>
  <c r="N329" i="1" s="1"/>
  <c r="O329" i="1"/>
  <c r="O236" i="1"/>
  <c r="N236" i="1" a="1"/>
  <c r="N236" i="1" s="1"/>
  <c r="N60" i="1" a="1"/>
  <c r="N60" i="1" s="1"/>
  <c r="N29" i="1" a="1"/>
  <c r="N29" i="1" s="1"/>
  <c r="O96" i="1"/>
  <c r="N96" i="1" a="1"/>
  <c r="N96" i="1" s="1"/>
  <c r="O371" i="1"/>
  <c r="N371" i="1" a="1"/>
  <c r="N371" i="1" s="1"/>
  <c r="N290" i="1" a="1"/>
  <c r="N290" i="1" s="1"/>
  <c r="O290" i="1"/>
  <c r="O312" i="1"/>
  <c r="N312" i="1" a="1"/>
  <c r="N312" i="1" s="1"/>
  <c r="N41" i="1" a="1"/>
  <c r="N41" i="1" s="1"/>
  <c r="N58" i="1" a="1"/>
  <c r="N58" i="1" s="1"/>
  <c r="N381" i="1" a="1"/>
  <c r="N381" i="1" s="1"/>
  <c r="O381" i="1"/>
  <c r="O261" i="1"/>
  <c r="N261" i="1" a="1"/>
  <c r="N261" i="1" s="1"/>
  <c r="O104" i="1"/>
  <c r="N104" i="1" a="1"/>
  <c r="N104" i="1" s="1"/>
  <c r="O100" i="1"/>
  <c r="N100" i="1" a="1"/>
  <c r="N100" i="1" s="1"/>
  <c r="O357" i="1"/>
  <c r="N357" i="1" a="1"/>
  <c r="N357" i="1" s="1"/>
  <c r="N37" i="1" a="1"/>
  <c r="N37" i="1" s="1"/>
  <c r="N39" i="1" a="1"/>
  <c r="N39" i="1" s="1"/>
  <c r="O309" i="1"/>
  <c r="N309" i="1" a="1"/>
  <c r="N309" i="1" s="1"/>
  <c r="O326" i="1"/>
  <c r="N326" i="1" a="1"/>
  <c r="N326" i="1" s="1"/>
  <c r="O193" i="1"/>
  <c r="N193" i="1" a="1"/>
  <c r="N193" i="1" s="1"/>
  <c r="N84" i="1" a="1"/>
  <c r="N84" i="1" s="1"/>
  <c r="O84" i="1"/>
  <c r="N227" i="1" a="1"/>
  <c r="N227" i="1" s="1"/>
  <c r="O227" i="1"/>
  <c r="O234" i="1"/>
  <c r="N234" i="1" a="1"/>
  <c r="N234" i="1" s="1"/>
  <c r="N158" i="1" a="1"/>
  <c r="N158" i="1" s="1"/>
  <c r="O158" i="1"/>
  <c r="O149" i="1"/>
  <c r="N149" i="1" a="1"/>
  <c r="N149" i="1" s="1"/>
  <c r="N241" i="1" a="1"/>
  <c r="N241" i="1" s="1"/>
  <c r="O241" i="1"/>
  <c r="O370" i="1"/>
  <c r="N370" i="1" a="1"/>
  <c r="N370" i="1" s="1"/>
  <c r="O221" i="1"/>
  <c r="N221" i="1" a="1"/>
  <c r="N221" i="1" s="1"/>
  <c r="N135" i="1" a="1"/>
  <c r="N135" i="1" s="1"/>
  <c r="O135" i="1"/>
  <c r="N334" i="1" a="1"/>
  <c r="N334" i="1" s="1"/>
  <c r="O334" i="1"/>
  <c r="N23" i="1" a="1"/>
  <c r="N23" i="1" s="1"/>
  <c r="N4" i="1" a="1"/>
  <c r="N4" i="1" s="1"/>
  <c r="N217" i="1" a="1"/>
  <c r="N217" i="1" s="1"/>
  <c r="O217" i="1"/>
  <c r="N26" i="1" a="1"/>
  <c r="N26" i="1" s="1"/>
  <c r="N90" i="1" a="1"/>
  <c r="N90" i="1" s="1"/>
  <c r="O90" i="1"/>
  <c r="O342" i="1"/>
  <c r="N342" i="1" a="1"/>
  <c r="N342" i="1" s="1"/>
  <c r="O224" i="1"/>
  <c r="N224" i="1" a="1"/>
  <c r="N224" i="1" s="1"/>
  <c r="N240" i="1" a="1"/>
  <c r="N240" i="1" s="1"/>
  <c r="O240" i="1"/>
  <c r="N244" i="1" a="1"/>
  <c r="N244" i="1" s="1"/>
  <c r="O244" i="1"/>
  <c r="N269" i="1" a="1"/>
  <c r="N269" i="1" s="1"/>
  <c r="O269" i="1"/>
  <c r="O321" i="1"/>
  <c r="N321" i="1" a="1"/>
  <c r="N321" i="1" s="1"/>
  <c r="O366" i="1"/>
  <c r="N366" i="1" a="1"/>
  <c r="N366" i="1" s="1"/>
  <c r="O169" i="1"/>
  <c r="N169" i="1" a="1"/>
  <c r="N169" i="1" s="1"/>
  <c r="N243" i="1" a="1"/>
  <c r="N243" i="1" s="1"/>
  <c r="O243" i="1"/>
  <c r="N87" i="1" a="1"/>
  <c r="N87" i="1" s="1"/>
  <c r="O87" i="1"/>
  <c r="O103" i="1"/>
  <c r="N103" i="1" a="1"/>
  <c r="N103" i="1" s="1"/>
  <c r="N89" i="1" a="1"/>
  <c r="N89" i="1" s="1"/>
  <c r="O89" i="1"/>
  <c r="O352" i="1"/>
  <c r="N352" i="1" a="1"/>
  <c r="N352" i="1" s="1"/>
  <c r="O137" i="1"/>
  <c r="N137" i="1" a="1"/>
  <c r="N137" i="1" s="1"/>
  <c r="N347" i="1" a="1"/>
  <c r="N347" i="1" s="1"/>
  <c r="O347" i="1"/>
  <c r="O120" i="1"/>
  <c r="N120" i="1" a="1"/>
  <c r="N120" i="1" s="1"/>
  <c r="N73" i="1" a="1"/>
  <c r="N73" i="1" s="1"/>
  <c r="O73" i="1"/>
  <c r="N114" i="1" a="1"/>
  <c r="N114" i="1" s="1"/>
  <c r="O114" i="1"/>
  <c r="O363" i="1"/>
  <c r="N363" i="1" a="1"/>
  <c r="N363" i="1" s="1"/>
  <c r="N136" i="1" a="1"/>
  <c r="N136" i="1" s="1"/>
  <c r="O136" i="1"/>
  <c r="N52" i="1" a="1"/>
  <c r="N52" i="1" s="1"/>
  <c r="N348" i="1" a="1"/>
  <c r="N348" i="1" s="1"/>
  <c r="O348" i="1"/>
  <c r="O150" i="1"/>
  <c r="N150" i="1" a="1"/>
  <c r="N150" i="1" s="1"/>
  <c r="N248" i="1" a="1"/>
  <c r="N248" i="1" s="1"/>
  <c r="O248" i="1"/>
  <c r="O107" i="1"/>
  <c r="N107" i="1" a="1"/>
  <c r="N107" i="1" s="1"/>
  <c r="O108" i="1"/>
  <c r="N108" i="1" a="1"/>
  <c r="N108" i="1" s="1"/>
  <c r="N133" i="1" a="1"/>
  <c r="N133" i="1" s="1"/>
  <c r="O133" i="1"/>
  <c r="N390" i="1" a="1"/>
  <c r="N390" i="1" s="1"/>
  <c r="O390" i="1"/>
  <c r="N163" i="1" a="1"/>
  <c r="N163" i="1" s="1"/>
  <c r="O163" i="1"/>
  <c r="N94" i="1" a="1"/>
  <c r="N94" i="1" s="1"/>
  <c r="O94" i="1"/>
  <c r="O268" i="1"/>
  <c r="N268" i="1" a="1"/>
  <c r="N268" i="1" s="1"/>
  <c r="O178" i="1"/>
  <c r="N178" i="1" a="1"/>
  <c r="N178" i="1" s="1"/>
  <c r="N113" i="1" a="1"/>
  <c r="N113" i="1" s="1"/>
  <c r="O113" i="1"/>
  <c r="N315" i="1" a="1"/>
  <c r="N315" i="1" s="1"/>
  <c r="O315" i="1"/>
  <c r="N63" i="1" a="1"/>
  <c r="N63" i="1" s="1"/>
  <c r="N128" i="1" a="1"/>
  <c r="N128" i="1" s="1"/>
  <c r="O128" i="1"/>
  <c r="N47" i="1" a="1"/>
  <c r="N47" i="1" s="1"/>
  <c r="N8" i="1" a="1"/>
  <c r="N8" i="1" s="1"/>
  <c r="N64" i="1" a="1"/>
  <c r="N64" i="1" s="1"/>
  <c r="N9" i="1" a="1"/>
  <c r="N9" i="1" s="1"/>
  <c r="O353" i="1"/>
  <c r="N353" i="1" a="1"/>
  <c r="N353" i="1" s="1"/>
  <c r="O368" i="1"/>
  <c r="N368" i="1" a="1"/>
  <c r="N368" i="1" s="1"/>
  <c r="O340" i="1"/>
  <c r="N340" i="1" a="1"/>
  <c r="N340" i="1" s="1"/>
  <c r="O306" i="1"/>
  <c r="N306" i="1" a="1"/>
  <c r="N306" i="1" s="1"/>
  <c r="O210" i="1"/>
  <c r="N210" i="1" a="1"/>
  <c r="N210" i="1" s="1"/>
  <c r="N295" i="1" a="1"/>
  <c r="N295" i="1" s="1"/>
  <c r="O295" i="1"/>
  <c r="N271" i="1" a="1"/>
  <c r="N271" i="1" s="1"/>
  <c r="O271" i="1"/>
  <c r="O152" i="1"/>
  <c r="N152" i="1" a="1"/>
  <c r="N152" i="1" s="1"/>
  <c r="N56" i="1" a="1"/>
  <c r="N56" i="1" s="1"/>
  <c r="N294" i="1" a="1"/>
  <c r="N294" i="1" s="1"/>
  <c r="O294" i="1"/>
  <c r="N45" i="1" a="1"/>
  <c r="N45" i="1" s="1"/>
  <c r="N43" i="1" a="1"/>
  <c r="N43" i="1" s="1"/>
  <c r="N358" i="1" a="1"/>
  <c r="N358" i="1" s="1"/>
  <c r="O358" i="1"/>
  <c r="N33" i="1" a="1"/>
  <c r="N33" i="1" s="1"/>
  <c r="N251" i="1" a="1"/>
  <c r="N251" i="1" s="1"/>
  <c r="O251" i="1"/>
  <c r="O264" i="1"/>
  <c r="N264" i="1" a="1"/>
  <c r="N264" i="1" s="1"/>
  <c r="N85" i="1" a="1"/>
  <c r="N85" i="1" s="1"/>
  <c r="O85" i="1"/>
  <c r="O311" i="1"/>
  <c r="N311" i="1" a="1"/>
  <c r="N311" i="1" s="1"/>
  <c r="N157" i="1" a="1"/>
  <c r="N157" i="1" s="1"/>
  <c r="O157" i="1"/>
  <c r="O351" i="1"/>
  <c r="N351" i="1" a="1"/>
  <c r="N351" i="1" s="1"/>
  <c r="O319" i="1"/>
  <c r="N319" i="1" a="1"/>
  <c r="N319" i="1" s="1"/>
  <c r="N32" i="1" a="1"/>
  <c r="N32" i="1" s="1"/>
  <c r="N28" i="1" a="1"/>
  <c r="N28" i="1" s="1"/>
  <c r="O121" i="1"/>
  <c r="N121" i="1" a="1"/>
  <c r="N121" i="1" s="1"/>
  <c r="N335" i="1" a="1"/>
  <c r="N335" i="1" s="1"/>
  <c r="O335" i="1"/>
  <c r="N27" i="1" a="1"/>
  <c r="N27" i="1" s="1"/>
  <c r="O76" i="1"/>
  <c r="N76" i="1" a="1"/>
  <c r="N76" i="1" s="1"/>
  <c r="N126" i="1" a="1"/>
  <c r="N126" i="1" s="1"/>
  <c r="O126" i="1"/>
  <c r="N207" i="1" a="1"/>
  <c r="N207" i="1" s="1"/>
  <c r="O207" i="1"/>
  <c r="O365" i="1"/>
  <c r="N365" i="1" a="1"/>
  <c r="N365" i="1" s="1"/>
  <c r="N285" i="1" a="1"/>
  <c r="N285" i="1" s="1"/>
  <c r="O285" i="1"/>
  <c r="O318" i="1"/>
  <c r="N318" i="1" a="1"/>
  <c r="N318" i="1" s="1"/>
  <c r="O373" i="1"/>
  <c r="N373" i="1" a="1"/>
  <c r="N373" i="1" s="1"/>
  <c r="N69" i="1" a="1"/>
  <c r="N69" i="1" s="1"/>
  <c r="O69" i="1"/>
  <c r="N286" i="1" a="1"/>
  <c r="N286" i="1" s="1"/>
  <c r="O286" i="1"/>
  <c r="O235" i="1"/>
  <c r="N235" i="1" a="1"/>
  <c r="N235" i="1" s="1"/>
  <c r="N75" i="1" a="1"/>
  <c r="N75" i="1" s="1"/>
  <c r="O75" i="1"/>
  <c r="N159" i="1" a="1"/>
  <c r="N159" i="1" s="1"/>
  <c r="O159" i="1"/>
  <c r="O386" i="1"/>
  <c r="N386" i="1" a="1"/>
  <c r="N386" i="1" s="1"/>
  <c r="N62" i="1" a="1"/>
  <c r="N62" i="1" s="1"/>
  <c r="N17" i="1" a="1"/>
  <c r="N17" i="1" s="1"/>
  <c r="N161" i="1" a="1"/>
  <c r="N161" i="1" s="1"/>
  <c r="O161" i="1"/>
  <c r="N176" i="1" a="1"/>
  <c r="N176" i="1" s="1"/>
  <c r="O176" i="1"/>
  <c r="O79" i="1"/>
  <c r="N79" i="1" a="1"/>
  <c r="N79" i="1" s="1"/>
  <c r="O82" i="1"/>
  <c r="N82" i="1" a="1"/>
  <c r="N82" i="1" s="1"/>
  <c r="O265" i="1"/>
  <c r="N265" i="1" a="1"/>
  <c r="N265" i="1" s="1"/>
  <c r="N173" i="1" a="1"/>
  <c r="N173" i="1" s="1"/>
  <c r="O173" i="1"/>
  <c r="N314" i="1" a="1"/>
  <c r="N314" i="1" s="1"/>
  <c r="O314" i="1"/>
  <c r="O153" i="1"/>
  <c r="N153" i="1" a="1"/>
  <c r="N153" i="1" s="1"/>
  <c r="N92" i="1" a="1"/>
  <c r="N92" i="1" s="1"/>
  <c r="O92" i="1"/>
  <c r="N48" i="1" a="1"/>
  <c r="N48" i="1" s="1"/>
  <c r="O191" i="1"/>
  <c r="N191" i="1" a="1"/>
  <c r="N191" i="1" s="1"/>
  <c r="O111" i="1"/>
  <c r="N111" i="1" a="1"/>
  <c r="N111" i="1" s="1"/>
  <c r="O233" i="1"/>
  <c r="N233" i="1" a="1"/>
  <c r="N233" i="1" s="1"/>
  <c r="N15" i="1" a="1"/>
  <c r="N15" i="1" s="1"/>
  <c r="N86" i="1" a="1"/>
  <c r="N86" i="1" s="1"/>
  <c r="O86" i="1"/>
  <c r="O296" i="1"/>
  <c r="N296" i="1" a="1"/>
  <c r="N296" i="1" s="1"/>
  <c r="N316" i="1" a="1"/>
  <c r="N316" i="1" s="1"/>
  <c r="O316" i="1"/>
  <c r="N50" i="1" a="1"/>
  <c r="N50" i="1" s="1"/>
  <c r="O372" i="1"/>
  <c r="N372" i="1" a="1"/>
  <c r="N372" i="1" s="1"/>
  <c r="O302" i="1"/>
  <c r="N302" i="1" a="1"/>
  <c r="N302" i="1" s="1"/>
  <c r="O192" i="1"/>
  <c r="N192" i="1" a="1"/>
  <c r="N192" i="1" s="1"/>
  <c r="O276" i="1"/>
  <c r="N276" i="1" a="1"/>
  <c r="N276" i="1" s="1"/>
  <c r="N375" i="1" a="1"/>
  <c r="N375" i="1" s="1"/>
  <c r="O375" i="1"/>
  <c r="N247" i="1" a="1"/>
  <c r="N247" i="1" s="1"/>
  <c r="O247" i="1"/>
  <c r="O303" i="1"/>
  <c r="N303" i="1" a="1"/>
  <c r="N303" i="1" s="1"/>
  <c r="O320" i="1"/>
  <c r="N320" i="1" a="1"/>
  <c r="N320" i="1" s="1"/>
  <c r="N67" i="1" a="1"/>
  <c r="N67" i="1" s="1"/>
  <c r="O355" i="1"/>
  <c r="N355" i="1" a="1"/>
  <c r="N355" i="1" s="1"/>
  <c r="N91" i="1" a="1"/>
  <c r="N91" i="1" s="1"/>
  <c r="O91" i="1"/>
  <c r="N130" i="1" a="1"/>
  <c r="N130" i="1" s="1"/>
  <c r="O130" i="1"/>
  <c r="O179" i="1"/>
  <c r="N179" i="1" a="1"/>
  <c r="N179" i="1" s="1"/>
  <c r="O282" i="1"/>
  <c r="N282" i="1" a="1"/>
  <c r="N282" i="1" s="1"/>
  <c r="O148" i="1"/>
  <c r="N148" i="1" a="1"/>
  <c r="N148" i="1" s="1"/>
  <c r="N31" i="1" a="1"/>
  <c r="N31" i="1" s="1"/>
  <c r="N249" i="1" a="1"/>
  <c r="N249" i="1" s="1"/>
  <c r="O249" i="1"/>
  <c r="N212" i="1" a="1"/>
  <c r="N212" i="1" s="1"/>
  <c r="O212" i="1"/>
  <c r="N391" i="1" a="1"/>
  <c r="N391" i="1" s="1"/>
  <c r="O391" i="1"/>
  <c r="N118" i="1" a="1"/>
  <c r="N118" i="1" s="1"/>
  <c r="O118" i="1"/>
  <c r="N245" i="1" a="1"/>
  <c r="N245" i="1" s="1"/>
  <c r="O245" i="1"/>
  <c r="O183" i="1"/>
  <c r="N183" i="1" a="1"/>
  <c r="N183" i="1" s="1"/>
  <c r="O350" i="1"/>
  <c r="N350" i="1" a="1"/>
  <c r="N350" i="1" s="1"/>
  <c r="N44" i="1" a="1"/>
  <c r="N44" i="1" s="1"/>
  <c r="N51" i="1" a="1"/>
  <c r="N51" i="1" s="1"/>
  <c r="N54" i="1" a="1"/>
  <c r="N54" i="1" s="1"/>
  <c r="N22" i="1" a="1"/>
  <c r="N22" i="1" s="1"/>
  <c r="N228" i="1" a="1"/>
  <c r="N228" i="1" s="1"/>
  <c r="O228" i="1"/>
  <c r="N42" i="1" a="1"/>
  <c r="N42" i="1" s="1"/>
  <c r="N199" i="1" a="1"/>
  <c r="N199" i="1" s="1"/>
  <c r="O199" i="1"/>
  <c r="O274" i="1"/>
  <c r="N274" i="1" a="1"/>
  <c r="N274" i="1" s="1"/>
  <c r="N185" i="1" a="1"/>
  <c r="N185" i="1" s="1"/>
  <c r="O185" i="1"/>
  <c r="O263" i="1"/>
  <c r="N263" i="1" a="1"/>
  <c r="N263" i="1" s="1"/>
  <c r="N293" i="1" a="1"/>
  <c r="N293" i="1" s="1"/>
  <c r="O293" i="1"/>
  <c r="O310" i="1"/>
  <c r="N310" i="1" a="1"/>
  <c r="N310" i="1" s="1"/>
  <c r="N284" i="1" a="1"/>
  <c r="N284" i="1" s="1"/>
  <c r="O284" i="1"/>
  <c r="N49" i="1" a="1"/>
  <c r="N49" i="1" s="1"/>
  <c r="N53" i="1" a="1"/>
  <c r="N53" i="1" s="1"/>
  <c r="O324" i="1"/>
  <c r="N324" i="1" a="1"/>
  <c r="N324" i="1" s="1"/>
  <c r="O280" i="1"/>
  <c r="N280" i="1" a="1"/>
  <c r="N280" i="1" s="1"/>
  <c r="O80" i="1"/>
  <c r="N80" i="1" a="1"/>
  <c r="N80" i="1" s="1"/>
  <c r="O168" i="1"/>
  <c r="N168" i="1" a="1"/>
  <c r="N168" i="1" s="1"/>
  <c r="O237" i="1"/>
  <c r="N237" i="1" a="1"/>
  <c r="N237" i="1" s="1"/>
  <c r="O195" i="1"/>
  <c r="N195" i="1" a="1"/>
  <c r="N195" i="1" s="1"/>
  <c r="N127" i="1" a="1"/>
  <c r="N127" i="1" s="1"/>
  <c r="O127" i="1"/>
  <c r="N202" i="1" a="1"/>
  <c r="N202" i="1" s="1"/>
  <c r="O202" i="1"/>
  <c r="N93" i="1" a="1"/>
  <c r="N93" i="1" s="1"/>
  <c r="O93" i="1"/>
  <c r="N5" i="1" a="1"/>
  <c r="N5" i="1" s="1"/>
  <c r="N283" i="1" a="1"/>
  <c r="N283" i="1" s="1"/>
  <c r="O283" i="1"/>
  <c r="N379" i="1" a="1"/>
  <c r="N379" i="1" s="1"/>
  <c r="O379" i="1"/>
  <c r="O146" i="1"/>
  <c r="N146" i="1" a="1"/>
  <c r="N146" i="1" s="1"/>
  <c r="N72" i="1" a="1"/>
  <c r="N72" i="1" s="1"/>
  <c r="O72" i="1"/>
  <c r="N330" i="1" a="1"/>
  <c r="N330" i="1" s="1"/>
  <c r="O330" i="1"/>
  <c r="O254" i="1"/>
  <c r="N254" i="1" a="1"/>
  <c r="N254" i="1" s="1"/>
  <c r="O98" i="1"/>
  <c r="N98" i="1" a="1"/>
  <c r="N98" i="1" s="1"/>
  <c r="O307" i="1"/>
  <c r="N307" i="1" a="1"/>
  <c r="N307" i="1" s="1"/>
  <c r="N380" i="1" a="1"/>
  <c r="N380" i="1" s="1"/>
  <c r="O380" i="1"/>
  <c r="N229" i="1" a="1"/>
  <c r="N229" i="1" s="1"/>
  <c r="O229" i="1"/>
  <c r="J72" i="1"/>
  <c r="J28" i="1"/>
  <c r="J116" i="1"/>
  <c r="O64" i="1" s="1"/>
  <c r="J27" i="1"/>
  <c r="J386" i="1"/>
  <c r="J342" i="1"/>
  <c r="J298" i="1"/>
  <c r="J232" i="1"/>
  <c r="J166" i="1"/>
  <c r="J78" i="1"/>
  <c r="J34" i="1"/>
  <c r="J385" i="1"/>
  <c r="J341" i="1"/>
  <c r="J297" i="1"/>
  <c r="J231" i="1"/>
  <c r="J187" i="1"/>
  <c r="J165" i="1"/>
  <c r="J121" i="1"/>
  <c r="J33" i="1"/>
  <c r="J372" i="1"/>
  <c r="J350" i="1"/>
  <c r="J328" i="1"/>
  <c r="J306" i="1"/>
  <c r="J284" i="1"/>
  <c r="J262" i="1"/>
  <c r="J240" i="1"/>
  <c r="J218" i="1"/>
  <c r="J196" i="1"/>
  <c r="J174" i="1"/>
  <c r="J152" i="1"/>
  <c r="J130" i="1"/>
  <c r="J108" i="1"/>
  <c r="J86" i="1"/>
  <c r="O63" i="1" s="1"/>
  <c r="J64" i="1"/>
  <c r="J42" i="1"/>
  <c r="J20" i="1"/>
  <c r="J164" i="1"/>
  <c r="J142" i="1"/>
  <c r="J120" i="1"/>
  <c r="J382" i="1"/>
  <c r="J118" i="1"/>
  <c r="J30" i="1"/>
  <c r="J8" i="1"/>
  <c r="J285" i="1"/>
  <c r="J153" i="1"/>
  <c r="J307" i="1"/>
  <c r="J109" i="1"/>
  <c r="O61" i="1" s="1"/>
  <c r="J147" i="1"/>
  <c r="J125" i="1"/>
  <c r="J103" i="1"/>
  <c r="J81" i="1"/>
  <c r="J59" i="1"/>
  <c r="J37" i="1"/>
  <c r="J15" i="1"/>
  <c r="J329" i="1"/>
  <c r="J241" i="1"/>
  <c r="J175" i="1"/>
  <c r="J87" i="1"/>
  <c r="J21" i="1"/>
  <c r="J388" i="1"/>
  <c r="J366" i="1"/>
  <c r="J344" i="1"/>
  <c r="J322" i="1"/>
  <c r="J300" i="1"/>
  <c r="J278" i="1"/>
  <c r="J256" i="1"/>
  <c r="J234" i="1"/>
  <c r="J212" i="1"/>
  <c r="J190" i="1"/>
  <c r="J168" i="1"/>
  <c r="J146" i="1"/>
  <c r="J124" i="1"/>
  <c r="J102" i="1"/>
  <c r="J80" i="1"/>
  <c r="J58" i="1"/>
  <c r="J36" i="1"/>
  <c r="O29" i="1" s="1"/>
  <c r="J14" i="1"/>
  <c r="J373" i="1"/>
  <c r="J263" i="1"/>
  <c r="J219" i="1"/>
  <c r="J65" i="1"/>
  <c r="J351" i="1"/>
  <c r="J197" i="1"/>
  <c r="J141" i="1"/>
  <c r="J119" i="1"/>
  <c r="J75" i="1"/>
  <c r="J381" i="1"/>
  <c r="J117" i="1"/>
  <c r="J73" i="1"/>
  <c r="J384" i="1"/>
  <c r="J340" i="1"/>
  <c r="J383" i="1"/>
  <c r="J339" i="1"/>
  <c r="J25" i="1"/>
  <c r="J375" i="1"/>
  <c r="J353" i="1"/>
  <c r="J331" i="1"/>
  <c r="J309" i="1"/>
  <c r="J287" i="1"/>
  <c r="J265" i="1"/>
  <c r="J243" i="1"/>
  <c r="J221" i="1"/>
  <c r="J199" i="1"/>
  <c r="J177" i="1"/>
  <c r="J133" i="1"/>
  <c r="J111" i="1"/>
  <c r="J89" i="1"/>
  <c r="J67" i="1"/>
  <c r="J45" i="1"/>
  <c r="J23" i="1"/>
  <c r="J374" i="1"/>
  <c r="J352" i="1"/>
  <c r="J330" i="1"/>
  <c r="J308" i="1"/>
  <c r="J286" i="1"/>
  <c r="J264" i="1"/>
  <c r="J242" i="1"/>
  <c r="J220" i="1"/>
  <c r="J198" i="1"/>
  <c r="J176" i="1"/>
  <c r="J154" i="1"/>
  <c r="J66" i="1"/>
  <c r="J44" i="1"/>
  <c r="J22" i="1"/>
  <c r="J371" i="1"/>
  <c r="O2" i="1" s="1"/>
  <c r="J349" i="1"/>
  <c r="J327" i="1"/>
  <c r="J305" i="1"/>
  <c r="J283" i="1"/>
  <c r="J261" i="1"/>
  <c r="J239" i="1"/>
  <c r="J217" i="1"/>
  <c r="J195" i="1"/>
  <c r="J173" i="1"/>
  <c r="J151" i="1"/>
  <c r="J129" i="1"/>
  <c r="J107" i="1"/>
  <c r="J63" i="1"/>
  <c r="O58" i="1" s="1"/>
  <c r="J41" i="1"/>
  <c r="J19" i="1"/>
  <c r="J370" i="1"/>
  <c r="J348" i="1"/>
  <c r="J326" i="1"/>
  <c r="J304" i="1"/>
  <c r="J282" i="1"/>
  <c r="J260" i="1"/>
  <c r="J238" i="1"/>
  <c r="J216" i="1"/>
  <c r="J194" i="1"/>
  <c r="J172" i="1"/>
  <c r="J150" i="1"/>
  <c r="J128" i="1"/>
  <c r="J106" i="1"/>
  <c r="J84" i="1"/>
  <c r="O62" i="1" s="1"/>
  <c r="J62" i="1"/>
  <c r="J40" i="1"/>
  <c r="J18" i="1"/>
  <c r="J391" i="1"/>
  <c r="J369" i="1"/>
  <c r="J347" i="1"/>
  <c r="J325" i="1"/>
  <c r="J303" i="1"/>
  <c r="O8" i="1" s="1"/>
  <c r="J281" i="1"/>
  <c r="J259" i="1"/>
  <c r="J237" i="1"/>
  <c r="J215" i="1"/>
  <c r="J193" i="1"/>
  <c r="J171" i="1"/>
  <c r="J149" i="1"/>
  <c r="J127" i="1"/>
  <c r="J105" i="1"/>
  <c r="J83" i="1"/>
  <c r="J61" i="1"/>
  <c r="J39" i="1"/>
  <c r="J17" i="1"/>
  <c r="J390" i="1"/>
  <c r="J368" i="1"/>
  <c r="J346" i="1"/>
  <c r="J324" i="1"/>
  <c r="J302" i="1"/>
  <c r="J280" i="1"/>
  <c r="J258" i="1"/>
  <c r="J236" i="1"/>
  <c r="J214" i="1"/>
  <c r="J192" i="1"/>
  <c r="J170" i="1"/>
  <c r="J148" i="1"/>
  <c r="J126" i="1"/>
  <c r="J38" i="1"/>
  <c r="J16" i="1"/>
  <c r="J389" i="1"/>
  <c r="J367" i="1"/>
  <c r="J345" i="1"/>
  <c r="J323" i="1"/>
  <c r="J301" i="1"/>
  <c r="J279" i="1"/>
  <c r="J257" i="1"/>
  <c r="J235" i="1"/>
  <c r="J213" i="1"/>
  <c r="J191" i="1"/>
  <c r="J169" i="1"/>
  <c r="J387" i="1"/>
  <c r="J343" i="1"/>
  <c r="J299" i="1"/>
  <c r="J255" i="1"/>
  <c r="J233" i="1"/>
  <c r="J211" i="1"/>
  <c r="J189" i="1"/>
  <c r="J167" i="1"/>
  <c r="J145" i="1"/>
  <c r="J123" i="1"/>
  <c r="J101" i="1"/>
  <c r="J79" i="1"/>
  <c r="J35" i="1"/>
  <c r="J13" i="1"/>
  <c r="J94" i="1"/>
  <c r="J91" i="1"/>
  <c r="J88" i="1"/>
  <c r="J11" i="1"/>
  <c r="J9" i="1"/>
  <c r="J115" i="1"/>
  <c r="J10" i="1"/>
  <c r="J140" i="1"/>
  <c r="J32" i="1"/>
  <c r="J110" i="1"/>
  <c r="J31" i="1"/>
  <c r="J55" i="1"/>
  <c r="J54" i="1"/>
  <c r="J29" i="1"/>
  <c r="J186" i="1"/>
  <c r="J131" i="1"/>
  <c r="J230" i="1"/>
  <c r="J100" i="1"/>
  <c r="J76" i="1"/>
  <c r="J132" i="1"/>
  <c r="J77" i="1"/>
  <c r="J143" i="1"/>
  <c r="J122" i="1"/>
  <c r="J74" i="1"/>
  <c r="J43" i="1"/>
  <c r="J12" i="1"/>
  <c r="O57" i="1" l="1"/>
  <c r="O21" i="1"/>
  <c r="O13" i="1"/>
  <c r="O68" i="1"/>
  <c r="O60" i="1"/>
  <c r="O10" i="1"/>
  <c r="O41" i="1"/>
  <c r="O66" i="1"/>
  <c r="G26" i="29"/>
  <c r="G25" i="29"/>
  <c r="G24" i="29"/>
  <c r="G23" i="29"/>
  <c r="G22" i="29"/>
  <c r="G27" i="29"/>
  <c r="O30" i="1"/>
  <c r="G11" i="29"/>
  <c r="G10" i="29"/>
  <c r="G9" i="29"/>
  <c r="G8" i="29"/>
  <c r="G7" i="29"/>
  <c r="G6" i="29"/>
  <c r="G5" i="29"/>
  <c r="G47" i="29"/>
  <c r="G46" i="29"/>
  <c r="G45" i="29"/>
  <c r="G43" i="29"/>
  <c r="G44" i="29"/>
  <c r="G42" i="29"/>
  <c r="G41" i="29"/>
  <c r="O67" i="1"/>
  <c r="G34" i="29"/>
  <c r="G33" i="29"/>
  <c r="G32" i="29"/>
  <c r="G31" i="29"/>
  <c r="G30" i="29"/>
  <c r="G29" i="29"/>
  <c r="G28" i="29"/>
  <c r="G62" i="29"/>
  <c r="G61" i="29"/>
  <c r="G60" i="29"/>
  <c r="G59" i="29"/>
  <c r="G58" i="29"/>
  <c r="G57" i="29"/>
  <c r="G56" i="29"/>
  <c r="G55" i="29"/>
  <c r="O26" i="1"/>
  <c r="G16" i="29"/>
  <c r="G15" i="29"/>
  <c r="G13" i="29"/>
  <c r="G12" i="29"/>
  <c r="G14" i="29"/>
  <c r="G65" i="29"/>
  <c r="G69" i="29"/>
  <c r="G68" i="29"/>
  <c r="G67" i="29"/>
  <c r="G66" i="29"/>
  <c r="G64" i="29"/>
  <c r="G63" i="29"/>
  <c r="O23" i="1"/>
  <c r="O53" i="1"/>
  <c r="O71" i="1"/>
  <c r="O24" i="1"/>
  <c r="G40" i="29"/>
  <c r="G39" i="29"/>
  <c r="G38" i="29"/>
  <c r="G37" i="29"/>
  <c r="G35" i="29"/>
  <c r="G36" i="29"/>
  <c r="O35" i="1"/>
  <c r="G48" i="29"/>
  <c r="G54" i="29"/>
  <c r="G53" i="29"/>
  <c r="G52" i="29"/>
  <c r="G51" i="29"/>
  <c r="G50" i="29"/>
  <c r="G49" i="29"/>
  <c r="G21" i="29"/>
  <c r="G18" i="29"/>
  <c r="G17" i="29"/>
  <c r="G20" i="29"/>
  <c r="G19" i="29"/>
  <c r="O5" i="1"/>
  <c r="O3" i="1"/>
  <c r="O7" i="1"/>
  <c r="O51" i="1"/>
  <c r="O37" i="1"/>
  <c r="O18" i="1"/>
  <c r="O56" i="1"/>
  <c r="O20" i="1"/>
  <c r="O52" i="1"/>
  <c r="AA64" i="1"/>
  <c r="AA63" i="1"/>
  <c r="AA62" i="1"/>
  <c r="AA61" i="1"/>
  <c r="AA60" i="1"/>
  <c r="O12" i="1"/>
  <c r="O48" i="1"/>
  <c r="O19" i="1"/>
  <c r="O44" i="1"/>
  <c r="O33" i="1"/>
  <c r="O43" i="1"/>
  <c r="O31" i="1"/>
  <c r="O17" i="1"/>
  <c r="O50" i="1"/>
  <c r="O16" i="1"/>
  <c r="O14" i="1"/>
  <c r="O15" i="1"/>
  <c r="O46" i="1"/>
  <c r="O55" i="1"/>
  <c r="O59" i="1"/>
  <c r="O25" i="1"/>
  <c r="O9" i="1"/>
  <c r="O49" i="1"/>
  <c r="O4" i="1"/>
  <c r="O6" i="1"/>
  <c r="H232" i="46"/>
  <c r="H33" i="46"/>
  <c r="H185" i="46"/>
  <c r="H8" i="46"/>
  <c r="I43" i="47"/>
  <c r="H57" i="46"/>
  <c r="H73" i="46"/>
  <c r="H25" i="46"/>
  <c r="I16" i="47"/>
  <c r="H203" i="46"/>
  <c r="H49" i="46"/>
  <c r="I25" i="47"/>
  <c r="H156" i="46"/>
  <c r="I34" i="47"/>
  <c r="H212" i="46"/>
  <c r="H176" i="46"/>
  <c r="H241" i="46"/>
  <c r="H65" i="46"/>
  <c r="I8" i="47"/>
  <c r="H41" i="46"/>
  <c r="H147" i="46"/>
  <c r="I45" i="47"/>
  <c r="H187" i="46"/>
  <c r="H35" i="46"/>
  <c r="H10" i="46"/>
  <c r="H75" i="46"/>
  <c r="I18" i="47"/>
  <c r="H205" i="46"/>
  <c r="H51" i="46"/>
  <c r="H27" i="46"/>
  <c r="H158" i="46"/>
  <c r="I36" i="47"/>
  <c r="H234" i="46"/>
  <c r="H178" i="46"/>
  <c r="H243" i="46"/>
  <c r="H67" i="46"/>
  <c r="I10" i="47"/>
  <c r="H43" i="46"/>
  <c r="H149" i="46"/>
  <c r="I27" i="47"/>
  <c r="H214" i="46"/>
  <c r="H59" i="46"/>
  <c r="H251" i="46"/>
  <c r="H119" i="46"/>
  <c r="H137" i="46"/>
  <c r="H92" i="46"/>
  <c r="H110" i="46"/>
  <c r="H128" i="46"/>
  <c r="H18" i="46"/>
  <c r="H83" i="46"/>
  <c r="H101" i="46"/>
  <c r="H222" i="46"/>
  <c r="H188" i="46"/>
  <c r="H11" i="46"/>
  <c r="H76" i="46"/>
  <c r="I19" i="47"/>
  <c r="H206" i="46"/>
  <c r="H52" i="46"/>
  <c r="I46" i="47"/>
  <c r="H28" i="46"/>
  <c r="H159" i="46"/>
  <c r="I37" i="47"/>
  <c r="H179" i="46"/>
  <c r="H36" i="46"/>
  <c r="H244" i="46"/>
  <c r="H68" i="46"/>
  <c r="I11" i="47"/>
  <c r="H44" i="46"/>
  <c r="H150" i="46"/>
  <c r="I28" i="47"/>
  <c r="H215" i="46"/>
  <c r="H60" i="46"/>
  <c r="H235" i="46"/>
  <c r="H221" i="46"/>
  <c r="H223" i="46"/>
  <c r="H252" i="46"/>
  <c r="H120" i="46"/>
  <c r="H138" i="46"/>
  <c r="H93" i="46"/>
  <c r="H102" i="46"/>
  <c r="H111" i="46"/>
  <c r="H84" i="46"/>
  <c r="H129" i="46"/>
  <c r="H19" i="46"/>
  <c r="H224" i="46"/>
  <c r="H97" i="46"/>
  <c r="H247" i="46"/>
  <c r="H115" i="46"/>
  <c r="H133" i="46"/>
  <c r="H124" i="46"/>
  <c r="H14" i="46"/>
  <c r="H88" i="46"/>
  <c r="H106" i="46"/>
  <c r="H79" i="46"/>
  <c r="H98" i="46"/>
  <c r="H248" i="46"/>
  <c r="H116" i="46"/>
  <c r="H80" i="46"/>
  <c r="H134" i="46"/>
  <c r="H89" i="46"/>
  <c r="H107" i="46"/>
  <c r="H125" i="46"/>
  <c r="H15" i="46"/>
  <c r="H56" i="46"/>
  <c r="H231" i="46"/>
  <c r="H184" i="46"/>
  <c r="H32" i="46"/>
  <c r="I42" i="47"/>
  <c r="H211" i="46"/>
  <c r="H7" i="46"/>
  <c r="H72" i="46"/>
  <c r="I15" i="47"/>
  <c r="H202" i="46"/>
  <c r="H48" i="46"/>
  <c r="H146" i="46"/>
  <c r="H24" i="46"/>
  <c r="H155" i="46"/>
  <c r="I33" i="47"/>
  <c r="H175" i="46"/>
  <c r="H240" i="46"/>
  <c r="H64" i="46"/>
  <c r="I7" i="47"/>
  <c r="H40" i="46"/>
  <c r="I24" i="47"/>
  <c r="H219" i="46"/>
  <c r="H99" i="46"/>
  <c r="H249" i="46"/>
  <c r="H117" i="46"/>
  <c r="H135" i="46"/>
  <c r="H90" i="46"/>
  <c r="H108" i="46"/>
  <c r="H126" i="46"/>
  <c r="H16" i="46"/>
  <c r="H81" i="46"/>
  <c r="I23" i="47"/>
  <c r="H210" i="46"/>
  <c r="H55" i="46"/>
  <c r="I41" i="47"/>
  <c r="H230" i="46"/>
  <c r="H31" i="46"/>
  <c r="H145" i="46"/>
  <c r="H183" i="46"/>
  <c r="H6" i="46"/>
  <c r="H71" i="46"/>
  <c r="I14" i="47"/>
  <c r="H201" i="46"/>
  <c r="H47" i="46"/>
  <c r="H23" i="46"/>
  <c r="H154" i="46"/>
  <c r="I32" i="47"/>
  <c r="H174" i="46"/>
  <c r="H239" i="46"/>
  <c r="H63" i="46"/>
  <c r="I6" i="47"/>
  <c r="H39" i="46"/>
  <c r="H220" i="46"/>
  <c r="H253" i="46"/>
  <c r="H121" i="46"/>
  <c r="H139" i="46"/>
  <c r="H94" i="46"/>
  <c r="H112" i="46"/>
  <c r="H130" i="46"/>
  <c r="H20" i="46"/>
  <c r="H85" i="46"/>
  <c r="H103" i="46"/>
  <c r="H34" i="46"/>
  <c r="I44" i="47"/>
  <c r="H9" i="46"/>
  <c r="H74" i="46"/>
  <c r="H186" i="46"/>
  <c r="I17" i="47"/>
  <c r="H204" i="46"/>
  <c r="H50" i="46"/>
  <c r="H157" i="46"/>
  <c r="H26" i="46"/>
  <c r="I35" i="47"/>
  <c r="H177" i="46"/>
  <c r="H58" i="46"/>
  <c r="H242" i="46"/>
  <c r="H66" i="46"/>
  <c r="I9" i="47"/>
  <c r="H42" i="46"/>
  <c r="H233" i="46"/>
  <c r="H148" i="46"/>
  <c r="I26" i="47"/>
  <c r="H213" i="46"/>
  <c r="H100" i="46"/>
  <c r="H250" i="46"/>
  <c r="H118" i="46"/>
  <c r="H91" i="46"/>
  <c r="H136" i="46"/>
  <c r="H109" i="46"/>
  <c r="H127" i="46"/>
  <c r="H17" i="46"/>
  <c r="H82" i="46"/>
  <c r="AA29" i="1"/>
  <c r="AA27" i="1"/>
  <c r="AA26" i="1"/>
  <c r="AA30" i="1"/>
  <c r="AA31" i="1"/>
  <c r="AA28" i="1"/>
  <c r="AA25" i="1"/>
  <c r="AA13" i="1"/>
  <c r="AA11" i="1"/>
  <c r="AA12" i="1"/>
  <c r="AA9" i="1"/>
  <c r="AA10" i="1"/>
  <c r="AA59" i="1"/>
  <c r="AA54" i="1"/>
  <c r="AA52" i="1"/>
  <c r="AA55" i="1"/>
  <c r="AA58" i="1"/>
  <c r="AA53" i="1"/>
  <c r="AA57" i="1"/>
  <c r="AA56" i="1"/>
  <c r="AA22" i="1"/>
  <c r="AA20" i="1"/>
  <c r="AA21" i="1"/>
  <c r="AA23" i="1"/>
  <c r="AA19" i="1"/>
  <c r="AA24" i="1"/>
  <c r="AA18" i="1"/>
  <c r="AA16" i="1"/>
  <c r="AA15" i="1"/>
  <c r="AA14" i="1"/>
  <c r="AA17" i="1"/>
  <c r="AA44" i="1"/>
  <c r="AA42" i="1"/>
  <c r="AA39" i="1"/>
  <c r="AA40" i="1"/>
  <c r="AA43" i="1"/>
  <c r="AA38" i="1"/>
  <c r="AA41" i="1"/>
  <c r="AA37" i="1"/>
  <c r="AA33" i="1"/>
  <c r="AA34" i="1"/>
  <c r="AA32" i="1"/>
  <c r="AA35" i="1"/>
  <c r="AA36" i="1"/>
  <c r="AA2" i="1"/>
  <c r="AA7" i="1"/>
  <c r="AA5" i="1"/>
  <c r="AA3" i="1"/>
  <c r="AA4" i="1"/>
  <c r="AA8" i="1"/>
  <c r="AA6" i="1"/>
  <c r="AA45" i="1"/>
  <c r="AA47" i="1"/>
  <c r="AA48" i="1"/>
  <c r="AA49" i="1"/>
  <c r="AA46" i="1"/>
  <c r="AA50" i="1"/>
  <c r="AA51" i="1"/>
  <c r="O32" i="1"/>
  <c r="O38" i="1"/>
  <c r="O22" i="1"/>
  <c r="O42" i="1"/>
  <c r="O39" i="1"/>
  <c r="O11" i="1"/>
  <c r="O54" i="1"/>
  <c r="O45" i="1"/>
  <c r="O28" i="1"/>
  <c r="Q3" i="1" a="1"/>
  <c r="Q3" i="1" s="1"/>
  <c r="O47" i="1"/>
  <c r="O40" i="1"/>
  <c r="O27" i="1"/>
  <c r="O34" i="1"/>
  <c r="I17" i="46" l="1"/>
  <c r="I18" i="46"/>
  <c r="I19" i="46"/>
  <c r="I20" i="46"/>
  <c r="I14" i="46"/>
  <c r="I13" i="46"/>
  <c r="I21" i="46"/>
  <c r="I15" i="46"/>
  <c r="I16" i="46"/>
  <c r="I71" i="46"/>
  <c r="I75" i="46"/>
  <c r="I73" i="46"/>
  <c r="I70" i="46"/>
  <c r="I72" i="46"/>
  <c r="I76" i="46"/>
  <c r="I74" i="46"/>
  <c r="I77" i="46"/>
  <c r="I125" i="46"/>
  <c r="I123" i="46"/>
  <c r="I131" i="46"/>
  <c r="I129" i="46"/>
  <c r="I126" i="46"/>
  <c r="I127" i="46"/>
  <c r="I130" i="46"/>
  <c r="I124" i="46"/>
  <c r="I128" i="46"/>
  <c r="I9" i="46"/>
  <c r="I11" i="46"/>
  <c r="I12" i="46"/>
  <c r="I7" i="46"/>
  <c r="I5" i="46"/>
  <c r="I6" i="46"/>
  <c r="I10" i="46"/>
  <c r="I8" i="46"/>
  <c r="I133" i="46"/>
  <c r="I140" i="46"/>
  <c r="I137" i="46"/>
  <c r="I134" i="46"/>
  <c r="I139" i="46"/>
  <c r="I138" i="46"/>
  <c r="I132" i="46"/>
  <c r="I135" i="46"/>
  <c r="I136" i="46"/>
  <c r="J21" i="47"/>
  <c r="J20" i="47"/>
  <c r="J19" i="47"/>
  <c r="J18" i="47"/>
  <c r="J16" i="47"/>
  <c r="J15" i="47"/>
  <c r="J13" i="47"/>
  <c r="J17" i="47"/>
  <c r="J14" i="47"/>
  <c r="I182" i="46"/>
  <c r="I186" i="46"/>
  <c r="I184" i="46"/>
  <c r="I189" i="46"/>
  <c r="I191" i="46"/>
  <c r="I187" i="46"/>
  <c r="I185" i="46"/>
  <c r="I183" i="46"/>
  <c r="I190" i="46"/>
  <c r="I188" i="46"/>
  <c r="J12" i="47"/>
  <c r="J5" i="47"/>
  <c r="J11" i="47"/>
  <c r="J6" i="47"/>
  <c r="J7" i="47"/>
  <c r="J9" i="47"/>
  <c r="J8" i="47"/>
  <c r="J10" i="47"/>
  <c r="I43" i="46"/>
  <c r="I45" i="46"/>
  <c r="I38" i="46"/>
  <c r="I39" i="46"/>
  <c r="I42" i="46"/>
  <c r="I44" i="46"/>
  <c r="I41" i="46"/>
  <c r="I40" i="46"/>
  <c r="I148" i="46"/>
  <c r="I149" i="46"/>
  <c r="I150" i="46"/>
  <c r="I145" i="46"/>
  <c r="I147" i="46"/>
  <c r="I151" i="46"/>
  <c r="I144" i="46"/>
  <c r="I152" i="46"/>
  <c r="I146" i="46"/>
  <c r="I31" i="46"/>
  <c r="I33" i="46"/>
  <c r="I34" i="46"/>
  <c r="I36" i="46"/>
  <c r="I30" i="46"/>
  <c r="I32" i="46"/>
  <c r="I35" i="46"/>
  <c r="I37" i="46"/>
  <c r="I115" i="46"/>
  <c r="I119" i="46"/>
  <c r="I121" i="46"/>
  <c r="I117" i="46"/>
  <c r="I114" i="46"/>
  <c r="I116" i="46"/>
  <c r="I120" i="46"/>
  <c r="I122" i="46"/>
  <c r="I118" i="46"/>
  <c r="I250" i="46"/>
  <c r="I252" i="46"/>
  <c r="I248" i="46"/>
  <c r="I256" i="46"/>
  <c r="I255" i="46"/>
  <c r="I254" i="46"/>
  <c r="I247" i="46"/>
  <c r="I253" i="46"/>
  <c r="I251" i="46"/>
  <c r="I249" i="46"/>
  <c r="I87" i="46"/>
  <c r="I89" i="46"/>
  <c r="I93" i="46"/>
  <c r="I92" i="46"/>
  <c r="I90" i="46"/>
  <c r="I88" i="46"/>
  <c r="I91" i="46"/>
  <c r="I95" i="46"/>
  <c r="I94" i="46"/>
  <c r="I65" i="46"/>
  <c r="I62" i="46"/>
  <c r="I63" i="46"/>
  <c r="I69" i="46"/>
  <c r="I68" i="46"/>
  <c r="I64" i="46"/>
  <c r="I66" i="46"/>
  <c r="I67" i="46"/>
  <c r="I241" i="46"/>
  <c r="I244" i="46"/>
  <c r="I243" i="46"/>
  <c r="I239" i="46"/>
  <c r="I238" i="46"/>
  <c r="I242" i="46"/>
  <c r="I246" i="46"/>
  <c r="I240" i="46"/>
  <c r="I245" i="46"/>
  <c r="I230" i="46"/>
  <c r="I235" i="46"/>
  <c r="I233" i="46"/>
  <c r="I231" i="46"/>
  <c r="I229" i="46"/>
  <c r="I232" i="46"/>
  <c r="I234" i="46"/>
  <c r="I236" i="46"/>
  <c r="I237" i="46"/>
  <c r="I104" i="46"/>
  <c r="I103" i="46"/>
  <c r="I101" i="46"/>
  <c r="I97" i="46"/>
  <c r="I99" i="46"/>
  <c r="I100" i="46"/>
  <c r="I102" i="46"/>
  <c r="I98" i="46"/>
  <c r="I96" i="46"/>
  <c r="J46" i="47"/>
  <c r="J45" i="47"/>
  <c r="J42" i="47"/>
  <c r="J44" i="47"/>
  <c r="J43" i="47"/>
  <c r="J40" i="47"/>
  <c r="J48" i="47"/>
  <c r="J47" i="47"/>
  <c r="J41" i="47"/>
  <c r="I178" i="46"/>
  <c r="I177" i="46"/>
  <c r="I175" i="46"/>
  <c r="I180" i="46"/>
  <c r="I173" i="46"/>
  <c r="I181" i="46"/>
  <c r="I174" i="46"/>
  <c r="I176" i="46"/>
  <c r="I179" i="46"/>
  <c r="J39" i="47"/>
  <c r="J38" i="47"/>
  <c r="J37" i="47"/>
  <c r="J36" i="47"/>
  <c r="J35" i="47"/>
  <c r="J34" i="47"/>
  <c r="J31" i="47"/>
  <c r="J33" i="47"/>
  <c r="J32" i="47"/>
  <c r="I57" i="46"/>
  <c r="I61" i="46"/>
  <c r="I55" i="46"/>
  <c r="I59" i="46"/>
  <c r="I58" i="46"/>
  <c r="I54" i="46"/>
  <c r="I60" i="46"/>
  <c r="I56" i="46"/>
  <c r="I211" i="46"/>
  <c r="I213" i="46"/>
  <c r="I215" i="46"/>
  <c r="I216" i="46"/>
  <c r="I212" i="46"/>
  <c r="I217" i="46"/>
  <c r="I210" i="46"/>
  <c r="I214" i="46"/>
  <c r="I218" i="46"/>
  <c r="I81" i="46"/>
  <c r="I79" i="46"/>
  <c r="I85" i="46"/>
  <c r="I84" i="46"/>
  <c r="I78" i="46"/>
  <c r="I86" i="46"/>
  <c r="I80" i="46"/>
  <c r="I83" i="46"/>
  <c r="I82" i="46"/>
  <c r="I160" i="46"/>
  <c r="I159" i="46"/>
  <c r="I155" i="46"/>
  <c r="I153" i="46"/>
  <c r="I156" i="46"/>
  <c r="I158" i="46"/>
  <c r="I154" i="46"/>
  <c r="I157" i="46"/>
  <c r="I161" i="46"/>
  <c r="J24" i="47"/>
  <c r="J25" i="47"/>
  <c r="J22" i="47"/>
  <c r="J26" i="47"/>
  <c r="J29" i="47"/>
  <c r="J27" i="47"/>
  <c r="J28" i="47"/>
  <c r="J30" i="47"/>
  <c r="J23" i="47"/>
  <c r="I23" i="46"/>
  <c r="I27" i="46"/>
  <c r="I29" i="46"/>
  <c r="I22" i="46"/>
  <c r="I24" i="46"/>
  <c r="I25" i="46"/>
  <c r="I26" i="46"/>
  <c r="I28" i="46"/>
  <c r="I228" i="46"/>
  <c r="I224" i="46"/>
  <c r="I222" i="46"/>
  <c r="I226" i="46"/>
  <c r="I221" i="46"/>
  <c r="I219" i="46"/>
  <c r="I225" i="46"/>
  <c r="I227" i="46"/>
  <c r="I220" i="46"/>
  <c r="I223" i="46"/>
  <c r="I109" i="46"/>
  <c r="I112" i="46"/>
  <c r="I106" i="46"/>
  <c r="I105" i="46"/>
  <c r="I107" i="46"/>
  <c r="I113" i="46"/>
  <c r="I108" i="46"/>
  <c r="I110" i="46"/>
  <c r="I111" i="46"/>
  <c r="I49" i="46"/>
  <c r="I51" i="46"/>
  <c r="I53" i="46"/>
  <c r="I48" i="46"/>
  <c r="I47" i="46"/>
  <c r="I52" i="46"/>
  <c r="I46" i="46"/>
  <c r="I50" i="46"/>
  <c r="I206" i="46"/>
  <c r="I204" i="46"/>
  <c r="I203" i="46"/>
  <c r="I202" i="46"/>
  <c r="I207" i="46"/>
  <c r="I205" i="46"/>
  <c r="I209" i="46"/>
  <c r="I201" i="46"/>
  <c r="I208" i="46"/>
  <c r="R23" i="1"/>
  <c r="R8" i="1"/>
  <c r="R19" i="1"/>
  <c r="R45" i="1"/>
  <c r="R35" i="1"/>
  <c r="R20" i="1"/>
  <c r="R46" i="1"/>
  <c r="R41" i="1"/>
  <c r="R42" i="1"/>
  <c r="R25" i="1"/>
  <c r="R5" i="1"/>
  <c r="R21" i="1"/>
  <c r="R18" i="1"/>
  <c r="R49" i="1"/>
  <c r="R7" i="1"/>
  <c r="R43" i="1"/>
  <c r="R28" i="1"/>
  <c r="R10" i="1"/>
  <c r="R29" i="1"/>
  <c r="R11" i="1"/>
  <c r="S11" i="1" s="1"/>
  <c r="R30" i="1"/>
  <c r="R33" i="1"/>
  <c r="R6" i="1"/>
  <c r="R9" i="1"/>
  <c r="R12" i="1"/>
  <c r="R31" i="1"/>
  <c r="R34" i="1"/>
  <c r="R32" i="1"/>
  <c r="R13" i="1"/>
  <c r="R2" i="1"/>
  <c r="R39" i="1"/>
  <c r="R14" i="1"/>
  <c r="R24" i="1"/>
  <c r="R44" i="1"/>
  <c r="R27" i="1"/>
  <c r="R50" i="1"/>
  <c r="R36" i="1"/>
  <c r="R40" i="1"/>
  <c r="R15" i="1"/>
  <c r="R17" i="1"/>
  <c r="R3" i="1"/>
  <c r="R37" i="1"/>
  <c r="R48" i="1"/>
  <c r="R47" i="1"/>
  <c r="R38" i="1"/>
  <c r="R4" i="1"/>
  <c r="R22" i="1"/>
  <c r="R26" i="1"/>
  <c r="R16" i="1"/>
  <c r="Q4" i="1" a="1"/>
  <c r="Q4" i="1" s="1"/>
  <c r="Q5" i="1" l="1" a="1"/>
  <c r="Q5" i="1" s="1"/>
  <c r="Q6" i="1" l="1" a="1"/>
  <c r="Q6" i="1" s="1"/>
  <c r="Q7" i="1" l="1" a="1"/>
  <c r="Q7" i="1" s="1"/>
  <c r="L4" i="5" s="1"/>
  <c r="V4" i="5" s="1" a="1"/>
  <c r="V4" i="5" s="1"/>
  <c r="L3" i="5" l="1"/>
  <c r="U4" i="5"/>
  <c r="P4" i="5"/>
  <c r="Q8" i="1" a="1"/>
  <c r="Q8" i="1" s="1"/>
  <c r="U3" i="5" l="1"/>
  <c r="V3" i="5" a="1"/>
  <c r="V3" i="5" s="1"/>
  <c r="P3" i="5"/>
  <c r="G3" i="4" a="1"/>
  <c r="G3" i="4" s="1"/>
  <c r="E3" i="4" s="1"/>
  <c r="S5" i="4" a="1"/>
  <c r="S5" i="4" s="1"/>
  <c r="S4" i="4" a="1"/>
  <c r="S4" i="4" s="1"/>
  <c r="T4" i="4" s="1"/>
  <c r="S6" i="4" a="1"/>
  <c r="S6" i="4" s="1"/>
  <c r="S7" i="4" a="1"/>
  <c r="S7" i="4" s="1"/>
  <c r="S8" i="4" a="1"/>
  <c r="S8" i="4" s="1"/>
  <c r="S3" i="4" a="1"/>
  <c r="S3" i="4" s="1"/>
  <c r="Q9" i="1" a="1"/>
  <c r="Q9" i="1" s="1"/>
  <c r="G5" i="4" a="1"/>
  <c r="G5" i="4" s="1"/>
  <c r="G6" i="4" a="1"/>
  <c r="G6" i="4" s="1"/>
  <c r="T3" i="4" l="1"/>
  <c r="T6" i="4"/>
  <c r="E6" i="4"/>
  <c r="E5" i="4"/>
  <c r="T5" i="4"/>
  <c r="Q10" i="1" a="1"/>
  <c r="Q10" i="1" s="1"/>
  <c r="Q12" i="1" l="1" a="1"/>
  <c r="Q12" i="1" s="1"/>
  <c r="Q13" i="1" s="1" a="1"/>
  <c r="Q13" i="1" s="1"/>
  <c r="Q14" i="1" l="1" a="1"/>
  <c r="Q14" i="1" s="1"/>
  <c r="Q15" i="1" l="1" a="1"/>
  <c r="Q15" i="1" s="1"/>
  <c r="Q16" i="1" l="1" a="1"/>
  <c r="Q16" i="1" s="1"/>
  <c r="Q17" i="1" l="1" a="1"/>
  <c r="Q17" i="1" s="1"/>
  <c r="G7" i="4" a="1"/>
  <c r="G7" i="4" s="1"/>
  <c r="BB9" i="4"/>
  <c r="G8" i="4" s="1" a="1"/>
  <c r="G8" i="4" s="1"/>
  <c r="T8" i="4" l="1"/>
  <c r="E8" i="4"/>
  <c r="E7" i="4"/>
  <c r="T7" i="4"/>
  <c r="Q18" i="1" a="1"/>
  <c r="Q18" i="1" s="1"/>
  <c r="Q19" i="1" l="1" a="1"/>
  <c r="Q19" i="1" s="1"/>
  <c r="Q20" i="1" l="1" a="1"/>
  <c r="Q20" i="1" s="1"/>
  <c r="AP20" i="2" s="1" a="1"/>
  <c r="AP20" i="2" s="1"/>
  <c r="Q21" i="1" l="1" a="1"/>
  <c r="Q21" i="1" s="1"/>
  <c r="Q22" i="1" l="1" a="1"/>
  <c r="Q22" i="1" s="1"/>
  <c r="Q23" i="1" l="1" a="1"/>
  <c r="Q23" i="1" s="1"/>
  <c r="Q24" i="1" l="1" a="1"/>
  <c r="Q24" i="1" s="1"/>
  <c r="Q25" i="1" l="1" a="1"/>
  <c r="Q25" i="1" s="1"/>
  <c r="Q26" i="1" l="1" a="1"/>
  <c r="Q26" i="1" s="1"/>
  <c r="Q27" i="1" l="1" a="1"/>
  <c r="Q27" i="1" s="1"/>
  <c r="Q28" i="1" l="1" a="1"/>
  <c r="Q28" i="1" s="1"/>
  <c r="Q29" i="1" l="1" a="1"/>
  <c r="Q29" i="1" s="1"/>
  <c r="Q30" i="1" l="1" a="1"/>
  <c r="Q30" i="1" s="1"/>
  <c r="Q31" i="1" l="1" a="1"/>
  <c r="Q31" i="1" s="1"/>
  <c r="Q32" i="1" l="1" a="1"/>
  <c r="Q32" i="1" s="1"/>
  <c r="Q33" i="1" l="1" a="1"/>
  <c r="Q33" i="1" s="1"/>
  <c r="Q34" i="1" l="1" a="1"/>
  <c r="Q34" i="1" s="1"/>
  <c r="Q35" i="1" l="1" a="1"/>
  <c r="Q35" i="1" s="1"/>
  <c r="Q36" i="1" l="1" a="1"/>
  <c r="Q36" i="1" s="1"/>
  <c r="Q37" i="1" l="1" a="1"/>
  <c r="Q37" i="1" s="1"/>
  <c r="Q38" i="1" l="1" a="1"/>
  <c r="Q38" i="1" s="1"/>
  <c r="Q39" i="1" l="1" a="1"/>
  <c r="Q39" i="1" s="1"/>
  <c r="Q40" i="1" l="1" a="1"/>
  <c r="Q40" i="1" s="1"/>
  <c r="Q41" i="1" l="1" a="1"/>
  <c r="Q41" i="1" s="1"/>
  <c r="Q42" i="1" l="1" a="1"/>
  <c r="Q42" i="1" s="1"/>
  <c r="Q43" i="1" l="1" a="1"/>
  <c r="Q43" i="1" s="1"/>
  <c r="Q44" i="1" l="1" a="1"/>
  <c r="Q44" i="1" s="1"/>
  <c r="Q45" i="1" l="1" a="1"/>
  <c r="Q45" i="1" s="1"/>
  <c r="Q46" i="1" l="1" a="1"/>
  <c r="Q46" i="1" s="1"/>
  <c r="Q47" i="1" l="1" a="1"/>
  <c r="Q47" i="1" s="1"/>
  <c r="Q48" i="1" l="1" a="1"/>
  <c r="Q48" i="1" s="1"/>
  <c r="Q49" i="1" l="1" a="1"/>
  <c r="Q49" i="1" s="1"/>
  <c r="Q50" i="1" l="1" a="1"/>
  <c r="Q50" i="1" s="1"/>
  <c r="L5" i="5" s="1"/>
  <c r="V5" i="5" s="1" a="1"/>
  <c r="V5" i="5" s="1"/>
  <c r="P5" i="5" l="1"/>
  <c r="U5" i="5"/>
  <c r="AP2" i="2" a="1"/>
  <c r="AP2" i="2" s="1"/>
  <c r="AP6" i="2" a="1"/>
  <c r="AP6" i="2" s="1"/>
  <c r="AP7" i="2" a="1"/>
  <c r="AP7" i="2" s="1"/>
  <c r="AP3" i="2" a="1"/>
  <c r="AP3" i="2" s="1"/>
  <c r="AP4" i="2" a="1"/>
  <c r="AP4" i="2" s="1"/>
  <c r="AP5" i="2" a="1"/>
  <c r="AP5" i="2" s="1"/>
  <c r="L56" i="9" l="1"/>
  <c r="L13" i="9"/>
  <c r="L14" i="9"/>
  <c r="L55" i="9"/>
  <c r="L20" i="9"/>
  <c r="L61" i="9"/>
  <c r="L62" i="9"/>
  <c r="L8" i="32"/>
  <c r="L67" i="9"/>
  <c r="L13" i="32"/>
  <c r="L68" i="9"/>
  <c r="L14" i="32"/>
  <c r="L19" i="32"/>
  <c r="L20" i="32"/>
  <c r="L19" i="9"/>
  <c r="L7" i="32"/>
  <c r="L65" i="9"/>
  <c r="L66" i="9"/>
  <c r="M66" i="9" s="1"/>
  <c r="L64" i="9"/>
  <c r="M64" i="9" s="1"/>
  <c r="L58" i="9"/>
  <c r="M58" i="9" s="1"/>
  <c r="L59" i="9"/>
  <c r="M59" i="9" s="1"/>
  <c r="L5" i="32"/>
  <c r="M5" i="32" s="1"/>
  <c r="L6" i="32"/>
  <c r="M6" i="32" s="1"/>
  <c r="L52" i="9"/>
  <c r="M52" i="9" s="1"/>
  <c r="L53" i="9"/>
  <c r="M53" i="9" s="1"/>
  <c r="L54" i="9"/>
  <c r="M54" i="9" s="1"/>
  <c r="L4" i="32"/>
  <c r="M4" i="32" s="1"/>
  <c r="L60" i="9"/>
  <c r="M60" i="9" s="1"/>
  <c r="L57" i="9"/>
  <c r="M57" i="9" s="1"/>
  <c r="L51" i="9"/>
  <c r="M51" i="9" s="1"/>
  <c r="L63" i="9"/>
  <c r="M63" i="9" s="1"/>
  <c r="L12" i="32"/>
  <c r="M12" i="32" s="1"/>
  <c r="L11" i="32"/>
  <c r="M11" i="32" s="1"/>
  <c r="L3" i="32"/>
  <c r="M3" i="32" s="1"/>
  <c r="L10" i="32"/>
  <c r="M10" i="32" s="1"/>
  <c r="L9" i="32"/>
  <c r="M9" i="32" s="1"/>
  <c r="L10" i="9"/>
  <c r="M10" i="9" s="1"/>
  <c r="L11" i="9"/>
  <c r="M11" i="9" s="1"/>
  <c r="L4" i="9"/>
  <c r="M4" i="9" s="1"/>
  <c r="L5" i="9"/>
  <c r="M5" i="9" s="1"/>
  <c r="L12" i="9"/>
  <c r="M12" i="9" s="1"/>
  <c r="L8" i="9"/>
  <c r="L6" i="9"/>
  <c r="M6" i="9" s="1"/>
  <c r="L7" i="9"/>
  <c r="L9" i="9"/>
  <c r="M9" i="9" s="1"/>
  <c r="L17" i="32"/>
  <c r="M17" i="32" s="1"/>
  <c r="L18" i="32"/>
  <c r="M18" i="32" s="1"/>
  <c r="L17" i="9"/>
  <c r="M17" i="9" s="1"/>
  <c r="L3" i="9"/>
  <c r="M3" i="9" s="1"/>
  <c r="L16" i="32"/>
  <c r="M16" i="32" s="1"/>
  <c r="L16" i="9"/>
  <c r="M16" i="9" s="1"/>
  <c r="L18" i="9"/>
  <c r="M18" i="9" s="1"/>
  <c r="L15" i="9"/>
  <c r="M15" i="9" s="1"/>
  <c r="L15" i="32"/>
  <c r="M15" i="32" s="1"/>
  <c r="AK6" i="5"/>
  <c r="AK7" i="5" s="1"/>
  <c r="AK39" i="5" s="1"/>
  <c r="AG6" i="5"/>
  <c r="AO6" i="5"/>
  <c r="AO7" i="5" s="1"/>
  <c r="AO39" i="5" s="1"/>
  <c r="AR224" i="57" a="1"/>
  <c r="AR224" i="57" s="1"/>
  <c r="AR214" i="57" a="1"/>
  <c r="AR214" i="57" s="1"/>
  <c r="AR189" i="57" a="1"/>
  <c r="AR189" i="57" s="1"/>
  <c r="AR225" i="57" a="1"/>
  <c r="AR225" i="57" s="1"/>
  <c r="AR256" i="57" a="1"/>
  <c r="AR256" i="57" s="1"/>
  <c r="AR195" i="57" a="1"/>
  <c r="AR195" i="57" s="1"/>
  <c r="AR222" i="57" a="1"/>
  <c r="AR222" i="57" s="1"/>
  <c r="AR188" i="57" a="1"/>
  <c r="AR188" i="57" s="1"/>
  <c r="AR240" i="57" a="1"/>
  <c r="AR240" i="57" s="1"/>
  <c r="AR211" i="57" a="1"/>
  <c r="AR211" i="57" s="1"/>
  <c r="AR187" i="57" a="1"/>
  <c r="AR187" i="57" s="1"/>
  <c r="AR194" i="57" a="1"/>
  <c r="AR194" i="57" s="1"/>
  <c r="AR203" i="57" a="1"/>
  <c r="AR203" i="57" s="1"/>
  <c r="AR235" i="57" a="1"/>
  <c r="AR235" i="57" s="1"/>
  <c r="AR197" i="57" a="1"/>
  <c r="AR197" i="57" s="1"/>
  <c r="AR251" i="57" a="1"/>
  <c r="AR251" i="57" s="1"/>
  <c r="AR232" i="57" a="1"/>
  <c r="AR232" i="57" s="1"/>
  <c r="AR209" i="57" a="1"/>
  <c r="AR209" i="57" s="1"/>
  <c r="AR248" i="57" a="1"/>
  <c r="AR248" i="57" s="1"/>
  <c r="AR247" i="57" a="1"/>
  <c r="AR247" i="57" s="1"/>
  <c r="AR206" i="57" a="1"/>
  <c r="AR206" i="57" s="1"/>
  <c r="AR239" i="57" a="1"/>
  <c r="AR239" i="57" s="1"/>
  <c r="AR244" i="57" a="1"/>
  <c r="AR244" i="57" s="1"/>
  <c r="AR207" i="57" a="1"/>
  <c r="AR207" i="57" s="1"/>
  <c r="AR200" i="57" a="1"/>
  <c r="AR200" i="57" s="1"/>
  <c r="AR193" i="57" a="1"/>
  <c r="AR193" i="57" s="1"/>
  <c r="AR191" i="57" a="1"/>
  <c r="AR191" i="57" s="1"/>
  <c r="AR236" i="57" a="1"/>
  <c r="AR236" i="57" s="1"/>
  <c r="AR233" i="57" a="1"/>
  <c r="AR233" i="57" s="1"/>
  <c r="AR204" i="57" a="1"/>
  <c r="AR204" i="57" s="1"/>
  <c r="AR249" i="57" a="1"/>
  <c r="AR249" i="57" s="1"/>
  <c r="AR231" i="57" a="1"/>
  <c r="AR231" i="57" s="1"/>
  <c r="AR230" i="57" a="1"/>
  <c r="AR230" i="57" s="1"/>
  <c r="AR246" i="57" a="1"/>
  <c r="AR246" i="57" s="1"/>
  <c r="AR257" i="57" a="1"/>
  <c r="AR257" i="57" s="1"/>
  <c r="AR228" i="57" a="1"/>
  <c r="AR228" i="57" s="1"/>
  <c r="AR186" i="57" a="1"/>
  <c r="AR186" i="57" s="1"/>
  <c r="AR205" i="57" a="1"/>
  <c r="AR205" i="57" s="1"/>
  <c r="AR254" i="57" a="1"/>
  <c r="AR254" i="57" s="1"/>
  <c r="AR255" i="57" a="1"/>
  <c r="AR255" i="57" s="1"/>
  <c r="AR215" i="57" a="1"/>
  <c r="AR215" i="57" s="1"/>
  <c r="AR245" i="57" a="1"/>
  <c r="AR245" i="57" s="1"/>
  <c r="AR192" i="57" a="1"/>
  <c r="AR192" i="57" s="1"/>
  <c r="AR199" i="57" a="1"/>
  <c r="AR199" i="57" s="1"/>
  <c r="AR252" i="57" a="1"/>
  <c r="AR252" i="57" s="1"/>
  <c r="AR212" i="57" a="1"/>
  <c r="AR212" i="57" s="1"/>
  <c r="AR242" i="57" a="1"/>
  <c r="AR242" i="57" s="1"/>
  <c r="AR253" i="57" a="1"/>
  <c r="AR253" i="57" s="1"/>
  <c r="AR196" i="57" a="1"/>
  <c r="AR196" i="57" s="1"/>
  <c r="AR234" i="57" a="1"/>
  <c r="AR234" i="57" s="1"/>
  <c r="AR243" i="57" a="1"/>
  <c r="AR243" i="57" s="1"/>
  <c r="AR250" i="57" a="1"/>
  <c r="AR250" i="57" s="1"/>
  <c r="AR241" i="57" a="1"/>
  <c r="AR241" i="57" s="1"/>
  <c r="AR201" i="57" a="1"/>
  <c r="AR201" i="57" s="1"/>
  <c r="AR223" i="57" a="1"/>
  <c r="AR223" i="57" s="1"/>
  <c r="AR208" i="57" a="1"/>
  <c r="AR208" i="57" s="1"/>
  <c r="AR219" i="57" a="1"/>
  <c r="AR219" i="57" s="1"/>
  <c r="AR213" i="57" a="1"/>
  <c r="AR213" i="57" s="1"/>
  <c r="AR238" i="57" a="1"/>
  <c r="AR238" i="57" s="1"/>
  <c r="AR198" i="57" a="1"/>
  <c r="AR198" i="57" s="1"/>
  <c r="AR220" i="57" a="1"/>
  <c r="AR220" i="57" s="1"/>
  <c r="AR210" i="57" a="1"/>
  <c r="AR210" i="57" s="1"/>
  <c r="AR216" i="57" a="1"/>
  <c r="AR216" i="57" s="1"/>
  <c r="AR229" i="57" a="1"/>
  <c r="AR229" i="57" s="1"/>
  <c r="AR221" i="57" a="1"/>
  <c r="AR221" i="57" s="1"/>
  <c r="AR226" i="57" a="1"/>
  <c r="AR226" i="57" s="1"/>
  <c r="AR237" i="57" a="1"/>
  <c r="AR237" i="57" s="1"/>
  <c r="AR190" i="57" a="1"/>
  <c r="AR190" i="57" s="1"/>
  <c r="AR202" i="57" a="1"/>
  <c r="AR202" i="57" s="1"/>
  <c r="AR218" i="57" a="1"/>
  <c r="AR218" i="57" s="1"/>
  <c r="AR227" i="57" a="1"/>
  <c r="AR227" i="57" s="1"/>
  <c r="AR217" i="57" a="1"/>
  <c r="AR217" i="57" s="1"/>
  <c r="AF209" i="57" a="1"/>
  <c r="AF209" i="57" s="1"/>
  <c r="AF187" i="57" a="1"/>
  <c r="AF187" i="57" s="1"/>
  <c r="AF207" i="57" a="1"/>
  <c r="AF207" i="57" s="1"/>
  <c r="AN207" i="57" s="1"/>
  <c r="AF201" i="57" a="1"/>
  <c r="AF201" i="57" s="1"/>
  <c r="AN201" i="57" s="1"/>
  <c r="AF217" i="57" a="1"/>
  <c r="AF217" i="57" s="1"/>
  <c r="AF230" i="57" a="1"/>
  <c r="AF230" i="57" s="1"/>
  <c r="AF215" i="57" a="1"/>
  <c r="AF215" i="57" s="1"/>
  <c r="AF189" i="57" a="1"/>
  <c r="AF189" i="57" s="1"/>
  <c r="AF216" i="57" a="1"/>
  <c r="AF216" i="57" s="1"/>
  <c r="AF186" i="57" a="1"/>
  <c r="AF186" i="57" s="1"/>
  <c r="AF206" i="57" a="1"/>
  <c r="AF206" i="57" s="1"/>
  <c r="AF236" i="57" a="1"/>
  <c r="AF236" i="57" s="1"/>
  <c r="AF188" i="57" a="1"/>
  <c r="AF188" i="57" s="1"/>
  <c r="AF237" i="57" a="1"/>
  <c r="AF237" i="57" s="1"/>
  <c r="AF200" i="57" a="1"/>
  <c r="AF200" i="57" s="1"/>
  <c r="AF198" i="57" a="1"/>
  <c r="AF198" i="57" s="1"/>
  <c r="AF248" i="57" a="1"/>
  <c r="AF248" i="57" s="1"/>
  <c r="AF231" i="57" a="1"/>
  <c r="AF231" i="57" s="1"/>
  <c r="AF235" i="57" a="1"/>
  <c r="AF235" i="57" s="1"/>
  <c r="AF234" i="57" a="1"/>
  <c r="AF234" i="57" s="1"/>
  <c r="AF247" i="57" a="1"/>
  <c r="AF247" i="57" s="1"/>
  <c r="AN247" i="57" s="1"/>
  <c r="AF249" i="57" a="1"/>
  <c r="AF249" i="57" s="1"/>
  <c r="AF232" i="57" a="1"/>
  <c r="AF232" i="57" s="1"/>
  <c r="AF214" i="57" a="1"/>
  <c r="AF214" i="57" s="1"/>
  <c r="AF199" i="57" a="1"/>
  <c r="AF199" i="57" s="1"/>
  <c r="AF246" i="57" a="1"/>
  <c r="AF246" i="57" s="1"/>
  <c r="AF208" i="57" a="1"/>
  <c r="AF208" i="57" s="1"/>
  <c r="AF233" i="57" a="1"/>
  <c r="AF233" i="57" s="1"/>
  <c r="AR153" i="57" a="1"/>
  <c r="AR153" i="57" s="1"/>
  <c r="AR76" i="57" a="1"/>
  <c r="AR76" i="57" s="1"/>
  <c r="AR56" i="57" a="1"/>
  <c r="AR56" i="57" s="1"/>
  <c r="AR176" i="57" a="1"/>
  <c r="AR176" i="57" s="1"/>
  <c r="AR48" i="57" a="1"/>
  <c r="AR48" i="57" s="1"/>
  <c r="AR35" i="57" a="1"/>
  <c r="AR35" i="57" s="1"/>
  <c r="AR85" i="57" a="1"/>
  <c r="AR85" i="57" s="1"/>
  <c r="AR139" i="57" a="1"/>
  <c r="AR139" i="57" s="1"/>
  <c r="AR135" i="57" a="1"/>
  <c r="AR135" i="57" s="1"/>
  <c r="AR57" i="57" a="1"/>
  <c r="AR57" i="57" s="1"/>
  <c r="AR37" i="57" a="1"/>
  <c r="AR37" i="57" s="1"/>
  <c r="AR158" i="57" a="1"/>
  <c r="AR158" i="57" s="1"/>
  <c r="AR79" i="57" a="1"/>
  <c r="AR79" i="57" s="1"/>
  <c r="AR40" i="57" a="1"/>
  <c r="AR40" i="57" s="1"/>
  <c r="AR172" i="57" a="1"/>
  <c r="AR172" i="57" s="1"/>
  <c r="AR117" i="57" a="1"/>
  <c r="AR117" i="57" s="1"/>
  <c r="AR21" i="57" a="1"/>
  <c r="AR21" i="57" s="1"/>
  <c r="AR20" i="57" a="1"/>
  <c r="AR20" i="57" s="1"/>
  <c r="AR162" i="57" a="1"/>
  <c r="AR162" i="57" s="1"/>
  <c r="AR142" i="57" a="1"/>
  <c r="AR142" i="57" s="1"/>
  <c r="AR115" i="57" a="1"/>
  <c r="AR115" i="57" s="1"/>
  <c r="AR78" i="57" a="1"/>
  <c r="AR78" i="57" s="1"/>
  <c r="AR127" i="57" a="1"/>
  <c r="AR127" i="57" s="1"/>
  <c r="AR155" i="57" a="1"/>
  <c r="AR155" i="57" s="1"/>
  <c r="AR118" i="57" a="1"/>
  <c r="AR118" i="57" s="1"/>
  <c r="AR99" i="57" a="1"/>
  <c r="AR99" i="57" s="1"/>
  <c r="AR145" i="57" a="1"/>
  <c r="AR145" i="57" s="1"/>
  <c r="AR105" i="57" a="1"/>
  <c r="AR105" i="57" s="1"/>
  <c r="AR67" i="57" a="1"/>
  <c r="AR67" i="57" s="1"/>
  <c r="AR174" i="57" a="1"/>
  <c r="AR174" i="57" s="1"/>
  <c r="AR31" i="57" a="1"/>
  <c r="AR31" i="57" s="1"/>
  <c r="AR77" i="57" a="1"/>
  <c r="AR77" i="57" s="1"/>
  <c r="AR75" i="57" a="1"/>
  <c r="AR75" i="57" s="1"/>
  <c r="AR138" i="57" a="1"/>
  <c r="AR138" i="57" s="1"/>
  <c r="AR27" i="57" a="1"/>
  <c r="AR27" i="57" s="1"/>
  <c r="AR81" i="57" a="1"/>
  <c r="AR81" i="57" s="1"/>
  <c r="AR184" i="57" a="1"/>
  <c r="AR184" i="57" s="1"/>
  <c r="AR125" i="57" a="1"/>
  <c r="AR125" i="57" s="1"/>
  <c r="AR69" i="57" a="1"/>
  <c r="AR69" i="57" s="1"/>
  <c r="AR182" i="57" a="1"/>
  <c r="AR182" i="57" s="1"/>
  <c r="AR120" i="57" a="1"/>
  <c r="AR120" i="57" s="1"/>
  <c r="AR7" i="57" a="1"/>
  <c r="AR7" i="57" s="1"/>
  <c r="AR63" i="57" a="1"/>
  <c r="AR63" i="57" s="1"/>
  <c r="AR166" i="57" a="1"/>
  <c r="AR166" i="57" s="1"/>
  <c r="AR109" i="57" a="1"/>
  <c r="AR109" i="57" s="1"/>
  <c r="AR178" i="57" a="1"/>
  <c r="AR178" i="57" s="1"/>
  <c r="AR50" i="57" a="1"/>
  <c r="AR50" i="57" s="1"/>
  <c r="AR62" i="57" a="1"/>
  <c r="AR62" i="57" s="1"/>
  <c r="AR123" i="57" a="1"/>
  <c r="AR123" i="57" s="1"/>
  <c r="AR101" i="57" a="1"/>
  <c r="AR101" i="57" s="1"/>
  <c r="AR171" i="57" a="1"/>
  <c r="AR171" i="57" s="1"/>
  <c r="AR44" i="57" a="1"/>
  <c r="AR44" i="57" s="1"/>
  <c r="AR149" i="57" a="1"/>
  <c r="AR149" i="57" s="1"/>
  <c r="AR90" i="57" a="1"/>
  <c r="AR90" i="57" s="1"/>
  <c r="AR160" i="57" a="1"/>
  <c r="AR160" i="57" s="1"/>
  <c r="AR33" i="57" a="1"/>
  <c r="AR33" i="57" s="1"/>
  <c r="AR88" i="57" a="1"/>
  <c r="AR88" i="57" s="1"/>
  <c r="AR47" i="57" a="1"/>
  <c r="AR47" i="57" s="1"/>
  <c r="AR32" i="57" a="1"/>
  <c r="AR32" i="57" s="1"/>
  <c r="AR93" i="57" a="1"/>
  <c r="AR93" i="57" s="1"/>
  <c r="AR83" i="57" a="1"/>
  <c r="AR83" i="57" s="1"/>
  <c r="AR154" i="57" a="1"/>
  <c r="AR154" i="57" s="1"/>
  <c r="AR26" i="57" a="1"/>
  <c r="AR26" i="57" s="1"/>
  <c r="AR130" i="57" a="1"/>
  <c r="AR130" i="57" s="1"/>
  <c r="AR73" i="57" a="1"/>
  <c r="AR73" i="57" s="1"/>
  <c r="AR144" i="57" a="1"/>
  <c r="AR144" i="57" s="1"/>
  <c r="AR14" i="57" a="1"/>
  <c r="AR14" i="57" s="1"/>
  <c r="AR10" i="57" a="1"/>
  <c r="AR10" i="57" s="1"/>
  <c r="AR51" i="57" a="1"/>
  <c r="AR51" i="57" s="1"/>
  <c r="AR6" i="57" a="1"/>
  <c r="AR6" i="57" s="1"/>
  <c r="AR163" i="57" a="1"/>
  <c r="AR163" i="57" s="1"/>
  <c r="AR66" i="57" a="1"/>
  <c r="AR66" i="57" s="1"/>
  <c r="AR137" i="57" a="1"/>
  <c r="AR137" i="57" s="1"/>
  <c r="AR169" i="57" a="1"/>
  <c r="AR169" i="57" s="1"/>
  <c r="AR112" i="57" a="1"/>
  <c r="AR112" i="57" s="1"/>
  <c r="AR54" i="57" a="1"/>
  <c r="AR54" i="57" s="1"/>
  <c r="AR124" i="57" a="1"/>
  <c r="AR124" i="57" s="1"/>
  <c r="AR30" i="57" a="1"/>
  <c r="AR30" i="57" s="1"/>
  <c r="AR104" i="57" a="1"/>
  <c r="AR104" i="57" s="1"/>
  <c r="AR46" i="57" a="1"/>
  <c r="AR46" i="57" s="1"/>
  <c r="AR119" i="57" a="1"/>
  <c r="AR119" i="57" s="1"/>
  <c r="AR134" i="57" a="1"/>
  <c r="AR134" i="57" s="1"/>
  <c r="AR95" i="57" a="1"/>
  <c r="AR95" i="57" s="1"/>
  <c r="AR36" i="57" a="1"/>
  <c r="AR36" i="57" s="1"/>
  <c r="AR107" i="57" a="1"/>
  <c r="AR107" i="57" s="1"/>
  <c r="AR84" i="57" a="1"/>
  <c r="AR84" i="57" s="1"/>
  <c r="AR121" i="57" a="1"/>
  <c r="AR121" i="57" s="1"/>
  <c r="AR29" i="57" a="1"/>
  <c r="AR29" i="57" s="1"/>
  <c r="AR100" i="57" a="1"/>
  <c r="AR100" i="57" s="1"/>
  <c r="AR152" i="57" a="1"/>
  <c r="AR152" i="57" s="1"/>
  <c r="AR185" i="57" a="1"/>
  <c r="AR185" i="57" s="1"/>
  <c r="AR39" i="57" a="1"/>
  <c r="AR39" i="57" s="1"/>
  <c r="AR55" i="57" a="1"/>
  <c r="AR55" i="57" s="1"/>
  <c r="AR19" i="57" a="1"/>
  <c r="AR19" i="57" s="1"/>
  <c r="AR89" i="57" a="1"/>
  <c r="AR89" i="57" s="1"/>
  <c r="AR116" i="57" a="1"/>
  <c r="AR116" i="57" s="1"/>
  <c r="AR15" i="57" a="1"/>
  <c r="AR15" i="57" s="1"/>
  <c r="AR122" i="57" a="1"/>
  <c r="AR122" i="57" s="1"/>
  <c r="AR103" i="57" a="1"/>
  <c r="AR103" i="57" s="1"/>
  <c r="AR9" i="57" a="1"/>
  <c r="AR9" i="57" s="1"/>
  <c r="AR82" i="57" a="1"/>
  <c r="AR82" i="57" s="1"/>
  <c r="AR133" i="57" a="1"/>
  <c r="AR133" i="57" s="1"/>
  <c r="AR167" i="57" a="1"/>
  <c r="AR167" i="57" s="1"/>
  <c r="AR179" i="57" a="1"/>
  <c r="AR179" i="57" s="1"/>
  <c r="AR71" i="57" a="1"/>
  <c r="AR71" i="57" s="1"/>
  <c r="AR159" i="57" a="1"/>
  <c r="AR159" i="57" s="1"/>
  <c r="AR173" i="57" a="1"/>
  <c r="AR173" i="57" s="1"/>
  <c r="AR61" i="57" a="1"/>
  <c r="AR61" i="57" s="1"/>
  <c r="AR65" i="57" a="1"/>
  <c r="AR65" i="57" s="1"/>
  <c r="AR168" i="57" a="1"/>
  <c r="AR168" i="57" s="1"/>
  <c r="AR150" i="57" a="1"/>
  <c r="AR150" i="57" s="1"/>
  <c r="AR161" i="57" a="1"/>
  <c r="AR161" i="57" s="1"/>
  <c r="AR52" i="57" a="1"/>
  <c r="AR52" i="57" s="1"/>
  <c r="AR156" i="57" a="1"/>
  <c r="AR156" i="57" s="1"/>
  <c r="AR70" i="57" a="1"/>
  <c r="AR70" i="57" s="1"/>
  <c r="AR25" i="57" a="1"/>
  <c r="AR25" i="57" s="1"/>
  <c r="AR140" i="57" a="1"/>
  <c r="AR140" i="57" s="1"/>
  <c r="AR41" i="57" a="1"/>
  <c r="AR41" i="57" s="1"/>
  <c r="AR22" i="57" a="1"/>
  <c r="AR22" i="57" s="1"/>
  <c r="AR45" i="57" a="1"/>
  <c r="AR45" i="57" s="1"/>
  <c r="AR151" i="57" a="1"/>
  <c r="AR151" i="57" s="1"/>
  <c r="AR131" i="57" a="1"/>
  <c r="AR131" i="57" s="1"/>
  <c r="AR183" i="57" a="1"/>
  <c r="AR183" i="57" s="1"/>
  <c r="AR108" i="57" a="1"/>
  <c r="AR108" i="57" s="1"/>
  <c r="AR34" i="57" a="1"/>
  <c r="AR34" i="57" s="1"/>
  <c r="AR157" i="57" a="1"/>
  <c r="AR157" i="57" s="1"/>
  <c r="AR129" i="57" a="1"/>
  <c r="AR129" i="57" s="1"/>
  <c r="AR12" i="57" a="1"/>
  <c r="AR12" i="57" s="1"/>
  <c r="AR87" i="57" a="1"/>
  <c r="AR87" i="57" s="1"/>
  <c r="AR28" i="57" a="1"/>
  <c r="AR28" i="57" s="1"/>
  <c r="AR132" i="57" a="1"/>
  <c r="AR132" i="57" s="1"/>
  <c r="AR113" i="57" a="1"/>
  <c r="AR113" i="57" s="1"/>
  <c r="AR165" i="57" a="1"/>
  <c r="AR165" i="57" s="1"/>
  <c r="AR18" i="57" a="1"/>
  <c r="AR18" i="57" s="1"/>
  <c r="AR72" i="57" a="1"/>
  <c r="AR72" i="57" s="1"/>
  <c r="AR16" i="57" a="1"/>
  <c r="AR16" i="57" s="1"/>
  <c r="AR141" i="57" a="1"/>
  <c r="AR141" i="57" s="1"/>
  <c r="AR143" i="57" a="1"/>
  <c r="AR143" i="57" s="1"/>
  <c r="AR8" i="57" a="1"/>
  <c r="AR8" i="57" s="1"/>
  <c r="AR114" i="57" a="1"/>
  <c r="AR114" i="57" s="1"/>
  <c r="AR96" i="57" a="1"/>
  <c r="AR96" i="57" s="1"/>
  <c r="AR148" i="57" a="1"/>
  <c r="AR148" i="57" s="1"/>
  <c r="AR180" i="57" a="1"/>
  <c r="AR180" i="57" s="1"/>
  <c r="AR53" i="57" a="1"/>
  <c r="AR53" i="57" s="1"/>
  <c r="AR175" i="57" a="1"/>
  <c r="AR175" i="57" s="1"/>
  <c r="AR86" i="57" a="1"/>
  <c r="AR86" i="57" s="1"/>
  <c r="AR106" i="57" a="1"/>
  <c r="AR106" i="57" s="1"/>
  <c r="AR97" i="57" a="1"/>
  <c r="AR97" i="57" s="1"/>
  <c r="AR126" i="57" a="1"/>
  <c r="AR126" i="57" s="1"/>
  <c r="AR13" i="57" a="1"/>
  <c r="AR13" i="57" s="1"/>
  <c r="AR147" i="57" a="1"/>
  <c r="AR147" i="57" s="1"/>
  <c r="AR11" i="57" a="1"/>
  <c r="AR11" i="57" s="1"/>
  <c r="AR60" i="57" a="1"/>
  <c r="AR60" i="57" s="1"/>
  <c r="AR59" i="57" a="1"/>
  <c r="AR59" i="57" s="1"/>
  <c r="AR94" i="57" a="1"/>
  <c r="AR94" i="57" s="1"/>
  <c r="AR164" i="57" a="1"/>
  <c r="AR164" i="57" s="1"/>
  <c r="AR181" i="57" a="1"/>
  <c r="AR181" i="57" s="1"/>
  <c r="AR146" i="57" a="1"/>
  <c r="AR146" i="57" s="1"/>
  <c r="AR17" i="57" a="1"/>
  <c r="AR17" i="57" s="1"/>
  <c r="AR64" i="57" a="1"/>
  <c r="AR64" i="57" s="1"/>
  <c r="AR24" i="57" a="1"/>
  <c r="AR24" i="57" s="1"/>
  <c r="AR23" i="57" a="1"/>
  <c r="AR23" i="57" s="1"/>
  <c r="AR58" i="57" a="1"/>
  <c r="AR58" i="57" s="1"/>
  <c r="AR128" i="57" a="1"/>
  <c r="AR128" i="57" s="1"/>
  <c r="AR110" i="57" a="1"/>
  <c r="AR110" i="57" s="1"/>
  <c r="AR91" i="57" a="1"/>
  <c r="AR91" i="57" s="1"/>
  <c r="AR68" i="57" a="1"/>
  <c r="AR68" i="57" s="1"/>
  <c r="AR177" i="57" a="1"/>
  <c r="AR177" i="57" s="1"/>
  <c r="AR43" i="57" a="1"/>
  <c r="AR43" i="57" s="1"/>
  <c r="AR170" i="57" a="1"/>
  <c r="AR170" i="57" s="1"/>
  <c r="AR38" i="57" a="1"/>
  <c r="AR38" i="57" s="1"/>
  <c r="AR111" i="57" a="1"/>
  <c r="AR111" i="57" s="1"/>
  <c r="AR92" i="57" a="1"/>
  <c r="AR92" i="57" s="1"/>
  <c r="AR74" i="57" a="1"/>
  <c r="AR74" i="57" s="1"/>
  <c r="AR49" i="57" a="1"/>
  <c r="AR49" i="57" s="1"/>
  <c r="AR98" i="57" a="1"/>
  <c r="AR98" i="57" s="1"/>
  <c r="AR80" i="57" a="1"/>
  <c r="AR80" i="57" s="1"/>
  <c r="AR42" i="57" a="1"/>
  <c r="AR42" i="57" s="1"/>
  <c r="AR102" i="57" a="1"/>
  <c r="AR102" i="57" s="1"/>
  <c r="AR136" i="57" a="1"/>
  <c r="AR136" i="57" s="1"/>
  <c r="AF42" i="57" a="1"/>
  <c r="AF42" i="57" s="1"/>
  <c r="AF130" i="57" a="1"/>
  <c r="AF130" i="57" s="1"/>
  <c r="AF82" i="57" a="1"/>
  <c r="AF82" i="57" s="1"/>
  <c r="AF79" i="57" a="1"/>
  <c r="AF79" i="57" s="1"/>
  <c r="AF132" i="57" a="1"/>
  <c r="AF132" i="57" s="1"/>
  <c r="AF121" i="57" a="1"/>
  <c r="AF121" i="57" s="1"/>
  <c r="AF8" i="57" a="1"/>
  <c r="AF8" i="57" s="1"/>
  <c r="AF57" i="57" a="1"/>
  <c r="AF57" i="57" s="1"/>
  <c r="AF125" i="57" a="1"/>
  <c r="AF125" i="57" s="1"/>
  <c r="AF120" i="57" a="1"/>
  <c r="AF120" i="57" s="1"/>
  <c r="AF131" i="57" a="1"/>
  <c r="AF131" i="57" s="1"/>
  <c r="AF157" i="57" a="1"/>
  <c r="AF157" i="57" s="1"/>
  <c r="AN157" i="57" s="1"/>
  <c r="AF58" i="57" a="1"/>
  <c r="AF58" i="57" s="1"/>
  <c r="AF44" i="57" a="1"/>
  <c r="AF44" i="57" s="1"/>
  <c r="AF163" i="57" a="1"/>
  <c r="AF163" i="57" s="1"/>
  <c r="AF56" i="57" a="1"/>
  <c r="AF56" i="57" s="1"/>
  <c r="AF135" i="57" a="1"/>
  <c r="AF135" i="57" s="1"/>
  <c r="AF165" i="57" a="1"/>
  <c r="AF165" i="57" s="1"/>
  <c r="AF161" i="57" a="1"/>
  <c r="AF161" i="57" s="1"/>
  <c r="AF62" i="57" a="1"/>
  <c r="AF62" i="57" s="1"/>
  <c r="AF133" i="57" a="1"/>
  <c r="AF133" i="57" s="1"/>
  <c r="AF63" i="57" a="1"/>
  <c r="AF63" i="57" s="1"/>
  <c r="AF124" i="57" a="1"/>
  <c r="AF124" i="57" s="1"/>
  <c r="AF12" i="57" a="1"/>
  <c r="AF12" i="57" s="1"/>
  <c r="AF164" i="57" a="1"/>
  <c r="AF164" i="57" s="1"/>
  <c r="AF119" i="57" a="1"/>
  <c r="AF119" i="57" s="1"/>
  <c r="AF158" i="57" a="1"/>
  <c r="AF158" i="57" s="1"/>
  <c r="AF13" i="57" a="1"/>
  <c r="AF13" i="57" s="1"/>
  <c r="AF76" i="57" a="1"/>
  <c r="AF76" i="57" s="1"/>
  <c r="AF123" i="57" a="1"/>
  <c r="AF123" i="57" s="1"/>
  <c r="AF127" i="57" a="1"/>
  <c r="AF127" i="57" s="1"/>
  <c r="AF159" i="57" a="1"/>
  <c r="AF159" i="57" s="1"/>
  <c r="AF6" i="57" a="1"/>
  <c r="AF6" i="57" s="1"/>
  <c r="AF15" i="57" a="1"/>
  <c r="AF15" i="57" s="1"/>
  <c r="AF45" i="57" a="1"/>
  <c r="AF45" i="57" s="1"/>
  <c r="AF61" i="57" a="1"/>
  <c r="AF61" i="57" s="1"/>
  <c r="AF41" i="57" a="1"/>
  <c r="AF41" i="57" s="1"/>
  <c r="AF156" i="57" a="1"/>
  <c r="AF156" i="57" s="1"/>
  <c r="AF9" i="57" a="1"/>
  <c r="AF9" i="57" s="1"/>
  <c r="AF37" i="57" a="1"/>
  <c r="AF37" i="57" s="1"/>
  <c r="AF81" i="57" a="1"/>
  <c r="AF81" i="57" s="1"/>
  <c r="AF160" i="57" a="1"/>
  <c r="AF160" i="57" s="1"/>
  <c r="AF10" i="57" a="1"/>
  <c r="AF10" i="57" s="1"/>
  <c r="AF80" i="57" a="1"/>
  <c r="AF80" i="57" s="1"/>
  <c r="AF59" i="57" a="1"/>
  <c r="AF59" i="57" s="1"/>
  <c r="AF117" i="57" a="1"/>
  <c r="AF117" i="57" s="1"/>
  <c r="AF14" i="57" a="1"/>
  <c r="AF14" i="57" s="1"/>
  <c r="AF126" i="57" a="1"/>
  <c r="AF126" i="57" s="1"/>
  <c r="AF36" i="57" a="1"/>
  <c r="AF36" i="57" s="1"/>
  <c r="AF40" i="57" a="1"/>
  <c r="AF40" i="57" s="1"/>
  <c r="AF64" i="57" a="1"/>
  <c r="AF64" i="57" s="1"/>
  <c r="AF116" i="57" a="1"/>
  <c r="AF116" i="57" s="1"/>
  <c r="AF118" i="57" a="1"/>
  <c r="AF118" i="57" s="1"/>
  <c r="AF7" i="57" a="1"/>
  <c r="AF7" i="57" s="1"/>
  <c r="AF84" i="57" a="1"/>
  <c r="AF84" i="57" s="1"/>
  <c r="AF60" i="57" a="1"/>
  <c r="AF60" i="57" s="1"/>
  <c r="AF134" i="57" a="1"/>
  <c r="AF134" i="57" s="1"/>
  <c r="AF39" i="57" a="1"/>
  <c r="AF39" i="57" s="1"/>
  <c r="AN39" i="57" s="1"/>
  <c r="AF78" i="57" a="1"/>
  <c r="AF78" i="57" s="1"/>
  <c r="AF38" i="57" a="1"/>
  <c r="AF38" i="57" s="1"/>
  <c r="AF85" i="57" a="1"/>
  <c r="AF85" i="57" s="1"/>
  <c r="AF162" i="57" a="1"/>
  <c r="AF162" i="57" s="1"/>
  <c r="AF65" i="57" a="1"/>
  <c r="AF65" i="57" s="1"/>
  <c r="AF77" i="57" a="1"/>
  <c r="AF77" i="57" s="1"/>
  <c r="AF128" i="57" a="1"/>
  <c r="AF128" i="57" s="1"/>
  <c r="AF83" i="57" a="1"/>
  <c r="AF83" i="57" s="1"/>
  <c r="AF129" i="57" a="1"/>
  <c r="AF129" i="57" s="1"/>
  <c r="AF11" i="57" a="1"/>
  <c r="AF11" i="57" s="1"/>
  <c r="AF122" i="57" a="1"/>
  <c r="AF122" i="57" s="1"/>
  <c r="AF43" i="57" a="1"/>
  <c r="AF43" i="57" s="1"/>
  <c r="D5" i="5" a="1"/>
  <c r="D5" i="5" s="1"/>
  <c r="H5" i="5" s="1"/>
  <c r="D3" i="5" a="1"/>
  <c r="D3" i="5" s="1"/>
  <c r="H3" i="5" s="1"/>
  <c r="D4" i="5" a="1"/>
  <c r="D4" i="5" s="1"/>
  <c r="H4" i="5" s="1"/>
  <c r="AN231" i="57" l="1"/>
  <c r="M56" i="9"/>
  <c r="M20" i="9"/>
  <c r="M14" i="32"/>
  <c r="AN62" i="57"/>
  <c r="AN189" i="57"/>
  <c r="M8" i="32"/>
  <c r="M20" i="32"/>
  <c r="M68" i="9"/>
  <c r="M62" i="9"/>
  <c r="AN249" i="57"/>
  <c r="M8" i="9"/>
  <c r="AN233" i="57"/>
  <c r="M14" i="9"/>
  <c r="AN199" i="57"/>
  <c r="AN187" i="57"/>
  <c r="AN235" i="57"/>
  <c r="AN76" i="57"/>
  <c r="AN217" i="57"/>
  <c r="AN237" i="57"/>
  <c r="P209" i="57" a="1"/>
  <c r="P209" i="57" s="1"/>
  <c r="AD209" i="57"/>
  <c r="AN188" i="57"/>
  <c r="P220" i="57" a="1"/>
  <c r="P220" i="57" s="1"/>
  <c r="AD220" i="57"/>
  <c r="AD254" i="57"/>
  <c r="P254" i="57" a="1"/>
  <c r="P254" i="57" s="1"/>
  <c r="AH254" i="57" a="1"/>
  <c r="AH254" i="57" s="1"/>
  <c r="AI254" i="57" s="1" a="1"/>
  <c r="AI254" i="57" s="1"/>
  <c r="P232" i="57" a="1"/>
  <c r="P232" i="57" s="1"/>
  <c r="AD232" i="57"/>
  <c r="AD198" i="57"/>
  <c r="P198" i="57" a="1"/>
  <c r="P198" i="57" s="1"/>
  <c r="AD205" i="57"/>
  <c r="P205" i="57" a="1"/>
  <c r="P205" i="57" s="1"/>
  <c r="AD251" i="57"/>
  <c r="P251" i="57" a="1"/>
  <c r="P251" i="57" s="1"/>
  <c r="AH251" i="57" s="1" a="1"/>
  <c r="AH251" i="57" s="1"/>
  <c r="P255" i="57" a="1"/>
  <c r="P255" i="57" s="1"/>
  <c r="AD255" i="57"/>
  <c r="AN236" i="57"/>
  <c r="P238" i="57" a="1"/>
  <c r="P238" i="57" s="1"/>
  <c r="AD238" i="57"/>
  <c r="AD186" i="57"/>
  <c r="P186" i="57" a="1"/>
  <c r="P186" i="57" s="1"/>
  <c r="AD197" i="57"/>
  <c r="P197" i="57" a="1"/>
  <c r="P197" i="57" s="1"/>
  <c r="AD215" i="57"/>
  <c r="P215" i="57" a="1"/>
  <c r="P215" i="57" s="1"/>
  <c r="AD213" i="57"/>
  <c r="P213" i="57" a="1"/>
  <c r="P213" i="57" s="1"/>
  <c r="P228" i="57" a="1"/>
  <c r="P228" i="57" s="1"/>
  <c r="AD228" i="57"/>
  <c r="AD235" i="57"/>
  <c r="P235" i="57" a="1"/>
  <c r="P235" i="57" s="1"/>
  <c r="AN234" i="57"/>
  <c r="AN206" i="57"/>
  <c r="P219" i="57" a="1"/>
  <c r="P219" i="57" s="1"/>
  <c r="AD219" i="57"/>
  <c r="AD257" i="57"/>
  <c r="P257" i="57" a="1"/>
  <c r="P257" i="57" s="1"/>
  <c r="AH257" i="57" s="1" a="1"/>
  <c r="AH257" i="57" s="1"/>
  <c r="P203" i="57" a="1"/>
  <c r="P203" i="57" s="1"/>
  <c r="AD203" i="57"/>
  <c r="P248" i="57" a="1"/>
  <c r="P248" i="57" s="1"/>
  <c r="AD248" i="57"/>
  <c r="AD208" i="57"/>
  <c r="P208" i="57" a="1"/>
  <c r="P208" i="57" s="1"/>
  <c r="AD246" i="57"/>
  <c r="P246" i="57" a="1"/>
  <c r="P246" i="57" s="1"/>
  <c r="P194" i="57" a="1"/>
  <c r="P194" i="57" s="1"/>
  <c r="AD194" i="57"/>
  <c r="AN214" i="57"/>
  <c r="AN85" i="57"/>
  <c r="AN208" i="57"/>
  <c r="AN209" i="57"/>
  <c r="P223" i="57" a="1"/>
  <c r="P223" i="57" s="1"/>
  <c r="AD223" i="57"/>
  <c r="P230" i="57" a="1"/>
  <c r="P230" i="57" s="1"/>
  <c r="AD230" i="57"/>
  <c r="P187" i="57" a="1"/>
  <c r="P187" i="57" s="1"/>
  <c r="AD187" i="57"/>
  <c r="AN186" i="57"/>
  <c r="P201" i="57" a="1"/>
  <c r="P201" i="57" s="1"/>
  <c r="AD201" i="57"/>
  <c r="P231" i="57" a="1"/>
  <c r="P231" i="57" s="1"/>
  <c r="AD231" i="57"/>
  <c r="P211" i="57" a="1"/>
  <c r="P211" i="57" s="1"/>
  <c r="AD211" i="57"/>
  <c r="AD210" i="57"/>
  <c r="P210" i="57" a="1"/>
  <c r="P210" i="57" s="1"/>
  <c r="AN216" i="57"/>
  <c r="AD241" i="57"/>
  <c r="P241" i="57" a="1"/>
  <c r="P241" i="57" s="1"/>
  <c r="AD249" i="57"/>
  <c r="P249" i="57" a="1"/>
  <c r="P249" i="57" s="1"/>
  <c r="P240" i="57" a="1"/>
  <c r="P240" i="57" s="1"/>
  <c r="AD240" i="57"/>
  <c r="AN246" i="57"/>
  <c r="AD250" i="57"/>
  <c r="P250" i="57" a="1"/>
  <c r="P250" i="57" s="1"/>
  <c r="AD204" i="57"/>
  <c r="P204" i="57" a="1"/>
  <c r="P204" i="57" s="1"/>
  <c r="AH204" i="57" s="1" a="1"/>
  <c r="AH204" i="57" s="1"/>
  <c r="AI204" i="57" s="1" a="1"/>
  <c r="AI204" i="57" s="1"/>
  <c r="P188" i="57" a="1"/>
  <c r="P188" i="57" s="1"/>
  <c r="AD188" i="57"/>
  <c r="P243" i="57" a="1"/>
  <c r="P243" i="57" s="1"/>
  <c r="AD243" i="57"/>
  <c r="P233" i="57" a="1"/>
  <c r="P233" i="57" s="1"/>
  <c r="AD233" i="57"/>
  <c r="P222" i="57" a="1"/>
  <c r="P222" i="57" s="1"/>
  <c r="AD222" i="57"/>
  <c r="AN232" i="57"/>
  <c r="AN248" i="57"/>
  <c r="AN215" i="57"/>
  <c r="AD217" i="57"/>
  <c r="P217" i="57" a="1"/>
  <c r="P217" i="57" s="1"/>
  <c r="AH217" i="57" s="1" a="1"/>
  <c r="AH217" i="57" s="1"/>
  <c r="P234" i="57" a="1"/>
  <c r="P234" i="57" s="1"/>
  <c r="AD234" i="57"/>
  <c r="P236" i="57" a="1"/>
  <c r="P236" i="57" s="1"/>
  <c r="AD236" i="57"/>
  <c r="AD195" i="57"/>
  <c r="P195" i="57" a="1"/>
  <c r="P195" i="57" s="1"/>
  <c r="P216" i="57" a="1"/>
  <c r="P216" i="57" s="1"/>
  <c r="AD216" i="57"/>
  <c r="AN198" i="57"/>
  <c r="AN230" i="57"/>
  <c r="AD227" i="57"/>
  <c r="P227" i="57" a="1"/>
  <c r="P227" i="57" s="1"/>
  <c r="P196" i="57" a="1"/>
  <c r="P196" i="57" s="1"/>
  <c r="AD196" i="57"/>
  <c r="P191" i="57" a="1"/>
  <c r="P191" i="57" s="1"/>
  <c r="AH191" i="57" s="1" a="1"/>
  <c r="AH191" i="57" s="1"/>
  <c r="AD191" i="57"/>
  <c r="P256" i="57" a="1"/>
  <c r="P256" i="57" s="1"/>
  <c r="AH256" i="57" s="1" a="1"/>
  <c r="AH256" i="57" s="1"/>
  <c r="AD256" i="57"/>
  <c r="P218" i="57" a="1"/>
  <c r="P218" i="57" s="1"/>
  <c r="AD218" i="57"/>
  <c r="AD253" i="57"/>
  <c r="P253" i="57" a="1"/>
  <c r="P253" i="57" s="1"/>
  <c r="AD193" i="57"/>
  <c r="P193" i="57" a="1"/>
  <c r="P193" i="57" s="1"/>
  <c r="AD225" i="57"/>
  <c r="P225" i="57" a="1"/>
  <c r="P225" i="57" s="1"/>
  <c r="AD202" i="57"/>
  <c r="P202" i="57" a="1"/>
  <c r="P202" i="57" s="1"/>
  <c r="P242" i="57" a="1"/>
  <c r="P242" i="57" s="1"/>
  <c r="AD242" i="57"/>
  <c r="P200" i="57" a="1"/>
  <c r="P200" i="57" s="1"/>
  <c r="AD200" i="57"/>
  <c r="AD189" i="57"/>
  <c r="P189" i="57" a="1"/>
  <c r="P189" i="57" s="1"/>
  <c r="AD190" i="57"/>
  <c r="P190" i="57" a="1"/>
  <c r="P190" i="57" s="1"/>
  <c r="AD212" i="57"/>
  <c r="P212" i="57" a="1"/>
  <c r="P212" i="57" s="1"/>
  <c r="AD207" i="57"/>
  <c r="P207" i="57" a="1"/>
  <c r="P207" i="57" s="1"/>
  <c r="P214" i="57" a="1"/>
  <c r="P214" i="57" s="1"/>
  <c r="AD214" i="57"/>
  <c r="P237" i="57" a="1"/>
  <c r="P237" i="57" s="1"/>
  <c r="AD237" i="57"/>
  <c r="AD252" i="57"/>
  <c r="P252" i="57" a="1"/>
  <c r="P252" i="57" s="1"/>
  <c r="AH252" i="57" s="1" a="1"/>
  <c r="AH252" i="57" s="1"/>
  <c r="AI252" i="57" s="1" a="1"/>
  <c r="AI252" i="57" s="1"/>
  <c r="P244" i="57" a="1"/>
  <c r="P244" i="57" s="1"/>
  <c r="AD244" i="57"/>
  <c r="P224" i="57" a="1"/>
  <c r="P224" i="57" s="1"/>
  <c r="AD224" i="57"/>
  <c r="AN200" i="57"/>
  <c r="P226" i="57" a="1"/>
  <c r="P226" i="57" s="1"/>
  <c r="AD226" i="57"/>
  <c r="AD199" i="57"/>
  <c r="P199" i="57" a="1"/>
  <c r="P199" i="57" s="1"/>
  <c r="AD239" i="57"/>
  <c r="P239" i="57" a="1"/>
  <c r="P239" i="57" s="1"/>
  <c r="P221" i="57" a="1"/>
  <c r="P221" i="57" s="1"/>
  <c r="AD221" i="57"/>
  <c r="AD192" i="57"/>
  <c r="P192" i="57" a="1"/>
  <c r="P192" i="57" s="1"/>
  <c r="P206" i="57" a="1"/>
  <c r="P206" i="57" s="1"/>
  <c r="AD206" i="57"/>
  <c r="AG7" i="5"/>
  <c r="AD229" i="57"/>
  <c r="P229" i="57" a="1"/>
  <c r="P229" i="57" s="1"/>
  <c r="AH229" i="57" s="1" a="1"/>
  <c r="AH229" i="57" s="1"/>
  <c r="P245" i="57" a="1"/>
  <c r="P245" i="57" s="1"/>
  <c r="AD245" i="57"/>
  <c r="AD247" i="57"/>
  <c r="P247" i="57" a="1"/>
  <c r="P247" i="57" s="1"/>
  <c r="AH247" i="57" s="1" a="1"/>
  <c r="AH247" i="57" s="1"/>
  <c r="AO24" i="5"/>
  <c r="AO23" i="5"/>
  <c r="AK24" i="5"/>
  <c r="AK23" i="5"/>
  <c r="AG24" i="5"/>
  <c r="AG23" i="5"/>
  <c r="AN161" i="57"/>
  <c r="AN131" i="57"/>
  <c r="AN8" i="57"/>
  <c r="AN82" i="57"/>
  <c r="AN7" i="57"/>
  <c r="AN124" i="57"/>
  <c r="AN11" i="57"/>
  <c r="AN130" i="57"/>
  <c r="AN44" i="57"/>
  <c r="AN38" i="57"/>
  <c r="AN56" i="57"/>
  <c r="AN159" i="57"/>
  <c r="AN126" i="57"/>
  <c r="AN12" i="57"/>
  <c r="AN129" i="57"/>
  <c r="AN162" i="57"/>
  <c r="AD74" i="57"/>
  <c r="P74" i="57" a="1"/>
  <c r="P74" i="57" s="1"/>
  <c r="P11" i="57" a="1"/>
  <c r="P11" i="57" s="1"/>
  <c r="AH11" i="57" s="1" a="1"/>
  <c r="AH11" i="57" s="1"/>
  <c r="AD11" i="57"/>
  <c r="AD28" i="57"/>
  <c r="P28" i="57" a="1"/>
  <c r="P28" i="57" s="1"/>
  <c r="AH28" i="57" s="1" a="1"/>
  <c r="AH28" i="57" s="1"/>
  <c r="P61" i="57" a="1"/>
  <c r="P61" i="57" s="1"/>
  <c r="AH61" i="57" s="1" a="1"/>
  <c r="AH61" i="57" s="1"/>
  <c r="AD61" i="57"/>
  <c r="P84" i="57" a="1"/>
  <c r="P84" i="57" s="1"/>
  <c r="AH84" i="57" s="1" a="1"/>
  <c r="AH84" i="57" s="1"/>
  <c r="AD84" i="57"/>
  <c r="AD130" i="57"/>
  <c r="P130" i="57" a="1"/>
  <c r="P130" i="57" s="1"/>
  <c r="AH130" i="57" s="1" a="1"/>
  <c r="AH130" i="57" s="1"/>
  <c r="AI130" i="57" s="1" a="1"/>
  <c r="AI130" i="57" s="1"/>
  <c r="AD7" i="57"/>
  <c r="P7" i="57" a="1"/>
  <c r="P7" i="57" s="1"/>
  <c r="AH7" i="57" s="1" a="1"/>
  <c r="AH7" i="57" s="1"/>
  <c r="AD142" i="57"/>
  <c r="P142" i="57" a="1"/>
  <c r="P142" i="57" s="1"/>
  <c r="AH142" i="57" s="1" a="1"/>
  <c r="AH142" i="57" s="1"/>
  <c r="AD144" i="57"/>
  <c r="P144" i="57" a="1"/>
  <c r="P144" i="57" s="1"/>
  <c r="AH144" i="57" s="1" a="1"/>
  <c r="AH144" i="57" s="1"/>
  <c r="AD132" i="57"/>
  <c r="P132" i="57" a="1"/>
  <c r="P132" i="57" s="1"/>
  <c r="AH132" i="57" s="1" a="1"/>
  <c r="AH132" i="57" s="1"/>
  <c r="AN118" i="57"/>
  <c r="AN156" i="57"/>
  <c r="P92" i="57" a="1"/>
  <c r="P92" i="57" s="1"/>
  <c r="AD92" i="57"/>
  <c r="P147" i="57" a="1"/>
  <c r="P147" i="57" s="1"/>
  <c r="AH147" i="57" s="1" a="1"/>
  <c r="AH147" i="57" s="1"/>
  <c r="AD147" i="57"/>
  <c r="P87" i="57" a="1"/>
  <c r="P87" i="57" s="1"/>
  <c r="AD87" i="57"/>
  <c r="AD173" i="57"/>
  <c r="P173" i="57" a="1"/>
  <c r="P173" i="57" s="1"/>
  <c r="AH173" i="57" s="1" a="1"/>
  <c r="AH173" i="57" s="1"/>
  <c r="AI173" i="57" s="1" a="1"/>
  <c r="AI173" i="57" s="1"/>
  <c r="P107" i="57" a="1"/>
  <c r="P107" i="57" s="1"/>
  <c r="AH107" i="57" s="1" a="1"/>
  <c r="AH107" i="57" s="1"/>
  <c r="AD107" i="57"/>
  <c r="P26" i="57" a="1"/>
  <c r="P26" i="57" s="1"/>
  <c r="AH26" i="57" s="1" a="1"/>
  <c r="AH26" i="57" s="1"/>
  <c r="AD26" i="57"/>
  <c r="AD120" i="57"/>
  <c r="P120" i="57" a="1"/>
  <c r="P120" i="57" s="1"/>
  <c r="AH120" i="57" s="1" a="1"/>
  <c r="AH120" i="57" s="1"/>
  <c r="AI120" i="57" s="1" a="1"/>
  <c r="AI120" i="57" s="1"/>
  <c r="AD162" i="57"/>
  <c r="P162" i="57" a="1"/>
  <c r="P162" i="57" s="1"/>
  <c r="AH162" i="57" s="1" a="1"/>
  <c r="AH162" i="57" s="1"/>
  <c r="P166" i="57" a="1"/>
  <c r="P166" i="57" s="1"/>
  <c r="AH166" i="57" s="1" a="1"/>
  <c r="AH166" i="57" s="1"/>
  <c r="AI166" i="57" s="1" a="1"/>
  <c r="AI166" i="57" s="1"/>
  <c r="AD166" i="57"/>
  <c r="P65" i="57" a="1"/>
  <c r="P65" i="57" s="1"/>
  <c r="AH65" i="57" s="1" a="1"/>
  <c r="AH65" i="57" s="1"/>
  <c r="AD65" i="57"/>
  <c r="AN128" i="57"/>
  <c r="P111" i="57" a="1"/>
  <c r="P111" i="57" s="1"/>
  <c r="AD111" i="57"/>
  <c r="P13" i="57" a="1"/>
  <c r="P13" i="57" s="1"/>
  <c r="AH13" i="57" s="1" a="1"/>
  <c r="AH13" i="57" s="1"/>
  <c r="AI13" i="57" s="1" a="1"/>
  <c r="AI13" i="57" s="1"/>
  <c r="AD13" i="57"/>
  <c r="AD12" i="57"/>
  <c r="P12" i="57" a="1"/>
  <c r="P12" i="57" s="1"/>
  <c r="AH12" i="57" s="1" a="1"/>
  <c r="AH12" i="57" s="1"/>
  <c r="P159" i="57" a="1"/>
  <c r="P159" i="57" s="1"/>
  <c r="AH159" i="57" s="1" a="1"/>
  <c r="AH159" i="57" s="1"/>
  <c r="AD159" i="57"/>
  <c r="P36" i="57" a="1"/>
  <c r="P36" i="57" s="1"/>
  <c r="AH36" i="57" s="1" a="1"/>
  <c r="AH36" i="57" s="1"/>
  <c r="AI36" i="57" s="1" a="1"/>
  <c r="AI36" i="57" s="1"/>
  <c r="AD36" i="57"/>
  <c r="P154" i="57" a="1"/>
  <c r="P154" i="57" s="1"/>
  <c r="AD154" i="57"/>
  <c r="AD182" i="57"/>
  <c r="P182" i="57" a="1"/>
  <c r="P182" i="57" s="1"/>
  <c r="AH182" i="57" s="1" a="1"/>
  <c r="AH182" i="57" s="1"/>
  <c r="P20" i="57" a="1"/>
  <c r="P20" i="57" s="1"/>
  <c r="AD20" i="57"/>
  <c r="P115" i="57" a="1"/>
  <c r="P115" i="57" s="1"/>
  <c r="AD115" i="57"/>
  <c r="AN121" i="57"/>
  <c r="P38" i="57" a="1"/>
  <c r="P38" i="57" s="1"/>
  <c r="AH38" i="57" s="1" a="1"/>
  <c r="AH38" i="57" s="1"/>
  <c r="AD38" i="57"/>
  <c r="AD126" i="57"/>
  <c r="P126" i="57" a="1"/>
  <c r="P126" i="57" s="1"/>
  <c r="AH126" i="57" s="1" a="1"/>
  <c r="AH126" i="57" s="1"/>
  <c r="AI126" i="57" s="1" a="1"/>
  <c r="AI126" i="57" s="1"/>
  <c r="AD129" i="57"/>
  <c r="P129" i="57" a="1"/>
  <c r="P129" i="57" s="1"/>
  <c r="AH129" i="57" s="1" a="1"/>
  <c r="AH129" i="57" s="1"/>
  <c r="AD71" i="57"/>
  <c r="P71" i="57" a="1"/>
  <c r="P71" i="57" s="1"/>
  <c r="AH71" i="57" s="1" a="1"/>
  <c r="AH71" i="57" s="1"/>
  <c r="AD95" i="57"/>
  <c r="P95" i="57" a="1"/>
  <c r="P95" i="57" s="1"/>
  <c r="AN83" i="57"/>
  <c r="P83" i="57" a="1"/>
  <c r="P83" i="57" s="1"/>
  <c r="AH83" i="57" s="1" a="1"/>
  <c r="AH83" i="57" s="1"/>
  <c r="AI83" i="57" s="1" a="1"/>
  <c r="AI83" i="57" s="1"/>
  <c r="AD83" i="57"/>
  <c r="P69" i="57" a="1"/>
  <c r="P69" i="57" s="1"/>
  <c r="AH69" i="57" s="1" a="1"/>
  <c r="AH69" i="57" s="1"/>
  <c r="AD69" i="57"/>
  <c r="P21" i="57" a="1"/>
  <c r="P21" i="57" s="1"/>
  <c r="AH21" i="57" s="1" a="1"/>
  <c r="AH21" i="57" s="1"/>
  <c r="AD21" i="57"/>
  <c r="P63" i="57" a="1"/>
  <c r="P63" i="57" s="1"/>
  <c r="AH63" i="57" s="1" a="1"/>
  <c r="AH63" i="57" s="1"/>
  <c r="AI63" i="57" s="1" a="1"/>
  <c r="AI63" i="57" s="1"/>
  <c r="AD63" i="57"/>
  <c r="AN59" i="57"/>
  <c r="AN132" i="57"/>
  <c r="P170" i="57" a="1"/>
  <c r="P170" i="57" s="1"/>
  <c r="AH170" i="57" s="1" a="1"/>
  <c r="AH170" i="57" s="1"/>
  <c r="AI170" i="57" s="1" a="1"/>
  <c r="AI170" i="57" s="1"/>
  <c r="AD170" i="57"/>
  <c r="AD97" i="57"/>
  <c r="P97" i="57" a="1"/>
  <c r="P97" i="57" s="1"/>
  <c r="AD157" i="57"/>
  <c r="P157" i="57" a="1"/>
  <c r="P157" i="57" s="1"/>
  <c r="AH157" i="57" s="1" a="1"/>
  <c r="AH157" i="57" s="1"/>
  <c r="AD179" i="57"/>
  <c r="P179" i="57" a="1"/>
  <c r="P179" i="57" s="1"/>
  <c r="AH179" i="57" s="1" a="1"/>
  <c r="AH179" i="57" s="1"/>
  <c r="AN134" i="57"/>
  <c r="P134" i="57" a="1"/>
  <c r="P134" i="57" s="1"/>
  <c r="AH134" i="57" s="1" a="1"/>
  <c r="AH134" i="57" s="1"/>
  <c r="AD134" i="57"/>
  <c r="AD93" i="57"/>
  <c r="P93" i="57" a="1"/>
  <c r="P93" i="57" s="1"/>
  <c r="AH93" i="57" s="1" a="1"/>
  <c r="AH93" i="57" s="1"/>
  <c r="AI93" i="57" s="1" a="1"/>
  <c r="AI93" i="57" s="1"/>
  <c r="P125" i="57" a="1"/>
  <c r="P125" i="57" s="1"/>
  <c r="AD125" i="57"/>
  <c r="P117" i="57" a="1"/>
  <c r="P117" i="57" s="1"/>
  <c r="AH117" i="57" s="1" a="1"/>
  <c r="AH117" i="57" s="1"/>
  <c r="AD117" i="57"/>
  <c r="P73" i="57" a="1"/>
  <c r="P73" i="57" s="1"/>
  <c r="AD73" i="57"/>
  <c r="AN116" i="57"/>
  <c r="P43" i="57" a="1"/>
  <c r="P43" i="57" s="1"/>
  <c r="AH43" i="57" s="1" a="1"/>
  <c r="AH43" i="57" s="1"/>
  <c r="AI43" i="57" s="1" a="1"/>
  <c r="AI43" i="57" s="1"/>
  <c r="AD43" i="57"/>
  <c r="P106" i="57" a="1"/>
  <c r="P106" i="57" s="1"/>
  <c r="AH106" i="57" s="1" a="1"/>
  <c r="AH106" i="57" s="1"/>
  <c r="AI106" i="57" s="1" a="1"/>
  <c r="AI106" i="57" s="1"/>
  <c r="AD106" i="57"/>
  <c r="P34" i="57" a="1"/>
  <c r="P34" i="57" s="1"/>
  <c r="AH34" i="57" s="1" a="1"/>
  <c r="AH34" i="57" s="1"/>
  <c r="AD34" i="57"/>
  <c r="P167" i="57" a="1"/>
  <c r="P167" i="57" s="1"/>
  <c r="AH167" i="57" s="1" a="1"/>
  <c r="AH167" i="57" s="1"/>
  <c r="AD167" i="57"/>
  <c r="AN119" i="57"/>
  <c r="P119" i="57" a="1"/>
  <c r="P119" i="57" s="1"/>
  <c r="AH119" i="57" s="1" a="1"/>
  <c r="AH119" i="57" s="1"/>
  <c r="AD119" i="57"/>
  <c r="P32" i="57" a="1"/>
  <c r="P32" i="57" s="1"/>
  <c r="AH32" i="57" s="1" a="1"/>
  <c r="AH32" i="57" s="1"/>
  <c r="AD32" i="57"/>
  <c r="AD184" i="57"/>
  <c r="P184" i="57" a="1"/>
  <c r="P184" i="57" s="1"/>
  <c r="AH184" i="57" s="1" a="1"/>
  <c r="AH184" i="57" s="1"/>
  <c r="P172" i="57" a="1"/>
  <c r="P172" i="57" s="1"/>
  <c r="AH172" i="57" s="1" a="1"/>
  <c r="AH172" i="57" s="1"/>
  <c r="AD172" i="57"/>
  <c r="P113" i="57" a="1"/>
  <c r="P113" i="57" s="1"/>
  <c r="AH113" i="57" s="1" a="1"/>
  <c r="AH113" i="57" s="1"/>
  <c r="AI113" i="57" s="1" a="1"/>
  <c r="AI113" i="57" s="1"/>
  <c r="AD113" i="57"/>
  <c r="P49" i="57" a="1"/>
  <c r="P49" i="57" s="1"/>
  <c r="AD49" i="57"/>
  <c r="AN65" i="57"/>
  <c r="AN80" i="57"/>
  <c r="AN58" i="57"/>
  <c r="AD177" i="57"/>
  <c r="P177" i="57" a="1"/>
  <c r="P177" i="57" s="1"/>
  <c r="AH177" i="57" s="1" a="1"/>
  <c r="AH177" i="57" s="1"/>
  <c r="P86" i="57" a="1"/>
  <c r="P86" i="57" s="1"/>
  <c r="AD86" i="57"/>
  <c r="P108" i="57" a="1"/>
  <c r="P108" i="57" s="1"/>
  <c r="AH108" i="57" s="1" a="1"/>
  <c r="AH108" i="57" s="1"/>
  <c r="AD108" i="57"/>
  <c r="AN133" i="57"/>
  <c r="P133" i="57" a="1"/>
  <c r="P133" i="57" s="1"/>
  <c r="AH133" i="57" s="1" a="1"/>
  <c r="AH133" i="57" s="1"/>
  <c r="AD133" i="57"/>
  <c r="P46" i="57" a="1"/>
  <c r="P46" i="57" s="1"/>
  <c r="AH46" i="57" s="1" a="1"/>
  <c r="AH46" i="57" s="1"/>
  <c r="AD46" i="57"/>
  <c r="P47" i="57" a="1"/>
  <c r="P47" i="57" s="1"/>
  <c r="AH47" i="57" s="1" a="1"/>
  <c r="AH47" i="57" s="1"/>
  <c r="AD47" i="57"/>
  <c r="AN81" i="57"/>
  <c r="AD81" i="57"/>
  <c r="P81" i="57" a="1"/>
  <c r="P81" i="57" s="1"/>
  <c r="AH81" i="57" s="1" a="1"/>
  <c r="AH81" i="57" s="1"/>
  <c r="P40" i="57" a="1"/>
  <c r="P40" i="57" s="1"/>
  <c r="AH40" i="57" s="1" a="1"/>
  <c r="AH40" i="57" s="1"/>
  <c r="AD40" i="57"/>
  <c r="AN163" i="57"/>
  <c r="AN61" i="57"/>
  <c r="P68" i="57" a="1"/>
  <c r="P68" i="57" s="1"/>
  <c r="AH68" i="57" s="1" a="1"/>
  <c r="AH68" i="57" s="1"/>
  <c r="AD68" i="57"/>
  <c r="P175" i="57" a="1"/>
  <c r="P175" i="57" s="1"/>
  <c r="AH175" i="57" s="1" a="1"/>
  <c r="AH175" i="57" s="1"/>
  <c r="AD175" i="57"/>
  <c r="P183" i="57" a="1"/>
  <c r="P183" i="57" s="1"/>
  <c r="AH183" i="57" s="1" a="1"/>
  <c r="AH183" i="57" s="1"/>
  <c r="AI183" i="57" s="1" a="1"/>
  <c r="AI183" i="57" s="1"/>
  <c r="AD183" i="57"/>
  <c r="P82" i="57" a="1"/>
  <c r="P82" i="57" s="1"/>
  <c r="AH82" i="57" s="1" a="1"/>
  <c r="AH82" i="57" s="1"/>
  <c r="AD82" i="57"/>
  <c r="P104" i="57" a="1"/>
  <c r="P104" i="57" s="1"/>
  <c r="AD104" i="57"/>
  <c r="P88" i="57" a="1"/>
  <c r="P88" i="57" s="1"/>
  <c r="AH88" i="57" s="1" a="1"/>
  <c r="AH88" i="57" s="1"/>
  <c r="AD88" i="57"/>
  <c r="P27" i="57" a="1"/>
  <c r="P27" i="57" s="1"/>
  <c r="AH27" i="57" s="1" a="1"/>
  <c r="AH27" i="57" s="1"/>
  <c r="AD27" i="57"/>
  <c r="AN79" i="57"/>
  <c r="AD79" i="57"/>
  <c r="P79" i="57" a="1"/>
  <c r="P79" i="57" s="1"/>
  <c r="AH79" i="57" s="1" a="1"/>
  <c r="AH79" i="57" s="1"/>
  <c r="AN45" i="57"/>
  <c r="AD91" i="57"/>
  <c r="P91" i="57" a="1"/>
  <c r="P91" i="57" s="1"/>
  <c r="AH91" i="57" s="1" a="1"/>
  <c r="AH91" i="57" s="1"/>
  <c r="P53" i="57" a="1"/>
  <c r="P53" i="57" s="1"/>
  <c r="AD53" i="57"/>
  <c r="AD131" i="57"/>
  <c r="P131" i="57" a="1"/>
  <c r="P131" i="57" s="1"/>
  <c r="AH131" i="57" s="1" a="1"/>
  <c r="AH131" i="57" s="1"/>
  <c r="AD9" i="57"/>
  <c r="P9" i="57" a="1"/>
  <c r="P9" i="57" s="1"/>
  <c r="AH9" i="57" s="1" a="1"/>
  <c r="AH9" i="57" s="1"/>
  <c r="P30" i="57" a="1"/>
  <c r="P30" i="57" s="1"/>
  <c r="AH30" i="57" s="1" a="1"/>
  <c r="AH30" i="57" s="1"/>
  <c r="AD30" i="57"/>
  <c r="P33" i="57" a="1"/>
  <c r="P33" i="57" s="1"/>
  <c r="AH33" i="57" s="1" a="1"/>
  <c r="AH33" i="57" s="1"/>
  <c r="AI33" i="57" s="1" a="1"/>
  <c r="AI33" i="57" s="1"/>
  <c r="AD33" i="57"/>
  <c r="P138" i="57" a="1"/>
  <c r="P138" i="57" s="1"/>
  <c r="AH138" i="57" s="1" a="1"/>
  <c r="AH138" i="57" s="1"/>
  <c r="AD138" i="57"/>
  <c r="AN158" i="57"/>
  <c r="P158" i="57" a="1"/>
  <c r="P158" i="57" s="1"/>
  <c r="AH158" i="57" s="1" a="1"/>
  <c r="AH158" i="57" s="1"/>
  <c r="AD158" i="57"/>
  <c r="AN9" i="57"/>
  <c r="AN40" i="57"/>
  <c r="AN15" i="57"/>
  <c r="P110" i="57" a="1"/>
  <c r="P110" i="57" s="1"/>
  <c r="AH110" i="57" s="1" a="1"/>
  <c r="AH110" i="57" s="1"/>
  <c r="AI110" i="57" s="1" a="1"/>
  <c r="AI110" i="57" s="1"/>
  <c r="AD110" i="57"/>
  <c r="AD180" i="57"/>
  <c r="P180" i="57" a="1"/>
  <c r="P180" i="57" s="1"/>
  <c r="AH180" i="57" s="1" a="1"/>
  <c r="AH180" i="57" s="1"/>
  <c r="AI180" i="57" s="1" a="1"/>
  <c r="AI180" i="57" s="1"/>
  <c r="P151" i="57" a="1"/>
  <c r="P151" i="57" s="1"/>
  <c r="AH151" i="57" s="1" a="1"/>
  <c r="AH151" i="57" s="1"/>
  <c r="AD151" i="57"/>
  <c r="P103" i="57" a="1"/>
  <c r="P103" i="57" s="1"/>
  <c r="AD103" i="57"/>
  <c r="P124" i="57" a="1"/>
  <c r="P124" i="57" s="1"/>
  <c r="AD124" i="57"/>
  <c r="AD160" i="57"/>
  <c r="P160" i="57" a="1"/>
  <c r="P160" i="57" s="1"/>
  <c r="AD75" i="57"/>
  <c r="P75" i="57" a="1"/>
  <c r="P75" i="57" s="1"/>
  <c r="AH75" i="57" s="1" a="1"/>
  <c r="AH75" i="57" s="1"/>
  <c r="P37" i="57" a="1"/>
  <c r="P37" i="57" s="1"/>
  <c r="AH37" i="57" s="1" a="1"/>
  <c r="AH37" i="57" s="1"/>
  <c r="AD37" i="57"/>
  <c r="P29" i="57" a="1"/>
  <c r="P29" i="57" s="1"/>
  <c r="AD29" i="57"/>
  <c r="P60" i="57" a="1"/>
  <c r="P60" i="57" s="1"/>
  <c r="AH60" i="57" s="1" a="1"/>
  <c r="AH60" i="57" s="1"/>
  <c r="AD60" i="57"/>
  <c r="AN10" i="57"/>
  <c r="AN164" i="57"/>
  <c r="P128" i="57" a="1"/>
  <c r="P128" i="57" s="1"/>
  <c r="AH128" i="57" s="1" a="1"/>
  <c r="AH128" i="57" s="1"/>
  <c r="AD128" i="57"/>
  <c r="AD148" i="57"/>
  <c r="P148" i="57" a="1"/>
  <c r="P148" i="57" s="1"/>
  <c r="AH148" i="57" s="1" a="1"/>
  <c r="AH148" i="57" s="1"/>
  <c r="P45" i="57" a="1"/>
  <c r="P45" i="57" s="1"/>
  <c r="AH45" i="57" s="1" a="1"/>
  <c r="AH45" i="57" s="1"/>
  <c r="AD45" i="57"/>
  <c r="P122" i="57" a="1"/>
  <c r="P122" i="57" s="1"/>
  <c r="AH122" i="57" s="1" a="1"/>
  <c r="AH122" i="57" s="1"/>
  <c r="AD122" i="57"/>
  <c r="P54" i="57" a="1"/>
  <c r="P54" i="57" s="1"/>
  <c r="AH54" i="57" s="1" a="1"/>
  <c r="AH54" i="57" s="1"/>
  <c r="AD54" i="57"/>
  <c r="AD90" i="57"/>
  <c r="P90" i="57" a="1"/>
  <c r="P90" i="57" s="1"/>
  <c r="AH90" i="57" s="1" a="1"/>
  <c r="AH90" i="57" s="1"/>
  <c r="AI90" i="57" s="1" a="1"/>
  <c r="AI90" i="57" s="1"/>
  <c r="AN77" i="57"/>
  <c r="P77" i="57" a="1"/>
  <c r="P77" i="57" s="1"/>
  <c r="AH77" i="57" s="1" a="1"/>
  <c r="AH77" i="57" s="1"/>
  <c r="AD77" i="57"/>
  <c r="AN57" i="57"/>
  <c r="P57" i="57" a="1"/>
  <c r="P57" i="57" s="1"/>
  <c r="AH57" i="57" s="1" a="1"/>
  <c r="AH57" i="57" s="1"/>
  <c r="AD57" i="57"/>
  <c r="AN13" i="57"/>
  <c r="P78" i="57" a="1"/>
  <c r="P78" i="57" s="1"/>
  <c r="AH78" i="57" s="1" a="1"/>
  <c r="AH78" i="57" s="1"/>
  <c r="AD78" i="57"/>
  <c r="AD121" i="57"/>
  <c r="P121" i="57" a="1"/>
  <c r="P121" i="57" s="1"/>
  <c r="AH121" i="57" s="1" a="1"/>
  <c r="AH121" i="57" s="1"/>
  <c r="P58" i="57" a="1"/>
  <c r="P58" i="57" s="1"/>
  <c r="AH58" i="57" s="1" a="1"/>
  <c r="AH58" i="57" s="1"/>
  <c r="AD58" i="57"/>
  <c r="P96" i="57" a="1"/>
  <c r="P96" i="57" s="1"/>
  <c r="AH96" i="57" s="1" a="1"/>
  <c r="AH96" i="57" s="1"/>
  <c r="AI96" i="57" s="1" a="1"/>
  <c r="AI96" i="57" s="1"/>
  <c r="AD96" i="57"/>
  <c r="AD22" i="57"/>
  <c r="P22" i="57" a="1"/>
  <c r="P22" i="57" s="1"/>
  <c r="AH22" i="57" s="1" a="1"/>
  <c r="AH22" i="57" s="1"/>
  <c r="P15" i="57" a="1"/>
  <c r="P15" i="57" s="1"/>
  <c r="AH15" i="57" s="1" a="1"/>
  <c r="AH15" i="57" s="1"/>
  <c r="AD15" i="57"/>
  <c r="P112" i="57" a="1"/>
  <c r="P112" i="57" s="1"/>
  <c r="AH112" i="57" s="1" a="1"/>
  <c r="AH112" i="57" s="1"/>
  <c r="AD112" i="57"/>
  <c r="AD149" i="57"/>
  <c r="P149" i="57" a="1"/>
  <c r="P149" i="57" s="1"/>
  <c r="AH149" i="57" s="1" a="1"/>
  <c r="AH149" i="57" s="1"/>
  <c r="AD31" i="57"/>
  <c r="P31" i="57" a="1"/>
  <c r="P31" i="57" s="1"/>
  <c r="AH31" i="57" s="1" a="1"/>
  <c r="AH31" i="57" s="1"/>
  <c r="P135" i="57" a="1"/>
  <c r="P135" i="57" s="1"/>
  <c r="AH135" i="57" s="1" a="1"/>
  <c r="AH135" i="57" s="1"/>
  <c r="AD135" i="57"/>
  <c r="AN78" i="57"/>
  <c r="AN36" i="57"/>
  <c r="AN160" i="57"/>
  <c r="P23" i="57" a="1"/>
  <c r="P23" i="57" s="1"/>
  <c r="AH23" i="57" s="1" a="1"/>
  <c r="AH23" i="57" s="1"/>
  <c r="AI23" i="57" s="1" a="1"/>
  <c r="AI23" i="57" s="1"/>
  <c r="AD23" i="57"/>
  <c r="AD114" i="57"/>
  <c r="P114" i="57" a="1"/>
  <c r="P114" i="57" s="1"/>
  <c r="AH114" i="57" s="1" a="1"/>
  <c r="AH114" i="57" s="1"/>
  <c r="AN41" i="57"/>
  <c r="AD41" i="57"/>
  <c r="P41" i="57" a="1"/>
  <c r="P41" i="57" s="1"/>
  <c r="AH41" i="57" s="1" a="1"/>
  <c r="AH41" i="57" s="1"/>
  <c r="P116" i="57" a="1"/>
  <c r="P116" i="57" s="1"/>
  <c r="AH116" i="57" s="1" a="1"/>
  <c r="AH116" i="57" s="1"/>
  <c r="AD116" i="57"/>
  <c r="AD169" i="57"/>
  <c r="P169" i="57" a="1"/>
  <c r="P169" i="57" s="1"/>
  <c r="AH169" i="57" s="1" a="1"/>
  <c r="AH169" i="57" s="1"/>
  <c r="P44" i="57" a="1"/>
  <c r="P44" i="57" s="1"/>
  <c r="AH44" i="57" s="1" a="1"/>
  <c r="AH44" i="57" s="1"/>
  <c r="AD44" i="57"/>
  <c r="P174" i="57" a="1"/>
  <c r="P174" i="57" s="1"/>
  <c r="AH174" i="57" s="1" a="1"/>
  <c r="AH174" i="57" s="1"/>
  <c r="AD174" i="57"/>
  <c r="AD139" i="57"/>
  <c r="P139" i="57" a="1"/>
  <c r="P139" i="57" s="1"/>
  <c r="AH139" i="57" s="1" a="1"/>
  <c r="AH139" i="57" s="1"/>
  <c r="AN6" i="57"/>
  <c r="AN42" i="57"/>
  <c r="P24" i="57" a="1"/>
  <c r="P24" i="57" s="1"/>
  <c r="AH24" i="57" s="1" a="1"/>
  <c r="AH24" i="57" s="1"/>
  <c r="AD24" i="57"/>
  <c r="AD8" i="57"/>
  <c r="P8" i="57" a="1"/>
  <c r="P8" i="57" s="1"/>
  <c r="AH8" i="57" s="1" a="1"/>
  <c r="AH8" i="57" s="1"/>
  <c r="AD140" i="57"/>
  <c r="P140" i="57" a="1"/>
  <c r="P140" i="57" s="1"/>
  <c r="AH140" i="57" s="1" a="1"/>
  <c r="AH140" i="57" s="1"/>
  <c r="AI140" i="57" s="1" a="1"/>
  <c r="AI140" i="57" s="1"/>
  <c r="AD89" i="57"/>
  <c r="P89" i="57" a="1"/>
  <c r="P89" i="57" s="1"/>
  <c r="AH89" i="57" s="1" a="1"/>
  <c r="AH89" i="57" s="1"/>
  <c r="AD137" i="57"/>
  <c r="P137" i="57" a="1"/>
  <c r="P137" i="57" s="1"/>
  <c r="AH137" i="57" s="1" a="1"/>
  <c r="AH137" i="57" s="1"/>
  <c r="P171" i="57" a="1"/>
  <c r="P171" i="57" s="1"/>
  <c r="AH171" i="57" s="1" a="1"/>
  <c r="AH171" i="57" s="1"/>
  <c r="AD171" i="57"/>
  <c r="P67" i="57" a="1"/>
  <c r="P67" i="57" s="1"/>
  <c r="AH67" i="57" s="1" a="1"/>
  <c r="AH67" i="57" s="1"/>
  <c r="AD67" i="57"/>
  <c r="P85" i="57" a="1"/>
  <c r="P85" i="57" s="1"/>
  <c r="AH85" i="57" s="1" a="1"/>
  <c r="AH85" i="57" s="1"/>
  <c r="AD85" i="57"/>
  <c r="P168" i="57" a="1"/>
  <c r="P168" i="57" s="1"/>
  <c r="AH168" i="57" s="1" a="1"/>
  <c r="AH168" i="57" s="1"/>
  <c r="AD168" i="57"/>
  <c r="AN120" i="57"/>
  <c r="AN64" i="57"/>
  <c r="P64" i="57" a="1"/>
  <c r="P64" i="57" s="1"/>
  <c r="AH64" i="57" s="1" a="1"/>
  <c r="AH64" i="57" s="1"/>
  <c r="AD64" i="57"/>
  <c r="AD143" i="57"/>
  <c r="P143" i="57" a="1"/>
  <c r="P143" i="57" s="1"/>
  <c r="AH143" i="57" s="1" a="1"/>
  <c r="AH143" i="57" s="1"/>
  <c r="AI143" i="57" s="1" a="1"/>
  <c r="AI143" i="57" s="1"/>
  <c r="AD25" i="57"/>
  <c r="P25" i="57" a="1"/>
  <c r="P25" i="57" s="1"/>
  <c r="AH25" i="57" s="1" a="1"/>
  <c r="AH25" i="57" s="1"/>
  <c r="P19" i="57" a="1"/>
  <c r="P19" i="57" s="1"/>
  <c r="AH19" i="57" s="1" a="1"/>
  <c r="AH19" i="57" s="1"/>
  <c r="AD19" i="57"/>
  <c r="P66" i="57" a="1"/>
  <c r="P66" i="57" s="1"/>
  <c r="AH66" i="57" s="1" a="1"/>
  <c r="AH66" i="57" s="1"/>
  <c r="AI66" i="57" s="1" a="1"/>
  <c r="AI66" i="57" s="1"/>
  <c r="AD66" i="57"/>
  <c r="P101" i="57" a="1"/>
  <c r="P101" i="57" s="1"/>
  <c r="AH101" i="57" s="1" a="1"/>
  <c r="AH101" i="57" s="1"/>
  <c r="AD101" i="57"/>
  <c r="AD105" i="57"/>
  <c r="P105" i="57" a="1"/>
  <c r="P105" i="57" s="1"/>
  <c r="P35" i="57" a="1"/>
  <c r="P35" i="57" s="1"/>
  <c r="AH35" i="57" s="1" a="1"/>
  <c r="AH35" i="57" s="1"/>
  <c r="AD35" i="57"/>
  <c r="AD98" i="57"/>
  <c r="P98" i="57" a="1"/>
  <c r="P98" i="57" s="1"/>
  <c r="AH98" i="57" s="1" a="1"/>
  <c r="AH98" i="57" s="1"/>
  <c r="AN127" i="57"/>
  <c r="AN125" i="57"/>
  <c r="AD17" i="57"/>
  <c r="P17" i="57" a="1"/>
  <c r="P17" i="57" s="1"/>
  <c r="AH17" i="57" s="1" a="1"/>
  <c r="AH17" i="57" s="1"/>
  <c r="P141" i="57" a="1"/>
  <c r="P141" i="57" s="1"/>
  <c r="AH141" i="57" s="1" a="1"/>
  <c r="AH141" i="57" s="1"/>
  <c r="AD141" i="57"/>
  <c r="AD70" i="57"/>
  <c r="P70" i="57" a="1"/>
  <c r="P70" i="57" s="1"/>
  <c r="AH70" i="57" s="1" a="1"/>
  <c r="AH70" i="57" s="1"/>
  <c r="AD55" i="57"/>
  <c r="P55" i="57" a="1"/>
  <c r="P55" i="57" s="1"/>
  <c r="AH55" i="57" s="1" a="1"/>
  <c r="AH55" i="57" s="1"/>
  <c r="P163" i="57" a="1"/>
  <c r="P163" i="57" s="1"/>
  <c r="AH163" i="57" s="1" a="1"/>
  <c r="AH163" i="57" s="1"/>
  <c r="AI163" i="57" s="1" a="1"/>
  <c r="AI163" i="57" s="1"/>
  <c r="AD163" i="57"/>
  <c r="AN123" i="57"/>
  <c r="P123" i="57" a="1"/>
  <c r="P123" i="57" s="1"/>
  <c r="AH123" i="57" s="1" a="1"/>
  <c r="AH123" i="57" s="1"/>
  <c r="AD123" i="57"/>
  <c r="P145" i="57" a="1"/>
  <c r="P145" i="57" s="1"/>
  <c r="AH145" i="57" s="1" a="1"/>
  <c r="AH145" i="57" s="1"/>
  <c r="AD145" i="57"/>
  <c r="P48" i="57" a="1"/>
  <c r="P48" i="57" s="1"/>
  <c r="AH48" i="57" s="1" a="1"/>
  <c r="AH48" i="57" s="1"/>
  <c r="AD48" i="57"/>
  <c r="AN43" i="57"/>
  <c r="AN14" i="57"/>
  <c r="AN63" i="57"/>
  <c r="P136" i="57" a="1"/>
  <c r="P136" i="57" s="1"/>
  <c r="AH136" i="57" s="1" a="1"/>
  <c r="AH136" i="57" s="1"/>
  <c r="AI136" i="57" s="1" a="1"/>
  <c r="AI136" i="57" s="1"/>
  <c r="AD136" i="57"/>
  <c r="P146" i="57" a="1"/>
  <c r="P146" i="57" s="1"/>
  <c r="AH146" i="57" s="1" a="1"/>
  <c r="AH146" i="57" s="1"/>
  <c r="AI146" i="57" s="1" a="1"/>
  <c r="AI146" i="57" s="1"/>
  <c r="AD146" i="57"/>
  <c r="P16" i="57" a="1"/>
  <c r="P16" i="57" s="1"/>
  <c r="AH16" i="57" s="1" a="1"/>
  <c r="AH16" i="57" s="1"/>
  <c r="AI16" i="57" s="1" a="1"/>
  <c r="AI16" i="57" s="1"/>
  <c r="AD16" i="57"/>
  <c r="P156" i="57" a="1"/>
  <c r="P156" i="57" s="1"/>
  <c r="AH156" i="57" s="1" a="1"/>
  <c r="AH156" i="57" s="1"/>
  <c r="AI156" i="57" s="1" a="1"/>
  <c r="AI156" i="57" s="1"/>
  <c r="AD156" i="57"/>
  <c r="AD39" i="57"/>
  <c r="P39" i="57" a="1"/>
  <c r="P39" i="57" s="1"/>
  <c r="AH39" i="57" s="1" a="1"/>
  <c r="AH39" i="57" s="1"/>
  <c r="P6" i="57" a="1"/>
  <c r="P6" i="57" s="1"/>
  <c r="AH6" i="57" s="1" a="1"/>
  <c r="AH6" i="57" s="1"/>
  <c r="AI6" i="57" s="1" a="1"/>
  <c r="AI6" i="57" s="1"/>
  <c r="AD6" i="57"/>
  <c r="P62" i="57" a="1"/>
  <c r="P62" i="57" s="1"/>
  <c r="AH62" i="57" s="1" a="1"/>
  <c r="AH62" i="57" s="1"/>
  <c r="AD62" i="57"/>
  <c r="AD99" i="57"/>
  <c r="P99" i="57" a="1"/>
  <c r="P99" i="57" s="1"/>
  <c r="AH99" i="57" s="1" a="1"/>
  <c r="AH99" i="57" s="1"/>
  <c r="P176" i="57" a="1"/>
  <c r="P176" i="57" s="1"/>
  <c r="AH176" i="57" s="1" a="1"/>
  <c r="AH176" i="57" s="1"/>
  <c r="AD176" i="57"/>
  <c r="AD59" i="57"/>
  <c r="P59" i="57" a="1"/>
  <c r="P59" i="57" s="1"/>
  <c r="AH59" i="57" s="1" a="1"/>
  <c r="AH59" i="57" s="1"/>
  <c r="AN122" i="57"/>
  <c r="AN117" i="57"/>
  <c r="AN37" i="57"/>
  <c r="AN135" i="57"/>
  <c r="P102" i="57" a="1"/>
  <c r="P102" i="57" s="1"/>
  <c r="AD102" i="57"/>
  <c r="P181" i="57" a="1"/>
  <c r="P181" i="57" s="1"/>
  <c r="AH181" i="57" s="1" a="1"/>
  <c r="AH181" i="57" s="1"/>
  <c r="AD181" i="57"/>
  <c r="P72" i="57" a="1"/>
  <c r="P72" i="57" s="1"/>
  <c r="AH72" i="57" s="1" a="1"/>
  <c r="AH72" i="57" s="1"/>
  <c r="AD72" i="57"/>
  <c r="P52" i="57" a="1"/>
  <c r="P52" i="57" s="1"/>
  <c r="AH52" i="57" s="1" a="1"/>
  <c r="AH52" i="57" s="1"/>
  <c r="AD52" i="57"/>
  <c r="P185" i="57" a="1"/>
  <c r="P185" i="57" s="1"/>
  <c r="AH185" i="57" s="1" a="1"/>
  <c r="AH185" i="57" s="1"/>
  <c r="AD185" i="57"/>
  <c r="P51" i="57" a="1"/>
  <c r="P51" i="57" s="1"/>
  <c r="AH51" i="57" s="1" a="1"/>
  <c r="AH51" i="57" s="1"/>
  <c r="AD51" i="57"/>
  <c r="P50" i="57" a="1"/>
  <c r="P50" i="57" s="1"/>
  <c r="AH50" i="57" s="1" a="1"/>
  <c r="AH50" i="57" s="1"/>
  <c r="AI50" i="57" s="1" a="1"/>
  <c r="AI50" i="57" s="1"/>
  <c r="AD50" i="57"/>
  <c r="P118" i="57" a="1"/>
  <c r="P118" i="57" s="1"/>
  <c r="AH118" i="57" s="1" a="1"/>
  <c r="AH118" i="57" s="1"/>
  <c r="AD118" i="57"/>
  <c r="AD56" i="57"/>
  <c r="P56" i="57" a="1"/>
  <c r="P56" i="57" s="1"/>
  <c r="AH56" i="57" s="1" a="1"/>
  <c r="AH56" i="57" s="1"/>
  <c r="AI56" i="57" s="1" a="1"/>
  <c r="AI56" i="57" s="1"/>
  <c r="AN60" i="57"/>
  <c r="AD42" i="57"/>
  <c r="P42" i="57" a="1"/>
  <c r="P42" i="57" s="1"/>
  <c r="AH42" i="57" s="1" a="1"/>
  <c r="AH42" i="57" s="1"/>
  <c r="P164" i="57" a="1"/>
  <c r="P164" i="57" s="1"/>
  <c r="AH164" i="57" s="1" a="1"/>
  <c r="AH164" i="57" s="1"/>
  <c r="AD164" i="57"/>
  <c r="P18" i="57" a="1"/>
  <c r="P18" i="57" s="1"/>
  <c r="AH18" i="57" s="1" a="1"/>
  <c r="AH18" i="57" s="1"/>
  <c r="AD18" i="57"/>
  <c r="AD161" i="57"/>
  <c r="P161" i="57" a="1"/>
  <c r="P161" i="57" s="1"/>
  <c r="AH161" i="57" s="1" a="1"/>
  <c r="AH161" i="57" s="1"/>
  <c r="P152" i="57" a="1"/>
  <c r="P152" i="57" s="1"/>
  <c r="AH152" i="57" s="1" a="1"/>
  <c r="AH152" i="57" s="1"/>
  <c r="AD152" i="57"/>
  <c r="P10" i="57" a="1"/>
  <c r="P10" i="57" s="1"/>
  <c r="AH10" i="57" s="1" a="1"/>
  <c r="AH10" i="57" s="1"/>
  <c r="AI10" i="57" s="1" a="1"/>
  <c r="AI10" i="57" s="1"/>
  <c r="AD10" i="57"/>
  <c r="P178" i="57" a="1"/>
  <c r="P178" i="57" s="1"/>
  <c r="AH178" i="57" s="1" a="1"/>
  <c r="AH178" i="57" s="1"/>
  <c r="AD178" i="57"/>
  <c r="P155" i="57" a="1"/>
  <c r="P155" i="57" s="1"/>
  <c r="AH155" i="57" s="1" a="1"/>
  <c r="AH155" i="57" s="1"/>
  <c r="AD155" i="57"/>
  <c r="AD76" i="57"/>
  <c r="P76" i="57" a="1"/>
  <c r="P76" i="57" s="1"/>
  <c r="AH76" i="57" s="1" a="1"/>
  <c r="AH76" i="57" s="1"/>
  <c r="AI76" i="57" s="1" a="1"/>
  <c r="AI76" i="57" s="1"/>
  <c r="AN84" i="57"/>
  <c r="P80" i="57" a="1"/>
  <c r="P80" i="57" s="1"/>
  <c r="AH80" i="57" s="1" a="1"/>
  <c r="AH80" i="57" s="1"/>
  <c r="AI80" i="57" s="1" a="1"/>
  <c r="AI80" i="57" s="1"/>
  <c r="AD80" i="57"/>
  <c r="P94" i="57" a="1"/>
  <c r="P94" i="57" s="1"/>
  <c r="AH94" i="57" s="1" a="1"/>
  <c r="AH94" i="57" s="1"/>
  <c r="AD94" i="57"/>
  <c r="AN165" i="57"/>
  <c r="P165" i="57" a="1"/>
  <c r="P165" i="57" s="1"/>
  <c r="AH165" i="57" s="1" a="1"/>
  <c r="AH165" i="57" s="1"/>
  <c r="AD165" i="57"/>
  <c r="P150" i="57" a="1"/>
  <c r="P150" i="57" s="1"/>
  <c r="AH150" i="57" s="1" a="1"/>
  <c r="AH150" i="57" s="1"/>
  <c r="AI150" i="57" s="1" a="1"/>
  <c r="AI150" i="57" s="1"/>
  <c r="AD150" i="57"/>
  <c r="AD100" i="57"/>
  <c r="P100" i="57" a="1"/>
  <c r="P100" i="57" s="1"/>
  <c r="P14" i="57" a="1"/>
  <c r="P14" i="57" s="1"/>
  <c r="AH14" i="57" s="1" a="1"/>
  <c r="AH14" i="57" s="1"/>
  <c r="AD14" i="57"/>
  <c r="P109" i="57" a="1"/>
  <c r="P109" i="57" s="1"/>
  <c r="AH109" i="57" s="1" a="1"/>
  <c r="AH109" i="57" s="1"/>
  <c r="AD109" i="57"/>
  <c r="AD127" i="57"/>
  <c r="P127" i="57" a="1"/>
  <c r="P127" i="57" s="1"/>
  <c r="AH127" i="57" s="1" a="1"/>
  <c r="AH127" i="57" s="1"/>
  <c r="P153" i="57" a="1"/>
  <c r="P153" i="57" s="1"/>
  <c r="AH153" i="57" s="1" a="1"/>
  <c r="AH153" i="57" s="1"/>
  <c r="AD153" i="57"/>
  <c r="F4" i="5" a="1"/>
  <c r="F4" i="5" s="1"/>
  <c r="E4" i="5"/>
  <c r="F3" i="5" a="1"/>
  <c r="F3" i="5" s="1"/>
  <c r="E3" i="5"/>
  <c r="F5" i="5" a="1"/>
  <c r="F5" i="5" s="1"/>
  <c r="E5" i="5"/>
  <c r="AH73" i="9" a="1"/>
  <c r="AH73" i="9" s="1"/>
  <c r="AI256" i="57" l="1" a="1"/>
  <c r="AI256" i="57" s="1"/>
  <c r="AH199" i="57" a="1"/>
  <c r="AH199" i="57" s="1"/>
  <c r="AS199" i="57"/>
  <c r="AP199" i="57"/>
  <c r="Q199" i="57"/>
  <c r="AH225" i="57" a="1"/>
  <c r="AH225" i="57" s="1"/>
  <c r="AP225" i="57"/>
  <c r="Q225" i="57"/>
  <c r="AH227" i="57" a="1"/>
  <c r="AH227" i="57" s="1"/>
  <c r="AP227" i="57"/>
  <c r="Q227" i="57"/>
  <c r="AH222" i="57" a="1"/>
  <c r="AH222" i="57" s="1"/>
  <c r="AI222" i="57" s="1" a="1"/>
  <c r="AI222" i="57" s="1"/>
  <c r="Q222" i="57"/>
  <c r="AP222" i="57"/>
  <c r="AH187" i="57" a="1"/>
  <c r="AH187" i="57" s="1"/>
  <c r="AP187" i="57"/>
  <c r="Q187" i="57"/>
  <c r="AS187" i="57"/>
  <c r="AG39" i="5"/>
  <c r="AH190" i="57" a="1"/>
  <c r="AH190" i="57" s="1"/>
  <c r="AI190" i="57" s="1" a="1"/>
  <c r="AI190" i="57" s="1"/>
  <c r="Q190" i="57"/>
  <c r="AP190" i="57"/>
  <c r="AH216" i="57" a="1"/>
  <c r="AH216" i="57" s="1"/>
  <c r="AI216" i="57" s="1" a="1"/>
  <c r="AI216" i="57" s="1"/>
  <c r="AS216" i="57"/>
  <c r="AP216" i="57"/>
  <c r="Q216" i="57"/>
  <c r="AH248" i="57" a="1"/>
  <c r="AH248" i="57" s="1"/>
  <c r="AI248" i="57" s="1" a="1"/>
  <c r="AI248" i="57" s="1"/>
  <c r="AS248" i="57"/>
  <c r="AP248" i="57"/>
  <c r="Q248" i="57"/>
  <c r="AH213" i="57" a="1"/>
  <c r="AH213" i="57" s="1"/>
  <c r="AP213" i="57"/>
  <c r="Q213" i="57"/>
  <c r="AH224" i="57" a="1"/>
  <c r="AH224" i="57" s="1"/>
  <c r="AI224" i="57" s="1" a="1"/>
  <c r="AI224" i="57" s="1"/>
  <c r="AP224" i="57"/>
  <c r="Q224" i="57"/>
  <c r="AH241" i="57" a="1"/>
  <c r="AH241" i="57" s="1"/>
  <c r="Q241" i="57"/>
  <c r="AP241" i="57"/>
  <c r="AH230" i="57" a="1"/>
  <c r="AH230" i="57" s="1"/>
  <c r="AI230" i="57" s="1" a="1"/>
  <c r="AI230" i="57" s="1"/>
  <c r="AS230" i="57"/>
  <c r="AP230" i="57"/>
  <c r="Q230" i="57"/>
  <c r="AH218" i="57" a="1"/>
  <c r="AH218" i="57" s="1"/>
  <c r="AI218" i="57" s="1" a="1"/>
  <c r="AI218" i="57" s="1"/>
  <c r="Q218" i="57"/>
  <c r="AP218" i="57"/>
  <c r="AH195" i="57" a="1"/>
  <c r="AH195" i="57" s="1"/>
  <c r="AP195" i="57"/>
  <c r="Q195" i="57"/>
  <c r="AH233" i="57" a="1"/>
  <c r="AH233" i="57" s="1"/>
  <c r="AP233" i="57"/>
  <c r="AS233" i="57"/>
  <c r="Q233" i="57"/>
  <c r="AH205" i="57" a="1"/>
  <c r="AH205" i="57" s="1"/>
  <c r="AP205" i="57"/>
  <c r="Q205" i="57"/>
  <c r="AH206" i="57" a="1"/>
  <c r="AH206" i="57" s="1"/>
  <c r="AI206" i="57" s="1" a="1"/>
  <c r="AI206" i="57" s="1"/>
  <c r="AP206" i="57"/>
  <c r="Q206" i="57"/>
  <c r="AS206" i="57"/>
  <c r="AH189" i="57" a="1"/>
  <c r="AH189" i="57" s="1"/>
  <c r="AP189" i="57"/>
  <c r="AS189" i="57"/>
  <c r="Q189" i="57"/>
  <c r="AH203" i="57" a="1"/>
  <c r="AH203" i="57" s="1"/>
  <c r="Q203" i="57"/>
  <c r="AP203" i="57"/>
  <c r="AH215" i="57" a="1"/>
  <c r="AH215" i="57" s="1"/>
  <c r="AS215" i="57"/>
  <c r="Q215" i="57"/>
  <c r="AP215" i="57"/>
  <c r="AH244" i="57" a="1"/>
  <c r="AH244" i="57" s="1"/>
  <c r="AI244" i="57" s="1" a="1"/>
  <c r="AI244" i="57" s="1"/>
  <c r="Q244" i="57"/>
  <c r="AP244" i="57"/>
  <c r="AH223" i="57" a="1"/>
  <c r="AH223" i="57" s="1"/>
  <c r="AP223" i="57"/>
  <c r="Q223" i="57"/>
  <c r="AH192" i="57" a="1"/>
  <c r="AH192" i="57" s="1"/>
  <c r="AI192" i="57" s="1" a="1"/>
  <c r="AI192" i="57" s="1"/>
  <c r="AP192" i="57"/>
  <c r="Q192" i="57"/>
  <c r="AH243" i="57" a="1"/>
  <c r="AH243" i="57" s="1"/>
  <c r="AP243" i="57"/>
  <c r="Q243" i="57"/>
  <c r="AP257" i="57"/>
  <c r="Q257" i="57"/>
  <c r="AH198" i="57" a="1"/>
  <c r="AH198" i="57" s="1"/>
  <c r="AI198" i="57" s="1" a="1"/>
  <c r="AI198" i="57" s="1"/>
  <c r="Q198" i="57"/>
  <c r="AS198" i="57"/>
  <c r="AP198" i="57"/>
  <c r="Q256" i="57"/>
  <c r="AP256" i="57"/>
  <c r="AH236" i="57" a="1"/>
  <c r="AH236" i="57" s="1"/>
  <c r="AI236" i="57" s="1" a="1"/>
  <c r="AI236" i="57" s="1"/>
  <c r="AP236" i="57"/>
  <c r="AS236" i="57"/>
  <c r="Q236" i="57"/>
  <c r="AH210" i="57" a="1"/>
  <c r="AH210" i="57" s="1"/>
  <c r="AI210" i="57" s="1" a="1"/>
  <c r="AI210" i="57" s="1"/>
  <c r="AP210" i="57"/>
  <c r="Q210" i="57"/>
  <c r="AH197" i="57" a="1"/>
  <c r="AH197" i="57" s="1"/>
  <c r="AP197" i="57"/>
  <c r="Q197" i="57"/>
  <c r="AP252" i="57"/>
  <c r="Q252" i="57"/>
  <c r="AH200" i="57" a="1"/>
  <c r="AH200" i="57" s="1"/>
  <c r="AI200" i="57" s="1" a="1"/>
  <c r="AI200" i="57" s="1"/>
  <c r="Q200" i="57"/>
  <c r="AS200" i="57"/>
  <c r="AP200" i="57"/>
  <c r="AH188" i="57" a="1"/>
  <c r="AH188" i="57" s="1"/>
  <c r="AI188" i="57" s="1" a="1"/>
  <c r="AI188" i="57" s="1"/>
  <c r="AS188" i="57"/>
  <c r="AP188" i="57"/>
  <c r="Q188" i="57"/>
  <c r="AH221" i="57" a="1"/>
  <c r="AH221" i="57" s="1"/>
  <c r="Q221" i="57"/>
  <c r="AP221" i="57"/>
  <c r="AH234" i="57" a="1"/>
  <c r="AH234" i="57" s="1"/>
  <c r="AI234" i="57" s="1" a="1"/>
  <c r="AI234" i="57" s="1"/>
  <c r="Q234" i="57"/>
  <c r="AS234" i="57"/>
  <c r="AP234" i="57"/>
  <c r="AH186" i="57" a="1"/>
  <c r="AH186" i="57" s="1"/>
  <c r="AI186" i="57" s="1" a="1"/>
  <c r="AI186" i="57" s="1"/>
  <c r="AP186" i="57"/>
  <c r="AS186" i="57"/>
  <c r="Q186" i="57"/>
  <c r="AH232" i="57" a="1"/>
  <c r="AH232" i="57" s="1"/>
  <c r="AI232" i="57" s="1" a="1"/>
  <c r="AI232" i="57" s="1"/>
  <c r="AS232" i="57"/>
  <c r="AP232" i="57"/>
  <c r="Q232" i="57"/>
  <c r="AH242" i="57" a="1"/>
  <c r="AH242" i="57" s="1"/>
  <c r="AI242" i="57" s="1" a="1"/>
  <c r="AI242" i="57" s="1"/>
  <c r="AP242" i="57"/>
  <c r="Q242" i="57"/>
  <c r="AP191" i="57"/>
  <c r="Q191" i="57"/>
  <c r="AP204" i="57"/>
  <c r="Q204" i="57"/>
  <c r="AH211" i="57" a="1"/>
  <c r="AH211" i="57" s="1"/>
  <c r="Q211" i="57"/>
  <c r="AP211" i="57"/>
  <c r="AH219" i="57" a="1"/>
  <c r="AH219" i="57" s="1"/>
  <c r="Q219" i="57"/>
  <c r="AP219" i="57"/>
  <c r="AH239" i="57" a="1"/>
  <c r="AH239" i="57" s="1"/>
  <c r="Q239" i="57"/>
  <c r="AP239" i="57"/>
  <c r="AH237" i="57" a="1"/>
  <c r="AH237" i="57" s="1"/>
  <c r="AS237" i="57"/>
  <c r="AP237" i="57"/>
  <c r="Q237" i="57"/>
  <c r="AH202" i="57" a="1"/>
  <c r="AH202" i="57" s="1"/>
  <c r="AI202" i="57" s="1" a="1"/>
  <c r="AI202" i="57" s="1"/>
  <c r="AP202" i="57"/>
  <c r="Q202" i="57"/>
  <c r="AP254" i="57"/>
  <c r="Q254" i="57"/>
  <c r="AH214" i="57" a="1"/>
  <c r="AH214" i="57" s="1"/>
  <c r="AI214" i="57" s="1" a="1"/>
  <c r="AI214" i="57" s="1"/>
  <c r="AS214" i="57"/>
  <c r="AP214" i="57"/>
  <c r="Q214" i="57"/>
  <c r="Q247" i="57"/>
  <c r="AP247" i="57"/>
  <c r="AS247" i="57"/>
  <c r="AH196" i="57" a="1"/>
  <c r="AH196" i="57" s="1"/>
  <c r="AI196" i="57" s="1" a="1"/>
  <c r="AI196" i="57" s="1"/>
  <c r="AP196" i="57"/>
  <c r="Q196" i="57"/>
  <c r="AS217" i="57"/>
  <c r="AP217" i="57"/>
  <c r="Q217" i="57"/>
  <c r="AH250" i="57" a="1"/>
  <c r="AH250" i="57" s="1"/>
  <c r="AI250" i="57" s="1" a="1"/>
  <c r="AI250" i="57" s="1"/>
  <c r="AP250" i="57"/>
  <c r="Q250" i="57"/>
  <c r="AH231" i="57" a="1"/>
  <c r="AH231" i="57" s="1"/>
  <c r="Q231" i="57"/>
  <c r="AS231" i="57"/>
  <c r="AP231" i="57"/>
  <c r="AH194" i="57" a="1"/>
  <c r="AH194" i="57" s="1"/>
  <c r="AI194" i="57" s="1" a="1"/>
  <c r="AI194" i="57" s="1"/>
  <c r="Q194" i="57"/>
  <c r="AP194" i="57"/>
  <c r="AH238" i="57" a="1"/>
  <c r="AH238" i="57" s="1"/>
  <c r="AI238" i="57" s="1" a="1"/>
  <c r="AI238" i="57" s="1"/>
  <c r="Q238" i="57"/>
  <c r="AP238" i="57"/>
  <c r="AH246" i="57" a="1"/>
  <c r="AH246" i="57" s="1"/>
  <c r="AI246" i="57" s="1" a="1"/>
  <c r="AI246" i="57" s="1"/>
  <c r="AP246" i="57"/>
  <c r="Q246" i="57"/>
  <c r="AS246" i="57"/>
  <c r="AH220" i="57" a="1"/>
  <c r="AH220" i="57" s="1"/>
  <c r="AI220" i="57" s="1" a="1"/>
  <c r="AI220" i="57" s="1"/>
  <c r="Q220" i="57"/>
  <c r="AP220" i="57"/>
  <c r="AH245" i="57" a="1"/>
  <c r="AH245" i="57" s="1"/>
  <c r="AP245" i="57"/>
  <c r="Q245" i="57"/>
  <c r="AH207" i="57" a="1"/>
  <c r="AH207" i="57" s="1"/>
  <c r="Q207" i="57"/>
  <c r="AP207" i="57"/>
  <c r="AS207" i="57"/>
  <c r="AH201" i="57" a="1"/>
  <c r="AH201" i="57" s="1"/>
  <c r="AS201" i="57"/>
  <c r="Q201" i="57"/>
  <c r="AP201" i="57"/>
  <c r="AH235" i="57" a="1"/>
  <c r="AH235" i="57" s="1"/>
  <c r="Q235" i="57"/>
  <c r="AS235" i="57"/>
  <c r="AP235" i="57"/>
  <c r="AH193" i="57" a="1"/>
  <c r="AH193" i="57" s="1"/>
  <c r="Q193" i="57"/>
  <c r="AP193" i="57"/>
  <c r="AH226" i="57" a="1"/>
  <c r="AH226" i="57" s="1"/>
  <c r="AI226" i="57" s="1" a="1"/>
  <c r="AI226" i="57" s="1"/>
  <c r="AP226" i="57"/>
  <c r="Q226" i="57"/>
  <c r="AH240" i="57" a="1"/>
  <c r="AH240" i="57" s="1"/>
  <c r="AI240" i="57" s="1" a="1"/>
  <c r="AI240" i="57" s="1"/>
  <c r="Q240" i="57"/>
  <c r="AP240" i="57"/>
  <c r="AH208" i="57" a="1"/>
  <c r="AH208" i="57" s="1"/>
  <c r="AI208" i="57" s="1" a="1"/>
  <c r="AI208" i="57" s="1"/>
  <c r="AP208" i="57"/>
  <c r="Q208" i="57"/>
  <c r="AS208" i="57"/>
  <c r="AH255" i="57" a="1"/>
  <c r="AH255" i="57" s="1"/>
  <c r="AP255" i="57"/>
  <c r="Q255" i="57"/>
  <c r="Q229" i="57"/>
  <c r="AP229" i="57"/>
  <c r="AH212" i="57" a="1"/>
  <c r="AH212" i="57" s="1"/>
  <c r="AI212" i="57" s="1" a="1"/>
  <c r="AI212" i="57" s="1"/>
  <c r="AP212" i="57"/>
  <c r="Q212" i="57"/>
  <c r="AH253" i="57" a="1"/>
  <c r="AH253" i="57" s="1"/>
  <c r="AP253" i="57"/>
  <c r="Q253" i="57"/>
  <c r="AH249" i="57" a="1"/>
  <c r="AH249" i="57" s="1"/>
  <c r="AS249" i="57"/>
  <c r="AP249" i="57"/>
  <c r="Q249" i="57"/>
  <c r="AH228" i="57" a="1"/>
  <c r="AH228" i="57" s="1"/>
  <c r="AI228" i="57" s="1" a="1"/>
  <c r="AI228" i="57" s="1"/>
  <c r="AP228" i="57"/>
  <c r="Q228" i="57"/>
  <c r="AP251" i="57"/>
  <c r="Q251" i="57"/>
  <c r="AH209" i="57" a="1"/>
  <c r="AH209" i="57" s="1"/>
  <c r="Q209" i="57"/>
  <c r="AS209" i="57"/>
  <c r="AP209" i="57"/>
  <c r="AI176" i="57" a="1"/>
  <c r="AI176" i="57" s="1"/>
  <c r="AI60" i="57" a="1"/>
  <c r="AI60" i="57" s="1"/>
  <c r="AI40" i="57" a="1"/>
  <c r="AI40" i="57" s="1"/>
  <c r="AH86" i="57" a="1"/>
  <c r="AH86" i="57" s="1"/>
  <c r="AI86" i="57" s="1" a="1"/>
  <c r="AI86" i="57" s="1"/>
  <c r="AI153" i="57" a="1"/>
  <c r="AI153" i="57" s="1"/>
  <c r="AH20" i="57" a="1"/>
  <c r="AH20" i="57" s="1"/>
  <c r="AI20" i="57" s="1" a="1"/>
  <c r="AI20" i="57" s="1"/>
  <c r="AI116" i="57" a="1"/>
  <c r="AI116" i="57" s="1"/>
  <c r="AI46" i="57" a="1"/>
  <c r="AI46" i="57" s="1"/>
  <c r="AI133" i="57" a="1"/>
  <c r="AI133" i="57" s="1"/>
  <c r="AI26" i="57" a="1"/>
  <c r="AI26" i="57" s="1"/>
  <c r="Q95" i="57"/>
  <c r="AP95" i="57"/>
  <c r="AS130" i="57"/>
  <c r="T130" i="57" s="1"/>
  <c r="Q130" i="57"/>
  <c r="AP130" i="57"/>
  <c r="AP108" i="57"/>
  <c r="Q108" i="57"/>
  <c r="Q93" i="57"/>
  <c r="AP93" i="57"/>
  <c r="AP170" i="57"/>
  <c r="Q170" i="57"/>
  <c r="AP171" i="57"/>
  <c r="Q171" i="57"/>
  <c r="AS60" i="57"/>
  <c r="AP60" i="57"/>
  <c r="Q60" i="57"/>
  <c r="AP91" i="57"/>
  <c r="Q91" i="57"/>
  <c r="AP40" i="57"/>
  <c r="AS40" i="57"/>
  <c r="Q40" i="57"/>
  <c r="AH95" i="57" a="1"/>
  <c r="AH95" i="57" s="1"/>
  <c r="Q13" i="57"/>
  <c r="AS13" i="57"/>
  <c r="T13" i="57" s="1"/>
  <c r="AP13" i="57"/>
  <c r="Q26" i="57"/>
  <c r="AP26" i="57"/>
  <c r="AP136" i="57"/>
  <c r="Q136" i="57"/>
  <c r="AS41" i="57"/>
  <c r="AP41" i="57"/>
  <c r="Q41" i="57"/>
  <c r="AP31" i="57"/>
  <c r="Q31" i="57"/>
  <c r="AH100" i="57" a="1"/>
  <c r="AH100" i="57" s="1"/>
  <c r="AI100" i="57" s="1" a="1"/>
  <c r="AI100" i="57" s="1"/>
  <c r="Q100" i="57"/>
  <c r="AP100" i="57"/>
  <c r="AS76" i="57"/>
  <c r="T76" i="57" s="1"/>
  <c r="AP76" i="57"/>
  <c r="Q76" i="57"/>
  <c r="AP18" i="57"/>
  <c r="Q18" i="57"/>
  <c r="Q6" i="57"/>
  <c r="AP6" i="57"/>
  <c r="AS6" i="57"/>
  <c r="T6" i="57" s="1"/>
  <c r="AI70" i="57" a="1"/>
  <c r="AI70" i="57" s="1"/>
  <c r="Q35" i="57"/>
  <c r="AP35" i="57"/>
  <c r="Q137" i="57"/>
  <c r="AP137" i="57"/>
  <c r="AP139" i="57"/>
  <c r="Q139" i="57"/>
  <c r="AP151" i="57"/>
  <c r="Q151" i="57"/>
  <c r="AP138" i="57"/>
  <c r="Q138" i="57"/>
  <c r="AS82" i="57"/>
  <c r="AP82" i="57"/>
  <c r="Q82" i="57"/>
  <c r="AS81" i="57"/>
  <c r="AP81" i="57"/>
  <c r="Q81" i="57"/>
  <c r="Q34" i="57"/>
  <c r="AP34" i="57"/>
  <c r="Q20" i="57"/>
  <c r="AP20" i="57"/>
  <c r="AP53" i="57"/>
  <c r="Q53" i="57"/>
  <c r="Q104" i="57"/>
  <c r="AP104" i="57"/>
  <c r="Q113" i="57"/>
  <c r="AP113" i="57"/>
  <c r="AS14" i="57"/>
  <c r="Q14" i="57"/>
  <c r="AP14" i="57"/>
  <c r="Q51" i="57"/>
  <c r="AP51" i="57"/>
  <c r="AS64" i="57"/>
  <c r="AP64" i="57"/>
  <c r="Q64" i="57"/>
  <c r="Q149" i="57"/>
  <c r="AP149" i="57"/>
  <c r="Q172" i="57"/>
  <c r="AP172" i="57"/>
  <c r="AH111" i="57" a="1"/>
  <c r="AH111" i="57" s="1"/>
  <c r="Q111" i="57"/>
  <c r="AP111" i="57"/>
  <c r="AS84" i="57"/>
  <c r="Q84" i="57"/>
  <c r="AP84" i="57"/>
  <c r="AH125" i="57" a="1"/>
  <c r="AH125" i="57" s="1"/>
  <c r="AS125" i="57"/>
  <c r="AP125" i="57"/>
  <c r="Q125" i="57"/>
  <c r="AP70" i="57"/>
  <c r="Q70" i="57"/>
  <c r="AP105" i="57"/>
  <c r="Q105" i="57"/>
  <c r="AP114" i="57"/>
  <c r="Q114" i="57"/>
  <c r="Q71" i="57"/>
  <c r="AP71" i="57"/>
  <c r="AS132" i="57"/>
  <c r="AP132" i="57"/>
  <c r="Q132" i="57"/>
  <c r="Q115" i="57"/>
  <c r="AP115" i="57"/>
  <c r="AP92" i="57"/>
  <c r="Q92" i="57"/>
  <c r="AP122" i="57"/>
  <c r="AS122" i="57"/>
  <c r="Q122" i="57"/>
  <c r="Q29" i="57"/>
  <c r="AP29" i="57"/>
  <c r="AS164" i="57"/>
  <c r="AP164" i="57"/>
  <c r="Q164" i="57"/>
  <c r="AS39" i="57"/>
  <c r="AP39" i="57"/>
  <c r="Q39" i="57"/>
  <c r="AH105" i="57" a="1"/>
  <c r="AH105" i="57" s="1"/>
  <c r="AP89" i="57"/>
  <c r="Q89" i="57"/>
  <c r="AS78" i="57"/>
  <c r="Q78" i="57"/>
  <c r="AP78" i="57"/>
  <c r="AH29" i="57" a="1"/>
  <c r="AH29" i="57" s="1"/>
  <c r="AP180" i="57"/>
  <c r="Q180" i="57"/>
  <c r="Q86" i="57"/>
  <c r="AP86" i="57"/>
  <c r="Q106" i="57"/>
  <c r="AP106" i="57"/>
  <c r="AS134" i="57"/>
  <c r="AP134" i="57"/>
  <c r="Q134" i="57"/>
  <c r="AP182" i="57"/>
  <c r="Q182" i="57"/>
  <c r="AP33" i="57"/>
  <c r="Q33" i="57"/>
  <c r="Q183" i="57"/>
  <c r="AP183" i="57"/>
  <c r="AP177" i="57"/>
  <c r="Q177" i="57"/>
  <c r="AP184" i="57"/>
  <c r="Q184" i="57"/>
  <c r="AS63" i="57"/>
  <c r="T63" i="57" s="1"/>
  <c r="AP63" i="57"/>
  <c r="Q63" i="57"/>
  <c r="Q107" i="57"/>
  <c r="AP107" i="57"/>
  <c r="Q155" i="57"/>
  <c r="AP155" i="57"/>
  <c r="Q48" i="57"/>
  <c r="AP48" i="57"/>
  <c r="AP79" i="57"/>
  <c r="AS79" i="57"/>
  <c r="Q79" i="57"/>
  <c r="Q61" i="57"/>
  <c r="AS61" i="57"/>
  <c r="AP61" i="57"/>
  <c r="AP174" i="57"/>
  <c r="Q174" i="57"/>
  <c r="AP112" i="57"/>
  <c r="Q112" i="57"/>
  <c r="AS45" i="57"/>
  <c r="Q45" i="57"/>
  <c r="AP45" i="57"/>
  <c r="AS42" i="57"/>
  <c r="AP42" i="57"/>
  <c r="Q42" i="57"/>
  <c r="Q141" i="57"/>
  <c r="AP141" i="57"/>
  <c r="AP101" i="57"/>
  <c r="Q101" i="57"/>
  <c r="Q37" i="57"/>
  <c r="AS37" i="57"/>
  <c r="AP37" i="57"/>
  <c r="AI30" i="57" a="1"/>
  <c r="AI30" i="57" s="1"/>
  <c r="Q179" i="57"/>
  <c r="AP179" i="57"/>
  <c r="AS129" i="57"/>
  <c r="AP129" i="57"/>
  <c r="Q129" i="57"/>
  <c r="AH154" i="57" a="1"/>
  <c r="AH154" i="57" s="1"/>
  <c r="AP154" i="57"/>
  <c r="Q154" i="57"/>
  <c r="AP173" i="57"/>
  <c r="Q173" i="57"/>
  <c r="AP144" i="57"/>
  <c r="Q144" i="57"/>
  <c r="Q47" i="57"/>
  <c r="AP47" i="57"/>
  <c r="AP32" i="57"/>
  <c r="Q32" i="57"/>
  <c r="AS43" i="57"/>
  <c r="T43" i="57" s="1"/>
  <c r="Q43" i="57"/>
  <c r="AP43" i="57"/>
  <c r="AS65" i="57"/>
  <c r="Q65" i="57"/>
  <c r="AP65" i="57"/>
  <c r="AP161" i="57"/>
  <c r="AS161" i="57"/>
  <c r="Q161" i="57"/>
  <c r="Q109" i="57"/>
  <c r="AP109" i="57"/>
  <c r="AP168" i="57"/>
  <c r="Q168" i="57"/>
  <c r="AP178" i="57"/>
  <c r="Q178" i="57"/>
  <c r="AS156" i="57"/>
  <c r="T156" i="57" s="1"/>
  <c r="Q156" i="57"/>
  <c r="AP156" i="57"/>
  <c r="Q145" i="57"/>
  <c r="AP145" i="57"/>
  <c r="AP140" i="57"/>
  <c r="Q140" i="57"/>
  <c r="AS44" i="57"/>
  <c r="AP44" i="57"/>
  <c r="Q44" i="57"/>
  <c r="AP23" i="57"/>
  <c r="Q23" i="57"/>
  <c r="AS15" i="57"/>
  <c r="AP15" i="57"/>
  <c r="Q15" i="57"/>
  <c r="AS57" i="57"/>
  <c r="Q57" i="57"/>
  <c r="AP57" i="57"/>
  <c r="AP148" i="57"/>
  <c r="Q148" i="57"/>
  <c r="AP75" i="57"/>
  <c r="Q75" i="57"/>
  <c r="Q110" i="57"/>
  <c r="AP110" i="57"/>
  <c r="Q21" i="57"/>
  <c r="AP21" i="57"/>
  <c r="AP28" i="57"/>
  <c r="Q28" i="57"/>
  <c r="AS62" i="57"/>
  <c r="AP62" i="57"/>
  <c r="Q62" i="57"/>
  <c r="AP30" i="57"/>
  <c r="Q30" i="57"/>
  <c r="AP175" i="57"/>
  <c r="Q175" i="57"/>
  <c r="AS126" i="57"/>
  <c r="T126" i="57" s="1"/>
  <c r="AP126" i="57"/>
  <c r="Q126" i="57"/>
  <c r="Q87" i="57"/>
  <c r="AP87" i="57"/>
  <c r="AP143" i="57"/>
  <c r="Q143" i="57"/>
  <c r="Q185" i="57"/>
  <c r="AP185" i="57"/>
  <c r="AI123" i="57" a="1"/>
  <c r="AI123" i="57" s="1"/>
  <c r="AS123" i="57"/>
  <c r="Q123" i="57"/>
  <c r="AP123" i="57"/>
  <c r="Q22" i="57"/>
  <c r="AP22" i="57"/>
  <c r="AH160" i="57" a="1"/>
  <c r="AH160" i="57" s="1"/>
  <c r="AI160" i="57" s="1" a="1"/>
  <c r="AI160" i="57" s="1"/>
  <c r="AS160" i="57"/>
  <c r="AP160" i="57"/>
  <c r="Q160" i="57"/>
  <c r="AS157" i="57"/>
  <c r="AP157" i="57"/>
  <c r="Q157" i="57"/>
  <c r="AS36" i="57"/>
  <c r="T36" i="57" s="1"/>
  <c r="Q36" i="57"/>
  <c r="AP36" i="57"/>
  <c r="AP166" i="57"/>
  <c r="Q166" i="57"/>
  <c r="AH87" i="57" a="1"/>
  <c r="AH87" i="57" s="1"/>
  <c r="Q80" i="57"/>
  <c r="AS80" i="57"/>
  <c r="T80" i="57" s="1"/>
  <c r="AP80" i="57"/>
  <c r="Q153" i="57"/>
  <c r="AP153" i="57"/>
  <c r="AS77" i="57"/>
  <c r="Q77" i="57"/>
  <c r="AP77" i="57"/>
  <c r="Q27" i="57"/>
  <c r="AP27" i="57"/>
  <c r="AP46" i="57"/>
  <c r="Q46" i="57"/>
  <c r="Q103" i="57"/>
  <c r="AP103" i="57"/>
  <c r="AS121" i="57"/>
  <c r="AP121" i="57"/>
  <c r="Q121" i="57"/>
  <c r="Q54" i="57"/>
  <c r="AP54" i="57"/>
  <c r="AS165" i="57"/>
  <c r="Q165" i="57"/>
  <c r="AP165" i="57"/>
  <c r="AS9" i="57"/>
  <c r="AP9" i="57"/>
  <c r="Q9" i="57"/>
  <c r="AP68" i="57"/>
  <c r="Q68" i="57"/>
  <c r="AS119" i="57"/>
  <c r="Q119" i="57"/>
  <c r="AP119" i="57"/>
  <c r="Q97" i="57"/>
  <c r="AP97" i="57"/>
  <c r="AP69" i="57"/>
  <c r="Q69" i="57"/>
  <c r="AP142" i="57"/>
  <c r="Q142" i="57"/>
  <c r="Q66" i="57"/>
  <c r="AP66" i="57"/>
  <c r="AS85" i="57"/>
  <c r="Q85" i="57"/>
  <c r="AP85" i="57"/>
  <c r="AS10" i="57"/>
  <c r="T10" i="57" s="1"/>
  <c r="AP10" i="57"/>
  <c r="Q10" i="57"/>
  <c r="AS56" i="57"/>
  <c r="T56" i="57" s="1"/>
  <c r="AP56" i="57"/>
  <c r="Q56" i="57"/>
  <c r="Q72" i="57"/>
  <c r="AP72" i="57"/>
  <c r="Q176" i="57"/>
  <c r="AP176" i="57"/>
  <c r="AS8" i="57"/>
  <c r="AP8" i="57"/>
  <c r="Q8" i="57"/>
  <c r="AP169" i="57"/>
  <c r="Q169" i="57"/>
  <c r="AP99" i="57"/>
  <c r="Q99" i="57"/>
  <c r="Q128" i="57"/>
  <c r="AS128" i="57"/>
  <c r="AP128" i="57"/>
  <c r="AH73" i="57" a="1"/>
  <c r="AH73" i="57" s="1"/>
  <c r="AI73" i="57" s="1" a="1"/>
  <c r="AI73" i="57" s="1"/>
  <c r="Q73" i="57"/>
  <c r="AP73" i="57"/>
  <c r="AS38" i="57"/>
  <c r="AP38" i="57"/>
  <c r="Q38" i="57"/>
  <c r="Q147" i="57"/>
  <c r="AP147" i="57"/>
  <c r="AS11" i="57"/>
  <c r="AP11" i="57"/>
  <c r="Q11" i="57"/>
  <c r="AH102" i="57" a="1"/>
  <c r="AH102" i="57" s="1"/>
  <c r="Q102" i="57"/>
  <c r="AP102" i="57"/>
  <c r="AP150" i="57"/>
  <c r="Q150" i="57"/>
  <c r="Q16" i="57"/>
  <c r="AP16" i="57"/>
  <c r="Q127" i="57"/>
  <c r="AS127" i="57"/>
  <c r="AP127" i="57"/>
  <c r="Q94" i="57"/>
  <c r="AP94" i="57"/>
  <c r="AP152" i="57"/>
  <c r="Q152" i="57"/>
  <c r="AP19" i="57"/>
  <c r="Q19" i="57"/>
  <c r="AP96" i="57"/>
  <c r="Q96" i="57"/>
  <c r="AS124" i="57"/>
  <c r="Q124" i="57"/>
  <c r="AP124" i="57"/>
  <c r="AS159" i="57"/>
  <c r="Q159" i="57"/>
  <c r="AP159" i="57"/>
  <c r="AS162" i="57"/>
  <c r="Q162" i="57"/>
  <c r="AP162" i="57"/>
  <c r="Q50" i="57"/>
  <c r="AP50" i="57"/>
  <c r="AP55" i="57"/>
  <c r="Q55" i="57"/>
  <c r="Q52" i="57"/>
  <c r="AP52" i="57"/>
  <c r="Q17" i="57"/>
  <c r="AP17" i="57"/>
  <c r="Q181" i="57"/>
  <c r="AP181" i="57"/>
  <c r="AS131" i="57"/>
  <c r="AP131" i="57"/>
  <c r="Q131" i="57"/>
  <c r="AP88" i="57"/>
  <c r="Q88" i="57"/>
  <c r="AS133" i="57"/>
  <c r="Q133" i="57"/>
  <c r="AP133" i="57"/>
  <c r="AH97" i="57" a="1"/>
  <c r="AH97" i="57" s="1"/>
  <c r="AH74" i="57" a="1"/>
  <c r="AH74" i="57" s="1"/>
  <c r="Q74" i="57"/>
  <c r="AP74" i="57"/>
  <c r="AS59" i="57"/>
  <c r="AP59" i="57"/>
  <c r="Q59" i="57"/>
  <c r="AP146" i="57"/>
  <c r="Q146" i="57"/>
  <c r="Q67" i="57"/>
  <c r="AP67" i="57"/>
  <c r="AH124" i="57" a="1"/>
  <c r="AH124" i="57" s="1"/>
  <c r="AP118" i="57"/>
  <c r="AS118" i="57"/>
  <c r="Q118" i="57"/>
  <c r="AS163" i="57"/>
  <c r="T163" i="57" s="1"/>
  <c r="Q163" i="57"/>
  <c r="AP163" i="57"/>
  <c r="AP25" i="57"/>
  <c r="Q25" i="57"/>
  <c r="Q24" i="57"/>
  <c r="AP24" i="57"/>
  <c r="AP90" i="57"/>
  <c r="Q90" i="57"/>
  <c r="AH103" i="57" a="1"/>
  <c r="AH103" i="57" s="1"/>
  <c r="AI103" i="57" s="1" a="1"/>
  <c r="AI103" i="57" s="1"/>
  <c r="AH49" i="57" a="1"/>
  <c r="AH49" i="57" s="1"/>
  <c r="AP49" i="57"/>
  <c r="Q49" i="57"/>
  <c r="Q167" i="57"/>
  <c r="AP167" i="57"/>
  <c r="AS117" i="57"/>
  <c r="Q117" i="57"/>
  <c r="AP117" i="57"/>
  <c r="AS83" i="57"/>
  <c r="T83" i="57" s="1"/>
  <c r="Q83" i="57"/>
  <c r="AP83" i="57"/>
  <c r="AS12" i="57"/>
  <c r="AP12" i="57"/>
  <c r="Q12" i="57"/>
  <c r="AS120" i="57"/>
  <c r="T120" i="57" s="1"/>
  <c r="AP120" i="57"/>
  <c r="Q120" i="57"/>
  <c r="AS7" i="57"/>
  <c r="AP7" i="57"/>
  <c r="Q7" i="57"/>
  <c r="AP98" i="57"/>
  <c r="Q98" i="57"/>
  <c r="AS116" i="57"/>
  <c r="Q116" i="57"/>
  <c r="AP116" i="57"/>
  <c r="AS135" i="57"/>
  <c r="AP135" i="57"/>
  <c r="Q135" i="57"/>
  <c r="Q58" i="57"/>
  <c r="AS58" i="57"/>
  <c r="AP58" i="57"/>
  <c r="AS158" i="57"/>
  <c r="AP158" i="57"/>
  <c r="Q158" i="57"/>
  <c r="AH53" i="57" a="1"/>
  <c r="AH53" i="57" s="1"/>
  <c r="AI53" i="57" s="1" a="1"/>
  <c r="AI53" i="57" s="1"/>
  <c r="AH104" i="57" a="1"/>
  <c r="AH104" i="57" s="1"/>
  <c r="AH115" i="57" a="1"/>
  <c r="AH115" i="57" s="1"/>
  <c r="AH92" i="57" a="1"/>
  <c r="AH92" i="57" s="1"/>
  <c r="A15" i="32"/>
  <c r="AP36" i="32"/>
  <c r="AP59" i="32" s="1"/>
  <c r="A9" i="32"/>
  <c r="AL36" i="32"/>
  <c r="AL59" i="32" s="1"/>
  <c r="A3" i="32"/>
  <c r="AH36" i="32"/>
  <c r="AH59" i="32" s="1"/>
  <c r="I4" i="5"/>
  <c r="Y4" i="5" s="1"/>
  <c r="W4" i="5"/>
  <c r="T4" i="5"/>
  <c r="I5" i="5"/>
  <c r="Y5" i="5" s="1"/>
  <c r="W5" i="5"/>
  <c r="T5" i="5"/>
  <c r="I3" i="5"/>
  <c r="Y3" i="5" s="1"/>
  <c r="W3" i="5"/>
  <c r="T3" i="5"/>
  <c r="AH38" i="32"/>
  <c r="AP38" i="32"/>
  <c r="AP43" i="32" s="1"/>
  <c r="T15" i="32"/>
  <c r="T9" i="32"/>
  <c r="AL38" i="32"/>
  <c r="AL43" i="32" s="1"/>
  <c r="AL88" i="9"/>
  <c r="AL86" i="9"/>
  <c r="A57" i="9"/>
  <c r="X56" i="9"/>
  <c r="AH86" i="9"/>
  <c r="AP86" i="9"/>
  <c r="AP88" i="9"/>
  <c r="AP93" i="9" s="1"/>
  <c r="A63" i="9"/>
  <c r="T63" i="9"/>
  <c r="AH37" i="9"/>
  <c r="AL37" i="9"/>
  <c r="AP37" i="9"/>
  <c r="A15" i="9"/>
  <c r="P61" i="9" l="1"/>
  <c r="P62" i="9"/>
  <c r="X62" i="9" s="1"/>
  <c r="P58" i="9"/>
  <c r="P60" i="9"/>
  <c r="P59" i="9"/>
  <c r="P57" i="9"/>
  <c r="P20" i="32"/>
  <c r="P19" i="32"/>
  <c r="P16" i="32"/>
  <c r="P17" i="32"/>
  <c r="P18" i="32"/>
  <c r="P15" i="32"/>
  <c r="P13" i="32"/>
  <c r="P14" i="32"/>
  <c r="X14" i="32" s="1"/>
  <c r="P12" i="32"/>
  <c r="P11" i="32"/>
  <c r="P10" i="32"/>
  <c r="P9" i="32"/>
  <c r="P67" i="9"/>
  <c r="P68" i="9"/>
  <c r="P64" i="9"/>
  <c r="P65" i="9"/>
  <c r="P66" i="9"/>
  <c r="P63" i="9"/>
  <c r="P7" i="32"/>
  <c r="P8" i="32"/>
  <c r="X8" i="32" s="1"/>
  <c r="P4" i="32"/>
  <c r="P5" i="32"/>
  <c r="P6" i="32"/>
  <c r="P3" i="32"/>
  <c r="P15" i="9"/>
  <c r="P16" i="9"/>
  <c r="P17" i="9"/>
  <c r="P18" i="9"/>
  <c r="P19" i="9"/>
  <c r="P20" i="9"/>
  <c r="AH15" i="32" a="1"/>
  <c r="AH15" i="32" s="1"/>
  <c r="AH45" i="32" s="1"/>
  <c r="T160" i="57"/>
  <c r="W160" i="57" s="1"/>
  <c r="AG257" i="57"/>
  <c r="AJ257" i="57" a="1"/>
  <c r="AJ257" i="57" s="1"/>
  <c r="AG247" i="57"/>
  <c r="AJ247" i="57" a="1"/>
  <c r="AJ247" i="57" s="1"/>
  <c r="AG239" i="57"/>
  <c r="AJ239" i="57" a="1"/>
  <c r="AJ239" i="57" s="1"/>
  <c r="AZ239" i="57" s="1"/>
  <c r="AG215" i="57"/>
  <c r="AJ215" i="57" a="1"/>
  <c r="AJ215" i="57" s="1"/>
  <c r="AZ215" i="57" s="1"/>
  <c r="AG227" i="57"/>
  <c r="AJ227" i="57" a="1"/>
  <c r="AJ227" i="57" s="1"/>
  <c r="AZ227" i="57" s="1"/>
  <c r="AG233" i="57"/>
  <c r="AJ233" i="57" a="1"/>
  <c r="AJ233" i="57" s="1"/>
  <c r="AZ233" i="57" s="1"/>
  <c r="AG241" i="57"/>
  <c r="AJ241" i="57" a="1"/>
  <c r="AJ241" i="57" s="1"/>
  <c r="AZ241" i="57" s="1"/>
  <c r="AG253" i="57"/>
  <c r="AJ253" i="57" a="1"/>
  <c r="AJ253" i="57" s="1"/>
  <c r="AZ253" i="57" s="1"/>
  <c r="AG208" i="57"/>
  <c r="T208" i="57" s="1"/>
  <c r="R208" i="57" s="1"/>
  <c r="AZ208" i="57"/>
  <c r="AG235" i="57"/>
  <c r="AJ235" i="57" a="1"/>
  <c r="AJ235" i="57" s="1"/>
  <c r="AZ235" i="57" s="1"/>
  <c r="AG188" i="57"/>
  <c r="T188" i="57" s="1"/>
  <c r="R188" i="57" s="1"/>
  <c r="AZ188" i="57"/>
  <c r="AG190" i="57"/>
  <c r="AZ190" i="57"/>
  <c r="AG242" i="57"/>
  <c r="AZ242" i="57"/>
  <c r="AG221" i="57"/>
  <c r="AJ221" i="57" a="1"/>
  <c r="AJ221" i="57" s="1"/>
  <c r="AZ221" i="57" s="1"/>
  <c r="AG210" i="57"/>
  <c r="AZ210" i="57"/>
  <c r="AG246" i="57"/>
  <c r="T246" i="57" s="1"/>
  <c r="R246" i="57" s="1"/>
  <c r="S246" i="57" s="1"/>
  <c r="AZ246" i="57"/>
  <c r="AG250" i="57"/>
  <c r="AZ250" i="57"/>
  <c r="AG224" i="57"/>
  <c r="AZ224" i="57"/>
  <c r="AG225" i="57"/>
  <c r="AJ225" i="57" a="1"/>
  <c r="AJ225" i="57" s="1"/>
  <c r="AG214" i="57"/>
  <c r="T214" i="57" s="1"/>
  <c r="R214" i="57" s="1"/>
  <c r="AZ214" i="57"/>
  <c r="AG209" i="57"/>
  <c r="AJ209" i="57" a="1"/>
  <c r="AJ209" i="57" s="1"/>
  <c r="AZ209" i="57" s="1"/>
  <c r="AG219" i="57"/>
  <c r="AJ219" i="57" a="1"/>
  <c r="AJ219" i="57" s="1"/>
  <c r="AZ219" i="57" s="1"/>
  <c r="AG232" i="57"/>
  <c r="T232" i="57" s="1"/>
  <c r="AZ232" i="57"/>
  <c r="AG236" i="57"/>
  <c r="T236" i="57" s="1"/>
  <c r="R236" i="57" s="1"/>
  <c r="AZ236" i="57"/>
  <c r="AG203" i="57"/>
  <c r="AJ203" i="57" a="1"/>
  <c r="AJ203" i="57" s="1"/>
  <c r="AZ203" i="57" s="1"/>
  <c r="AG192" i="57"/>
  <c r="AZ192" i="57"/>
  <c r="AG254" i="57"/>
  <c r="AZ254" i="57"/>
  <c r="AG212" i="57"/>
  <c r="AZ212" i="57"/>
  <c r="AG195" i="57"/>
  <c r="AJ195" i="57" a="1"/>
  <c r="AJ195" i="57" s="1"/>
  <c r="AZ195" i="57" s="1"/>
  <c r="AG231" i="57"/>
  <c r="AJ231" i="57" a="1"/>
  <c r="AJ231" i="57" s="1"/>
  <c r="AZ231" i="57" s="1"/>
  <c r="T60" i="57"/>
  <c r="W60" i="57" s="1"/>
  <c r="AG220" i="57"/>
  <c r="AZ220" i="57"/>
  <c r="AG189" i="57"/>
  <c r="AJ189" i="57" a="1"/>
  <c r="AJ189" i="57" s="1"/>
  <c r="AZ189" i="57" s="1"/>
  <c r="AG199" i="57"/>
  <c r="AJ199" i="57" a="1"/>
  <c r="AJ199" i="57" s="1"/>
  <c r="AG201" i="57"/>
  <c r="AJ201" i="57" a="1"/>
  <c r="AJ201" i="57" s="1"/>
  <c r="AZ201" i="57" s="1"/>
  <c r="AG217" i="57"/>
  <c r="AJ217" i="57" a="1"/>
  <c r="AJ217" i="57" s="1"/>
  <c r="AG213" i="57"/>
  <c r="AJ213" i="57" a="1"/>
  <c r="AJ213" i="57" s="1"/>
  <c r="AZ213" i="57" s="1"/>
  <c r="AG251" i="57"/>
  <c r="AJ251" i="57" a="1"/>
  <c r="AJ251" i="57" s="1"/>
  <c r="AG240" i="57"/>
  <c r="AZ240" i="57"/>
  <c r="AG238" i="57"/>
  <c r="AZ238" i="57"/>
  <c r="AG186" i="57"/>
  <c r="T186" i="57" s="1"/>
  <c r="S546" i="56"/>
  <c r="AZ186" i="57"/>
  <c r="AG200" i="57"/>
  <c r="T200" i="57" s="1"/>
  <c r="AZ200" i="57"/>
  <c r="AG223" i="57"/>
  <c r="AJ223" i="57" a="1"/>
  <c r="AJ223" i="57" s="1"/>
  <c r="AZ223" i="57" s="1"/>
  <c r="AG226" i="57"/>
  <c r="AZ226" i="57"/>
  <c r="AG187" i="57"/>
  <c r="AJ187" i="57" a="1"/>
  <c r="AJ187" i="57" s="1"/>
  <c r="AZ187" i="57" s="1"/>
  <c r="AG202" i="57"/>
  <c r="AZ202" i="57"/>
  <c r="AG211" i="57"/>
  <c r="AJ211" i="57" a="1"/>
  <c r="AJ211" i="57" s="1"/>
  <c r="AZ211" i="57" s="1"/>
  <c r="AG228" i="57"/>
  <c r="AZ228" i="57"/>
  <c r="AG207" i="57"/>
  <c r="AJ207" i="57" a="1"/>
  <c r="AJ207" i="57" s="1"/>
  <c r="AZ207" i="57" s="1"/>
  <c r="AG256" i="57"/>
  <c r="AZ256" i="57"/>
  <c r="AG196" i="57"/>
  <c r="AZ196" i="57"/>
  <c r="AG252" i="57"/>
  <c r="AZ252" i="57"/>
  <c r="AG218" i="57"/>
  <c r="AZ218" i="57"/>
  <c r="AG243" i="57"/>
  <c r="AJ243" i="57" a="1"/>
  <c r="AJ243" i="57" s="1"/>
  <c r="AG229" i="57"/>
  <c r="AJ229" i="57" a="1"/>
  <c r="AJ229" i="57" s="1"/>
  <c r="AG204" i="57"/>
  <c r="AZ204" i="57"/>
  <c r="AG206" i="57"/>
  <c r="T206" i="57" s="1"/>
  <c r="R206" i="57" s="1"/>
  <c r="S206" i="57" s="1"/>
  <c r="AZ206" i="57"/>
  <c r="AG248" i="57"/>
  <c r="T248" i="57" s="1"/>
  <c r="AZ248" i="57"/>
  <c r="AG194" i="57"/>
  <c r="AZ194" i="57"/>
  <c r="AG237" i="57"/>
  <c r="AJ237" i="57" a="1"/>
  <c r="AJ237" i="57" s="1"/>
  <c r="AZ237" i="57" s="1"/>
  <c r="AG245" i="57"/>
  <c r="AJ245" i="57" a="1"/>
  <c r="AJ245" i="57" s="1"/>
  <c r="AZ245" i="57" s="1"/>
  <c r="AG198" i="57"/>
  <c r="T198" i="57" s="1"/>
  <c r="R198" i="57" s="1"/>
  <c r="AZ198" i="57"/>
  <c r="AG230" i="57"/>
  <c r="T230" i="57" s="1"/>
  <c r="R230" i="57" s="1"/>
  <c r="AZ230" i="57"/>
  <c r="AG193" i="57"/>
  <c r="AJ193" i="57" a="1"/>
  <c r="AJ193" i="57" s="1"/>
  <c r="AZ193" i="57" s="1"/>
  <c r="AG234" i="57"/>
  <c r="T234" i="57" s="1"/>
  <c r="R234" i="57" s="1"/>
  <c r="S234" i="57" s="1"/>
  <c r="AZ234" i="57"/>
  <c r="AG197" i="57"/>
  <c r="AJ197" i="57" a="1"/>
  <c r="AJ197" i="57" s="1"/>
  <c r="AZ197" i="57" s="1"/>
  <c r="AG244" i="57"/>
  <c r="AZ244" i="57"/>
  <c r="AG222" i="57"/>
  <c r="AZ222" i="57"/>
  <c r="AG205" i="57"/>
  <c r="AJ205" i="57" a="1"/>
  <c r="AJ205" i="57" s="1"/>
  <c r="AZ205" i="57" s="1"/>
  <c r="AG249" i="57"/>
  <c r="AJ249" i="57" a="1"/>
  <c r="AJ249" i="57" s="1"/>
  <c r="AZ249" i="57" s="1"/>
  <c r="AG255" i="57"/>
  <c r="AJ255" i="57" a="1"/>
  <c r="AJ255" i="57" s="1"/>
  <c r="AZ255" i="57" s="1"/>
  <c r="AG191" i="57"/>
  <c r="AJ191" i="57" a="1"/>
  <c r="AJ191" i="57" s="1"/>
  <c r="AG216" i="57"/>
  <c r="T216" i="57" s="1"/>
  <c r="AZ216" i="57"/>
  <c r="T123" i="57"/>
  <c r="U123" i="57" s="1"/>
  <c r="T116" i="57"/>
  <c r="U116" i="57" s="1"/>
  <c r="T40" i="57"/>
  <c r="W40" i="57" s="1"/>
  <c r="T133" i="57"/>
  <c r="W133" i="57" s="1"/>
  <c r="U63" i="57"/>
  <c r="W63" i="57"/>
  <c r="R10" i="57"/>
  <c r="U10" i="57"/>
  <c r="W10" i="57"/>
  <c r="U163" i="57"/>
  <c r="W163" i="57"/>
  <c r="W126" i="57"/>
  <c r="U126" i="57"/>
  <c r="U80" i="57"/>
  <c r="W80" i="57"/>
  <c r="W83" i="57"/>
  <c r="U83" i="57"/>
  <c r="R36" i="57"/>
  <c r="W36" i="57"/>
  <c r="U36" i="57"/>
  <c r="AZ40" i="57"/>
  <c r="S109" i="56"/>
  <c r="Z109" i="56" s="1"/>
  <c r="AA109" i="56" s="1"/>
  <c r="S108" i="56"/>
  <c r="Z108" i="56" s="1"/>
  <c r="AA108" i="56" s="1"/>
  <c r="S110" i="56"/>
  <c r="Z110" i="56" s="1"/>
  <c r="AA110" i="56" s="1"/>
  <c r="AZ93" i="57"/>
  <c r="S269" i="56"/>
  <c r="Z269" i="56" s="1"/>
  <c r="AA269" i="56" s="1"/>
  <c r="S267" i="56"/>
  <c r="Z267" i="56" s="1"/>
  <c r="AA267" i="56" s="1"/>
  <c r="S268" i="56"/>
  <c r="Z268" i="56" s="1"/>
  <c r="AA268" i="56" s="1"/>
  <c r="AJ22" i="57" a="1"/>
  <c r="AJ22" i="57" s="1"/>
  <c r="S55" i="56"/>
  <c r="Z55" i="56" s="1"/>
  <c r="AA55" i="56" s="1"/>
  <c r="S56" i="56"/>
  <c r="Z56" i="56" s="1"/>
  <c r="AA56" i="56" s="1"/>
  <c r="S54" i="56"/>
  <c r="Z54" i="56" s="1"/>
  <c r="AA54" i="56" s="1"/>
  <c r="S53" i="56"/>
  <c r="Z53" i="56" s="1"/>
  <c r="AA53" i="56" s="1"/>
  <c r="S51" i="56"/>
  <c r="Z51" i="56" s="1"/>
  <c r="AA51" i="56" s="1"/>
  <c r="S52" i="56"/>
  <c r="Z52" i="56" s="1"/>
  <c r="AA52" i="56" s="1"/>
  <c r="AJ21" i="57" a="1"/>
  <c r="AJ21" i="57" s="1"/>
  <c r="AZ23" i="57"/>
  <c r="S59" i="56"/>
  <c r="Z59" i="56" s="1"/>
  <c r="AA59" i="56" s="1"/>
  <c r="S57" i="56"/>
  <c r="Z57" i="56" s="1"/>
  <c r="AA57" i="56" s="1"/>
  <c r="S58" i="56"/>
  <c r="Z58" i="56" s="1"/>
  <c r="AA58" i="56" s="1"/>
  <c r="AJ32" i="57" a="1"/>
  <c r="AJ32" i="57" s="1"/>
  <c r="S84" i="56"/>
  <c r="Z84" i="56" s="1"/>
  <c r="AA84" i="56" s="1"/>
  <c r="S85" i="56"/>
  <c r="Z85" i="56" s="1"/>
  <c r="AA85" i="56" s="1"/>
  <c r="S86" i="56"/>
  <c r="Z86" i="56" s="1"/>
  <c r="AA86" i="56" s="1"/>
  <c r="AJ89" i="57" a="1"/>
  <c r="AJ89" i="57" s="1"/>
  <c r="S256" i="56"/>
  <c r="Z256" i="56" s="1"/>
  <c r="AA256" i="56" s="1"/>
  <c r="S257" i="56"/>
  <c r="Z257" i="56" s="1"/>
  <c r="AA257" i="56" s="1"/>
  <c r="S255" i="56"/>
  <c r="Z255" i="56" s="1"/>
  <c r="AA255" i="56" s="1"/>
  <c r="AJ92" i="57" a="1"/>
  <c r="AJ92" i="57" s="1"/>
  <c r="AZ92" i="57" s="1"/>
  <c r="S266" i="56"/>
  <c r="Z266" i="56" s="1"/>
  <c r="AA266" i="56" s="1"/>
  <c r="S265" i="56"/>
  <c r="Z265" i="56" s="1"/>
  <c r="AA265" i="56" s="1"/>
  <c r="S264" i="56"/>
  <c r="Z264" i="56" s="1"/>
  <c r="AA264" i="56" s="1"/>
  <c r="AJ105" i="57" a="1"/>
  <c r="AJ105" i="57" s="1"/>
  <c r="S304" i="56"/>
  <c r="Z304" i="56" s="1"/>
  <c r="AA304" i="56" s="1"/>
  <c r="S305" i="56"/>
  <c r="Z305" i="56" s="1"/>
  <c r="AA305" i="56" s="1"/>
  <c r="S303" i="56"/>
  <c r="Z303" i="56" s="1"/>
  <c r="AA303" i="56" s="1"/>
  <c r="AJ35" i="57" a="1"/>
  <c r="AJ35" i="57" s="1"/>
  <c r="S93" i="56"/>
  <c r="Z93" i="56" s="1"/>
  <c r="AA93" i="56" s="1"/>
  <c r="S95" i="56"/>
  <c r="Z95" i="56" s="1"/>
  <c r="AA95" i="56" s="1"/>
  <c r="S94" i="56"/>
  <c r="Z94" i="56" s="1"/>
  <c r="AA94" i="56" s="1"/>
  <c r="AJ31" i="57" a="1"/>
  <c r="AJ31" i="57" s="1"/>
  <c r="S81" i="56"/>
  <c r="Z81" i="56" s="1"/>
  <c r="AA81" i="56" s="1"/>
  <c r="S83" i="56"/>
  <c r="Z83" i="56" s="1"/>
  <c r="AA83" i="56" s="1"/>
  <c r="S82" i="56"/>
  <c r="Z82" i="56" s="1"/>
  <c r="AA82" i="56" s="1"/>
  <c r="AZ16" i="57"/>
  <c r="S37" i="56"/>
  <c r="Z37" i="56" s="1"/>
  <c r="AA37" i="56" s="1"/>
  <c r="S36" i="56"/>
  <c r="Z36" i="56" s="1"/>
  <c r="AA36" i="56" s="1"/>
  <c r="S38" i="56"/>
  <c r="Z38" i="56" s="1"/>
  <c r="AA38" i="56" s="1"/>
  <c r="AZ66" i="57"/>
  <c r="S188" i="56"/>
  <c r="Z188" i="56" s="1"/>
  <c r="AA188" i="56" s="1"/>
  <c r="S187" i="56"/>
  <c r="Z187" i="56" s="1"/>
  <c r="AA187" i="56" s="1"/>
  <c r="S186" i="56"/>
  <c r="Z186" i="56" s="1"/>
  <c r="AA186" i="56" s="1"/>
  <c r="AJ129" i="57" a="1"/>
  <c r="AJ129" i="57" s="1"/>
  <c r="S377" i="56"/>
  <c r="Z377" i="56" s="1"/>
  <c r="AA377" i="56" s="1"/>
  <c r="S376" i="56"/>
  <c r="Z376" i="56" s="1"/>
  <c r="AA376" i="56" s="1"/>
  <c r="S375" i="56"/>
  <c r="Z375" i="56" s="1"/>
  <c r="AA375" i="56" s="1"/>
  <c r="AJ42" i="57" a="1"/>
  <c r="AJ42" i="57" s="1"/>
  <c r="S115" i="56"/>
  <c r="Z115" i="56" s="1"/>
  <c r="AA115" i="56" s="1"/>
  <c r="S116" i="56"/>
  <c r="Z116" i="56" s="1"/>
  <c r="AA116" i="56" s="1"/>
  <c r="S114" i="56"/>
  <c r="Z114" i="56" s="1"/>
  <c r="AA114" i="56" s="1"/>
  <c r="AJ184" i="57" a="1"/>
  <c r="AJ184" i="57" s="1"/>
  <c r="S542" i="56"/>
  <c r="Z542" i="56" s="1"/>
  <c r="AA542" i="56" s="1"/>
  <c r="S541" i="56"/>
  <c r="Z541" i="56" s="1"/>
  <c r="AA541" i="56" s="1"/>
  <c r="S540" i="56"/>
  <c r="Z540" i="56" s="1"/>
  <c r="AA540" i="56" s="1"/>
  <c r="AJ134" i="57" a="1"/>
  <c r="AJ134" i="57" s="1"/>
  <c r="S390" i="56"/>
  <c r="Z390" i="56" s="1"/>
  <c r="AA390" i="56" s="1"/>
  <c r="S392" i="56"/>
  <c r="Z392" i="56" s="1"/>
  <c r="AA392" i="56" s="1"/>
  <c r="S391" i="56"/>
  <c r="Z391" i="56" s="1"/>
  <c r="AA391" i="56" s="1"/>
  <c r="AZ113" i="57"/>
  <c r="S329" i="56"/>
  <c r="Z329" i="56" s="1"/>
  <c r="AA329" i="56" s="1"/>
  <c r="S327" i="56"/>
  <c r="Z327" i="56" s="1"/>
  <c r="AA327" i="56" s="1"/>
  <c r="S328" i="56"/>
  <c r="Z328" i="56" s="1"/>
  <c r="AA328" i="56" s="1"/>
  <c r="S236" i="56"/>
  <c r="Z236" i="56" s="1"/>
  <c r="AA236" i="56" s="1"/>
  <c r="S235" i="56"/>
  <c r="Z235" i="56" s="1"/>
  <c r="AA235" i="56" s="1"/>
  <c r="S234" i="56"/>
  <c r="Z234" i="56" s="1"/>
  <c r="AA234" i="56" s="1"/>
  <c r="AJ82" i="57" a="1"/>
  <c r="AJ82" i="57" s="1"/>
  <c r="AJ127" i="57" a="1"/>
  <c r="AJ127" i="57" s="1"/>
  <c r="S371" i="56"/>
  <c r="Z371" i="56" s="1"/>
  <c r="AA371" i="56" s="1"/>
  <c r="S369" i="56"/>
  <c r="Z369" i="56" s="1"/>
  <c r="AA369" i="56" s="1"/>
  <c r="S370" i="56"/>
  <c r="Z370" i="56" s="1"/>
  <c r="AA370" i="56" s="1"/>
  <c r="AJ147" i="57" a="1"/>
  <c r="AJ147" i="57" s="1"/>
  <c r="S430" i="56"/>
  <c r="Z430" i="56" s="1"/>
  <c r="AA430" i="56" s="1"/>
  <c r="S429" i="56"/>
  <c r="Z429" i="56" s="1"/>
  <c r="AA429" i="56" s="1"/>
  <c r="S431" i="56"/>
  <c r="Z431" i="56" s="1"/>
  <c r="AA431" i="56" s="1"/>
  <c r="S243" i="56"/>
  <c r="Z243" i="56" s="1"/>
  <c r="AA243" i="56" s="1"/>
  <c r="S244" i="56"/>
  <c r="Z244" i="56" s="1"/>
  <c r="AA244" i="56" s="1"/>
  <c r="S245" i="56"/>
  <c r="Z245" i="56" s="1"/>
  <c r="AA245" i="56" s="1"/>
  <c r="AJ85" i="57" a="1"/>
  <c r="AJ85" i="57" s="1"/>
  <c r="AZ103" i="57"/>
  <c r="S299" i="56"/>
  <c r="Z299" i="56" s="1"/>
  <c r="AA299" i="56" s="1"/>
  <c r="S298" i="56"/>
  <c r="Z298" i="56" s="1"/>
  <c r="AA298" i="56" s="1"/>
  <c r="S297" i="56"/>
  <c r="Z297" i="56" s="1"/>
  <c r="AA297" i="56" s="1"/>
  <c r="AZ43" i="57"/>
  <c r="S117" i="56"/>
  <c r="Z117" i="56" s="1"/>
  <c r="AA117" i="56" s="1"/>
  <c r="S119" i="56"/>
  <c r="Z119" i="56" s="1"/>
  <c r="AA119" i="56" s="1"/>
  <c r="S118" i="56"/>
  <c r="Z118" i="56" s="1"/>
  <c r="AA118" i="56" s="1"/>
  <c r="R43" i="57"/>
  <c r="AM43" i="57" s="1"/>
  <c r="AZ63" i="57"/>
  <c r="S179" i="56"/>
  <c r="Z179" i="56" s="1"/>
  <c r="AA179" i="56" s="1"/>
  <c r="S178" i="56"/>
  <c r="Z178" i="56" s="1"/>
  <c r="AA178" i="56" s="1"/>
  <c r="R63" i="57"/>
  <c r="S177" i="56"/>
  <c r="Z177" i="56" s="1"/>
  <c r="AA177" i="56" s="1"/>
  <c r="AJ182" i="57" a="1"/>
  <c r="AJ182" i="57" s="1"/>
  <c r="S536" i="56"/>
  <c r="Z536" i="56" s="1"/>
  <c r="AA536" i="56" s="1"/>
  <c r="S535" i="56"/>
  <c r="Z535" i="56" s="1"/>
  <c r="AA535" i="56" s="1"/>
  <c r="S534" i="56"/>
  <c r="Z534" i="56" s="1"/>
  <c r="AA534" i="56" s="1"/>
  <c r="AJ78" i="57" a="1"/>
  <c r="AJ78" i="57" s="1"/>
  <c r="S223" i="56"/>
  <c r="Z223" i="56" s="1"/>
  <c r="AA223" i="56" s="1"/>
  <c r="S224" i="56"/>
  <c r="Z224" i="56" s="1"/>
  <c r="AA224" i="56" s="1"/>
  <c r="S222" i="56"/>
  <c r="Z222" i="56" s="1"/>
  <c r="AA222" i="56" s="1"/>
  <c r="AJ81" i="57" a="1"/>
  <c r="AJ81" i="57" s="1"/>
  <c r="S232" i="56"/>
  <c r="Z232" i="56" s="1"/>
  <c r="AA232" i="56" s="1"/>
  <c r="S233" i="56"/>
  <c r="Z233" i="56" s="1"/>
  <c r="AA233" i="56" s="1"/>
  <c r="S231" i="56"/>
  <c r="Z231" i="56" s="1"/>
  <c r="AA231" i="56" s="1"/>
  <c r="AZ83" i="57"/>
  <c r="R83" i="57"/>
  <c r="S237" i="56"/>
  <c r="Z237" i="56" s="1"/>
  <c r="AA237" i="56" s="1"/>
  <c r="S238" i="56"/>
  <c r="Z238" i="56" s="1"/>
  <c r="AA238" i="56" s="1"/>
  <c r="S239" i="56"/>
  <c r="Z239" i="56" s="1"/>
  <c r="AA239" i="56" s="1"/>
  <c r="AJ55" i="57" a="1"/>
  <c r="AJ55" i="57" s="1"/>
  <c r="S153" i="56"/>
  <c r="Z153" i="56" s="1"/>
  <c r="AA153" i="56" s="1"/>
  <c r="S154" i="56"/>
  <c r="Z154" i="56" s="1"/>
  <c r="AA154" i="56" s="1"/>
  <c r="S155" i="56"/>
  <c r="Z155" i="56" s="1"/>
  <c r="AA155" i="56" s="1"/>
  <c r="AJ8" i="57" a="1"/>
  <c r="AJ8" i="57" s="1"/>
  <c r="S12" i="56"/>
  <c r="Z12" i="56" s="1"/>
  <c r="AA12" i="56" s="1"/>
  <c r="S14" i="56"/>
  <c r="Z14" i="56" s="1"/>
  <c r="AA14" i="56" s="1"/>
  <c r="S13" i="56"/>
  <c r="Z13" i="56" s="1"/>
  <c r="AA13" i="56" s="1"/>
  <c r="AJ68" i="57" a="1"/>
  <c r="AJ68" i="57" s="1"/>
  <c r="S192" i="56"/>
  <c r="Z192" i="56" s="1"/>
  <c r="AA192" i="56" s="1"/>
  <c r="S193" i="56"/>
  <c r="Z193" i="56" s="1"/>
  <c r="AA193" i="56" s="1"/>
  <c r="S194" i="56"/>
  <c r="Z194" i="56" s="1"/>
  <c r="AA194" i="56" s="1"/>
  <c r="AZ126" i="57"/>
  <c r="R126" i="57"/>
  <c r="S366" i="56"/>
  <c r="Z366" i="56" s="1"/>
  <c r="AA366" i="56" s="1"/>
  <c r="S367" i="56"/>
  <c r="Z367" i="56" s="1"/>
  <c r="AA367" i="56" s="1"/>
  <c r="S368" i="56"/>
  <c r="Z368" i="56" s="1"/>
  <c r="AA368" i="56" s="1"/>
  <c r="AJ178" i="57" a="1"/>
  <c r="AJ178" i="57" s="1"/>
  <c r="S523" i="56"/>
  <c r="Z523" i="56" s="1"/>
  <c r="AA523" i="56" s="1"/>
  <c r="S522" i="56"/>
  <c r="Z522" i="56" s="1"/>
  <c r="AA522" i="56" s="1"/>
  <c r="S524" i="56"/>
  <c r="Z524" i="56" s="1"/>
  <c r="AA524" i="56" s="1"/>
  <c r="AJ141" i="57" a="1"/>
  <c r="AJ141" i="57" s="1"/>
  <c r="S413" i="56"/>
  <c r="Z413" i="56" s="1"/>
  <c r="AA413" i="56" s="1"/>
  <c r="S412" i="56"/>
  <c r="Z412" i="56" s="1"/>
  <c r="AA412" i="56" s="1"/>
  <c r="S411" i="56"/>
  <c r="Z411" i="56" s="1"/>
  <c r="AA411" i="56" s="1"/>
  <c r="S171" i="56"/>
  <c r="Z171" i="56" s="1"/>
  <c r="AA171" i="56" s="1"/>
  <c r="S172" i="56"/>
  <c r="Z172" i="56" s="1"/>
  <c r="AA172" i="56" s="1"/>
  <c r="S173" i="56"/>
  <c r="Z173" i="56" s="1"/>
  <c r="AA173" i="56" s="1"/>
  <c r="AJ61" i="57" a="1"/>
  <c r="AJ61" i="57" s="1"/>
  <c r="AZ116" i="57"/>
  <c r="S336" i="56"/>
  <c r="Z336" i="56" s="1"/>
  <c r="AA336" i="56" s="1"/>
  <c r="S337" i="56"/>
  <c r="Z337" i="56" s="1"/>
  <c r="AA337" i="56" s="1"/>
  <c r="S338" i="56"/>
  <c r="Z338" i="56" s="1"/>
  <c r="AA338" i="56" s="1"/>
  <c r="AJ24" i="57" a="1"/>
  <c r="AJ24" i="57" s="1"/>
  <c r="S60" i="56"/>
  <c r="Z60" i="56" s="1"/>
  <c r="AA60" i="56" s="1"/>
  <c r="S62" i="56"/>
  <c r="Z62" i="56" s="1"/>
  <c r="AA62" i="56" s="1"/>
  <c r="S61" i="56"/>
  <c r="Z61" i="56" s="1"/>
  <c r="AA61" i="56" s="1"/>
  <c r="AJ67" i="57" a="1"/>
  <c r="AJ67" i="57" s="1"/>
  <c r="S189" i="56"/>
  <c r="Z189" i="56" s="1"/>
  <c r="AA189" i="56" s="1"/>
  <c r="S191" i="56"/>
  <c r="Z191" i="56" s="1"/>
  <c r="AA191" i="56" s="1"/>
  <c r="S190" i="56"/>
  <c r="Z190" i="56" s="1"/>
  <c r="AA190" i="56" s="1"/>
  <c r="AJ88" i="57" a="1"/>
  <c r="AJ88" i="57" s="1"/>
  <c r="S254" i="56"/>
  <c r="Z254" i="56" s="1"/>
  <c r="AA254" i="56" s="1"/>
  <c r="S252" i="56"/>
  <c r="Z252" i="56" s="1"/>
  <c r="AA252" i="56" s="1"/>
  <c r="S253" i="56"/>
  <c r="Z253" i="56" s="1"/>
  <c r="AA253" i="56" s="1"/>
  <c r="AZ96" i="57"/>
  <c r="S276" i="56"/>
  <c r="Z276" i="56" s="1"/>
  <c r="AA276" i="56" s="1"/>
  <c r="S278" i="56"/>
  <c r="Z278" i="56" s="1"/>
  <c r="AA278" i="56" s="1"/>
  <c r="S277" i="56"/>
  <c r="Z277" i="56" s="1"/>
  <c r="AA277" i="56" s="1"/>
  <c r="AJ38" i="57" a="1"/>
  <c r="AJ38" i="57" s="1"/>
  <c r="S102" i="56"/>
  <c r="Z102" i="56" s="1"/>
  <c r="AA102" i="56" s="1"/>
  <c r="S104" i="56"/>
  <c r="Z104" i="56" s="1"/>
  <c r="AA104" i="56" s="1"/>
  <c r="S103" i="56"/>
  <c r="Z103" i="56" s="1"/>
  <c r="AA103" i="56" s="1"/>
  <c r="AZ80" i="57"/>
  <c r="S230" i="56"/>
  <c r="Z230" i="56" s="1"/>
  <c r="AA230" i="56" s="1"/>
  <c r="S228" i="56"/>
  <c r="Z228" i="56" s="1"/>
  <c r="AA228" i="56" s="1"/>
  <c r="S229" i="56"/>
  <c r="Z229" i="56" s="1"/>
  <c r="AA229" i="56" s="1"/>
  <c r="R80" i="57"/>
  <c r="AJ117" i="57" a="1"/>
  <c r="AJ117" i="57" s="1"/>
  <c r="S341" i="56"/>
  <c r="Z341" i="56" s="1"/>
  <c r="AA341" i="56" s="1"/>
  <c r="S340" i="56"/>
  <c r="Z340" i="56" s="1"/>
  <c r="AA340" i="56" s="1"/>
  <c r="S339" i="56"/>
  <c r="Z339" i="56" s="1"/>
  <c r="AA339" i="56" s="1"/>
  <c r="AJ25" i="57" a="1"/>
  <c r="AJ25" i="57" s="1"/>
  <c r="S63" i="56"/>
  <c r="Z63" i="56" s="1"/>
  <c r="AA63" i="56" s="1"/>
  <c r="S65" i="56"/>
  <c r="Z65" i="56" s="1"/>
  <c r="AA65" i="56" s="1"/>
  <c r="S64" i="56"/>
  <c r="Z64" i="56" s="1"/>
  <c r="AA64" i="56" s="1"/>
  <c r="AZ146" i="57"/>
  <c r="S428" i="56"/>
  <c r="Z428" i="56" s="1"/>
  <c r="AA428" i="56" s="1"/>
  <c r="S427" i="56"/>
  <c r="Z427" i="56" s="1"/>
  <c r="AA427" i="56" s="1"/>
  <c r="S426" i="56"/>
  <c r="Z426" i="56" s="1"/>
  <c r="AA426" i="56" s="1"/>
  <c r="R56" i="57"/>
  <c r="AM56" i="57" s="1"/>
  <c r="W56" i="57"/>
  <c r="U56" i="57"/>
  <c r="AJ9" i="57" a="1"/>
  <c r="AJ9" i="57" s="1"/>
  <c r="S16" i="56"/>
  <c r="Z16" i="56" s="1"/>
  <c r="AA16" i="56" s="1"/>
  <c r="S15" i="56"/>
  <c r="Z15" i="56" s="1"/>
  <c r="AA15" i="56" s="1"/>
  <c r="S17" i="56"/>
  <c r="Z17" i="56" s="1"/>
  <c r="AA17" i="56" s="1"/>
  <c r="AZ46" i="57"/>
  <c r="S126" i="56"/>
  <c r="Z126" i="56" s="1"/>
  <c r="AA126" i="56" s="1"/>
  <c r="S128" i="56"/>
  <c r="Z128" i="56" s="1"/>
  <c r="AA128" i="56" s="1"/>
  <c r="S127" i="56"/>
  <c r="Z127" i="56" s="1"/>
  <c r="AA127" i="56" s="1"/>
  <c r="AZ166" i="57"/>
  <c r="S486" i="56"/>
  <c r="Z486" i="56" s="1"/>
  <c r="AA486" i="56" s="1"/>
  <c r="S487" i="56"/>
  <c r="Z487" i="56" s="1"/>
  <c r="AA487" i="56" s="1"/>
  <c r="S488" i="56"/>
  <c r="Z488" i="56" s="1"/>
  <c r="AA488" i="56" s="1"/>
  <c r="AJ175" i="57" a="1"/>
  <c r="AJ175" i="57" s="1"/>
  <c r="S513" i="56"/>
  <c r="Z513" i="56" s="1"/>
  <c r="AA513" i="56" s="1"/>
  <c r="S514" i="56"/>
  <c r="Z514" i="56" s="1"/>
  <c r="AA514" i="56" s="1"/>
  <c r="S515" i="56"/>
  <c r="Z515" i="56" s="1"/>
  <c r="AA515" i="56" s="1"/>
  <c r="AJ168" i="57" a="1"/>
  <c r="AJ168" i="57" s="1"/>
  <c r="S493" i="56"/>
  <c r="Z493" i="56" s="1"/>
  <c r="AA493" i="56" s="1"/>
  <c r="S492" i="56"/>
  <c r="Z492" i="56" s="1"/>
  <c r="AA492" i="56" s="1"/>
  <c r="S494" i="56"/>
  <c r="Z494" i="56" s="1"/>
  <c r="AA494" i="56" s="1"/>
  <c r="AJ79" i="57" a="1"/>
  <c r="AJ79" i="57" s="1"/>
  <c r="S227" i="56"/>
  <c r="Z227" i="56" s="1"/>
  <c r="AA227" i="56" s="1"/>
  <c r="S225" i="56"/>
  <c r="Z225" i="56" s="1"/>
  <c r="AA225" i="56" s="1"/>
  <c r="S226" i="56"/>
  <c r="Z226" i="56" s="1"/>
  <c r="AA226" i="56" s="1"/>
  <c r="AJ108" i="57" a="1"/>
  <c r="AJ108" i="57" s="1"/>
  <c r="S312" i="56"/>
  <c r="Z312" i="56" s="1"/>
  <c r="AA312" i="56" s="1"/>
  <c r="S314" i="56"/>
  <c r="Z314" i="56" s="1"/>
  <c r="AA314" i="56" s="1"/>
  <c r="S313" i="56"/>
  <c r="Z313" i="56" s="1"/>
  <c r="AA313" i="56" s="1"/>
  <c r="AJ172" i="57" a="1"/>
  <c r="AJ172" i="57" s="1"/>
  <c r="S506" i="56"/>
  <c r="Z506" i="56" s="1"/>
  <c r="AA506" i="56" s="1"/>
  <c r="S505" i="56"/>
  <c r="Z505" i="56" s="1"/>
  <c r="AA505" i="56" s="1"/>
  <c r="S504" i="56"/>
  <c r="Z504" i="56" s="1"/>
  <c r="AA504" i="56" s="1"/>
  <c r="AJ91" i="57" a="1"/>
  <c r="AJ91" i="57" s="1"/>
  <c r="S263" i="56"/>
  <c r="Z263" i="56" s="1"/>
  <c r="AA263" i="56" s="1"/>
  <c r="S262" i="56"/>
  <c r="Z262" i="56" s="1"/>
  <c r="AA262" i="56" s="1"/>
  <c r="S261" i="56"/>
  <c r="Z261" i="56" s="1"/>
  <c r="AA261" i="56" s="1"/>
  <c r="AZ150" i="57"/>
  <c r="S440" i="56"/>
  <c r="Z440" i="56" s="1"/>
  <c r="AA440" i="56" s="1"/>
  <c r="S438" i="56"/>
  <c r="Z438" i="56" s="1"/>
  <c r="AA438" i="56" s="1"/>
  <c r="S439" i="56"/>
  <c r="Z439" i="56" s="1"/>
  <c r="AA439" i="56" s="1"/>
  <c r="AZ73" i="57"/>
  <c r="S207" i="56"/>
  <c r="Z207" i="56" s="1"/>
  <c r="AA207" i="56" s="1"/>
  <c r="S208" i="56"/>
  <c r="Z208" i="56" s="1"/>
  <c r="AA208" i="56" s="1"/>
  <c r="S209" i="56"/>
  <c r="Z209" i="56" s="1"/>
  <c r="AA209" i="56" s="1"/>
  <c r="AJ142" i="57" a="1"/>
  <c r="AJ142" i="57" s="1"/>
  <c r="S415" i="56"/>
  <c r="Z415" i="56" s="1"/>
  <c r="AA415" i="56" s="1"/>
  <c r="S414" i="56"/>
  <c r="Z414" i="56" s="1"/>
  <c r="AA414" i="56" s="1"/>
  <c r="S416" i="56"/>
  <c r="Z416" i="56" s="1"/>
  <c r="AA416" i="56" s="1"/>
  <c r="AJ44" i="57" a="1"/>
  <c r="AJ44" i="57" s="1"/>
  <c r="S121" i="56"/>
  <c r="Z121" i="56" s="1"/>
  <c r="AA121" i="56" s="1"/>
  <c r="S122" i="56"/>
  <c r="Z122" i="56" s="1"/>
  <c r="AA122" i="56" s="1"/>
  <c r="S120" i="56"/>
  <c r="Z120" i="56" s="1"/>
  <c r="AA120" i="56" s="1"/>
  <c r="AZ70" i="57"/>
  <c r="S200" i="56"/>
  <c r="Z200" i="56" s="1"/>
  <c r="AA200" i="56" s="1"/>
  <c r="S198" i="56"/>
  <c r="Z198" i="56" s="1"/>
  <c r="AA198" i="56" s="1"/>
  <c r="S199" i="56"/>
  <c r="Z199" i="56" s="1"/>
  <c r="AA199" i="56" s="1"/>
  <c r="S302" i="56"/>
  <c r="Z302" i="56" s="1"/>
  <c r="AA302" i="56" s="1"/>
  <c r="S300" i="56"/>
  <c r="Z300" i="56" s="1"/>
  <c r="AA300" i="56" s="1"/>
  <c r="S301" i="56"/>
  <c r="Z301" i="56" s="1"/>
  <c r="AA301" i="56" s="1"/>
  <c r="AJ104" i="57" a="1"/>
  <c r="AJ104" i="57" s="1"/>
  <c r="AZ104" i="57" s="1"/>
  <c r="W6" i="57"/>
  <c r="U6" i="57"/>
  <c r="AJ41" i="57" a="1"/>
  <c r="AJ41" i="57" s="1"/>
  <c r="S113" i="56"/>
  <c r="Z113" i="56" s="1"/>
  <c r="AA113" i="56" s="1"/>
  <c r="S112" i="56"/>
  <c r="Z112" i="56" s="1"/>
  <c r="AA112" i="56" s="1"/>
  <c r="S111" i="56"/>
  <c r="Z111" i="56" s="1"/>
  <c r="AA111" i="56" s="1"/>
  <c r="R156" i="57"/>
  <c r="W156" i="57"/>
  <c r="U156" i="57"/>
  <c r="AJ19" i="57" a="1"/>
  <c r="AJ19" i="57" s="1"/>
  <c r="S46" i="56"/>
  <c r="Z46" i="56" s="1"/>
  <c r="AA46" i="56" s="1"/>
  <c r="S45" i="56"/>
  <c r="Z45" i="56" s="1"/>
  <c r="AA45" i="56" s="1"/>
  <c r="S47" i="56"/>
  <c r="Z47" i="56" s="1"/>
  <c r="AA47" i="56" s="1"/>
  <c r="AJ177" i="57" a="1"/>
  <c r="AJ177" i="57" s="1"/>
  <c r="S521" i="56"/>
  <c r="Z521" i="56" s="1"/>
  <c r="AA521" i="56" s="1"/>
  <c r="S520" i="56"/>
  <c r="Z520" i="56" s="1"/>
  <c r="AA520" i="56" s="1"/>
  <c r="S519" i="56"/>
  <c r="Z519" i="56" s="1"/>
  <c r="AA519" i="56" s="1"/>
  <c r="AJ39" i="57" a="1"/>
  <c r="AJ39" i="57" s="1"/>
  <c r="S105" i="56"/>
  <c r="Z105" i="56" s="1"/>
  <c r="AA105" i="56" s="1"/>
  <c r="S106" i="56"/>
  <c r="Z106" i="56" s="1"/>
  <c r="AA106" i="56" s="1"/>
  <c r="S107" i="56"/>
  <c r="Z107" i="56" s="1"/>
  <c r="AA107" i="56" s="1"/>
  <c r="AJ115" i="57" a="1"/>
  <c r="AJ115" i="57" s="1"/>
  <c r="AZ115" i="57" s="1"/>
  <c r="S333" i="56"/>
  <c r="Z333" i="56" s="1"/>
  <c r="AA333" i="56" s="1"/>
  <c r="S335" i="56"/>
  <c r="Z335" i="56" s="1"/>
  <c r="AA335" i="56" s="1"/>
  <c r="S334" i="56"/>
  <c r="Z334" i="56" s="1"/>
  <c r="AA334" i="56" s="1"/>
  <c r="S403" i="56"/>
  <c r="Z403" i="56" s="1"/>
  <c r="AA403" i="56" s="1"/>
  <c r="S402" i="56"/>
  <c r="Z402" i="56" s="1"/>
  <c r="AA402" i="56" s="1"/>
  <c r="S404" i="56"/>
  <c r="Z404" i="56" s="1"/>
  <c r="AA404" i="56" s="1"/>
  <c r="AJ138" i="57" a="1"/>
  <c r="AJ138" i="57" s="1"/>
  <c r="AJ124" i="57" a="1"/>
  <c r="AJ124" i="57" s="1"/>
  <c r="AZ124" i="57" s="1"/>
  <c r="S361" i="56"/>
  <c r="Z361" i="56" s="1"/>
  <c r="AA361" i="56" s="1"/>
  <c r="S362" i="56"/>
  <c r="Z362" i="56" s="1"/>
  <c r="AA362" i="56" s="1"/>
  <c r="S360" i="56"/>
  <c r="Z360" i="56" s="1"/>
  <c r="AA360" i="56" s="1"/>
  <c r="AJ98" i="57" a="1"/>
  <c r="AJ98" i="57" s="1"/>
  <c r="S284" i="56"/>
  <c r="Z284" i="56" s="1"/>
  <c r="AA284" i="56" s="1"/>
  <c r="S283" i="56"/>
  <c r="Z283" i="56" s="1"/>
  <c r="AA283" i="56" s="1"/>
  <c r="S282" i="56"/>
  <c r="Z282" i="56" s="1"/>
  <c r="AA282" i="56" s="1"/>
  <c r="AJ131" i="57" a="1"/>
  <c r="AJ131" i="57" s="1"/>
  <c r="S381" i="56"/>
  <c r="Z381" i="56" s="1"/>
  <c r="AA381" i="56" s="1"/>
  <c r="S382" i="56"/>
  <c r="Z382" i="56" s="1"/>
  <c r="AA382" i="56" s="1"/>
  <c r="S383" i="56"/>
  <c r="Z383" i="56" s="1"/>
  <c r="AA383" i="56" s="1"/>
  <c r="AZ50" i="57"/>
  <c r="S140" i="56"/>
  <c r="Z140" i="56" s="1"/>
  <c r="AA140" i="56" s="1"/>
  <c r="S139" i="56"/>
  <c r="Z139" i="56" s="1"/>
  <c r="AA139" i="56" s="1"/>
  <c r="S138" i="56"/>
  <c r="Z138" i="56" s="1"/>
  <c r="AA138" i="56" s="1"/>
  <c r="AZ176" i="57"/>
  <c r="S516" i="56"/>
  <c r="Z516" i="56" s="1"/>
  <c r="AA516" i="56" s="1"/>
  <c r="S517" i="56"/>
  <c r="Z517" i="56" s="1"/>
  <c r="AA517" i="56" s="1"/>
  <c r="S518" i="56"/>
  <c r="Z518" i="56" s="1"/>
  <c r="AA518" i="56" s="1"/>
  <c r="AZ123" i="57"/>
  <c r="S357" i="56"/>
  <c r="Z357" i="56" s="1"/>
  <c r="AA357" i="56" s="1"/>
  <c r="S359" i="56"/>
  <c r="Z359" i="56" s="1"/>
  <c r="AA359" i="56" s="1"/>
  <c r="S358" i="56"/>
  <c r="Z358" i="56" s="1"/>
  <c r="AA358" i="56" s="1"/>
  <c r="AZ110" i="57"/>
  <c r="S319" i="56"/>
  <c r="Z319" i="56" s="1"/>
  <c r="AA319" i="56" s="1"/>
  <c r="S320" i="56"/>
  <c r="Z320" i="56" s="1"/>
  <c r="AA320" i="56" s="1"/>
  <c r="S318" i="56"/>
  <c r="Z318" i="56" s="1"/>
  <c r="AA318" i="56" s="1"/>
  <c r="AJ75" i="57" a="1"/>
  <c r="AJ75" i="57" s="1"/>
  <c r="S213" i="56"/>
  <c r="Z213" i="56" s="1"/>
  <c r="AA213" i="56" s="1"/>
  <c r="S214" i="56"/>
  <c r="Z214" i="56" s="1"/>
  <c r="AA214" i="56" s="1"/>
  <c r="S215" i="56"/>
  <c r="Z215" i="56" s="1"/>
  <c r="AA215" i="56" s="1"/>
  <c r="AJ179" i="57" a="1"/>
  <c r="AJ179" i="57" s="1"/>
  <c r="S525" i="56"/>
  <c r="Z525" i="56" s="1"/>
  <c r="AA525" i="56" s="1"/>
  <c r="S526" i="56"/>
  <c r="Z526" i="56" s="1"/>
  <c r="AA526" i="56" s="1"/>
  <c r="S527" i="56"/>
  <c r="Z527" i="56" s="1"/>
  <c r="AA527" i="56" s="1"/>
  <c r="AZ6" i="57"/>
  <c r="S6" i="56"/>
  <c r="Z6" i="56" s="1"/>
  <c r="AA6" i="56" s="1"/>
  <c r="S8" i="56"/>
  <c r="Z8" i="56" s="1"/>
  <c r="AA8" i="56" s="1"/>
  <c r="S7" i="56"/>
  <c r="Z7" i="56" s="1"/>
  <c r="AA7" i="56" s="1"/>
  <c r="R6" i="57"/>
  <c r="S130" i="56"/>
  <c r="Z130" i="56" s="1"/>
  <c r="AA130" i="56" s="1"/>
  <c r="S131" i="56"/>
  <c r="Z131" i="56" s="1"/>
  <c r="AA131" i="56" s="1"/>
  <c r="S129" i="56"/>
  <c r="Z129" i="56" s="1"/>
  <c r="AA129" i="56" s="1"/>
  <c r="AJ47" i="57" a="1"/>
  <c r="AJ47" i="57" s="1"/>
  <c r="AJ59" i="57" a="1"/>
  <c r="AJ59" i="57" s="1"/>
  <c r="S167" i="56"/>
  <c r="Z167" i="56" s="1"/>
  <c r="AA167" i="56" s="1"/>
  <c r="S166" i="56"/>
  <c r="Z166" i="56" s="1"/>
  <c r="AA166" i="56" s="1"/>
  <c r="S165" i="56"/>
  <c r="Z165" i="56" s="1"/>
  <c r="AA165" i="56" s="1"/>
  <c r="AZ30" i="57"/>
  <c r="S80" i="56"/>
  <c r="Z80" i="56" s="1"/>
  <c r="AA80" i="56" s="1"/>
  <c r="S79" i="56"/>
  <c r="Z79" i="56" s="1"/>
  <c r="AA79" i="56" s="1"/>
  <c r="S78" i="56"/>
  <c r="Z78" i="56" s="1"/>
  <c r="AA78" i="56" s="1"/>
  <c r="AJ45" i="57" a="1"/>
  <c r="AJ45" i="57" s="1"/>
  <c r="S124" i="56"/>
  <c r="Z124" i="56" s="1"/>
  <c r="AA124" i="56" s="1"/>
  <c r="S125" i="56"/>
  <c r="Z125" i="56" s="1"/>
  <c r="AA125" i="56" s="1"/>
  <c r="S123" i="56"/>
  <c r="Z123" i="56" s="1"/>
  <c r="AA123" i="56" s="1"/>
  <c r="AZ106" i="57"/>
  <c r="S306" i="56"/>
  <c r="Z306" i="56" s="1"/>
  <c r="AA306" i="56" s="1"/>
  <c r="S307" i="56"/>
  <c r="Z307" i="56" s="1"/>
  <c r="AA307" i="56" s="1"/>
  <c r="S308" i="56"/>
  <c r="Z308" i="56" s="1"/>
  <c r="AA308" i="56" s="1"/>
  <c r="AJ149" i="57" a="1"/>
  <c r="AJ149" i="57" s="1"/>
  <c r="S436" i="56"/>
  <c r="Z436" i="56" s="1"/>
  <c r="AA436" i="56" s="1"/>
  <c r="S435" i="56"/>
  <c r="Z435" i="56" s="1"/>
  <c r="AA435" i="56" s="1"/>
  <c r="S437" i="56"/>
  <c r="Z437" i="56" s="1"/>
  <c r="AA437" i="56" s="1"/>
  <c r="AJ7" i="57" a="1"/>
  <c r="AJ7" i="57" s="1"/>
  <c r="S11" i="56"/>
  <c r="Z11" i="56" s="1"/>
  <c r="AA11" i="56" s="1"/>
  <c r="S9" i="56"/>
  <c r="Z9" i="56" s="1"/>
  <c r="AA9" i="56" s="1"/>
  <c r="S10" i="56"/>
  <c r="Z10" i="56" s="1"/>
  <c r="AA10" i="56" s="1"/>
  <c r="AJ167" i="57" a="1"/>
  <c r="AJ167" i="57" s="1"/>
  <c r="S491" i="56"/>
  <c r="Z491" i="56" s="1"/>
  <c r="AA491" i="56" s="1"/>
  <c r="S490" i="56"/>
  <c r="Z490" i="56" s="1"/>
  <c r="AA490" i="56" s="1"/>
  <c r="S489" i="56"/>
  <c r="Z489" i="56" s="1"/>
  <c r="AA489" i="56" s="1"/>
  <c r="AZ163" i="57"/>
  <c r="S478" i="56"/>
  <c r="Z478" i="56" s="1"/>
  <c r="AA478" i="56" s="1"/>
  <c r="S477" i="56"/>
  <c r="Z477" i="56" s="1"/>
  <c r="AA477" i="56" s="1"/>
  <c r="S479" i="56"/>
  <c r="Z479" i="56" s="1"/>
  <c r="AA479" i="56" s="1"/>
  <c r="R163" i="57"/>
  <c r="S204" i="56"/>
  <c r="Z204" i="56" s="1"/>
  <c r="AA204" i="56" s="1"/>
  <c r="S205" i="56"/>
  <c r="Z205" i="56" s="1"/>
  <c r="AA205" i="56" s="1"/>
  <c r="S206" i="56"/>
  <c r="Z206" i="56" s="1"/>
  <c r="AA206" i="56" s="1"/>
  <c r="AJ72" i="57" a="1"/>
  <c r="AJ72" i="57" s="1"/>
  <c r="AJ165" i="57" a="1"/>
  <c r="AJ165" i="57" s="1"/>
  <c r="S483" i="56"/>
  <c r="Z483" i="56" s="1"/>
  <c r="AA483" i="56" s="1"/>
  <c r="S485" i="56"/>
  <c r="Z485" i="56" s="1"/>
  <c r="AA485" i="56" s="1"/>
  <c r="S484" i="56"/>
  <c r="Z484" i="56" s="1"/>
  <c r="AA484" i="56" s="1"/>
  <c r="AJ27" i="57" a="1"/>
  <c r="AJ27" i="57" s="1"/>
  <c r="S70" i="56"/>
  <c r="Z70" i="56" s="1"/>
  <c r="AA70" i="56" s="1"/>
  <c r="S69" i="56"/>
  <c r="Z69" i="56" s="1"/>
  <c r="AA69" i="56" s="1"/>
  <c r="S71" i="56"/>
  <c r="Z71" i="56" s="1"/>
  <c r="AA71" i="56" s="1"/>
  <c r="AZ36" i="57"/>
  <c r="S97" i="56"/>
  <c r="Z97" i="56" s="1"/>
  <c r="AA97" i="56" s="1"/>
  <c r="S98" i="56"/>
  <c r="Z98" i="56" s="1"/>
  <c r="AA98" i="56" s="1"/>
  <c r="S96" i="56"/>
  <c r="Z96" i="56" s="1"/>
  <c r="AA96" i="56" s="1"/>
  <c r="AZ53" i="57"/>
  <c r="S148" i="56"/>
  <c r="Z148" i="56" s="1"/>
  <c r="AA148" i="56" s="1"/>
  <c r="S147" i="56"/>
  <c r="Z147" i="56" s="1"/>
  <c r="AA147" i="56" s="1"/>
  <c r="S149" i="56"/>
  <c r="Z149" i="56" s="1"/>
  <c r="AA149" i="56" s="1"/>
  <c r="AZ60" i="57"/>
  <c r="S168" i="56"/>
  <c r="Z168" i="56" s="1"/>
  <c r="AA168" i="56" s="1"/>
  <c r="S170" i="56"/>
  <c r="Z170" i="56" s="1"/>
  <c r="AA170" i="56" s="1"/>
  <c r="S169" i="56"/>
  <c r="Z169" i="56" s="1"/>
  <c r="AA169" i="56" s="1"/>
  <c r="U13" i="57"/>
  <c r="W13" i="57"/>
  <c r="AJ158" i="57" a="1"/>
  <c r="AJ158" i="57" s="1"/>
  <c r="S462" i="56"/>
  <c r="Z462" i="56" s="1"/>
  <c r="AA462" i="56" s="1"/>
  <c r="S463" i="56"/>
  <c r="Z463" i="56" s="1"/>
  <c r="AA463" i="56" s="1"/>
  <c r="S464" i="56"/>
  <c r="Z464" i="56" s="1"/>
  <c r="AA464" i="56" s="1"/>
  <c r="AJ181" i="57" a="1"/>
  <c r="AJ181" i="57" s="1"/>
  <c r="S531" i="56"/>
  <c r="Z531" i="56" s="1"/>
  <c r="AA531" i="56" s="1"/>
  <c r="S532" i="56"/>
  <c r="Z532" i="56" s="1"/>
  <c r="AA532" i="56" s="1"/>
  <c r="S533" i="56"/>
  <c r="Z533" i="56" s="1"/>
  <c r="AA533" i="56" s="1"/>
  <c r="AJ162" i="57" a="1"/>
  <c r="AJ162" i="57" s="1"/>
  <c r="S476" i="56"/>
  <c r="Z476" i="56" s="1"/>
  <c r="AA476" i="56" s="1"/>
  <c r="S474" i="56"/>
  <c r="Z474" i="56" s="1"/>
  <c r="AA474" i="56" s="1"/>
  <c r="S475" i="56"/>
  <c r="Z475" i="56" s="1"/>
  <c r="AA475" i="56" s="1"/>
  <c r="AJ69" i="57" a="1"/>
  <c r="AJ69" i="57" s="1"/>
  <c r="S196" i="56"/>
  <c r="Z196" i="56" s="1"/>
  <c r="AA196" i="56" s="1"/>
  <c r="S195" i="56"/>
  <c r="Z195" i="56" s="1"/>
  <c r="AA195" i="56" s="1"/>
  <c r="S197" i="56"/>
  <c r="Z197" i="56" s="1"/>
  <c r="AA197" i="56" s="1"/>
  <c r="AJ109" i="57" a="1"/>
  <c r="AJ109" i="57" s="1"/>
  <c r="S317" i="56"/>
  <c r="Z317" i="56" s="1"/>
  <c r="AA317" i="56" s="1"/>
  <c r="S316" i="56"/>
  <c r="Z316" i="56" s="1"/>
  <c r="AA316" i="56" s="1"/>
  <c r="S315" i="56"/>
  <c r="Z315" i="56" s="1"/>
  <c r="AA315" i="56" s="1"/>
  <c r="AJ132" i="57" a="1"/>
  <c r="AJ132" i="57" s="1"/>
  <c r="S384" i="56"/>
  <c r="Z384" i="56" s="1"/>
  <c r="AA384" i="56" s="1"/>
  <c r="S386" i="56"/>
  <c r="Z386" i="56" s="1"/>
  <c r="AA386" i="56" s="1"/>
  <c r="S385" i="56"/>
  <c r="Z385" i="56" s="1"/>
  <c r="AA385" i="56" s="1"/>
  <c r="AJ125" i="57" a="1"/>
  <c r="AJ125" i="57" s="1"/>
  <c r="S364" i="56"/>
  <c r="Z364" i="56" s="1"/>
  <c r="AA364" i="56" s="1"/>
  <c r="S365" i="56"/>
  <c r="Z365" i="56" s="1"/>
  <c r="AA365" i="56" s="1"/>
  <c r="S363" i="56"/>
  <c r="Z363" i="56" s="1"/>
  <c r="AA363" i="56" s="1"/>
  <c r="AJ64" i="57" a="1"/>
  <c r="AJ64" i="57" s="1"/>
  <c r="S181" i="56"/>
  <c r="Z181" i="56" s="1"/>
  <c r="AA181" i="56" s="1"/>
  <c r="S180" i="56"/>
  <c r="Z180" i="56" s="1"/>
  <c r="AA180" i="56" s="1"/>
  <c r="S182" i="56"/>
  <c r="Z182" i="56" s="1"/>
  <c r="AA182" i="56" s="1"/>
  <c r="AJ18" i="57" a="1"/>
  <c r="AJ18" i="57" s="1"/>
  <c r="S42" i="56"/>
  <c r="Z42" i="56" s="1"/>
  <c r="AA42" i="56" s="1"/>
  <c r="S43" i="56"/>
  <c r="Z43" i="56" s="1"/>
  <c r="AA43" i="56" s="1"/>
  <c r="S44" i="56"/>
  <c r="Z44" i="56" s="1"/>
  <c r="AA44" i="56" s="1"/>
  <c r="AZ136" i="57"/>
  <c r="S397" i="56"/>
  <c r="Z397" i="56" s="1"/>
  <c r="AA397" i="56" s="1"/>
  <c r="S396" i="56"/>
  <c r="Z396" i="56" s="1"/>
  <c r="AA396" i="56" s="1"/>
  <c r="S398" i="56"/>
  <c r="Z398" i="56" s="1"/>
  <c r="AA398" i="56" s="1"/>
  <c r="AZ130" i="57"/>
  <c r="R130" i="57"/>
  <c r="S379" i="56"/>
  <c r="Z379" i="56" s="1"/>
  <c r="AA379" i="56" s="1"/>
  <c r="S380" i="56"/>
  <c r="Z380" i="56" s="1"/>
  <c r="AA380" i="56" s="1"/>
  <c r="S378" i="56"/>
  <c r="Z378" i="56" s="1"/>
  <c r="AA378" i="56" s="1"/>
  <c r="AJ49" i="57" a="1"/>
  <c r="AJ49" i="57" s="1"/>
  <c r="AZ49" i="57" s="1"/>
  <c r="S135" i="56"/>
  <c r="Z135" i="56" s="1"/>
  <c r="AA135" i="56" s="1"/>
  <c r="S137" i="56"/>
  <c r="Z137" i="56" s="1"/>
  <c r="AA137" i="56" s="1"/>
  <c r="S136" i="56"/>
  <c r="Z136" i="56" s="1"/>
  <c r="AA136" i="56" s="1"/>
  <c r="AJ152" i="57" a="1"/>
  <c r="AJ152" i="57" s="1"/>
  <c r="S445" i="56"/>
  <c r="Z445" i="56" s="1"/>
  <c r="AA445" i="56" s="1"/>
  <c r="S446" i="56"/>
  <c r="Z446" i="56" s="1"/>
  <c r="AA446" i="56" s="1"/>
  <c r="S444" i="56"/>
  <c r="Z444" i="56" s="1"/>
  <c r="AA444" i="56" s="1"/>
  <c r="AJ185" i="57" a="1"/>
  <c r="AJ185" i="57" s="1"/>
  <c r="S544" i="56"/>
  <c r="Z544" i="56" s="1"/>
  <c r="AA544" i="56" s="1"/>
  <c r="S545" i="56"/>
  <c r="Z545" i="56" s="1"/>
  <c r="AA545" i="56" s="1"/>
  <c r="S543" i="56"/>
  <c r="Z543" i="56" s="1"/>
  <c r="AA543" i="56" s="1"/>
  <c r="AZ140" i="57"/>
  <c r="S408" i="56"/>
  <c r="Z408" i="56" s="1"/>
  <c r="AA408" i="56" s="1"/>
  <c r="S409" i="56"/>
  <c r="Z409" i="56" s="1"/>
  <c r="AA409" i="56" s="1"/>
  <c r="S410" i="56"/>
  <c r="Z410" i="56" s="1"/>
  <c r="AA410" i="56" s="1"/>
  <c r="AJ112" i="57" a="1"/>
  <c r="AJ112" i="57" s="1"/>
  <c r="S325" i="56"/>
  <c r="Z325" i="56" s="1"/>
  <c r="AA325" i="56" s="1"/>
  <c r="S326" i="56"/>
  <c r="Z326" i="56" s="1"/>
  <c r="AA326" i="56" s="1"/>
  <c r="S324" i="56"/>
  <c r="Z324" i="56" s="1"/>
  <c r="AA324" i="56" s="1"/>
  <c r="S133" i="56"/>
  <c r="Z133" i="56" s="1"/>
  <c r="AA133" i="56" s="1"/>
  <c r="S132" i="56"/>
  <c r="Z132" i="56" s="1"/>
  <c r="AA132" i="56" s="1"/>
  <c r="S134" i="56"/>
  <c r="Z134" i="56" s="1"/>
  <c r="AA134" i="56" s="1"/>
  <c r="AJ48" i="57" a="1"/>
  <c r="AJ48" i="57" s="1"/>
  <c r="AJ164" i="57" a="1"/>
  <c r="AJ164" i="57" s="1"/>
  <c r="S480" i="56"/>
  <c r="Z480" i="56" s="1"/>
  <c r="AA480" i="56" s="1"/>
  <c r="S482" i="56"/>
  <c r="Z482" i="56" s="1"/>
  <c r="AA482" i="56" s="1"/>
  <c r="S481" i="56"/>
  <c r="Z481" i="56" s="1"/>
  <c r="AA481" i="56" s="1"/>
  <c r="AJ151" i="57" a="1"/>
  <c r="AJ151" i="57" s="1"/>
  <c r="S441" i="56"/>
  <c r="Z441" i="56" s="1"/>
  <c r="AA441" i="56" s="1"/>
  <c r="S443" i="56"/>
  <c r="Z443" i="56" s="1"/>
  <c r="AA443" i="56" s="1"/>
  <c r="S442" i="56"/>
  <c r="Z442" i="56" s="1"/>
  <c r="AA442" i="56" s="1"/>
  <c r="AJ54" i="57" a="1"/>
  <c r="AJ54" i="57" s="1"/>
  <c r="S152" i="56"/>
  <c r="Z152" i="56" s="1"/>
  <c r="AA152" i="56" s="1"/>
  <c r="S151" i="56"/>
  <c r="Z151" i="56" s="1"/>
  <c r="AA151" i="56" s="1"/>
  <c r="S150" i="56"/>
  <c r="Z150" i="56" s="1"/>
  <c r="AA150" i="56" s="1"/>
  <c r="AJ77" i="57" a="1"/>
  <c r="AJ77" i="57" s="1"/>
  <c r="S219" i="56"/>
  <c r="Z219" i="56" s="1"/>
  <c r="AA219" i="56" s="1"/>
  <c r="S220" i="56"/>
  <c r="Z220" i="56" s="1"/>
  <c r="AA220" i="56" s="1"/>
  <c r="S221" i="56"/>
  <c r="Z221" i="56" s="1"/>
  <c r="AA221" i="56" s="1"/>
  <c r="AZ183" i="57"/>
  <c r="S537" i="56"/>
  <c r="Z537" i="56" s="1"/>
  <c r="AA537" i="56" s="1"/>
  <c r="S539" i="56"/>
  <c r="Z539" i="56" s="1"/>
  <c r="AA539" i="56" s="1"/>
  <c r="S538" i="56"/>
  <c r="Z538" i="56" s="1"/>
  <c r="AA538" i="56" s="1"/>
  <c r="U120" i="57"/>
  <c r="W120" i="57"/>
  <c r="AZ133" i="57"/>
  <c r="S388" i="56"/>
  <c r="Z388" i="56" s="1"/>
  <c r="AA388" i="56" s="1"/>
  <c r="S389" i="56"/>
  <c r="Z389" i="56" s="1"/>
  <c r="AA389" i="56" s="1"/>
  <c r="S387" i="56"/>
  <c r="Z387" i="56" s="1"/>
  <c r="AA387" i="56" s="1"/>
  <c r="AJ102" i="57" a="1"/>
  <c r="AJ102" i="57" s="1"/>
  <c r="AZ102" i="57" s="1"/>
  <c r="S294" i="56"/>
  <c r="Z294" i="56" s="1"/>
  <c r="AA294" i="56" s="1"/>
  <c r="S295" i="56"/>
  <c r="Z295" i="56" s="1"/>
  <c r="AA295" i="56" s="1"/>
  <c r="S296" i="56"/>
  <c r="Z296" i="56" s="1"/>
  <c r="AA296" i="56" s="1"/>
  <c r="AJ128" i="57" a="1"/>
  <c r="AJ128" i="57" s="1"/>
  <c r="S372" i="56"/>
  <c r="Z372" i="56" s="1"/>
  <c r="AA372" i="56" s="1"/>
  <c r="S374" i="56"/>
  <c r="Z374" i="56" s="1"/>
  <c r="AA374" i="56" s="1"/>
  <c r="S373" i="56"/>
  <c r="Z373" i="56" s="1"/>
  <c r="AA373" i="56" s="1"/>
  <c r="AZ56" i="57"/>
  <c r="S157" i="56"/>
  <c r="Z157" i="56" s="1"/>
  <c r="AA157" i="56" s="1"/>
  <c r="S156" i="56"/>
  <c r="Z156" i="56" s="1"/>
  <c r="AA156" i="56" s="1"/>
  <c r="S158" i="56"/>
  <c r="Z158" i="56" s="1"/>
  <c r="AA158" i="56" s="1"/>
  <c r="AJ157" i="57" a="1"/>
  <c r="AJ157" i="57" s="1"/>
  <c r="S460" i="56"/>
  <c r="Z460" i="56" s="1"/>
  <c r="AA460" i="56" s="1"/>
  <c r="S461" i="56"/>
  <c r="Z461" i="56" s="1"/>
  <c r="AA461" i="56" s="1"/>
  <c r="S459" i="56"/>
  <c r="Z459" i="56" s="1"/>
  <c r="AA459" i="56" s="1"/>
  <c r="AJ62" i="57" a="1"/>
  <c r="AJ62" i="57" s="1"/>
  <c r="S174" i="56"/>
  <c r="Z174" i="56" s="1"/>
  <c r="AA174" i="56" s="1"/>
  <c r="S176" i="56"/>
  <c r="Z176" i="56" s="1"/>
  <c r="AA176" i="56" s="1"/>
  <c r="S175" i="56"/>
  <c r="Z175" i="56" s="1"/>
  <c r="AA175" i="56" s="1"/>
  <c r="AJ148" i="57" a="1"/>
  <c r="AJ148" i="57" s="1"/>
  <c r="S434" i="56"/>
  <c r="Z434" i="56" s="1"/>
  <c r="AA434" i="56" s="1"/>
  <c r="S433" i="56"/>
  <c r="Z433" i="56" s="1"/>
  <c r="AA433" i="56" s="1"/>
  <c r="S432" i="56"/>
  <c r="Z432" i="56" s="1"/>
  <c r="AA432" i="56" s="1"/>
  <c r="AJ161" i="57" a="1"/>
  <c r="AJ161" i="57" s="1"/>
  <c r="S472" i="56"/>
  <c r="Z472" i="56" s="1"/>
  <c r="AA472" i="56" s="1"/>
  <c r="S471" i="56"/>
  <c r="Z471" i="56" s="1"/>
  <c r="AA471" i="56" s="1"/>
  <c r="S473" i="56"/>
  <c r="Z473" i="56" s="1"/>
  <c r="AA473" i="56" s="1"/>
  <c r="AJ144" i="57" a="1"/>
  <c r="AJ144" i="57" s="1"/>
  <c r="S422" i="56"/>
  <c r="Z422" i="56" s="1"/>
  <c r="AA422" i="56" s="1"/>
  <c r="S421" i="56"/>
  <c r="Z421" i="56" s="1"/>
  <c r="AA421" i="56" s="1"/>
  <c r="S420" i="56"/>
  <c r="Z420" i="56" s="1"/>
  <c r="AA420" i="56" s="1"/>
  <c r="AZ86" i="57"/>
  <c r="S247" i="56"/>
  <c r="Z247" i="56" s="1"/>
  <c r="AA247" i="56" s="1"/>
  <c r="S248" i="56"/>
  <c r="Z248" i="56" s="1"/>
  <c r="AA248" i="56" s="1"/>
  <c r="S246" i="56"/>
  <c r="Z246" i="56" s="1"/>
  <c r="AA246" i="56" s="1"/>
  <c r="R76" i="57"/>
  <c r="AM76" i="57" s="1"/>
  <c r="U76" i="57"/>
  <c r="W76" i="57"/>
  <c r="AZ120" i="57"/>
  <c r="S348" i="56"/>
  <c r="Z348" i="56" s="1"/>
  <c r="AA348" i="56" s="1"/>
  <c r="S350" i="56"/>
  <c r="Z350" i="56" s="1"/>
  <c r="AA350" i="56" s="1"/>
  <c r="S349" i="56"/>
  <c r="Z349" i="56" s="1"/>
  <c r="AA349" i="56" s="1"/>
  <c r="R120" i="57"/>
  <c r="AJ74" i="57" a="1"/>
  <c r="AJ74" i="57" s="1"/>
  <c r="AZ74" i="57" s="1"/>
  <c r="S211" i="56"/>
  <c r="Z211" i="56" s="1"/>
  <c r="AA211" i="56" s="1"/>
  <c r="S210" i="56"/>
  <c r="Z210" i="56" s="1"/>
  <c r="AA210" i="56" s="1"/>
  <c r="S212" i="56"/>
  <c r="Z212" i="56" s="1"/>
  <c r="AA212" i="56" s="1"/>
  <c r="S343" i="56"/>
  <c r="Z343" i="56" s="1"/>
  <c r="AA343" i="56" s="1"/>
  <c r="S344" i="56"/>
  <c r="Z344" i="56" s="1"/>
  <c r="AA344" i="56" s="1"/>
  <c r="S342" i="56"/>
  <c r="Z342" i="56" s="1"/>
  <c r="AA342" i="56" s="1"/>
  <c r="AJ118" i="57" a="1"/>
  <c r="AJ118" i="57" s="1"/>
  <c r="AJ17" i="57" a="1"/>
  <c r="AJ17" i="57" s="1"/>
  <c r="S41" i="56"/>
  <c r="Z41" i="56" s="1"/>
  <c r="AA41" i="56" s="1"/>
  <c r="S39" i="56"/>
  <c r="Z39" i="56" s="1"/>
  <c r="AA39" i="56" s="1"/>
  <c r="S40" i="56"/>
  <c r="Z40" i="56" s="1"/>
  <c r="AA40" i="56" s="1"/>
  <c r="S466" i="56"/>
  <c r="Z466" i="56" s="1"/>
  <c r="AA466" i="56" s="1"/>
  <c r="S467" i="56"/>
  <c r="Z467" i="56" s="1"/>
  <c r="AA467" i="56" s="1"/>
  <c r="S465" i="56"/>
  <c r="Z465" i="56" s="1"/>
  <c r="AA465" i="56" s="1"/>
  <c r="AJ159" i="57" a="1"/>
  <c r="AJ159" i="57" s="1"/>
  <c r="AJ99" i="57" a="1"/>
  <c r="AJ99" i="57" s="1"/>
  <c r="S287" i="56"/>
  <c r="Z287" i="56" s="1"/>
  <c r="AA287" i="56" s="1"/>
  <c r="S285" i="56"/>
  <c r="Z285" i="56" s="1"/>
  <c r="AA285" i="56" s="1"/>
  <c r="S286" i="56"/>
  <c r="Z286" i="56" s="1"/>
  <c r="AA286" i="56" s="1"/>
  <c r="AZ143" i="57"/>
  <c r="S418" i="56"/>
  <c r="Z418" i="56" s="1"/>
  <c r="AA418" i="56" s="1"/>
  <c r="S419" i="56"/>
  <c r="Z419" i="56" s="1"/>
  <c r="AA419" i="56" s="1"/>
  <c r="S417" i="56"/>
  <c r="Z417" i="56" s="1"/>
  <c r="AA417" i="56" s="1"/>
  <c r="AJ155" i="57" a="1"/>
  <c r="AJ155" i="57" s="1"/>
  <c r="S454" i="56"/>
  <c r="Z454" i="56" s="1"/>
  <c r="AA454" i="56" s="1"/>
  <c r="S455" i="56"/>
  <c r="Z455" i="56" s="1"/>
  <c r="AA455" i="56" s="1"/>
  <c r="S453" i="56"/>
  <c r="Z453" i="56" s="1"/>
  <c r="AA453" i="56" s="1"/>
  <c r="AZ76" i="57"/>
  <c r="S216" i="56"/>
  <c r="Z216" i="56" s="1"/>
  <c r="AA216" i="56" s="1"/>
  <c r="S217" i="56"/>
  <c r="Z217" i="56" s="1"/>
  <c r="AA217" i="56" s="1"/>
  <c r="S218" i="56"/>
  <c r="Z218" i="56" s="1"/>
  <c r="AA218" i="56" s="1"/>
  <c r="AJ171" i="57" a="1"/>
  <c r="AJ171" i="57" s="1"/>
  <c r="S503" i="56"/>
  <c r="Z503" i="56" s="1"/>
  <c r="AA503" i="56" s="1"/>
  <c r="S502" i="56"/>
  <c r="Z502" i="56" s="1"/>
  <c r="AA502" i="56" s="1"/>
  <c r="S501" i="56"/>
  <c r="Z501" i="56" s="1"/>
  <c r="AA501" i="56" s="1"/>
  <c r="AJ94" i="57" a="1"/>
  <c r="AJ94" i="57" s="1"/>
  <c r="S272" i="56"/>
  <c r="Z272" i="56" s="1"/>
  <c r="AA272" i="56" s="1"/>
  <c r="S270" i="56"/>
  <c r="Z270" i="56" s="1"/>
  <c r="AA270" i="56" s="1"/>
  <c r="S271" i="56"/>
  <c r="Z271" i="56" s="1"/>
  <c r="AA271" i="56" s="1"/>
  <c r="AZ10" i="57"/>
  <c r="S20" i="56"/>
  <c r="Z20" i="56" s="1"/>
  <c r="AA20" i="56" s="1"/>
  <c r="S18" i="56"/>
  <c r="Z18" i="56" s="1"/>
  <c r="AA18" i="56" s="1"/>
  <c r="S19" i="56"/>
  <c r="Z19" i="56" s="1"/>
  <c r="AA19" i="56" s="1"/>
  <c r="AJ121" i="57" a="1"/>
  <c r="AJ121" i="57" s="1"/>
  <c r="S351" i="56"/>
  <c r="Z351" i="56" s="1"/>
  <c r="AA351" i="56" s="1"/>
  <c r="S352" i="56"/>
  <c r="Z352" i="56" s="1"/>
  <c r="AA352" i="56" s="1"/>
  <c r="S353" i="56"/>
  <c r="Z353" i="56" s="1"/>
  <c r="AA353" i="56" s="1"/>
  <c r="AZ173" i="57"/>
  <c r="S508" i="56"/>
  <c r="Z508" i="56" s="1"/>
  <c r="AA508" i="56" s="1"/>
  <c r="S509" i="56"/>
  <c r="Z509" i="56" s="1"/>
  <c r="AA509" i="56" s="1"/>
  <c r="S507" i="56"/>
  <c r="Z507" i="56" s="1"/>
  <c r="AA507" i="56" s="1"/>
  <c r="AJ84" i="57" a="1"/>
  <c r="AJ84" i="57" s="1"/>
  <c r="S241" i="56"/>
  <c r="Z241" i="56" s="1"/>
  <c r="AA241" i="56" s="1"/>
  <c r="S242" i="56"/>
  <c r="Z242" i="56" s="1"/>
  <c r="AA242" i="56" s="1"/>
  <c r="S240" i="56"/>
  <c r="Z240" i="56" s="1"/>
  <c r="AA240" i="56" s="1"/>
  <c r="S406" i="56"/>
  <c r="Z406" i="56" s="1"/>
  <c r="AA406" i="56" s="1"/>
  <c r="S407" i="56"/>
  <c r="Z407" i="56" s="1"/>
  <c r="AA407" i="56" s="1"/>
  <c r="S405" i="56"/>
  <c r="Z405" i="56" s="1"/>
  <c r="AA405" i="56" s="1"/>
  <c r="AJ139" i="57" a="1"/>
  <c r="AJ139" i="57" s="1"/>
  <c r="AZ33" i="57"/>
  <c r="S89" i="56"/>
  <c r="Z89" i="56" s="1"/>
  <c r="AA89" i="56" s="1"/>
  <c r="S88" i="56"/>
  <c r="Z88" i="56" s="1"/>
  <c r="AA88" i="56" s="1"/>
  <c r="S87" i="56"/>
  <c r="Z87" i="56" s="1"/>
  <c r="AA87" i="56" s="1"/>
  <c r="AJ51" i="57" a="1"/>
  <c r="AJ51" i="57" s="1"/>
  <c r="S143" i="56"/>
  <c r="Z143" i="56" s="1"/>
  <c r="AA143" i="56" s="1"/>
  <c r="S141" i="56"/>
  <c r="Z141" i="56" s="1"/>
  <c r="AA141" i="56" s="1"/>
  <c r="S142" i="56"/>
  <c r="Z142" i="56" s="1"/>
  <c r="AA142" i="56" s="1"/>
  <c r="AJ95" i="57" a="1"/>
  <c r="AJ95" i="57" s="1"/>
  <c r="AZ95" i="57" s="1"/>
  <c r="S273" i="56"/>
  <c r="Z273" i="56" s="1"/>
  <c r="AA273" i="56" s="1"/>
  <c r="S275" i="56"/>
  <c r="Z275" i="56" s="1"/>
  <c r="AA275" i="56" s="1"/>
  <c r="S274" i="56"/>
  <c r="Z274" i="56" s="1"/>
  <c r="AA274" i="56" s="1"/>
  <c r="AJ58" i="57" a="1"/>
  <c r="AJ58" i="57" s="1"/>
  <c r="S164" i="56"/>
  <c r="Z164" i="56" s="1"/>
  <c r="AA164" i="56" s="1"/>
  <c r="S162" i="56"/>
  <c r="Z162" i="56" s="1"/>
  <c r="AA162" i="56" s="1"/>
  <c r="S163" i="56"/>
  <c r="Z163" i="56" s="1"/>
  <c r="AA163" i="56" s="1"/>
  <c r="AJ12" i="57" a="1"/>
  <c r="AJ12" i="57" s="1"/>
  <c r="S25" i="56"/>
  <c r="Z25" i="56" s="1"/>
  <c r="AA25" i="56" s="1"/>
  <c r="S26" i="56"/>
  <c r="Z26" i="56" s="1"/>
  <c r="AA26" i="56" s="1"/>
  <c r="S24" i="56"/>
  <c r="Z24" i="56" s="1"/>
  <c r="AA24" i="56" s="1"/>
  <c r="S469" i="56"/>
  <c r="Z469" i="56" s="1"/>
  <c r="AA469" i="56" s="1"/>
  <c r="AZ160" i="57"/>
  <c r="S470" i="56"/>
  <c r="Z470" i="56" s="1"/>
  <c r="AA470" i="56" s="1"/>
  <c r="S468" i="56"/>
  <c r="Z468" i="56" s="1"/>
  <c r="AA468" i="56" s="1"/>
  <c r="AJ28" i="57" a="1"/>
  <c r="AJ28" i="57" s="1"/>
  <c r="S72" i="56"/>
  <c r="Z72" i="56" s="1"/>
  <c r="AA72" i="56" s="1"/>
  <c r="S73" i="56"/>
  <c r="Z73" i="56" s="1"/>
  <c r="AA73" i="56" s="1"/>
  <c r="S74" i="56"/>
  <c r="Z74" i="56" s="1"/>
  <c r="AA74" i="56" s="1"/>
  <c r="AJ57" i="57" a="1"/>
  <c r="AJ57" i="57" s="1"/>
  <c r="S161" i="56"/>
  <c r="Z161" i="56" s="1"/>
  <c r="AA161" i="56" s="1"/>
  <c r="S160" i="56"/>
  <c r="Z160" i="56" s="1"/>
  <c r="AA160" i="56" s="1"/>
  <c r="S159" i="56"/>
  <c r="Z159" i="56" s="1"/>
  <c r="AA159" i="56" s="1"/>
  <c r="AJ65" i="57" a="1"/>
  <c r="AJ65" i="57" s="1"/>
  <c r="S185" i="56"/>
  <c r="Z185" i="56" s="1"/>
  <c r="AA185" i="56" s="1"/>
  <c r="S184" i="56"/>
  <c r="Z184" i="56" s="1"/>
  <c r="AA184" i="56" s="1"/>
  <c r="S183" i="56"/>
  <c r="Z183" i="56" s="1"/>
  <c r="AA183" i="56" s="1"/>
  <c r="AJ101" i="57" a="1"/>
  <c r="AJ101" i="57" s="1"/>
  <c r="S292" i="56"/>
  <c r="Z292" i="56" s="1"/>
  <c r="AA292" i="56" s="1"/>
  <c r="S291" i="56"/>
  <c r="Z291" i="56" s="1"/>
  <c r="AA291" i="56" s="1"/>
  <c r="S293" i="56"/>
  <c r="Z293" i="56" s="1"/>
  <c r="AA293" i="56" s="1"/>
  <c r="AJ29" i="57" a="1"/>
  <c r="AJ29" i="57" s="1"/>
  <c r="AZ29" i="57" s="1"/>
  <c r="S76" i="56"/>
  <c r="Z76" i="56" s="1"/>
  <c r="AA76" i="56" s="1"/>
  <c r="S75" i="56"/>
  <c r="Z75" i="56" s="1"/>
  <c r="AA75" i="56" s="1"/>
  <c r="S77" i="56"/>
  <c r="Z77" i="56" s="1"/>
  <c r="AA77" i="56" s="1"/>
  <c r="AJ11" i="57" a="1"/>
  <c r="AJ11" i="57" s="1"/>
  <c r="S22" i="56"/>
  <c r="Z22" i="56" s="1"/>
  <c r="AA22" i="56" s="1"/>
  <c r="S21" i="56"/>
  <c r="Z21" i="56" s="1"/>
  <c r="AA21" i="56" s="1"/>
  <c r="S23" i="56"/>
  <c r="Z23" i="56" s="1"/>
  <c r="AA23" i="56" s="1"/>
  <c r="AJ97" i="57" a="1"/>
  <c r="AJ97" i="57" s="1"/>
  <c r="AZ97" i="57" s="1"/>
  <c r="S280" i="56"/>
  <c r="Z280" i="56" s="1"/>
  <c r="AA280" i="56" s="1"/>
  <c r="S279" i="56"/>
  <c r="Z279" i="56" s="1"/>
  <c r="AA279" i="56" s="1"/>
  <c r="S281" i="56"/>
  <c r="Z281" i="56" s="1"/>
  <c r="AA281" i="56" s="1"/>
  <c r="U130" i="57"/>
  <c r="W130" i="57"/>
  <c r="S511" i="56"/>
  <c r="Z511" i="56" s="1"/>
  <c r="AA511" i="56" s="1"/>
  <c r="S512" i="56"/>
  <c r="Z512" i="56" s="1"/>
  <c r="AA512" i="56" s="1"/>
  <c r="S510" i="56"/>
  <c r="Z510" i="56" s="1"/>
  <c r="AA510" i="56" s="1"/>
  <c r="AJ174" i="57" a="1"/>
  <c r="AJ174" i="57" s="1"/>
  <c r="AJ135" i="57" a="1"/>
  <c r="AJ135" i="57" s="1"/>
  <c r="S395" i="56"/>
  <c r="Z395" i="56" s="1"/>
  <c r="AA395" i="56" s="1"/>
  <c r="S394" i="56"/>
  <c r="Z394" i="56" s="1"/>
  <c r="AA394" i="56" s="1"/>
  <c r="S393" i="56"/>
  <c r="Z393" i="56" s="1"/>
  <c r="AA393" i="56" s="1"/>
  <c r="AZ90" i="57"/>
  <c r="S260" i="56"/>
  <c r="Z260" i="56" s="1"/>
  <c r="AA260" i="56" s="1"/>
  <c r="S258" i="56"/>
  <c r="Z258" i="56" s="1"/>
  <c r="AA258" i="56" s="1"/>
  <c r="S259" i="56"/>
  <c r="Z259" i="56" s="1"/>
  <c r="AA259" i="56" s="1"/>
  <c r="AJ169" i="57" a="1"/>
  <c r="AJ169" i="57" s="1"/>
  <c r="S496" i="56"/>
  <c r="Z496" i="56" s="1"/>
  <c r="AA496" i="56" s="1"/>
  <c r="S495" i="56"/>
  <c r="Z495" i="56" s="1"/>
  <c r="AA495" i="56" s="1"/>
  <c r="S497" i="56"/>
  <c r="Z497" i="56" s="1"/>
  <c r="AA497" i="56" s="1"/>
  <c r="AZ153" i="57"/>
  <c r="S447" i="56"/>
  <c r="Z447" i="56" s="1"/>
  <c r="AA447" i="56" s="1"/>
  <c r="S449" i="56"/>
  <c r="Z449" i="56" s="1"/>
  <c r="AA449" i="56" s="1"/>
  <c r="S448" i="56"/>
  <c r="Z448" i="56" s="1"/>
  <c r="AA448" i="56" s="1"/>
  <c r="S309" i="56"/>
  <c r="Z309" i="56" s="1"/>
  <c r="AA309" i="56" s="1"/>
  <c r="S310" i="56"/>
  <c r="Z310" i="56" s="1"/>
  <c r="AA310" i="56" s="1"/>
  <c r="S311" i="56"/>
  <c r="Z311" i="56" s="1"/>
  <c r="AA311" i="56" s="1"/>
  <c r="AJ107" i="57" a="1"/>
  <c r="AJ107" i="57" s="1"/>
  <c r="AJ34" i="57" a="1"/>
  <c r="AJ34" i="57" s="1"/>
  <c r="S91" i="56"/>
  <c r="Z91" i="56" s="1"/>
  <c r="AA91" i="56" s="1"/>
  <c r="S90" i="56"/>
  <c r="Z90" i="56" s="1"/>
  <c r="AA90" i="56" s="1"/>
  <c r="S92" i="56"/>
  <c r="Z92" i="56" s="1"/>
  <c r="AA92" i="56" s="1"/>
  <c r="AZ170" i="57"/>
  <c r="S499" i="56"/>
  <c r="Z499" i="56" s="1"/>
  <c r="AA499" i="56" s="1"/>
  <c r="S498" i="56"/>
  <c r="Z498" i="56" s="1"/>
  <c r="AA498" i="56" s="1"/>
  <c r="S500" i="56"/>
  <c r="Z500" i="56" s="1"/>
  <c r="AA500" i="56" s="1"/>
  <c r="AJ145" i="57" a="1"/>
  <c r="AJ145" i="57" s="1"/>
  <c r="S423" i="56"/>
  <c r="Z423" i="56" s="1"/>
  <c r="AA423" i="56" s="1"/>
  <c r="S424" i="56"/>
  <c r="Z424" i="56" s="1"/>
  <c r="AA424" i="56" s="1"/>
  <c r="S425" i="56"/>
  <c r="Z425" i="56" s="1"/>
  <c r="AA425" i="56" s="1"/>
  <c r="AJ37" i="57" a="1"/>
  <c r="AJ37" i="57" s="1"/>
  <c r="S101" i="56"/>
  <c r="Z101" i="56" s="1"/>
  <c r="AA101" i="56" s="1"/>
  <c r="S99" i="56"/>
  <c r="Z99" i="56" s="1"/>
  <c r="AA99" i="56" s="1"/>
  <c r="S100" i="56"/>
  <c r="Z100" i="56" s="1"/>
  <c r="AA100" i="56" s="1"/>
  <c r="AZ180" i="57"/>
  <c r="S529" i="56"/>
  <c r="Z529" i="56" s="1"/>
  <c r="AA529" i="56" s="1"/>
  <c r="S530" i="56"/>
  <c r="Z530" i="56" s="1"/>
  <c r="AA530" i="56" s="1"/>
  <c r="S528" i="56"/>
  <c r="Z528" i="56" s="1"/>
  <c r="AA528" i="56" s="1"/>
  <c r="AJ71" i="57" a="1"/>
  <c r="AJ71" i="57" s="1"/>
  <c r="S203" i="56"/>
  <c r="Z203" i="56" s="1"/>
  <c r="AA203" i="56" s="1"/>
  <c r="S202" i="56"/>
  <c r="Z202" i="56" s="1"/>
  <c r="AA202" i="56" s="1"/>
  <c r="S201" i="56"/>
  <c r="Z201" i="56" s="1"/>
  <c r="AA201" i="56" s="1"/>
  <c r="AZ20" i="57"/>
  <c r="S48" i="56"/>
  <c r="Z48" i="56" s="1"/>
  <c r="AA48" i="56" s="1"/>
  <c r="S50" i="56"/>
  <c r="Z50" i="56" s="1"/>
  <c r="AA50" i="56" s="1"/>
  <c r="S49" i="56"/>
  <c r="Z49" i="56" s="1"/>
  <c r="AA49" i="56" s="1"/>
  <c r="AZ26" i="57"/>
  <c r="S68" i="56"/>
  <c r="Z68" i="56" s="1"/>
  <c r="AA68" i="56" s="1"/>
  <c r="S66" i="56"/>
  <c r="Z66" i="56" s="1"/>
  <c r="AA66" i="56" s="1"/>
  <c r="S67" i="56"/>
  <c r="Z67" i="56" s="1"/>
  <c r="AA67" i="56" s="1"/>
  <c r="U43" i="57"/>
  <c r="W43" i="57"/>
  <c r="S146" i="56"/>
  <c r="Z146" i="56" s="1"/>
  <c r="AA146" i="56" s="1"/>
  <c r="S145" i="56"/>
  <c r="Z145" i="56" s="1"/>
  <c r="AA145" i="56" s="1"/>
  <c r="S144" i="56"/>
  <c r="Z144" i="56" s="1"/>
  <c r="AA144" i="56" s="1"/>
  <c r="AJ52" i="57" a="1"/>
  <c r="AJ52" i="57" s="1"/>
  <c r="S345" i="56"/>
  <c r="Z345" i="56" s="1"/>
  <c r="AA345" i="56" s="1"/>
  <c r="S346" i="56"/>
  <c r="Z346" i="56" s="1"/>
  <c r="AA346" i="56" s="1"/>
  <c r="S347" i="56"/>
  <c r="Z347" i="56" s="1"/>
  <c r="AA347" i="56" s="1"/>
  <c r="AJ119" i="57" a="1"/>
  <c r="AJ119" i="57" s="1"/>
  <c r="AJ87" i="57" a="1"/>
  <c r="AJ87" i="57" s="1"/>
  <c r="S249" i="56"/>
  <c r="Z249" i="56" s="1"/>
  <c r="AA249" i="56" s="1"/>
  <c r="S251" i="56"/>
  <c r="Z251" i="56" s="1"/>
  <c r="AA251" i="56" s="1"/>
  <c r="S250" i="56"/>
  <c r="Z250" i="56" s="1"/>
  <c r="AA250" i="56" s="1"/>
  <c r="AZ156" i="57"/>
  <c r="S456" i="56"/>
  <c r="Z456" i="56" s="1"/>
  <c r="AA456" i="56" s="1"/>
  <c r="S457" i="56"/>
  <c r="Z457" i="56" s="1"/>
  <c r="AA457" i="56" s="1"/>
  <c r="S458" i="56"/>
  <c r="Z458" i="56" s="1"/>
  <c r="AA458" i="56" s="1"/>
  <c r="AJ14" i="57" a="1"/>
  <c r="AJ14" i="57" s="1"/>
  <c r="S31" i="56"/>
  <c r="Z31" i="56" s="1"/>
  <c r="AA31" i="56" s="1"/>
  <c r="S30" i="56"/>
  <c r="Z30" i="56" s="1"/>
  <c r="AA30" i="56" s="1"/>
  <c r="S32" i="56"/>
  <c r="Z32" i="56" s="1"/>
  <c r="AA32" i="56" s="1"/>
  <c r="AZ100" i="57"/>
  <c r="S289" i="56"/>
  <c r="Z289" i="56" s="1"/>
  <c r="AA289" i="56" s="1"/>
  <c r="S288" i="56"/>
  <c r="Z288" i="56" s="1"/>
  <c r="AA288" i="56" s="1"/>
  <c r="S290" i="56"/>
  <c r="Z290" i="56" s="1"/>
  <c r="AA290" i="56" s="1"/>
  <c r="AJ15" i="57" a="1"/>
  <c r="AJ15" i="57" s="1"/>
  <c r="S35" i="56"/>
  <c r="Z35" i="56" s="1"/>
  <c r="AA35" i="56" s="1"/>
  <c r="S34" i="56"/>
  <c r="Z34" i="56" s="1"/>
  <c r="AA34" i="56" s="1"/>
  <c r="S33" i="56"/>
  <c r="Z33" i="56" s="1"/>
  <c r="AA33" i="56" s="1"/>
  <c r="AJ154" i="57" a="1"/>
  <c r="AJ154" i="57" s="1"/>
  <c r="S452" i="56"/>
  <c r="Z452" i="56" s="1"/>
  <c r="AA452" i="56" s="1"/>
  <c r="S451" i="56"/>
  <c r="Z451" i="56" s="1"/>
  <c r="AA451" i="56" s="1"/>
  <c r="S450" i="56"/>
  <c r="Z450" i="56" s="1"/>
  <c r="AA450" i="56" s="1"/>
  <c r="AJ122" i="57" a="1"/>
  <c r="AJ122" i="57" s="1"/>
  <c r="S356" i="56"/>
  <c r="Z356" i="56" s="1"/>
  <c r="AA356" i="56" s="1"/>
  <c r="S355" i="56"/>
  <c r="Z355" i="56" s="1"/>
  <c r="AA355" i="56" s="1"/>
  <c r="S354" i="56"/>
  <c r="Z354" i="56" s="1"/>
  <c r="AA354" i="56" s="1"/>
  <c r="AJ114" i="57" a="1"/>
  <c r="AJ114" i="57" s="1"/>
  <c r="S330" i="56"/>
  <c r="Z330" i="56" s="1"/>
  <c r="AA330" i="56" s="1"/>
  <c r="S331" i="56"/>
  <c r="Z331" i="56" s="1"/>
  <c r="AA331" i="56" s="1"/>
  <c r="S332" i="56"/>
  <c r="Z332" i="56" s="1"/>
  <c r="AA332" i="56" s="1"/>
  <c r="AJ111" i="57" a="1"/>
  <c r="AJ111" i="57" s="1"/>
  <c r="S322" i="56"/>
  <c r="Z322" i="56" s="1"/>
  <c r="AA322" i="56" s="1"/>
  <c r="S323" i="56"/>
  <c r="Z323" i="56" s="1"/>
  <c r="AA323" i="56" s="1"/>
  <c r="S321" i="56"/>
  <c r="Z321" i="56" s="1"/>
  <c r="AA321" i="56" s="1"/>
  <c r="AJ137" i="57" a="1"/>
  <c r="AJ137" i="57" s="1"/>
  <c r="S399" i="56"/>
  <c r="Z399" i="56" s="1"/>
  <c r="AA399" i="56" s="1"/>
  <c r="S401" i="56"/>
  <c r="Z401" i="56" s="1"/>
  <c r="AA401" i="56" s="1"/>
  <c r="S400" i="56"/>
  <c r="Z400" i="56" s="1"/>
  <c r="AA400" i="56" s="1"/>
  <c r="AZ13" i="57"/>
  <c r="S29" i="56"/>
  <c r="Z29" i="56" s="1"/>
  <c r="AA29" i="56" s="1"/>
  <c r="S27" i="56"/>
  <c r="Z27" i="56" s="1"/>
  <c r="AA27" i="56" s="1"/>
  <c r="S28" i="56"/>
  <c r="Z28" i="56" s="1"/>
  <c r="AA28" i="56" s="1"/>
  <c r="R13" i="57"/>
  <c r="AR58" i="32"/>
  <c r="AN58" i="32"/>
  <c r="AJ58" i="32"/>
  <c r="AH23" i="32" a="1"/>
  <c r="AH23" i="32" s="1"/>
  <c r="K3" i="5"/>
  <c r="N3" i="5"/>
  <c r="N4" i="5"/>
  <c r="K4" i="5"/>
  <c r="M4" i="5" s="1"/>
  <c r="N5" i="5"/>
  <c r="K5" i="5"/>
  <c r="M5" i="5" s="1"/>
  <c r="AL75" i="9" a="1"/>
  <c r="AL75" i="9" s="1"/>
  <c r="AL74" i="9" a="1"/>
  <c r="AL74" i="9" s="1"/>
  <c r="AP74" i="9" a="1"/>
  <c r="AP74" i="9" s="1"/>
  <c r="AL23" i="32" l="1" a="1"/>
  <c r="AL23" i="32" s="1"/>
  <c r="AL73" i="9" a="1"/>
  <c r="AL73" i="9" s="1"/>
  <c r="AP23" i="32" a="1"/>
  <c r="AP23" i="32" s="1"/>
  <c r="AP73" i="9" a="1"/>
  <c r="AP73" i="9" s="1"/>
  <c r="R160" i="57"/>
  <c r="T470" i="56" s="1"/>
  <c r="U160" i="57"/>
  <c r="R60" i="57"/>
  <c r="T169" i="56" s="1"/>
  <c r="R133" i="57"/>
  <c r="AM133" i="57" s="1"/>
  <c r="R123" i="57"/>
  <c r="T357" i="56" s="1"/>
  <c r="W123" i="57"/>
  <c r="AB123" i="57" s="1"/>
  <c r="AC123" i="57" s="1"/>
  <c r="G3" i="32"/>
  <c r="S3" i="32" s="1" a="1"/>
  <c r="S3" i="32" s="1"/>
  <c r="U60" i="57"/>
  <c r="R40" i="57"/>
  <c r="T109" i="56" s="1"/>
  <c r="AI189" i="57" a="1"/>
  <c r="AI189" i="57" s="1"/>
  <c r="T189" i="57" s="1"/>
  <c r="R189" i="57" s="1"/>
  <c r="AI209" i="57" a="1"/>
  <c r="AI209" i="57" s="1"/>
  <c r="T209" i="57" s="1"/>
  <c r="R209" i="57" s="1"/>
  <c r="AI207" i="57" a="1"/>
  <c r="AI207" i="57" s="1"/>
  <c r="T207" i="57" s="1"/>
  <c r="U207" i="57" s="1"/>
  <c r="AI227" i="57" a="1"/>
  <c r="AI227" i="57" s="1"/>
  <c r="S230" i="57"/>
  <c r="AM230" i="57"/>
  <c r="S208" i="57"/>
  <c r="AM208" i="57"/>
  <c r="W236" i="57"/>
  <c r="U236" i="57"/>
  <c r="W208" i="57"/>
  <c r="U208" i="57"/>
  <c r="S236" i="57"/>
  <c r="AM236" i="57"/>
  <c r="AZ191" i="57"/>
  <c r="AI191" i="57" a="1"/>
  <c r="AI191" i="57" s="1"/>
  <c r="AZ217" i="57"/>
  <c r="AI217" i="57" a="1"/>
  <c r="AI217" i="57" s="1"/>
  <c r="T217" i="57" s="1"/>
  <c r="W246" i="57"/>
  <c r="U246" i="57"/>
  <c r="AZ257" i="57"/>
  <c r="AI257" i="57" a="1"/>
  <c r="AI257" i="57" s="1"/>
  <c r="R232" i="57"/>
  <c r="W232" i="57"/>
  <c r="U232" i="57"/>
  <c r="AI213" i="57" a="1"/>
  <c r="AI213" i="57" s="1"/>
  <c r="AI193" i="57" a="1"/>
  <c r="AI193" i="57" s="1"/>
  <c r="R248" i="57"/>
  <c r="W248" i="57"/>
  <c r="U248" i="57"/>
  <c r="W234" i="57"/>
  <c r="U234" i="57"/>
  <c r="AI253" i="57" a="1"/>
  <c r="AI253" i="57" s="1"/>
  <c r="AI211" i="57" a="1"/>
  <c r="AI211" i="57" s="1"/>
  <c r="AZ247" i="57"/>
  <c r="AI247" i="57" a="1"/>
  <c r="AI247" i="57" s="1"/>
  <c r="T247" i="57" s="1"/>
  <c r="R200" i="57"/>
  <c r="U200" i="57"/>
  <c r="W200" i="57"/>
  <c r="AI221" i="57" a="1"/>
  <c r="AI221" i="57" s="1"/>
  <c r="AI197" i="57" a="1"/>
  <c r="AI197" i="57" s="1"/>
  <c r="U206" i="57"/>
  <c r="W206" i="57"/>
  <c r="AI239" i="57" a="1"/>
  <c r="AI239" i="57" s="1"/>
  <c r="AI237" i="57" a="1"/>
  <c r="AI237" i="57" s="1"/>
  <c r="T237" i="57" s="1"/>
  <c r="V546" i="56"/>
  <c r="Y546" i="56" s="1"/>
  <c r="Z546" i="56"/>
  <c r="AA546" i="56" s="1"/>
  <c r="W546" i="56"/>
  <c r="AM546" i="56"/>
  <c r="AL546" i="56" s="1"/>
  <c r="AZ199" i="57"/>
  <c r="AI199" i="57" a="1"/>
  <c r="AI199" i="57" s="1"/>
  <c r="T199" i="57" s="1"/>
  <c r="AI219" i="57" a="1"/>
  <c r="AI219" i="57" s="1"/>
  <c r="R186" i="57"/>
  <c r="U186" i="57"/>
  <c r="W186" i="57"/>
  <c r="S214" i="57"/>
  <c r="AM214" i="57"/>
  <c r="AI187" i="57" a="1"/>
  <c r="AI187" i="57" s="1"/>
  <c r="T187" i="57" s="1"/>
  <c r="U216" i="57"/>
  <c r="W216" i="57"/>
  <c r="AZ229" i="57"/>
  <c r="AI229" i="57" a="1"/>
  <c r="AI229" i="57" s="1"/>
  <c r="U214" i="57"/>
  <c r="W214" i="57"/>
  <c r="AI249" i="57" a="1"/>
  <c r="AI249" i="57" s="1"/>
  <c r="T249" i="57" s="1"/>
  <c r="AI231" i="57" a="1"/>
  <c r="AI231" i="57" s="1"/>
  <c r="T231" i="57" s="1"/>
  <c r="U230" i="57"/>
  <c r="W230" i="57"/>
  <c r="AI203" i="57" a="1"/>
  <c r="AI203" i="57" s="1"/>
  <c r="AZ225" i="57"/>
  <c r="AI225" i="57" a="1"/>
  <c r="AI225" i="57" s="1"/>
  <c r="AI205" i="57" a="1"/>
  <c r="AI205" i="57" s="1"/>
  <c r="AI215" i="57" a="1"/>
  <c r="AI215" i="57" s="1"/>
  <c r="T215" i="57" s="1"/>
  <c r="S198" i="57"/>
  <c r="AM198" i="57"/>
  <c r="AZ243" i="57"/>
  <c r="AI243" i="57" a="1"/>
  <c r="AI243" i="57" s="1"/>
  <c r="S188" i="57"/>
  <c r="AM188" i="57"/>
  <c r="AI241" i="57" a="1"/>
  <c r="AI241" i="57" s="1"/>
  <c r="AI201" i="57" a="1"/>
  <c r="AI201" i="57" s="1"/>
  <c r="T201" i="57" s="1"/>
  <c r="AI195" i="57" a="1"/>
  <c r="AI195" i="57" s="1"/>
  <c r="AM206" i="57"/>
  <c r="AI245" i="57" a="1"/>
  <c r="AI245" i="57" s="1"/>
  <c r="W198" i="57"/>
  <c r="U198" i="57"/>
  <c r="AI235" i="57" a="1"/>
  <c r="AI235" i="57" s="1"/>
  <c r="T235" i="57" s="1"/>
  <c r="U188" i="57"/>
  <c r="W188" i="57"/>
  <c r="AM246" i="57"/>
  <c r="AZ251" i="57"/>
  <c r="AI251" i="57" a="1"/>
  <c r="AI251" i="57" s="1"/>
  <c r="AI233" i="57" a="1"/>
  <c r="AI233" i="57" s="1"/>
  <c r="T233" i="57" s="1"/>
  <c r="AI255" i="57" a="1"/>
  <c r="AI255" i="57" s="1"/>
  <c r="AM234" i="57"/>
  <c r="M3" i="5"/>
  <c r="O3" i="5" s="1"/>
  <c r="R116" i="57"/>
  <c r="T338" i="56" s="1"/>
  <c r="R216" i="57"/>
  <c r="AI223" i="57" a="1"/>
  <c r="AI223" i="57" s="1"/>
  <c r="U40" i="57"/>
  <c r="AI92" i="57" a="1"/>
  <c r="AI92" i="57" s="1"/>
  <c r="W116" i="57"/>
  <c r="V116" i="57" s="1"/>
  <c r="U133" i="57"/>
  <c r="AI104" i="57" a="1"/>
  <c r="AI104" i="57" s="1"/>
  <c r="AI115" i="57" a="1"/>
  <c r="AI115" i="57" s="1"/>
  <c r="AZ147" i="57"/>
  <c r="AI147" i="57" a="1"/>
  <c r="AI147" i="57" s="1"/>
  <c r="AI95" i="57" a="1"/>
  <c r="AI95" i="57" s="1"/>
  <c r="AB36" i="57"/>
  <c r="AC36" i="57" s="1"/>
  <c r="Z36" i="57"/>
  <c r="V36" i="57"/>
  <c r="AI102" i="57" a="1"/>
  <c r="AI102" i="57" s="1"/>
  <c r="AZ55" i="57"/>
  <c r="AI55" i="57" a="1"/>
  <c r="AI55" i="57" s="1"/>
  <c r="S63" i="57"/>
  <c r="T179" i="56"/>
  <c r="T178" i="56"/>
  <c r="T177" i="56"/>
  <c r="AZ128" i="57"/>
  <c r="AI128" i="57" a="1"/>
  <c r="AI128" i="57" s="1"/>
  <c r="T128" i="57" s="1"/>
  <c r="AZ9" i="57"/>
  <c r="AI9" i="57" a="1"/>
  <c r="AI9" i="57" s="1"/>
  <c r="T9" i="57" s="1"/>
  <c r="AZ178" i="57"/>
  <c r="AI178" i="57" a="1"/>
  <c r="AI178" i="57" s="1"/>
  <c r="AI89" i="57" a="1"/>
  <c r="AI89" i="57" s="1"/>
  <c r="AZ89" i="57"/>
  <c r="T97" i="56"/>
  <c r="S36" i="57"/>
  <c r="T96" i="56"/>
  <c r="T98" i="56"/>
  <c r="AM36" i="57"/>
  <c r="Z126" i="57"/>
  <c r="AB126" i="57"/>
  <c r="AC126" i="57" s="1"/>
  <c r="V126" i="57"/>
  <c r="AZ12" i="57"/>
  <c r="AI12" i="57" a="1"/>
  <c r="AI12" i="57" s="1"/>
  <c r="T12" i="57" s="1"/>
  <c r="T7" i="56"/>
  <c r="T8" i="56"/>
  <c r="T6" i="56"/>
  <c r="S6" i="57"/>
  <c r="AZ145" i="57"/>
  <c r="AI145" i="57" a="1"/>
  <c r="AI145" i="57" s="1"/>
  <c r="AI77" i="57" a="1"/>
  <c r="AI77" i="57" s="1"/>
  <c r="T77" i="57" s="1"/>
  <c r="AZ77" i="57"/>
  <c r="AZ119" i="57"/>
  <c r="AI119" i="57" a="1"/>
  <c r="AI119" i="57" s="1"/>
  <c r="T119" i="57" s="1"/>
  <c r="AI99" i="57" a="1"/>
  <c r="AI99" i="57" s="1"/>
  <c r="AZ99" i="57"/>
  <c r="AZ112" i="57"/>
  <c r="AI112" i="57" a="1"/>
  <c r="AI112" i="57" s="1"/>
  <c r="AZ138" i="57"/>
  <c r="AI138" i="57" a="1"/>
  <c r="AI138" i="57" s="1"/>
  <c r="AZ184" i="57"/>
  <c r="AI184" i="57" a="1"/>
  <c r="AI184" i="57" s="1"/>
  <c r="Z83" i="57"/>
  <c r="V83" i="57"/>
  <c r="AB83" i="57"/>
  <c r="AC83" i="57" s="1"/>
  <c r="V163" i="57"/>
  <c r="Z163" i="57"/>
  <c r="AB163" i="57"/>
  <c r="AC163" i="57" s="1"/>
  <c r="AI177" i="57" a="1"/>
  <c r="AI177" i="57" s="1"/>
  <c r="AZ177" i="57"/>
  <c r="AZ114" i="57"/>
  <c r="AI114" i="57" a="1"/>
  <c r="AI114" i="57" s="1"/>
  <c r="AZ159" i="57"/>
  <c r="AI159" i="57" a="1"/>
  <c r="AI159" i="57" s="1"/>
  <c r="T159" i="57" s="1"/>
  <c r="AI125" i="57" a="1"/>
  <c r="AI125" i="57" s="1"/>
  <c r="T125" i="57" s="1"/>
  <c r="AZ125" i="57"/>
  <c r="AB56" i="57"/>
  <c r="AC56" i="57" s="1"/>
  <c r="V56" i="57"/>
  <c r="Z56" i="57"/>
  <c r="AZ24" i="57"/>
  <c r="AI24" i="57" a="1"/>
  <c r="AI24" i="57" s="1"/>
  <c r="S83" i="57"/>
  <c r="T238" i="56"/>
  <c r="T237" i="56"/>
  <c r="T239" i="56"/>
  <c r="AM83" i="57"/>
  <c r="T118" i="56"/>
  <c r="S43" i="57"/>
  <c r="T119" i="56"/>
  <c r="T117" i="56"/>
  <c r="AZ31" i="57"/>
  <c r="AI31" i="57" a="1"/>
  <c r="AI31" i="57" s="1"/>
  <c r="AI22" i="57" a="1"/>
  <c r="AI22" i="57" s="1"/>
  <c r="AZ22" i="57"/>
  <c r="AZ84" i="57"/>
  <c r="AI84" i="57" a="1"/>
  <c r="AI84" i="57" s="1"/>
  <c r="T84" i="57" s="1"/>
  <c r="AZ148" i="57"/>
  <c r="AI148" i="57" a="1"/>
  <c r="AI148" i="57" s="1"/>
  <c r="AZ181" i="57"/>
  <c r="AI181" i="57" a="1"/>
  <c r="AI181" i="57" s="1"/>
  <c r="AZ45" i="57"/>
  <c r="AI45" i="57" a="1"/>
  <c r="AI45" i="57" s="1"/>
  <c r="T45" i="57" s="1"/>
  <c r="AZ168" i="57"/>
  <c r="AI168" i="57" a="1"/>
  <c r="AI168" i="57" s="1"/>
  <c r="T158" i="56"/>
  <c r="T157" i="56"/>
  <c r="S56" i="57"/>
  <c r="T156" i="56"/>
  <c r="AI15" i="57" a="1"/>
  <c r="AI15" i="57" s="1"/>
  <c r="T15" i="57" s="1"/>
  <c r="AZ15" i="57"/>
  <c r="AZ171" i="57"/>
  <c r="AI171" i="57" a="1"/>
  <c r="AI171" i="57" s="1"/>
  <c r="S130" i="57"/>
  <c r="T378" i="56"/>
  <c r="T380" i="56"/>
  <c r="T379" i="56"/>
  <c r="AM130" i="57"/>
  <c r="AI19" i="57" a="1"/>
  <c r="AI19" i="57" s="1"/>
  <c r="AZ19" i="57"/>
  <c r="AZ91" i="57"/>
  <c r="AI91" i="57" a="1"/>
  <c r="AI91" i="57" s="1"/>
  <c r="AZ38" i="57"/>
  <c r="AI38" i="57" a="1"/>
  <c r="AI38" i="57" s="1"/>
  <c r="T38" i="57" s="1"/>
  <c r="S126" i="57"/>
  <c r="T367" i="56"/>
  <c r="T368" i="56"/>
  <c r="T366" i="56"/>
  <c r="AM126" i="57"/>
  <c r="AZ127" i="57"/>
  <c r="AI127" i="57" a="1"/>
  <c r="AI127" i="57" s="1"/>
  <c r="T127" i="57" s="1"/>
  <c r="AB80" i="57"/>
  <c r="AC80" i="57" s="1"/>
  <c r="V80" i="57"/>
  <c r="Z80" i="57"/>
  <c r="AZ67" i="57"/>
  <c r="AI67" i="57" a="1"/>
  <c r="AI67" i="57" s="1"/>
  <c r="AZ169" i="57"/>
  <c r="AI169" i="57" a="1"/>
  <c r="AI169" i="57" s="1"/>
  <c r="AI54" i="57" a="1"/>
  <c r="AI54" i="57" s="1"/>
  <c r="AZ54" i="57"/>
  <c r="AZ179" i="57"/>
  <c r="AI179" i="57" a="1"/>
  <c r="AI179" i="57" s="1"/>
  <c r="AZ42" i="57"/>
  <c r="AI42" i="57" a="1"/>
  <c r="AI42" i="57" s="1"/>
  <c r="T42" i="57" s="1"/>
  <c r="AI32" i="57" a="1"/>
  <c r="AI32" i="57" s="1"/>
  <c r="AZ32" i="57"/>
  <c r="AI111" i="57" a="1"/>
  <c r="AI111" i="57" s="1"/>
  <c r="AZ111" i="57"/>
  <c r="AI87" i="57" a="1"/>
  <c r="AI87" i="57" s="1"/>
  <c r="AZ87" i="57"/>
  <c r="AZ58" i="57"/>
  <c r="AI58" i="57" a="1"/>
  <c r="AI58" i="57" s="1"/>
  <c r="T58" i="57" s="1"/>
  <c r="T28" i="56"/>
  <c r="S13" i="57"/>
  <c r="T29" i="56"/>
  <c r="T27" i="56"/>
  <c r="AZ57" i="57"/>
  <c r="AI57" i="57" a="1"/>
  <c r="AI57" i="57" s="1"/>
  <c r="T57" i="57" s="1"/>
  <c r="V76" i="57"/>
  <c r="AB76" i="57"/>
  <c r="AC76" i="57" s="1"/>
  <c r="Z76" i="57"/>
  <c r="AZ167" i="57"/>
  <c r="AI167" i="57" a="1"/>
  <c r="AI167" i="57" s="1"/>
  <c r="AI82" i="57" a="1"/>
  <c r="AI82" i="57" s="1"/>
  <c r="T82" i="57" s="1"/>
  <c r="AZ82" i="57"/>
  <c r="AZ132" i="57"/>
  <c r="AI132" i="57" a="1"/>
  <c r="AI132" i="57" s="1"/>
  <c r="T132" i="57" s="1"/>
  <c r="AB156" i="57"/>
  <c r="AC156" i="57" s="1"/>
  <c r="V156" i="57"/>
  <c r="Z156" i="57"/>
  <c r="AZ161" i="57"/>
  <c r="AI161" i="57" a="1"/>
  <c r="AI161" i="57" s="1"/>
  <c r="T161" i="57" s="1"/>
  <c r="AI94" i="57" a="1"/>
  <c r="AI94" i="57" s="1"/>
  <c r="AZ94" i="57"/>
  <c r="V160" i="57"/>
  <c r="Z160" i="57"/>
  <c r="AB160" i="57"/>
  <c r="AC160" i="57" s="1"/>
  <c r="T350" i="56"/>
  <c r="T349" i="56"/>
  <c r="T348" i="56"/>
  <c r="S120" i="57"/>
  <c r="AM120" i="57"/>
  <c r="AZ52" i="57"/>
  <c r="AI52" i="57" a="1"/>
  <c r="AI52" i="57" s="1"/>
  <c r="S76" i="57"/>
  <c r="T217" i="56"/>
  <c r="T218" i="56"/>
  <c r="T216" i="56"/>
  <c r="AZ27" i="57"/>
  <c r="AI27" i="57" a="1"/>
  <c r="AI27" i="57" s="1"/>
  <c r="S156" i="57"/>
  <c r="T456" i="56"/>
  <c r="T457" i="56"/>
  <c r="T458" i="56"/>
  <c r="AZ44" i="57"/>
  <c r="AI44" i="57" a="1"/>
  <c r="AI44" i="57" s="1"/>
  <c r="T44" i="57" s="1"/>
  <c r="AZ35" i="57"/>
  <c r="AI35" i="57" a="1"/>
  <c r="AI35" i="57" s="1"/>
  <c r="AM6" i="57"/>
  <c r="Z10" i="57"/>
  <c r="V10" i="57"/>
  <c r="AB10" i="57"/>
  <c r="AC10" i="57" s="1"/>
  <c r="AZ79" i="57"/>
  <c r="AI79" i="57" a="1"/>
  <c r="AI79" i="57" s="1"/>
  <c r="T79" i="57" s="1"/>
  <c r="AZ65" i="57"/>
  <c r="AI65" i="57" a="1"/>
  <c r="AI65" i="57" s="1"/>
  <c r="T65" i="57" s="1"/>
  <c r="AZ71" i="57"/>
  <c r="AI71" i="57" a="1"/>
  <c r="AI71" i="57" s="1"/>
  <c r="AZ62" i="57"/>
  <c r="AI62" i="57" a="1"/>
  <c r="AI62" i="57" s="1"/>
  <c r="T62" i="57" s="1"/>
  <c r="AZ175" i="57"/>
  <c r="AI175" i="57" a="1"/>
  <c r="AI175" i="57" s="1"/>
  <c r="AI61" i="57" a="1"/>
  <c r="AI61" i="57" s="1"/>
  <c r="T61" i="57" s="1"/>
  <c r="AZ61" i="57"/>
  <c r="AI81" i="57" a="1"/>
  <c r="AI81" i="57" s="1"/>
  <c r="T81" i="57" s="1"/>
  <c r="AZ81" i="57"/>
  <c r="AZ162" i="57"/>
  <c r="AI162" i="57" a="1"/>
  <c r="AI162" i="57" s="1"/>
  <c r="T162" i="57" s="1"/>
  <c r="AI122" i="57" a="1"/>
  <c r="AI122" i="57" s="1"/>
  <c r="T122" i="57" s="1"/>
  <c r="AZ122" i="57"/>
  <c r="AZ11" i="57"/>
  <c r="AI11" i="57" a="1"/>
  <c r="AI11" i="57" s="1"/>
  <c r="T11" i="57" s="1"/>
  <c r="AI158" i="57" a="1"/>
  <c r="AI158" i="57" s="1"/>
  <c r="T158" i="57" s="1"/>
  <c r="AZ158" i="57"/>
  <c r="AM63" i="57"/>
  <c r="AI14" i="57" a="1"/>
  <c r="AI14" i="57" s="1"/>
  <c r="T14" i="57" s="1"/>
  <c r="AZ14" i="57"/>
  <c r="AZ34" i="57"/>
  <c r="AI34" i="57" a="1"/>
  <c r="AI34" i="57" s="1"/>
  <c r="AB13" i="57"/>
  <c r="AC13" i="57" s="1"/>
  <c r="Z13" i="57"/>
  <c r="V13" i="57"/>
  <c r="AZ172" i="57"/>
  <c r="AI172" i="57" a="1"/>
  <c r="AI172" i="57" s="1"/>
  <c r="S10" i="57"/>
  <c r="T19" i="56"/>
  <c r="T18" i="56"/>
  <c r="T20" i="56"/>
  <c r="AM10" i="57"/>
  <c r="Z60" i="57"/>
  <c r="V60" i="57"/>
  <c r="AB60" i="57"/>
  <c r="AC60" i="57" s="1"/>
  <c r="Z130" i="57"/>
  <c r="V130" i="57"/>
  <c r="AB130" i="57"/>
  <c r="AC130" i="57" s="1"/>
  <c r="AZ68" i="57"/>
  <c r="AI68" i="57" a="1"/>
  <c r="AI68" i="57" s="1"/>
  <c r="AZ129" i="57"/>
  <c r="AI129" i="57" a="1"/>
  <c r="AI129" i="57" s="1"/>
  <c r="T129" i="57" s="1"/>
  <c r="AI29" i="57" a="1"/>
  <c r="AI29" i="57" s="1"/>
  <c r="AZ75" i="57"/>
  <c r="AI75" i="57" a="1"/>
  <c r="AI75" i="57" s="1"/>
  <c r="AZ51" i="57"/>
  <c r="AI51" i="57" a="1"/>
  <c r="AI51" i="57" s="1"/>
  <c r="AZ17" i="57"/>
  <c r="AI17" i="57" a="1"/>
  <c r="AI17" i="57" s="1"/>
  <c r="Z120" i="57"/>
  <c r="V120" i="57"/>
  <c r="AB120" i="57"/>
  <c r="AC120" i="57" s="1"/>
  <c r="AZ185" i="57"/>
  <c r="AI185" i="57" a="1"/>
  <c r="AI185" i="57" s="1"/>
  <c r="AI109" i="57" a="1"/>
  <c r="AI109" i="57" s="1"/>
  <c r="AZ109" i="57"/>
  <c r="AZ142" i="57"/>
  <c r="AI142" i="57" a="1"/>
  <c r="AI142" i="57" s="1"/>
  <c r="AZ21" i="57"/>
  <c r="AI21" i="57" a="1"/>
  <c r="AI21" i="57" s="1"/>
  <c r="AM13" i="57"/>
  <c r="AM156" i="57"/>
  <c r="AI118" i="57" a="1"/>
  <c r="AI118" i="57" s="1"/>
  <c r="T118" i="57" s="1"/>
  <c r="AZ118" i="57"/>
  <c r="AZ165" i="57"/>
  <c r="AI165" i="57" a="1"/>
  <c r="AI165" i="57" s="1"/>
  <c r="T165" i="57" s="1"/>
  <c r="AZ131" i="57"/>
  <c r="AI131" i="57" a="1"/>
  <c r="AI131" i="57" s="1"/>
  <c r="T131" i="57" s="1"/>
  <c r="AZ41" i="57"/>
  <c r="AI41" i="57" a="1"/>
  <c r="AI41" i="57" s="1"/>
  <c r="T41" i="57" s="1"/>
  <c r="AZ25" i="57"/>
  <c r="AI25" i="57" a="1"/>
  <c r="AI25" i="57" s="1"/>
  <c r="AZ85" i="57"/>
  <c r="AI85" i="57" a="1"/>
  <c r="AI85" i="57" s="1"/>
  <c r="T85" i="57" s="1"/>
  <c r="AI105" i="57" a="1"/>
  <c r="AI105" i="57" s="1"/>
  <c r="AZ105" i="57"/>
  <c r="AZ28" i="57"/>
  <c r="AI28" i="57" a="1"/>
  <c r="AI28" i="57" s="1"/>
  <c r="AI121" i="57" a="1"/>
  <c r="AI121" i="57" s="1"/>
  <c r="T121" i="57" s="1"/>
  <c r="AZ121" i="57"/>
  <c r="AZ135" i="57"/>
  <c r="AI135" i="57" a="1"/>
  <c r="AI135" i="57" s="1"/>
  <c r="T135" i="57" s="1"/>
  <c r="AZ155" i="57"/>
  <c r="AI155" i="57" a="1"/>
  <c r="AI155" i="57" s="1"/>
  <c r="AZ157" i="57"/>
  <c r="AI157" i="57" a="1"/>
  <c r="AI157" i="57" s="1"/>
  <c r="T157" i="57" s="1"/>
  <c r="AZ72" i="57"/>
  <c r="AI72" i="57" a="1"/>
  <c r="AI72" i="57" s="1"/>
  <c r="AI59" i="57" a="1"/>
  <c r="AI59" i="57" s="1"/>
  <c r="T59" i="57" s="1"/>
  <c r="AZ59" i="57"/>
  <c r="AZ78" i="57"/>
  <c r="AI78" i="57" a="1"/>
  <c r="AI78" i="57" s="1"/>
  <c r="T78" i="57" s="1"/>
  <c r="AI97" i="57" a="1"/>
  <c r="AI97" i="57" s="1"/>
  <c r="V133" i="57"/>
  <c r="AB133" i="57"/>
  <c r="AC133" i="57" s="1"/>
  <c r="Z133" i="57"/>
  <c r="AZ64" i="57"/>
  <c r="AI64" i="57" a="1"/>
  <c r="AI64" i="57" s="1"/>
  <c r="T64" i="57" s="1"/>
  <c r="AZ137" i="57"/>
  <c r="AI137" i="57" a="1"/>
  <c r="AI137" i="57" s="1"/>
  <c r="V43" i="57"/>
  <c r="Z43" i="57"/>
  <c r="AB43" i="57"/>
  <c r="AC43" i="57" s="1"/>
  <c r="AI174" i="57" a="1"/>
  <c r="AI174" i="57" s="1"/>
  <c r="AZ174" i="57"/>
  <c r="AI164" i="57" a="1"/>
  <c r="AI164" i="57" s="1"/>
  <c r="T164" i="57" s="1"/>
  <c r="AZ164" i="57"/>
  <c r="AZ18" i="57"/>
  <c r="AI18" i="57" a="1"/>
  <c r="AI18" i="57" s="1"/>
  <c r="V6" i="57"/>
  <c r="Z6" i="57"/>
  <c r="AB6" i="57"/>
  <c r="AC6" i="57" s="1"/>
  <c r="AZ108" i="57"/>
  <c r="AI108" i="57" a="1"/>
  <c r="AI108" i="57" s="1"/>
  <c r="AZ88" i="57"/>
  <c r="AI88" i="57" a="1"/>
  <c r="AI88" i="57" s="1"/>
  <c r="V63" i="57"/>
  <c r="AB63" i="57"/>
  <c r="AC63" i="57" s="1"/>
  <c r="Z63" i="57"/>
  <c r="AZ7" i="57"/>
  <c r="AI7" i="57" a="1"/>
  <c r="AI7" i="57" s="1"/>
  <c r="T7" i="57" s="1"/>
  <c r="AZ69" i="57"/>
  <c r="AI69" i="57" a="1"/>
  <c r="AI69" i="57" s="1"/>
  <c r="AZ39" i="57"/>
  <c r="AI39" i="57" a="1"/>
  <c r="AI39" i="57" s="1"/>
  <c r="T39" i="57" s="1"/>
  <c r="AZ8" i="57"/>
  <c r="AI8" i="57" a="1"/>
  <c r="AI8" i="57" s="1"/>
  <c r="T8" i="57" s="1"/>
  <c r="V40" i="57"/>
  <c r="Z40" i="57"/>
  <c r="AB40" i="57"/>
  <c r="AC40" i="57" s="1"/>
  <c r="AI151" i="57" a="1"/>
  <c r="AI151" i="57" s="1"/>
  <c r="AZ151" i="57"/>
  <c r="AZ37" i="57"/>
  <c r="AI37" i="57" a="1"/>
  <c r="AI37" i="57" s="1"/>
  <c r="T37" i="57" s="1"/>
  <c r="AZ144" i="57"/>
  <c r="AI144" i="57" a="1"/>
  <c r="AI144" i="57" s="1"/>
  <c r="AI152" i="57" a="1"/>
  <c r="AI152" i="57" s="1"/>
  <c r="AZ152" i="57"/>
  <c r="AZ107" i="57"/>
  <c r="AI107" i="57" a="1"/>
  <c r="AI107" i="57" s="1"/>
  <c r="AI154" i="57" a="1"/>
  <c r="AI154" i="57" s="1"/>
  <c r="AZ154" i="57"/>
  <c r="AZ149" i="57"/>
  <c r="AI149" i="57" a="1"/>
  <c r="AI149" i="57" s="1"/>
  <c r="AI139" i="57" a="1"/>
  <c r="AI139" i="57" s="1"/>
  <c r="AZ139" i="57"/>
  <c r="AZ98" i="57"/>
  <c r="AI98" i="57" a="1"/>
  <c r="AI98" i="57" s="1"/>
  <c r="AZ117" i="57"/>
  <c r="AI117" i="57" a="1"/>
  <c r="AI117" i="57" s="1"/>
  <c r="T117" i="57" s="1"/>
  <c r="AZ141" i="57"/>
  <c r="AI141" i="57" a="1"/>
  <c r="AI141" i="57" s="1"/>
  <c r="AI124" i="57" a="1"/>
  <c r="AI124" i="57" s="1"/>
  <c r="T124" i="57" s="1"/>
  <c r="AZ48" i="57"/>
  <c r="AI48" i="57" a="1"/>
  <c r="AI48" i="57" s="1"/>
  <c r="AZ47" i="57"/>
  <c r="AI47" i="57" a="1"/>
  <c r="AI47" i="57" s="1"/>
  <c r="AI101" i="57" a="1"/>
  <c r="AI101" i="57" s="1"/>
  <c r="AZ101" i="57"/>
  <c r="AI49" i="57" a="1"/>
  <c r="AI49" i="57" s="1"/>
  <c r="S163" i="57"/>
  <c r="T478" i="56"/>
  <c r="T477" i="56"/>
  <c r="T479" i="56"/>
  <c r="AM163" i="57"/>
  <c r="T229" i="56"/>
  <c r="T228" i="56"/>
  <c r="S80" i="57"/>
  <c r="T230" i="56"/>
  <c r="AM80" i="57"/>
  <c r="AZ182" i="57"/>
  <c r="AI182" i="57" a="1"/>
  <c r="AI182" i="57" s="1"/>
  <c r="AI134" i="57" a="1"/>
  <c r="AI134" i="57" s="1"/>
  <c r="T134" i="57" s="1"/>
  <c r="AZ134" i="57"/>
  <c r="AI74" i="57" a="1"/>
  <c r="AI74" i="57" s="1"/>
  <c r="O5" i="5"/>
  <c r="AC5" i="5" s="1"/>
  <c r="O4" i="5"/>
  <c r="A3" i="9"/>
  <c r="T469" i="56" l="1"/>
  <c r="V469" i="56" s="1"/>
  <c r="Y469" i="56" s="1"/>
  <c r="S160" i="57"/>
  <c r="U468" i="56" s="1"/>
  <c r="W468" i="56" s="1"/>
  <c r="AM60" i="57"/>
  <c r="T468" i="56"/>
  <c r="X468" i="56" s="1"/>
  <c r="AH468" i="56" s="1"/>
  <c r="AG468" i="56" s="1"/>
  <c r="AJ468" i="56" s="1" a="1"/>
  <c r="AJ468" i="56" s="1"/>
  <c r="AM160" i="57"/>
  <c r="P8" i="9"/>
  <c r="X8" i="9" s="1"/>
  <c r="P3" i="9"/>
  <c r="P6" i="9"/>
  <c r="P7" i="9"/>
  <c r="P4" i="9"/>
  <c r="P5" i="9"/>
  <c r="Z123" i="57"/>
  <c r="V123" i="57"/>
  <c r="Y123" i="57" s="1"/>
  <c r="T359" i="56"/>
  <c r="X359" i="56" s="1"/>
  <c r="AH359" i="56" s="1"/>
  <c r="AG359" i="56" s="1"/>
  <c r="AJ359" i="56" s="1" a="1"/>
  <c r="AJ359" i="56" s="1"/>
  <c r="S40" i="57"/>
  <c r="U109" i="56" s="1"/>
  <c r="W109" i="56" s="1"/>
  <c r="T358" i="56"/>
  <c r="X358" i="56" s="1"/>
  <c r="AH358" i="56" s="1"/>
  <c r="AG358" i="56" s="1"/>
  <c r="AJ358" i="56" s="1" a="1"/>
  <c r="AJ358" i="56" s="1"/>
  <c r="S123" i="57"/>
  <c r="U357" i="56" s="1"/>
  <c r="W357" i="56" s="1"/>
  <c r="T170" i="56"/>
  <c r="X170" i="56" s="1"/>
  <c r="AH170" i="56" s="1"/>
  <c r="AG170" i="56" s="1"/>
  <c r="AJ170" i="56" s="1" a="1"/>
  <c r="AJ170" i="56" s="1"/>
  <c r="S60" i="57"/>
  <c r="U169" i="56" s="1"/>
  <c r="W169" i="56" s="1"/>
  <c r="T168" i="56"/>
  <c r="V168" i="56" s="1"/>
  <c r="Y168" i="56" s="1"/>
  <c r="T389" i="56"/>
  <c r="V389" i="56" s="1"/>
  <c r="Y389" i="56" s="1"/>
  <c r="S133" i="57"/>
  <c r="U387" i="56" s="1"/>
  <c r="W387" i="56" s="1"/>
  <c r="T387" i="56"/>
  <c r="X387" i="56" s="1"/>
  <c r="AH387" i="56" s="1"/>
  <c r="AG387" i="56" s="1"/>
  <c r="AJ387" i="56" s="1" a="1"/>
  <c r="AJ387" i="56" s="1"/>
  <c r="T388" i="56"/>
  <c r="X388" i="56" s="1"/>
  <c r="AH388" i="56" s="1"/>
  <c r="AG388" i="56" s="1"/>
  <c r="AJ388" i="56" s="1" a="1"/>
  <c r="AJ388" i="56" s="1"/>
  <c r="AM123" i="57"/>
  <c r="L8" i="49"/>
  <c r="R3" i="32" a="1"/>
  <c r="R3" i="32" s="1"/>
  <c r="U3" i="32" a="1"/>
  <c r="U3" i="32" s="1"/>
  <c r="AM40" i="57"/>
  <c r="T108" i="56"/>
  <c r="X108" i="56" s="1"/>
  <c r="AH108" i="56" s="1"/>
  <c r="AG108" i="56" s="1"/>
  <c r="AJ108" i="56" s="1" a="1"/>
  <c r="AJ108" i="56" s="1"/>
  <c r="T110" i="56"/>
  <c r="V110" i="56" s="1"/>
  <c r="Y110" i="56" s="1"/>
  <c r="T336" i="56"/>
  <c r="X336" i="56" s="1"/>
  <c r="AH336" i="56" s="1"/>
  <c r="AG336" i="56" s="1"/>
  <c r="AJ336" i="56" s="1" a="1"/>
  <c r="AJ336" i="56" s="1"/>
  <c r="U209" i="57"/>
  <c r="W209" i="57"/>
  <c r="AB209" i="57" s="1"/>
  <c r="AC209" i="57" s="1"/>
  <c r="U189" i="57"/>
  <c r="W189" i="57"/>
  <c r="AB189" i="57" s="1"/>
  <c r="AC189" i="57" s="1"/>
  <c r="AM116" i="57"/>
  <c r="T337" i="56"/>
  <c r="X337" i="56" s="1"/>
  <c r="AH337" i="56" s="1"/>
  <c r="AG337" i="56" s="1"/>
  <c r="AJ337" i="56" s="1" a="1"/>
  <c r="AJ337" i="56" s="1"/>
  <c r="S116" i="57"/>
  <c r="U337" i="56" s="1"/>
  <c r="W337" i="56" s="1"/>
  <c r="R207" i="57"/>
  <c r="S207" i="57" s="1"/>
  <c r="W207" i="57"/>
  <c r="Z207" i="57" s="1"/>
  <c r="U201" i="57"/>
  <c r="W201" i="57"/>
  <c r="R201" i="57"/>
  <c r="AB216" i="57"/>
  <c r="AC216" i="57" s="1"/>
  <c r="V216" i="57"/>
  <c r="Z216" i="57"/>
  <c r="AB232" i="57"/>
  <c r="AC232" i="57" s="1"/>
  <c r="Z232" i="57"/>
  <c r="V232" i="57"/>
  <c r="W187" i="57"/>
  <c r="U187" i="57"/>
  <c r="R187" i="57"/>
  <c r="V206" i="57"/>
  <c r="Z206" i="57"/>
  <c r="AB206" i="57"/>
  <c r="AC206" i="57" s="1"/>
  <c r="S216" i="57"/>
  <c r="AM216" i="57"/>
  <c r="Z186" i="57"/>
  <c r="V186" i="57"/>
  <c r="AB186" i="57"/>
  <c r="AC186" i="57" s="1"/>
  <c r="AB200" i="57"/>
  <c r="AC200" i="57" s="1"/>
  <c r="Z200" i="57"/>
  <c r="V200" i="57"/>
  <c r="V246" i="57"/>
  <c r="AB246" i="57"/>
  <c r="AC246" i="57" s="1"/>
  <c r="Z246" i="57"/>
  <c r="S232" i="57"/>
  <c r="AM232" i="57"/>
  <c r="W217" i="57"/>
  <c r="U217" i="57"/>
  <c r="R217" i="57"/>
  <c r="S186" i="57"/>
  <c r="AM186" i="57"/>
  <c r="S200" i="57"/>
  <c r="AM200" i="57"/>
  <c r="U215" i="57"/>
  <c r="W215" i="57"/>
  <c r="R215" i="57"/>
  <c r="W247" i="57"/>
  <c r="U247" i="57"/>
  <c r="R247" i="57"/>
  <c r="W233" i="57"/>
  <c r="U233" i="57"/>
  <c r="R233" i="57"/>
  <c r="U199" i="57"/>
  <c r="W199" i="57"/>
  <c r="R199" i="57"/>
  <c r="S189" i="57"/>
  <c r="AM189" i="57"/>
  <c r="AB234" i="57"/>
  <c r="AC234" i="57" s="1"/>
  <c r="Z234" i="57"/>
  <c r="V234" i="57"/>
  <c r="Z188" i="57"/>
  <c r="AB188" i="57"/>
  <c r="AC188" i="57" s="1"/>
  <c r="V188" i="57"/>
  <c r="V230" i="57"/>
  <c r="Z230" i="57"/>
  <c r="AB230" i="57"/>
  <c r="AC230" i="57" s="1"/>
  <c r="AB208" i="57"/>
  <c r="AC208" i="57" s="1"/>
  <c r="Z208" i="57"/>
  <c r="V208" i="57"/>
  <c r="AB248" i="57"/>
  <c r="AC248" i="57" s="1"/>
  <c r="Z248" i="57"/>
  <c r="V248" i="57"/>
  <c r="U235" i="57"/>
  <c r="W235" i="57"/>
  <c r="R235" i="57"/>
  <c r="U231" i="57"/>
  <c r="W231" i="57"/>
  <c r="R231" i="57"/>
  <c r="S248" i="57"/>
  <c r="AM248" i="57"/>
  <c r="Z236" i="57"/>
  <c r="V236" i="57"/>
  <c r="AB236" i="57"/>
  <c r="AC236" i="57" s="1"/>
  <c r="U249" i="57"/>
  <c r="W249" i="57"/>
  <c r="R249" i="57"/>
  <c r="V198" i="57"/>
  <c r="AB198" i="57"/>
  <c r="AC198" i="57" s="1"/>
  <c r="Z198" i="57"/>
  <c r="AB214" i="57"/>
  <c r="AC214" i="57" s="1"/>
  <c r="Z214" i="57"/>
  <c r="V214" i="57"/>
  <c r="U237" i="57"/>
  <c r="W237" i="57"/>
  <c r="R237" i="57"/>
  <c r="S209" i="57"/>
  <c r="AM209" i="57"/>
  <c r="AB116" i="57"/>
  <c r="AC116" i="57" s="1"/>
  <c r="Z116" i="57"/>
  <c r="U81" i="57"/>
  <c r="W81" i="57"/>
  <c r="R81" i="57"/>
  <c r="X28" i="56"/>
  <c r="AH28" i="56" s="1"/>
  <c r="AG28" i="56" s="1"/>
  <c r="AJ28" i="56" s="1" a="1"/>
  <c r="AJ28" i="56" s="1"/>
  <c r="V28" i="56"/>
  <c r="Y28" i="56" s="1"/>
  <c r="U380" i="56"/>
  <c r="W380" i="56" s="1"/>
  <c r="U379" i="56"/>
  <c r="W379" i="56" s="1"/>
  <c r="U378" i="56"/>
  <c r="W378" i="56" s="1"/>
  <c r="W9" i="57"/>
  <c r="U9" i="57"/>
  <c r="R9" i="57"/>
  <c r="U59" i="57"/>
  <c r="W59" i="57"/>
  <c r="R59" i="57"/>
  <c r="U19" i="56"/>
  <c r="W19" i="56" s="1"/>
  <c r="U18" i="56"/>
  <c r="W18" i="56" s="1"/>
  <c r="U20" i="56"/>
  <c r="W20" i="56" s="1"/>
  <c r="U165" i="57"/>
  <c r="W165" i="57"/>
  <c r="R165" i="57"/>
  <c r="R161" i="57"/>
  <c r="U161" i="57"/>
  <c r="W161" i="57"/>
  <c r="W128" i="57"/>
  <c r="U128" i="57"/>
  <c r="R128" i="57"/>
  <c r="W61" i="57"/>
  <c r="U61" i="57"/>
  <c r="R61" i="57"/>
  <c r="U458" i="56"/>
  <c r="W458" i="56" s="1"/>
  <c r="U456" i="56"/>
  <c r="W456" i="56" s="1"/>
  <c r="U457" i="56"/>
  <c r="W457" i="56" s="1"/>
  <c r="U77" i="57"/>
  <c r="W77" i="57"/>
  <c r="R77" i="57"/>
  <c r="V478" i="56"/>
  <c r="Y478" i="56" s="1"/>
  <c r="X478" i="56"/>
  <c r="AH478" i="56" s="1"/>
  <c r="AG478" i="56" s="1"/>
  <c r="AJ478" i="56" s="1" a="1"/>
  <c r="AJ478" i="56" s="1"/>
  <c r="Y80" i="57"/>
  <c r="AL80" i="57"/>
  <c r="AK80" i="57"/>
  <c r="X29" i="56"/>
  <c r="AH29" i="56" s="1"/>
  <c r="AG29" i="56" s="1"/>
  <c r="AJ29" i="56" s="1" a="1"/>
  <c r="AJ29" i="56" s="1"/>
  <c r="V29" i="56"/>
  <c r="Y29" i="56" s="1"/>
  <c r="W58" i="57"/>
  <c r="U58" i="57"/>
  <c r="R58" i="57"/>
  <c r="U479" i="56"/>
  <c r="W479" i="56" s="1"/>
  <c r="U478" i="56"/>
  <c r="W478" i="56" s="1"/>
  <c r="U477" i="56"/>
  <c r="W477" i="56" s="1"/>
  <c r="U39" i="57"/>
  <c r="W39" i="57"/>
  <c r="R39" i="57"/>
  <c r="U62" i="57"/>
  <c r="W62" i="57"/>
  <c r="R62" i="57"/>
  <c r="W15" i="57"/>
  <c r="U15" i="57"/>
  <c r="R15" i="57"/>
  <c r="U7" i="56"/>
  <c r="W7" i="56" s="1"/>
  <c r="U6" i="56"/>
  <c r="W6" i="56" s="1"/>
  <c r="U8" i="56"/>
  <c r="W8" i="56" s="1"/>
  <c r="X177" i="56"/>
  <c r="AH177" i="56" s="1"/>
  <c r="AG177" i="56" s="1"/>
  <c r="AJ177" i="56" s="1" a="1"/>
  <c r="AJ177" i="56" s="1"/>
  <c r="V177" i="56"/>
  <c r="Y177" i="56" s="1"/>
  <c r="X229" i="56"/>
  <c r="AH229" i="56" s="1"/>
  <c r="AG229" i="56" s="1"/>
  <c r="AJ229" i="56" s="1" a="1"/>
  <c r="AJ229" i="56" s="1"/>
  <c r="V229" i="56"/>
  <c r="Y229" i="56" s="1"/>
  <c r="X378" i="56"/>
  <c r="AH378" i="56" s="1"/>
  <c r="AG378" i="56" s="1"/>
  <c r="AJ378" i="56" s="1" a="1"/>
  <c r="AJ378" i="56" s="1"/>
  <c r="V378" i="56"/>
  <c r="Y378" i="56" s="1"/>
  <c r="W8" i="57"/>
  <c r="U8" i="57"/>
  <c r="R8" i="57"/>
  <c r="W157" i="57"/>
  <c r="U157" i="57"/>
  <c r="R157" i="57"/>
  <c r="W118" i="57"/>
  <c r="U118" i="57"/>
  <c r="R118" i="57"/>
  <c r="AK156" i="57"/>
  <c r="Y156" i="57"/>
  <c r="AL156" i="57"/>
  <c r="W127" i="57"/>
  <c r="U127" i="57"/>
  <c r="R127" i="57"/>
  <c r="X6" i="56"/>
  <c r="AH6" i="56" s="1"/>
  <c r="AG6" i="56" s="1"/>
  <c r="AJ6" i="56" s="1" a="1"/>
  <c r="AJ6" i="56" s="1"/>
  <c r="V6" i="56"/>
  <c r="Y6" i="56" s="1"/>
  <c r="V178" i="56"/>
  <c r="Y178" i="56" s="1"/>
  <c r="X178" i="56"/>
  <c r="AH178" i="56" s="1"/>
  <c r="AG178" i="56" s="1"/>
  <c r="AJ178" i="56" s="1" a="1"/>
  <c r="AJ178" i="56" s="1"/>
  <c r="U41" i="57"/>
  <c r="W41" i="57"/>
  <c r="R41" i="57"/>
  <c r="V20" i="56"/>
  <c r="Y20" i="56" s="1"/>
  <c r="X20" i="56"/>
  <c r="AH20" i="56" s="1"/>
  <c r="AG20" i="56" s="1"/>
  <c r="AJ20" i="56" s="1" a="1"/>
  <c r="AJ20" i="56" s="1"/>
  <c r="X458" i="56"/>
  <c r="AH458" i="56" s="1"/>
  <c r="AG458" i="56" s="1"/>
  <c r="AJ458" i="56" s="1" a="1"/>
  <c r="AJ458" i="56" s="1"/>
  <c r="V458" i="56"/>
  <c r="Y458" i="56" s="1"/>
  <c r="U29" i="56"/>
  <c r="W29" i="56" s="1"/>
  <c r="U28" i="56"/>
  <c r="W28" i="56" s="1"/>
  <c r="U27" i="56"/>
  <c r="W27" i="56" s="1"/>
  <c r="X380" i="56"/>
  <c r="AH380" i="56" s="1"/>
  <c r="AG380" i="56" s="1"/>
  <c r="AJ380" i="56" s="1" a="1"/>
  <c r="AJ380" i="56" s="1"/>
  <c r="V380" i="56"/>
  <c r="Y380" i="56" s="1"/>
  <c r="V477" i="56"/>
  <c r="Y477" i="56" s="1"/>
  <c r="X477" i="56"/>
  <c r="AH477" i="56" s="1"/>
  <c r="AG477" i="56" s="1"/>
  <c r="AJ477" i="56" s="1" a="1"/>
  <c r="AJ477" i="56" s="1"/>
  <c r="V117" i="56"/>
  <c r="Y117" i="56" s="1"/>
  <c r="X117" i="56"/>
  <c r="AH117" i="56" s="1"/>
  <c r="AG117" i="56" s="1"/>
  <c r="AJ117" i="56" s="1" a="1"/>
  <c r="AJ117" i="56" s="1"/>
  <c r="X8" i="56"/>
  <c r="AH8" i="56" s="1"/>
  <c r="AG8" i="56" s="1"/>
  <c r="AJ8" i="56" s="1" a="1"/>
  <c r="AJ8" i="56" s="1"/>
  <c r="V8" i="56"/>
  <c r="Y8" i="56" s="1"/>
  <c r="X179" i="56"/>
  <c r="AH179" i="56" s="1"/>
  <c r="AG179" i="56" s="1"/>
  <c r="AJ179" i="56" s="1" a="1"/>
  <c r="AJ179" i="56" s="1"/>
  <c r="V179" i="56"/>
  <c r="Y179" i="56" s="1"/>
  <c r="U230" i="56"/>
  <c r="W230" i="56" s="1"/>
  <c r="U228" i="56"/>
  <c r="W228" i="56" s="1"/>
  <c r="U229" i="56"/>
  <c r="W229" i="56" s="1"/>
  <c r="U131" i="57"/>
  <c r="W131" i="57"/>
  <c r="R131" i="57"/>
  <c r="AL13" i="57"/>
  <c r="Y13" i="57"/>
  <c r="AK13" i="57"/>
  <c r="Y116" i="57"/>
  <c r="AK116" i="57"/>
  <c r="AL116" i="57"/>
  <c r="Y43" i="57"/>
  <c r="AL43" i="57"/>
  <c r="AK43" i="57"/>
  <c r="R132" i="57"/>
  <c r="U132" i="57"/>
  <c r="W132" i="57"/>
  <c r="X119" i="56"/>
  <c r="AH119" i="56" s="1"/>
  <c r="AG119" i="56" s="1"/>
  <c r="AJ119" i="56" s="1" a="1"/>
  <c r="AJ119" i="56" s="1"/>
  <c r="V119" i="56"/>
  <c r="Y119" i="56" s="1"/>
  <c r="X7" i="56"/>
  <c r="AH7" i="56" s="1"/>
  <c r="AG7" i="56" s="1"/>
  <c r="AJ7" i="56" s="1" a="1"/>
  <c r="AJ7" i="56" s="1"/>
  <c r="V7" i="56"/>
  <c r="Y7" i="56" s="1"/>
  <c r="U178" i="56"/>
  <c r="W178" i="56" s="1"/>
  <c r="U177" i="56"/>
  <c r="W177" i="56" s="1"/>
  <c r="U179" i="56"/>
  <c r="W179" i="56" s="1"/>
  <c r="W78" i="57"/>
  <c r="U78" i="57"/>
  <c r="R78" i="57"/>
  <c r="U135" i="57"/>
  <c r="W135" i="57"/>
  <c r="R135" i="57"/>
  <c r="U119" i="57"/>
  <c r="W119" i="57"/>
  <c r="R119" i="57"/>
  <c r="X18" i="56"/>
  <c r="AH18" i="56" s="1"/>
  <c r="AG18" i="56" s="1"/>
  <c r="AJ18" i="56" s="1" a="1"/>
  <c r="AJ18" i="56" s="1"/>
  <c r="V18" i="56"/>
  <c r="Y18" i="56" s="1"/>
  <c r="X457" i="56"/>
  <c r="AH457" i="56" s="1"/>
  <c r="AG457" i="56" s="1"/>
  <c r="AJ457" i="56" s="1" a="1"/>
  <c r="AJ457" i="56" s="1"/>
  <c r="V457" i="56"/>
  <c r="Y457" i="56" s="1"/>
  <c r="Y160" i="57"/>
  <c r="AL160" i="57"/>
  <c r="AK160" i="57"/>
  <c r="V19" i="56"/>
  <c r="Y19" i="56" s="1"/>
  <c r="X19" i="56"/>
  <c r="AH19" i="56" s="1"/>
  <c r="AG19" i="56" s="1"/>
  <c r="AJ19" i="56" s="1" a="1"/>
  <c r="AJ19" i="56" s="1"/>
  <c r="W84" i="57"/>
  <c r="U84" i="57"/>
  <c r="R84" i="57"/>
  <c r="X479" i="56"/>
  <c r="AH479" i="56" s="1"/>
  <c r="AG479" i="56" s="1"/>
  <c r="AJ479" i="56" s="1" a="1"/>
  <c r="AJ479" i="56" s="1"/>
  <c r="V479" i="56"/>
  <c r="Y479" i="56" s="1"/>
  <c r="AL40" i="57"/>
  <c r="AK40" i="57"/>
  <c r="Y40" i="57"/>
  <c r="U65" i="57"/>
  <c r="W65" i="57"/>
  <c r="R65" i="57"/>
  <c r="X216" i="56"/>
  <c r="AH216" i="56" s="1"/>
  <c r="AG216" i="56" s="1"/>
  <c r="AJ216" i="56" s="1" a="1"/>
  <c r="AJ216" i="56" s="1"/>
  <c r="V216" i="56"/>
  <c r="Y216" i="56" s="1"/>
  <c r="V109" i="56"/>
  <c r="Y109" i="56" s="1"/>
  <c r="X109" i="56"/>
  <c r="AH109" i="56" s="1"/>
  <c r="AG109" i="56" s="1"/>
  <c r="AJ109" i="56" s="1" a="1"/>
  <c r="AJ109" i="56" s="1"/>
  <c r="X366" i="56"/>
  <c r="AH366" i="56" s="1"/>
  <c r="AG366" i="56" s="1"/>
  <c r="AJ366" i="56" s="1" a="1"/>
  <c r="AJ366" i="56" s="1"/>
  <c r="V366" i="56"/>
  <c r="Y366" i="56" s="1"/>
  <c r="U119" i="56"/>
  <c r="W119" i="56" s="1"/>
  <c r="U118" i="56"/>
  <c r="W118" i="56" s="1"/>
  <c r="U117" i="56"/>
  <c r="W117" i="56" s="1"/>
  <c r="Y163" i="57"/>
  <c r="AK163" i="57"/>
  <c r="AL163" i="57"/>
  <c r="R12" i="57"/>
  <c r="U12" i="57"/>
  <c r="W12" i="57"/>
  <c r="X357" i="56"/>
  <c r="AH357" i="56" s="1"/>
  <c r="AG357" i="56" s="1"/>
  <c r="AJ357" i="56" s="1" a="1"/>
  <c r="AJ357" i="56" s="1"/>
  <c r="V357" i="56"/>
  <c r="Y357" i="56" s="1"/>
  <c r="U129" i="57"/>
  <c r="W129" i="57"/>
  <c r="R129" i="57"/>
  <c r="X218" i="56"/>
  <c r="AH218" i="56" s="1"/>
  <c r="AG218" i="56" s="1"/>
  <c r="AJ218" i="56" s="1" a="1"/>
  <c r="AJ218" i="56" s="1"/>
  <c r="V218" i="56"/>
  <c r="Y218" i="56" s="1"/>
  <c r="V368" i="56"/>
  <c r="Y368" i="56" s="1"/>
  <c r="X368" i="56"/>
  <c r="AH368" i="56" s="1"/>
  <c r="AG368" i="56" s="1"/>
  <c r="AJ368" i="56" s="1" a="1"/>
  <c r="AJ368" i="56" s="1"/>
  <c r="X338" i="56"/>
  <c r="AH338" i="56" s="1"/>
  <c r="AG338" i="56" s="1"/>
  <c r="AJ338" i="56" s="1" a="1"/>
  <c r="AJ338" i="56" s="1"/>
  <c r="V338" i="56"/>
  <c r="Y338" i="56" s="1"/>
  <c r="X118" i="56"/>
  <c r="AH118" i="56" s="1"/>
  <c r="AG118" i="56" s="1"/>
  <c r="AJ118" i="56" s="1" a="1"/>
  <c r="AJ118" i="56" s="1"/>
  <c r="V118" i="56"/>
  <c r="Y118" i="56" s="1"/>
  <c r="AL6" i="57"/>
  <c r="AK6" i="57"/>
  <c r="Y6" i="57"/>
  <c r="X379" i="56"/>
  <c r="AH379" i="56" s="1"/>
  <c r="AG379" i="56" s="1"/>
  <c r="AJ379" i="56" s="1" a="1"/>
  <c r="AJ379" i="56" s="1"/>
  <c r="V379" i="56"/>
  <c r="Y379" i="56" s="1"/>
  <c r="U125" i="57"/>
  <c r="W125" i="57"/>
  <c r="R125" i="57"/>
  <c r="Y120" i="57"/>
  <c r="AK120" i="57"/>
  <c r="AL120" i="57"/>
  <c r="X456" i="56"/>
  <c r="AH456" i="56" s="1"/>
  <c r="AG456" i="56" s="1"/>
  <c r="AJ456" i="56" s="1" a="1"/>
  <c r="AJ456" i="56" s="1"/>
  <c r="V456" i="56"/>
  <c r="Y456" i="56" s="1"/>
  <c r="W159" i="57"/>
  <c r="U159" i="57"/>
  <c r="R159" i="57"/>
  <c r="R164" i="57"/>
  <c r="U164" i="57"/>
  <c r="W164" i="57"/>
  <c r="W7" i="57"/>
  <c r="U7" i="57"/>
  <c r="R7" i="57"/>
  <c r="W14" i="57"/>
  <c r="U14" i="57"/>
  <c r="R14" i="57"/>
  <c r="W79" i="57"/>
  <c r="U79" i="57"/>
  <c r="R79" i="57"/>
  <c r="V217" i="56"/>
  <c r="Y217" i="56" s="1"/>
  <c r="X217" i="56"/>
  <c r="AH217" i="56" s="1"/>
  <c r="AG217" i="56" s="1"/>
  <c r="AJ217" i="56" s="1" a="1"/>
  <c r="AJ217" i="56" s="1"/>
  <c r="W82" i="57"/>
  <c r="U82" i="57"/>
  <c r="R82" i="57"/>
  <c r="X367" i="56"/>
  <c r="AH367" i="56" s="1"/>
  <c r="AG367" i="56" s="1"/>
  <c r="AJ367" i="56" s="1" a="1"/>
  <c r="AJ367" i="56" s="1"/>
  <c r="V367" i="56"/>
  <c r="Y367" i="56" s="1"/>
  <c r="V156" i="56"/>
  <c r="Y156" i="56" s="1"/>
  <c r="X156" i="56"/>
  <c r="AH156" i="56" s="1"/>
  <c r="AG156" i="56" s="1"/>
  <c r="AJ156" i="56" s="1" a="1"/>
  <c r="AJ156" i="56" s="1"/>
  <c r="AL83" i="57"/>
  <c r="AK83" i="57"/>
  <c r="Y83" i="57"/>
  <c r="AK126" i="57"/>
  <c r="AL126" i="57"/>
  <c r="Y126" i="57"/>
  <c r="R121" i="57"/>
  <c r="W121" i="57"/>
  <c r="U121" i="57"/>
  <c r="U218" i="56"/>
  <c r="W218" i="56" s="1"/>
  <c r="U217" i="56"/>
  <c r="W217" i="56" s="1"/>
  <c r="U216" i="56"/>
  <c r="W216" i="56" s="1"/>
  <c r="U368" i="56"/>
  <c r="W368" i="56" s="1"/>
  <c r="U367" i="56"/>
  <c r="W367" i="56" s="1"/>
  <c r="U366" i="56"/>
  <c r="W366" i="56" s="1"/>
  <c r="U158" i="56"/>
  <c r="W158" i="56" s="1"/>
  <c r="U157" i="56"/>
  <c r="W157" i="56" s="1"/>
  <c r="U156" i="56"/>
  <c r="W156" i="56" s="1"/>
  <c r="X239" i="56"/>
  <c r="AH239" i="56" s="1"/>
  <c r="AG239" i="56" s="1"/>
  <c r="AJ239" i="56" s="1" a="1"/>
  <c r="AJ239" i="56" s="1"/>
  <c r="V239" i="56"/>
  <c r="Y239" i="56" s="1"/>
  <c r="AL36" i="57"/>
  <c r="Y36" i="57"/>
  <c r="AK36" i="57"/>
  <c r="U124" i="57"/>
  <c r="W124" i="57"/>
  <c r="R124" i="57"/>
  <c r="AK63" i="57"/>
  <c r="Y63" i="57"/>
  <c r="AL63" i="57"/>
  <c r="R38" i="57"/>
  <c r="W38" i="57"/>
  <c r="U38" i="57"/>
  <c r="X157" i="56"/>
  <c r="AH157" i="56" s="1"/>
  <c r="AG157" i="56" s="1"/>
  <c r="AJ157" i="56" s="1" a="1"/>
  <c r="AJ157" i="56" s="1"/>
  <c r="V157" i="56"/>
  <c r="Y157" i="56" s="1"/>
  <c r="V237" i="56"/>
  <c r="Y237" i="56" s="1"/>
  <c r="X237" i="56"/>
  <c r="AH237" i="56" s="1"/>
  <c r="AG237" i="56" s="1"/>
  <c r="AJ237" i="56" s="1" a="1"/>
  <c r="AJ237" i="56" s="1"/>
  <c r="W158" i="57"/>
  <c r="U158" i="57"/>
  <c r="R158" i="57"/>
  <c r="Y10" i="57"/>
  <c r="AK10" i="57"/>
  <c r="AL10" i="57"/>
  <c r="W64" i="57"/>
  <c r="U64" i="57"/>
  <c r="R64" i="57"/>
  <c r="Y130" i="57"/>
  <c r="AK130" i="57"/>
  <c r="AL130" i="57"/>
  <c r="U239" i="56"/>
  <c r="W239" i="56" s="1"/>
  <c r="U237" i="56"/>
  <c r="W237" i="56" s="1"/>
  <c r="U238" i="56"/>
  <c r="W238" i="56" s="1"/>
  <c r="X98" i="56"/>
  <c r="AH98" i="56" s="1"/>
  <c r="AG98" i="56" s="1"/>
  <c r="AJ98" i="56" s="1" a="1"/>
  <c r="AJ98" i="56" s="1"/>
  <c r="V98" i="56"/>
  <c r="Y98" i="56" s="1"/>
  <c r="X470" i="56"/>
  <c r="AH470" i="56" s="1"/>
  <c r="AG470" i="56" s="1"/>
  <c r="AJ470" i="56" s="1" a="1"/>
  <c r="AJ470" i="56" s="1"/>
  <c r="V470" i="56"/>
  <c r="Y470" i="56" s="1"/>
  <c r="U11" i="57"/>
  <c r="W11" i="57"/>
  <c r="R11" i="57"/>
  <c r="W117" i="57"/>
  <c r="U117" i="57"/>
  <c r="R117" i="57"/>
  <c r="U350" i="56"/>
  <c r="W350" i="56" s="1"/>
  <c r="U348" i="56"/>
  <c r="W348" i="56" s="1"/>
  <c r="U349" i="56"/>
  <c r="W349" i="56" s="1"/>
  <c r="AK76" i="57"/>
  <c r="Y76" i="57"/>
  <c r="AL76" i="57"/>
  <c r="X96" i="56"/>
  <c r="AH96" i="56" s="1"/>
  <c r="AG96" i="56" s="1"/>
  <c r="AJ96" i="56" s="1" a="1"/>
  <c r="AJ96" i="56" s="1"/>
  <c r="V96" i="56"/>
  <c r="Y96" i="56" s="1"/>
  <c r="U469" i="56"/>
  <c r="W469" i="56" s="1"/>
  <c r="U470" i="56"/>
  <c r="W470" i="56" s="1"/>
  <c r="V169" i="56"/>
  <c r="Y169" i="56" s="1"/>
  <c r="X169" i="56"/>
  <c r="AH169" i="56" s="1"/>
  <c r="AG169" i="56" s="1"/>
  <c r="AJ169" i="56" s="1" a="1"/>
  <c r="AJ169" i="56" s="1"/>
  <c r="U45" i="57"/>
  <c r="W45" i="57"/>
  <c r="R45" i="57"/>
  <c r="U98" i="56"/>
  <c r="W98" i="56" s="1"/>
  <c r="U96" i="56"/>
  <c r="W96" i="56" s="1"/>
  <c r="U97" i="56"/>
  <c r="W97" i="56" s="1"/>
  <c r="U85" i="57"/>
  <c r="W85" i="57"/>
  <c r="R85" i="57"/>
  <c r="X348" i="56"/>
  <c r="AH348" i="56" s="1"/>
  <c r="AG348" i="56" s="1"/>
  <c r="AJ348" i="56" s="1" a="1"/>
  <c r="AJ348" i="56" s="1"/>
  <c r="V348" i="56"/>
  <c r="Y348" i="56" s="1"/>
  <c r="U57" i="57"/>
  <c r="W57" i="57"/>
  <c r="R57" i="57"/>
  <c r="R37" i="57"/>
  <c r="U37" i="57"/>
  <c r="W37" i="57"/>
  <c r="AK60" i="57"/>
  <c r="Y60" i="57"/>
  <c r="AL60" i="57"/>
  <c r="U122" i="57"/>
  <c r="W122" i="57"/>
  <c r="R122" i="57"/>
  <c r="X349" i="56"/>
  <c r="AH349" i="56" s="1"/>
  <c r="AG349" i="56" s="1"/>
  <c r="AJ349" i="56" s="1" a="1"/>
  <c r="AJ349" i="56" s="1"/>
  <c r="V349" i="56"/>
  <c r="Y349" i="56" s="1"/>
  <c r="X97" i="56"/>
  <c r="AH97" i="56" s="1"/>
  <c r="AG97" i="56" s="1"/>
  <c r="AJ97" i="56" s="1" a="1"/>
  <c r="AJ97" i="56" s="1"/>
  <c r="V97" i="56"/>
  <c r="Y97" i="56" s="1"/>
  <c r="V228" i="56"/>
  <c r="Y228" i="56" s="1"/>
  <c r="X228" i="56"/>
  <c r="AH228" i="56" s="1"/>
  <c r="AG228" i="56" s="1"/>
  <c r="AJ228" i="56" s="1" a="1"/>
  <c r="AJ228" i="56" s="1"/>
  <c r="R42" i="57"/>
  <c r="U42" i="57"/>
  <c r="W42" i="57"/>
  <c r="X158" i="56"/>
  <c r="AH158" i="56" s="1"/>
  <c r="AG158" i="56" s="1"/>
  <c r="AJ158" i="56" s="1" a="1"/>
  <c r="AJ158" i="56" s="1"/>
  <c r="V158" i="56"/>
  <c r="Y158" i="56" s="1"/>
  <c r="V238" i="56"/>
  <c r="Y238" i="56" s="1"/>
  <c r="X238" i="56"/>
  <c r="AH238" i="56" s="1"/>
  <c r="AG238" i="56" s="1"/>
  <c r="AJ238" i="56" s="1" a="1"/>
  <c r="AJ238" i="56" s="1"/>
  <c r="U134" i="57"/>
  <c r="W134" i="57"/>
  <c r="R134" i="57"/>
  <c r="V230" i="56"/>
  <c r="Y230" i="56" s="1"/>
  <c r="X230" i="56"/>
  <c r="AH230" i="56" s="1"/>
  <c r="AG230" i="56" s="1"/>
  <c r="AJ230" i="56" s="1" a="1"/>
  <c r="AJ230" i="56" s="1"/>
  <c r="AL133" i="57"/>
  <c r="Y133" i="57"/>
  <c r="AK133" i="57"/>
  <c r="W162" i="57"/>
  <c r="U162" i="57"/>
  <c r="R162" i="57"/>
  <c r="U44" i="57"/>
  <c r="W44" i="57"/>
  <c r="R44" i="57"/>
  <c r="V350" i="56"/>
  <c r="Y350" i="56" s="1"/>
  <c r="X350" i="56"/>
  <c r="AH350" i="56" s="1"/>
  <c r="AG350" i="56" s="1"/>
  <c r="AJ350" i="56" s="1" a="1"/>
  <c r="AJ350" i="56" s="1"/>
  <c r="V27" i="56"/>
  <c r="Y27" i="56" s="1"/>
  <c r="X27" i="56"/>
  <c r="AH27" i="56" s="1"/>
  <c r="AG27" i="56" s="1"/>
  <c r="AJ27" i="56" s="1" a="1"/>
  <c r="AJ27" i="56" s="1"/>
  <c r="Y56" i="57"/>
  <c r="AK56" i="57"/>
  <c r="AL56" i="57"/>
  <c r="Z5" i="5"/>
  <c r="AC3" i="5"/>
  <c r="Z3" i="5"/>
  <c r="AC4" i="5"/>
  <c r="Z4" i="5"/>
  <c r="A9" i="9"/>
  <c r="AH24" i="32" l="1" a="1"/>
  <c r="AH24" i="32" s="1"/>
  <c r="AP24" i="32" a="1"/>
  <c r="AP24" i="32" s="1"/>
  <c r="AL24" i="32" a="1"/>
  <c r="AL24" i="32" s="1"/>
  <c r="V468" i="56"/>
  <c r="Y468" i="56" s="1"/>
  <c r="X469" i="56"/>
  <c r="AH469" i="56" s="1"/>
  <c r="AG469" i="56" s="1"/>
  <c r="AJ469" i="56" s="1" a="1"/>
  <c r="AJ469" i="56" s="1"/>
  <c r="AB469" i="56" s="1"/>
  <c r="AK123" i="57"/>
  <c r="AH24" i="9" a="1"/>
  <c r="AH24" i="9" s="1"/>
  <c r="P14" i="9"/>
  <c r="X14" i="9" s="1"/>
  <c r="P10" i="9"/>
  <c r="P11" i="9"/>
  <c r="P12" i="9"/>
  <c r="P13" i="9"/>
  <c r="P9" i="9"/>
  <c r="AL123" i="57"/>
  <c r="V359" i="56"/>
  <c r="Y359" i="56" s="1"/>
  <c r="U108" i="56"/>
  <c r="W108" i="56" s="1"/>
  <c r="U110" i="56"/>
  <c r="W110" i="56" s="1"/>
  <c r="X168" i="56"/>
  <c r="AH168" i="56" s="1"/>
  <c r="AG168" i="56" s="1"/>
  <c r="AJ168" i="56" s="1" a="1"/>
  <c r="AJ168" i="56" s="1"/>
  <c r="AB168" i="56" s="1"/>
  <c r="U170" i="56"/>
  <c r="W170" i="56" s="1"/>
  <c r="U359" i="56"/>
  <c r="W359" i="56" s="1"/>
  <c r="X389" i="56"/>
  <c r="AH389" i="56" s="1"/>
  <c r="AG389" i="56" s="1"/>
  <c r="AJ389" i="56" s="1" a="1"/>
  <c r="AJ389" i="56" s="1"/>
  <c r="AB389" i="56" s="1"/>
  <c r="V358" i="56"/>
  <c r="Y358" i="56" s="1"/>
  <c r="U358" i="56"/>
  <c r="W358" i="56" s="1"/>
  <c r="U168" i="56"/>
  <c r="W168" i="56" s="1"/>
  <c r="X110" i="56"/>
  <c r="AH110" i="56" s="1"/>
  <c r="AG110" i="56" s="1"/>
  <c r="AJ110" i="56" s="1" a="1"/>
  <c r="AJ110" i="56" s="1"/>
  <c r="AB110" i="56" s="1"/>
  <c r="U388" i="56"/>
  <c r="W388" i="56" s="1"/>
  <c r="U389" i="56"/>
  <c r="W389" i="56" s="1"/>
  <c r="V388" i="56"/>
  <c r="Y388" i="56" s="1"/>
  <c r="V387" i="56"/>
  <c r="Y387" i="56" s="1"/>
  <c r="V170" i="56"/>
  <c r="Y170" i="56" s="1"/>
  <c r="T3" i="32"/>
  <c r="AH43" i="32"/>
  <c r="V108" i="56"/>
  <c r="Y108" i="56" s="1"/>
  <c r="Z189" i="57"/>
  <c r="V209" i="57"/>
  <c r="AK209" i="57" s="1"/>
  <c r="AB207" i="57"/>
  <c r="AC207" i="57" s="1"/>
  <c r="V189" i="57"/>
  <c r="Y189" i="57" s="1"/>
  <c r="V336" i="56"/>
  <c r="Y336" i="56" s="1"/>
  <c r="Z209" i="57"/>
  <c r="U338" i="56"/>
  <c r="W338" i="56" s="1"/>
  <c r="U336" i="56"/>
  <c r="W336" i="56" s="1"/>
  <c r="V337" i="56"/>
  <c r="Y337" i="56" s="1"/>
  <c r="V207" i="57"/>
  <c r="AL207" i="57" s="1"/>
  <c r="AM207" i="57"/>
  <c r="S217" i="57"/>
  <c r="AM217" i="57"/>
  <c r="Y208" i="57"/>
  <c r="AK208" i="57"/>
  <c r="AL208" i="57"/>
  <c r="AB217" i="57"/>
  <c r="AC217" i="57" s="1"/>
  <c r="V217" i="57"/>
  <c r="Z217" i="57"/>
  <c r="AL198" i="57"/>
  <c r="AK198" i="57"/>
  <c r="Y198" i="57"/>
  <c r="S233" i="57"/>
  <c r="AM233" i="57"/>
  <c r="Y206" i="57"/>
  <c r="AL206" i="57"/>
  <c r="AK206" i="57"/>
  <c r="AB233" i="57"/>
  <c r="AC233" i="57" s="1"/>
  <c r="V233" i="57"/>
  <c r="Z233" i="57"/>
  <c r="S249" i="57"/>
  <c r="AM249" i="57"/>
  <c r="Y230" i="57"/>
  <c r="AL230" i="57"/>
  <c r="AK230" i="57"/>
  <c r="S187" i="57"/>
  <c r="AM187" i="57"/>
  <c r="Z249" i="57"/>
  <c r="V249" i="57"/>
  <c r="AB249" i="57"/>
  <c r="AC249" i="57" s="1"/>
  <c r="AK188" i="57"/>
  <c r="AL188" i="57"/>
  <c r="Y188" i="57"/>
  <c r="V187" i="57"/>
  <c r="AB187" i="57"/>
  <c r="AC187" i="57" s="1"/>
  <c r="Z187" i="57"/>
  <c r="AL246" i="57"/>
  <c r="AK246" i="57"/>
  <c r="Y246" i="57"/>
  <c r="AK232" i="57"/>
  <c r="Y232" i="57"/>
  <c r="AL232" i="57"/>
  <c r="AL236" i="57"/>
  <c r="Y236" i="57"/>
  <c r="AK236" i="57"/>
  <c r="AL234" i="57"/>
  <c r="Y234" i="57"/>
  <c r="AK234" i="57"/>
  <c r="Y200" i="57"/>
  <c r="AL200" i="57"/>
  <c r="AK200" i="57"/>
  <c r="Y248" i="57"/>
  <c r="AK248" i="57"/>
  <c r="AL248" i="57"/>
  <c r="S247" i="57"/>
  <c r="AM247" i="57"/>
  <c r="Z235" i="57"/>
  <c r="V235" i="57"/>
  <c r="AB235" i="57"/>
  <c r="AC235" i="57" s="1"/>
  <c r="V199" i="57"/>
  <c r="Z199" i="57"/>
  <c r="AB199" i="57"/>
  <c r="AC199" i="57" s="1"/>
  <c r="AB247" i="57"/>
  <c r="AC247" i="57" s="1"/>
  <c r="V247" i="57"/>
  <c r="Z247" i="57"/>
  <c r="AK216" i="57"/>
  <c r="AL216" i="57"/>
  <c r="Y216" i="57"/>
  <c r="Y214" i="57"/>
  <c r="AL214" i="57"/>
  <c r="AK214" i="57"/>
  <c r="S231" i="57"/>
  <c r="AM231" i="57"/>
  <c r="S215" i="57"/>
  <c r="AM215" i="57"/>
  <c r="Y186" i="57"/>
  <c r="AK186" i="57"/>
  <c r="AL186" i="57"/>
  <c r="V231" i="57"/>
  <c r="Z231" i="57"/>
  <c r="AB231" i="57"/>
  <c r="AC231" i="57" s="1"/>
  <c r="AB215" i="57"/>
  <c r="AC215" i="57" s="1"/>
  <c r="V215" i="57"/>
  <c r="Z215" i="57"/>
  <c r="S201" i="57"/>
  <c r="AM201" i="57"/>
  <c r="S237" i="57"/>
  <c r="AM237" i="57"/>
  <c r="AB201" i="57"/>
  <c r="AC201" i="57" s="1"/>
  <c r="Z201" i="57"/>
  <c r="V201" i="57"/>
  <c r="Z237" i="57"/>
  <c r="AB237" i="57"/>
  <c r="AC237" i="57" s="1"/>
  <c r="V237" i="57"/>
  <c r="S235" i="57"/>
  <c r="AM235" i="57"/>
  <c r="S199" i="57"/>
  <c r="AM199" i="57"/>
  <c r="AK13" i="5"/>
  <c r="AJ16" i="5" s="1"/>
  <c r="AK40" i="5" s="1"/>
  <c r="AB4" i="5" a="1"/>
  <c r="AB4" i="5" s="1"/>
  <c r="AA4" i="5" a="1"/>
  <c r="AA4" i="5" s="1"/>
  <c r="AG13" i="5"/>
  <c r="AF16" i="5" s="1"/>
  <c r="AG40" i="5" s="1"/>
  <c r="AB3" i="5" a="1"/>
  <c r="AB3" i="5" s="1"/>
  <c r="AA3" i="5" a="1"/>
  <c r="AA3" i="5" s="1"/>
  <c r="AO13" i="5"/>
  <c r="AB5" i="5" a="1"/>
  <c r="AB5" i="5" s="1"/>
  <c r="AA5" i="5" a="1"/>
  <c r="AA5" i="5" s="1"/>
  <c r="AB230" i="56"/>
  <c r="AB122" i="57"/>
  <c r="AC122" i="57" s="1"/>
  <c r="V122" i="57"/>
  <c r="Z122" i="57"/>
  <c r="S11" i="57"/>
  <c r="T23" i="56"/>
  <c r="T21" i="56"/>
  <c r="T22" i="56"/>
  <c r="AM11" i="57"/>
  <c r="S161" i="57"/>
  <c r="T472" i="56"/>
  <c r="T471" i="56"/>
  <c r="T473" i="56"/>
  <c r="AM161" i="57"/>
  <c r="Z127" i="57"/>
  <c r="V127" i="57"/>
  <c r="AB127" i="57"/>
  <c r="AC127" i="57" s="1"/>
  <c r="T123" i="56"/>
  <c r="T124" i="56"/>
  <c r="T125" i="56"/>
  <c r="S45" i="57"/>
  <c r="AM45" i="57"/>
  <c r="AB477" i="56"/>
  <c r="S158" i="57"/>
  <c r="T462" i="56"/>
  <c r="T464" i="56"/>
  <c r="T463" i="56"/>
  <c r="AM158" i="57"/>
  <c r="T24" i="56"/>
  <c r="T25" i="56"/>
  <c r="T26" i="56"/>
  <c r="S12" i="57"/>
  <c r="AM12" i="57"/>
  <c r="AB468" i="56"/>
  <c r="AB15" i="57"/>
  <c r="AC15" i="57" s="1"/>
  <c r="Z15" i="57"/>
  <c r="V15" i="57"/>
  <c r="AB367" i="56"/>
  <c r="AB478" i="56"/>
  <c r="AB7" i="56"/>
  <c r="V158" i="57"/>
  <c r="Z158" i="57"/>
  <c r="AB158" i="57"/>
  <c r="AC158" i="57" s="1"/>
  <c r="AB19" i="56"/>
  <c r="AB131" i="57"/>
  <c r="AC131" i="57" s="1"/>
  <c r="Z131" i="57"/>
  <c r="V131" i="57"/>
  <c r="AB368" i="56"/>
  <c r="AB109" i="56"/>
  <c r="S8" i="57"/>
  <c r="T12" i="56"/>
  <c r="T14" i="56"/>
  <c r="T13" i="56"/>
  <c r="AM8" i="57"/>
  <c r="T105" i="56"/>
  <c r="T107" i="56"/>
  <c r="T106" i="56"/>
  <c r="S39" i="57"/>
  <c r="AM39" i="57"/>
  <c r="AB29" i="56"/>
  <c r="T33" i="56"/>
  <c r="T35" i="56"/>
  <c r="T34" i="56"/>
  <c r="S15" i="57"/>
  <c r="AM15" i="57"/>
  <c r="Z134" i="57"/>
  <c r="AB134" i="57"/>
  <c r="AC134" i="57" s="1"/>
  <c r="V134" i="57"/>
  <c r="AB380" i="56"/>
  <c r="AB96" i="56"/>
  <c r="AB338" i="56"/>
  <c r="AB158" i="56"/>
  <c r="AB27" i="56"/>
  <c r="S38" i="57"/>
  <c r="T104" i="56"/>
  <c r="T103" i="56"/>
  <c r="T102" i="56"/>
  <c r="AM38" i="57"/>
  <c r="AB457" i="56"/>
  <c r="AB228" i="56"/>
  <c r="AB217" i="56"/>
  <c r="V159" i="57"/>
  <c r="AB159" i="57"/>
  <c r="AC159" i="57" s="1"/>
  <c r="Z159" i="57"/>
  <c r="AB18" i="56"/>
  <c r="AB108" i="56"/>
  <c r="AB179" i="56"/>
  <c r="S41" i="57"/>
  <c r="T112" i="56"/>
  <c r="T111" i="56"/>
  <c r="T113" i="56"/>
  <c r="AM41" i="57"/>
  <c r="Z39" i="57"/>
  <c r="AB39" i="57"/>
  <c r="AC39" i="57" s="1"/>
  <c r="V39" i="57"/>
  <c r="Z9" i="57"/>
  <c r="AB9" i="57"/>
  <c r="AC9" i="57" s="1"/>
  <c r="V9" i="57"/>
  <c r="V117" i="57"/>
  <c r="Z117" i="57"/>
  <c r="AB117" i="57"/>
  <c r="AC117" i="57" s="1"/>
  <c r="V11" i="57"/>
  <c r="Z11" i="57"/>
  <c r="AB11" i="57"/>
  <c r="AC11" i="57" s="1"/>
  <c r="AB169" i="56"/>
  <c r="AB78" i="57"/>
  <c r="AC78" i="57" s="1"/>
  <c r="Z78" i="57"/>
  <c r="V78" i="57"/>
  <c r="S165" i="57"/>
  <c r="T483" i="56"/>
  <c r="T484" i="56"/>
  <c r="T485" i="56"/>
  <c r="AM165" i="57"/>
  <c r="T390" i="56"/>
  <c r="T391" i="56"/>
  <c r="T392" i="56"/>
  <c r="S134" i="57"/>
  <c r="AM134" i="57"/>
  <c r="AB470" i="56"/>
  <c r="AB157" i="56"/>
  <c r="V164" i="57"/>
  <c r="AB164" i="57"/>
  <c r="AC164" i="57" s="1"/>
  <c r="Z164" i="57"/>
  <c r="AB119" i="56"/>
  <c r="S157" i="57"/>
  <c r="T460" i="56"/>
  <c r="T459" i="56"/>
  <c r="T461" i="56"/>
  <c r="AM157" i="57"/>
  <c r="S164" i="57"/>
  <c r="T482" i="56"/>
  <c r="T481" i="56"/>
  <c r="T480" i="56"/>
  <c r="AM164" i="57"/>
  <c r="AB337" i="56"/>
  <c r="T16" i="56"/>
  <c r="S9" i="57"/>
  <c r="T15" i="56"/>
  <c r="T17" i="56"/>
  <c r="AM9" i="57"/>
  <c r="S44" i="57"/>
  <c r="T122" i="56"/>
  <c r="T121" i="56"/>
  <c r="T120" i="56"/>
  <c r="AM44" i="57"/>
  <c r="AB218" i="56"/>
  <c r="T347" i="56"/>
  <c r="S119" i="57"/>
  <c r="T345" i="56"/>
  <c r="T346" i="56"/>
  <c r="AM119" i="57"/>
  <c r="Z132" i="57"/>
  <c r="AB132" i="57"/>
  <c r="AC132" i="57" s="1"/>
  <c r="V132" i="57"/>
  <c r="Z41" i="57"/>
  <c r="AB41" i="57"/>
  <c r="AC41" i="57" s="1"/>
  <c r="V41" i="57"/>
  <c r="AB8" i="57"/>
  <c r="AC8" i="57" s="1"/>
  <c r="V8" i="57"/>
  <c r="Z8" i="57"/>
  <c r="S122" i="57"/>
  <c r="T356" i="56"/>
  <c r="T355" i="56"/>
  <c r="T354" i="56"/>
  <c r="AM122" i="57"/>
  <c r="T223" i="56"/>
  <c r="T224" i="56"/>
  <c r="T222" i="56"/>
  <c r="S78" i="57"/>
  <c r="AM78" i="57"/>
  <c r="V165" i="57"/>
  <c r="AB165" i="57"/>
  <c r="AC165" i="57" s="1"/>
  <c r="Z165" i="57"/>
  <c r="AB239" i="56"/>
  <c r="AB238" i="56"/>
  <c r="AB98" i="56"/>
  <c r="Z118" i="57"/>
  <c r="AB118" i="57"/>
  <c r="AC118" i="57" s="1"/>
  <c r="V118" i="57"/>
  <c r="Z62" i="57"/>
  <c r="AB62" i="57"/>
  <c r="AC62" i="57" s="1"/>
  <c r="V62" i="57"/>
  <c r="T171" i="56"/>
  <c r="S61" i="57"/>
  <c r="T173" i="56"/>
  <c r="T172" i="56"/>
  <c r="AM61" i="57"/>
  <c r="AB8" i="56"/>
  <c r="AB85" i="57"/>
  <c r="AC85" i="57" s="1"/>
  <c r="V85" i="57"/>
  <c r="Z85" i="57"/>
  <c r="Z129" i="57"/>
  <c r="AB129" i="57"/>
  <c r="AC129" i="57" s="1"/>
  <c r="V129" i="57"/>
  <c r="S65" i="57"/>
  <c r="T184" i="56"/>
  <c r="T183" i="56"/>
  <c r="T185" i="56"/>
  <c r="AM65" i="57"/>
  <c r="S132" i="57"/>
  <c r="T385" i="56"/>
  <c r="T384" i="56"/>
  <c r="T386" i="56"/>
  <c r="AM132" i="57"/>
  <c r="AB117" i="56"/>
  <c r="AB178" i="56"/>
  <c r="AB378" i="56"/>
  <c r="AB479" i="56"/>
  <c r="AB84" i="57"/>
  <c r="AC84" i="57" s="1"/>
  <c r="Z84" i="57"/>
  <c r="V84" i="57"/>
  <c r="AB237" i="56"/>
  <c r="V7" i="57"/>
  <c r="Z7" i="57"/>
  <c r="AB7" i="57"/>
  <c r="AC7" i="57" s="1"/>
  <c r="S57" i="57"/>
  <c r="T160" i="56"/>
  <c r="T161" i="56"/>
  <c r="T159" i="56"/>
  <c r="AM57" i="57"/>
  <c r="S59" i="57"/>
  <c r="T165" i="56"/>
  <c r="T166" i="56"/>
  <c r="T167" i="56"/>
  <c r="AM59" i="57"/>
  <c r="Z57" i="57"/>
  <c r="AB57" i="57"/>
  <c r="AC57" i="57" s="1"/>
  <c r="V57" i="57"/>
  <c r="S62" i="57"/>
  <c r="T174" i="56"/>
  <c r="T176" i="56"/>
  <c r="T175" i="56"/>
  <c r="AM62" i="57"/>
  <c r="V77" i="57"/>
  <c r="Z77" i="57"/>
  <c r="AB77" i="57"/>
  <c r="AC77" i="57" s="1"/>
  <c r="S159" i="57"/>
  <c r="T467" i="56"/>
  <c r="T465" i="56"/>
  <c r="T466" i="56"/>
  <c r="AM159" i="57"/>
  <c r="V157" i="57"/>
  <c r="AB157" i="57"/>
  <c r="AC157" i="57" s="1"/>
  <c r="Z157" i="57"/>
  <c r="AB350" i="56"/>
  <c r="T243" i="56"/>
  <c r="T244" i="56"/>
  <c r="T245" i="56"/>
  <c r="S85" i="57"/>
  <c r="AM85" i="57"/>
  <c r="S162" i="57"/>
  <c r="T476" i="56"/>
  <c r="T474" i="56"/>
  <c r="T475" i="56"/>
  <c r="AM162" i="57"/>
  <c r="AB170" i="56"/>
  <c r="V121" i="57"/>
  <c r="AB121" i="57"/>
  <c r="AC121" i="57" s="1"/>
  <c r="Z121" i="57"/>
  <c r="AB79" i="57"/>
  <c r="AC79" i="57" s="1"/>
  <c r="Z79" i="57"/>
  <c r="V79" i="57"/>
  <c r="Z65" i="57"/>
  <c r="V65" i="57"/>
  <c r="AB65" i="57"/>
  <c r="AC65" i="57" s="1"/>
  <c r="AB61" i="57"/>
  <c r="AC61" i="57" s="1"/>
  <c r="Z61" i="57"/>
  <c r="V61" i="57"/>
  <c r="AB358" i="56"/>
  <c r="Z59" i="57"/>
  <c r="AB59" i="57"/>
  <c r="AC59" i="57" s="1"/>
  <c r="V59" i="57"/>
  <c r="V42" i="57"/>
  <c r="AB42" i="57"/>
  <c r="AC42" i="57" s="1"/>
  <c r="Z42" i="57"/>
  <c r="Z38" i="57"/>
  <c r="V38" i="57"/>
  <c r="AB38" i="57"/>
  <c r="AC38" i="57" s="1"/>
  <c r="AB366" i="56"/>
  <c r="S42" i="57"/>
  <c r="T116" i="56"/>
  <c r="T114" i="56"/>
  <c r="T115" i="56"/>
  <c r="AM42" i="57"/>
  <c r="Z82" i="57"/>
  <c r="V82" i="57"/>
  <c r="AB82" i="57"/>
  <c r="AC82" i="57" s="1"/>
  <c r="T225" i="56"/>
  <c r="T226" i="56"/>
  <c r="T227" i="56"/>
  <c r="S79" i="57"/>
  <c r="AM79" i="57"/>
  <c r="AB216" i="56"/>
  <c r="AM64" i="57"/>
  <c r="T180" i="56"/>
  <c r="S64" i="57"/>
  <c r="T181" i="56"/>
  <c r="T182" i="56"/>
  <c r="AB359" i="56"/>
  <c r="S121" i="57"/>
  <c r="T353" i="56"/>
  <c r="T352" i="56"/>
  <c r="T351" i="56"/>
  <c r="AM121" i="57"/>
  <c r="S14" i="57"/>
  <c r="T32" i="56"/>
  <c r="T30" i="56"/>
  <c r="T31" i="56"/>
  <c r="AM14" i="57"/>
  <c r="AB388" i="56"/>
  <c r="AB229" i="56"/>
  <c r="S58" i="57"/>
  <c r="T163" i="56"/>
  <c r="T162" i="56"/>
  <c r="T164" i="56"/>
  <c r="AM58" i="57"/>
  <c r="S128" i="57"/>
  <c r="T373" i="56"/>
  <c r="T372" i="56"/>
  <c r="T374" i="56"/>
  <c r="AM128" i="57"/>
  <c r="AB28" i="56"/>
  <c r="AB45" i="57"/>
  <c r="AC45" i="57" s="1"/>
  <c r="V45" i="57"/>
  <c r="Z45" i="57"/>
  <c r="AB379" i="56"/>
  <c r="S84" i="57"/>
  <c r="T240" i="56"/>
  <c r="T241" i="56"/>
  <c r="T242" i="56"/>
  <c r="AM84" i="57"/>
  <c r="AB156" i="56"/>
  <c r="Z37" i="57"/>
  <c r="AB37" i="57"/>
  <c r="AC37" i="57" s="1"/>
  <c r="V37" i="57"/>
  <c r="S7" i="57"/>
  <c r="T10" i="56"/>
  <c r="T11" i="56"/>
  <c r="T9" i="56"/>
  <c r="AM7" i="57"/>
  <c r="S37" i="57"/>
  <c r="T100" i="56"/>
  <c r="T99" i="56"/>
  <c r="T101" i="56"/>
  <c r="AM37" i="57"/>
  <c r="AB118" i="56"/>
  <c r="S131" i="57"/>
  <c r="T383" i="56"/>
  <c r="T381" i="56"/>
  <c r="T382" i="56"/>
  <c r="AM131" i="57"/>
  <c r="S118" i="57"/>
  <c r="T344" i="56"/>
  <c r="T343" i="56"/>
  <c r="T342" i="56"/>
  <c r="AM118" i="57"/>
  <c r="S77" i="57"/>
  <c r="T221" i="56"/>
  <c r="T219" i="56"/>
  <c r="T220" i="56"/>
  <c r="AM77" i="57"/>
  <c r="T236" i="56"/>
  <c r="T235" i="56"/>
  <c r="T234" i="56"/>
  <c r="S82" i="57"/>
  <c r="AM82" i="57"/>
  <c r="AB458" i="56"/>
  <c r="AB20" i="56"/>
  <c r="AB348" i="56"/>
  <c r="V44" i="57"/>
  <c r="Z44" i="57"/>
  <c r="AB44" i="57"/>
  <c r="AC44" i="57" s="1"/>
  <c r="AB456" i="56"/>
  <c r="T375" i="56"/>
  <c r="T377" i="56"/>
  <c r="T376" i="56"/>
  <c r="S129" i="57"/>
  <c r="AM129" i="57"/>
  <c r="AB119" i="57"/>
  <c r="AC119" i="57" s="1"/>
  <c r="Z119" i="57"/>
  <c r="V119" i="57"/>
  <c r="AB97" i="56"/>
  <c r="Z162" i="57"/>
  <c r="AB162" i="57"/>
  <c r="AC162" i="57" s="1"/>
  <c r="V162" i="57"/>
  <c r="AB349" i="56"/>
  <c r="T339" i="56"/>
  <c r="T341" i="56"/>
  <c r="S117" i="57"/>
  <c r="T340" i="56"/>
  <c r="AM117" i="57"/>
  <c r="T361" i="56"/>
  <c r="S124" i="57"/>
  <c r="T362" i="56"/>
  <c r="T360" i="56"/>
  <c r="AM124" i="57"/>
  <c r="T364" i="56"/>
  <c r="S125" i="57"/>
  <c r="T363" i="56"/>
  <c r="T365" i="56"/>
  <c r="AM125" i="57"/>
  <c r="AB357" i="56"/>
  <c r="S135" i="57"/>
  <c r="T393" i="56"/>
  <c r="T395" i="56"/>
  <c r="T394" i="56"/>
  <c r="AM135" i="57"/>
  <c r="AB336" i="56"/>
  <c r="AB6" i="56"/>
  <c r="S81" i="57"/>
  <c r="T232" i="56"/>
  <c r="T233" i="56"/>
  <c r="T231" i="56"/>
  <c r="AM81" i="57"/>
  <c r="V64" i="57"/>
  <c r="AB64" i="57"/>
  <c r="AC64" i="57" s="1"/>
  <c r="Z64" i="57"/>
  <c r="Z124" i="57"/>
  <c r="V124" i="57"/>
  <c r="AB124" i="57"/>
  <c r="AC124" i="57" s="1"/>
  <c r="AB14" i="57"/>
  <c r="AC14" i="57" s="1"/>
  <c r="Z14" i="57"/>
  <c r="V14" i="57"/>
  <c r="V125" i="57"/>
  <c r="Z125" i="57"/>
  <c r="AB125" i="57"/>
  <c r="AC125" i="57" s="1"/>
  <c r="Z12" i="57"/>
  <c r="V12" i="57"/>
  <c r="AB12" i="57"/>
  <c r="AC12" i="57" s="1"/>
  <c r="Z135" i="57"/>
  <c r="V135" i="57"/>
  <c r="AB135" i="57"/>
  <c r="AC135" i="57" s="1"/>
  <c r="S127" i="57"/>
  <c r="T369" i="56"/>
  <c r="T371" i="56"/>
  <c r="T370" i="56"/>
  <c r="AM127" i="57"/>
  <c r="V58" i="57"/>
  <c r="Z58" i="57"/>
  <c r="AB58" i="57"/>
  <c r="AC58" i="57" s="1"/>
  <c r="V128" i="57"/>
  <c r="Z128" i="57"/>
  <c r="AB128" i="57"/>
  <c r="AC128" i="57" s="1"/>
  <c r="V81" i="57"/>
  <c r="AB81" i="57"/>
  <c r="AC81" i="57" s="1"/>
  <c r="Z81" i="57"/>
  <c r="AB387" i="56"/>
  <c r="AB177" i="56"/>
  <c r="AB161" i="57"/>
  <c r="AC161" i="57" s="1"/>
  <c r="V161" i="57"/>
  <c r="Z161" i="57"/>
  <c r="AP24" i="9" a="1"/>
  <c r="AP24" i="9" s="1"/>
  <c r="AL24" i="9" l="1" a="1"/>
  <c r="AL24" i="9" s="1"/>
  <c r="AK189" i="57"/>
  <c r="AL189" i="57"/>
  <c r="X209" i="57"/>
  <c r="AA209" i="57" s="1"/>
  <c r="AL209" i="57"/>
  <c r="Y209" i="57"/>
  <c r="AK207" i="57"/>
  <c r="Y207" i="57"/>
  <c r="X189" i="57"/>
  <c r="AA189" i="57" s="1"/>
  <c r="AK18" i="5"/>
  <c r="AL235" i="57"/>
  <c r="AK235" i="57"/>
  <c r="Y235" i="57"/>
  <c r="Y231" i="57"/>
  <c r="AL231" i="57"/>
  <c r="AK231" i="57"/>
  <c r="AL237" i="57"/>
  <c r="Y237" i="57"/>
  <c r="AK237" i="57"/>
  <c r="X237" i="57"/>
  <c r="AA237" i="57" s="1"/>
  <c r="AK187" i="57"/>
  <c r="Y187" i="57"/>
  <c r="AL187" i="57"/>
  <c r="AL201" i="57"/>
  <c r="X201" i="57"/>
  <c r="AA201" i="57" s="1"/>
  <c r="Y201" i="57"/>
  <c r="AK201" i="57"/>
  <c r="AL199" i="57"/>
  <c r="AK199" i="57"/>
  <c r="Y199" i="57"/>
  <c r="Y233" i="57"/>
  <c r="X233" i="57"/>
  <c r="AA233" i="57" s="1"/>
  <c r="AL233" i="57"/>
  <c r="AK233" i="57"/>
  <c r="AG18" i="5"/>
  <c r="X249" i="57"/>
  <c r="AA249" i="57" s="1"/>
  <c r="AL249" i="57"/>
  <c r="Y249" i="57"/>
  <c r="AK249" i="57"/>
  <c r="Y217" i="57"/>
  <c r="AL217" i="57"/>
  <c r="X217" i="57"/>
  <c r="AA217" i="57" s="1"/>
  <c r="AK217" i="57"/>
  <c r="AK247" i="57"/>
  <c r="Y247" i="57"/>
  <c r="AL247" i="57"/>
  <c r="AK215" i="57"/>
  <c r="Y215" i="57"/>
  <c r="AL215" i="57"/>
  <c r="AG42" i="5"/>
  <c r="AG41" i="5"/>
  <c r="AG53" i="5"/>
  <c r="AG54" i="5" s="1"/>
  <c r="AK42" i="5"/>
  <c r="AK41" i="5"/>
  <c r="AN16" i="5"/>
  <c r="AO40" i="5" s="1"/>
  <c r="AM238" i="56"/>
  <c r="AM29" i="56"/>
  <c r="AM457" i="56"/>
  <c r="AM456" i="56"/>
  <c r="AM156" i="56"/>
  <c r="AM158" i="56"/>
  <c r="AM458" i="56"/>
  <c r="AM118" i="56"/>
  <c r="AM379" i="56"/>
  <c r="AM168" i="56"/>
  <c r="AM20" i="56"/>
  <c r="AM110" i="56"/>
  <c r="AM177" i="56"/>
  <c r="AM337" i="56"/>
  <c r="AM367" i="56"/>
  <c r="AM366" i="56"/>
  <c r="AM239" i="56"/>
  <c r="AM359" i="56"/>
  <c r="AM108" i="56"/>
  <c r="AM338" i="56"/>
  <c r="AM169" i="56"/>
  <c r="AM18" i="56"/>
  <c r="AM336" i="56"/>
  <c r="AM388" i="56"/>
  <c r="AM358" i="56"/>
  <c r="AM217" i="56"/>
  <c r="AM348" i="56"/>
  <c r="X125" i="56"/>
  <c r="AH125" i="56" s="1"/>
  <c r="AG125" i="56" s="1"/>
  <c r="AJ125" i="56" s="1" a="1"/>
  <c r="AJ125" i="56" s="1"/>
  <c r="V125" i="56"/>
  <c r="Y125" i="56" s="1"/>
  <c r="X220" i="56"/>
  <c r="AH220" i="56" s="1"/>
  <c r="AG220" i="56" s="1"/>
  <c r="AJ220" i="56" s="1" a="1"/>
  <c r="AJ220" i="56" s="1"/>
  <c r="V220" i="56"/>
  <c r="Y220" i="56" s="1"/>
  <c r="V356" i="56"/>
  <c r="Y356" i="56" s="1"/>
  <c r="X356" i="56"/>
  <c r="AH356" i="56" s="1"/>
  <c r="AG356" i="56" s="1"/>
  <c r="AJ356" i="56" s="1" a="1"/>
  <c r="AJ356" i="56" s="1"/>
  <c r="AK18" i="56"/>
  <c r="AC18" i="56"/>
  <c r="AD18" i="56"/>
  <c r="AE18" i="56" s="1"/>
  <c r="AD338" i="56"/>
  <c r="AE338" i="56" s="1"/>
  <c r="AK338" i="56"/>
  <c r="AC338" i="56"/>
  <c r="V14" i="56"/>
  <c r="Y14" i="56" s="1"/>
  <c r="X14" i="56"/>
  <c r="AH14" i="56" s="1"/>
  <c r="AG14" i="56" s="1"/>
  <c r="AJ14" i="56" s="1" a="1"/>
  <c r="AJ14" i="56" s="1"/>
  <c r="AK367" i="56"/>
  <c r="AD367" i="56"/>
  <c r="AE367" i="56" s="1"/>
  <c r="AC367" i="56"/>
  <c r="V123" i="56"/>
  <c r="Y123" i="56" s="1"/>
  <c r="X123" i="56"/>
  <c r="AH123" i="56" s="1"/>
  <c r="AG123" i="56" s="1"/>
  <c r="AJ123" i="56" s="1" a="1"/>
  <c r="AJ123" i="56" s="1"/>
  <c r="AK158" i="56"/>
  <c r="AD158" i="56"/>
  <c r="AE158" i="56" s="1"/>
  <c r="AC158" i="56"/>
  <c r="X386" i="56"/>
  <c r="AH386" i="56" s="1"/>
  <c r="AG386" i="56" s="1"/>
  <c r="AJ386" i="56" s="1" a="1"/>
  <c r="AJ386" i="56" s="1"/>
  <c r="V386" i="56"/>
  <c r="Y386" i="56" s="1"/>
  <c r="X159" i="56"/>
  <c r="AH159" i="56" s="1"/>
  <c r="AG159" i="56" s="1"/>
  <c r="AJ159" i="56" s="1" a="1"/>
  <c r="AJ159" i="56" s="1"/>
  <c r="V159" i="56"/>
  <c r="Y159" i="56" s="1"/>
  <c r="U120" i="56"/>
  <c r="W120" i="56" s="1"/>
  <c r="U122" i="56"/>
  <c r="W122" i="56" s="1"/>
  <c r="U121" i="56"/>
  <c r="W121" i="56" s="1"/>
  <c r="V376" i="56"/>
  <c r="Y376" i="56" s="1"/>
  <c r="X376" i="56"/>
  <c r="AH376" i="56" s="1"/>
  <c r="AG376" i="56" s="1"/>
  <c r="AJ376" i="56" s="1" a="1"/>
  <c r="AJ376" i="56" s="1"/>
  <c r="X10" i="56"/>
  <c r="AH10" i="56" s="1"/>
  <c r="AG10" i="56" s="1"/>
  <c r="AJ10" i="56" s="1" a="1"/>
  <c r="AJ10" i="56" s="1"/>
  <c r="V10" i="56"/>
  <c r="Y10" i="56" s="1"/>
  <c r="X373" i="56"/>
  <c r="AH373" i="56" s="1"/>
  <c r="AG373" i="56" s="1"/>
  <c r="AJ373" i="56" s="1" a="1"/>
  <c r="AJ373" i="56" s="1"/>
  <c r="V373" i="56"/>
  <c r="Y373" i="56" s="1"/>
  <c r="AD359" i="56"/>
  <c r="AE359" i="56" s="1"/>
  <c r="AC359" i="56"/>
  <c r="AK359" i="56"/>
  <c r="AK366" i="56"/>
  <c r="AD366" i="56"/>
  <c r="AE366" i="56" s="1"/>
  <c r="AC366" i="56"/>
  <c r="V466" i="56"/>
  <c r="Y466" i="56" s="1"/>
  <c r="X466" i="56"/>
  <c r="AH466" i="56" s="1"/>
  <c r="AG466" i="56" s="1"/>
  <c r="AJ466" i="56" s="1" a="1"/>
  <c r="AJ466" i="56" s="1"/>
  <c r="V161" i="56"/>
  <c r="Y161" i="56" s="1"/>
  <c r="X161" i="56"/>
  <c r="AH161" i="56" s="1"/>
  <c r="AG161" i="56" s="1"/>
  <c r="AJ161" i="56" s="1" a="1"/>
  <c r="AJ161" i="56" s="1"/>
  <c r="X385" i="56"/>
  <c r="AH385" i="56" s="1"/>
  <c r="AG385" i="56" s="1"/>
  <c r="AJ385" i="56" s="1" a="1"/>
  <c r="AJ385" i="56" s="1"/>
  <c r="V385" i="56"/>
  <c r="Y385" i="56" s="1"/>
  <c r="U354" i="56"/>
  <c r="W354" i="56" s="1"/>
  <c r="U356" i="56"/>
  <c r="W356" i="56" s="1"/>
  <c r="U355" i="56"/>
  <c r="W355" i="56" s="1"/>
  <c r="AM157" i="56"/>
  <c r="AM96" i="56"/>
  <c r="V12" i="56"/>
  <c r="Y12" i="56" s="1"/>
  <c r="X12" i="56"/>
  <c r="AH12" i="56" s="1"/>
  <c r="AG12" i="56" s="1"/>
  <c r="AJ12" i="56" s="1" a="1"/>
  <c r="AJ12" i="56" s="1"/>
  <c r="AL15" i="57"/>
  <c r="Y15" i="57"/>
  <c r="AK15" i="57"/>
  <c r="AK119" i="56"/>
  <c r="AD119" i="56"/>
  <c r="AE119" i="56" s="1"/>
  <c r="AC119" i="56"/>
  <c r="X354" i="56"/>
  <c r="AH354" i="56" s="1"/>
  <c r="AG354" i="56" s="1"/>
  <c r="AJ354" i="56" s="1" a="1"/>
  <c r="AJ354" i="56" s="1"/>
  <c r="V354" i="56"/>
  <c r="Y354" i="56" s="1"/>
  <c r="AD169" i="56"/>
  <c r="AE169" i="56" s="1"/>
  <c r="AK169" i="56"/>
  <c r="AC169" i="56"/>
  <c r="X13" i="56"/>
  <c r="AH13" i="56" s="1"/>
  <c r="AG13" i="56" s="1"/>
  <c r="AJ13" i="56" s="1" a="1"/>
  <c r="AJ13" i="56" s="1"/>
  <c r="V13" i="56"/>
  <c r="Y13" i="56" s="1"/>
  <c r="Y58" i="57"/>
  <c r="AL58" i="57"/>
  <c r="AK58" i="57"/>
  <c r="V219" i="56"/>
  <c r="Y219" i="56" s="1"/>
  <c r="X219" i="56"/>
  <c r="AH219" i="56" s="1"/>
  <c r="AG219" i="56" s="1"/>
  <c r="AJ219" i="56" s="1" a="1"/>
  <c r="AJ219" i="56" s="1"/>
  <c r="V372" i="56"/>
  <c r="Y372" i="56" s="1"/>
  <c r="X372" i="56"/>
  <c r="AH372" i="56" s="1"/>
  <c r="AG372" i="56" s="1"/>
  <c r="AJ372" i="56" s="1" a="1"/>
  <c r="AJ372" i="56" s="1"/>
  <c r="X164" i="57"/>
  <c r="AA164" i="57" s="1"/>
  <c r="Y164" i="57"/>
  <c r="AK164" i="57"/>
  <c r="AL164" i="57"/>
  <c r="V360" i="56"/>
  <c r="Y360" i="56" s="1"/>
  <c r="X360" i="56"/>
  <c r="AH360" i="56" s="1"/>
  <c r="AG360" i="56" s="1"/>
  <c r="AJ360" i="56" s="1" a="1"/>
  <c r="AJ360" i="56" s="1"/>
  <c r="X377" i="56"/>
  <c r="AH377" i="56" s="1"/>
  <c r="AG377" i="56" s="1"/>
  <c r="AJ377" i="56" s="1" a="1"/>
  <c r="AJ377" i="56" s="1"/>
  <c r="V377" i="56"/>
  <c r="Y377" i="56" s="1"/>
  <c r="U220" i="56"/>
  <c r="W220" i="56" s="1"/>
  <c r="U219" i="56"/>
  <c r="W219" i="56" s="1"/>
  <c r="U221" i="56"/>
  <c r="W221" i="56" s="1"/>
  <c r="U10" i="56"/>
  <c r="W10" i="56" s="1"/>
  <c r="U9" i="56"/>
  <c r="W9" i="56" s="1"/>
  <c r="U11" i="56"/>
  <c r="W11" i="56" s="1"/>
  <c r="U374" i="56"/>
  <c r="W374" i="56" s="1"/>
  <c r="U372" i="56"/>
  <c r="W372" i="56" s="1"/>
  <c r="U373" i="56"/>
  <c r="W373" i="56" s="1"/>
  <c r="V182" i="56"/>
  <c r="Y182" i="56" s="1"/>
  <c r="X182" i="56"/>
  <c r="AH182" i="56" s="1"/>
  <c r="AG182" i="56" s="1"/>
  <c r="AJ182" i="56" s="1" a="1"/>
  <c r="AJ182" i="56" s="1"/>
  <c r="Y121" i="57"/>
  <c r="AK121" i="57"/>
  <c r="AL121" i="57"/>
  <c r="V465" i="56"/>
  <c r="Y465" i="56" s="1"/>
  <c r="X465" i="56"/>
  <c r="AH465" i="56" s="1"/>
  <c r="AG465" i="56" s="1"/>
  <c r="AJ465" i="56" s="1" a="1"/>
  <c r="AJ465" i="56" s="1"/>
  <c r="V160" i="56"/>
  <c r="Y160" i="56" s="1"/>
  <c r="X160" i="56"/>
  <c r="AH160" i="56" s="1"/>
  <c r="AG160" i="56" s="1"/>
  <c r="AJ160" i="56" s="1" a="1"/>
  <c r="AJ160" i="56" s="1"/>
  <c r="U385" i="56"/>
  <c r="W385" i="56" s="1"/>
  <c r="U386" i="56"/>
  <c r="W386" i="56" s="1"/>
  <c r="U384" i="56"/>
  <c r="W384" i="56" s="1"/>
  <c r="Y118" i="57"/>
  <c r="AK118" i="57"/>
  <c r="AL118" i="57"/>
  <c r="V17" i="56"/>
  <c r="Y17" i="56" s="1"/>
  <c r="X17" i="56"/>
  <c r="AH17" i="56" s="1"/>
  <c r="AG17" i="56" s="1"/>
  <c r="AJ17" i="56" s="1" a="1"/>
  <c r="AJ17" i="56" s="1"/>
  <c r="AK157" i="56"/>
  <c r="AD157" i="56"/>
  <c r="AE157" i="56" s="1"/>
  <c r="AC157" i="56"/>
  <c r="Y11" i="57"/>
  <c r="AL11" i="57"/>
  <c r="AK11" i="57"/>
  <c r="AC96" i="56"/>
  <c r="AD96" i="56"/>
  <c r="AE96" i="56" s="1"/>
  <c r="AK96" i="56"/>
  <c r="U14" i="56"/>
  <c r="W14" i="56" s="1"/>
  <c r="U13" i="56"/>
  <c r="W13" i="56" s="1"/>
  <c r="U12" i="56"/>
  <c r="W12" i="56" s="1"/>
  <c r="Y127" i="57"/>
  <c r="X127" i="57"/>
  <c r="AA127" i="57" s="1"/>
  <c r="AL127" i="57"/>
  <c r="AK127" i="57"/>
  <c r="AK117" i="56"/>
  <c r="AC117" i="56"/>
  <c r="AD117" i="56"/>
  <c r="AE117" i="56" s="1"/>
  <c r="U125" i="56"/>
  <c r="W125" i="56" s="1"/>
  <c r="U123" i="56"/>
  <c r="W123" i="56" s="1"/>
  <c r="U124" i="56"/>
  <c r="W124" i="56" s="1"/>
  <c r="U376" i="56"/>
  <c r="W376" i="56" s="1"/>
  <c r="U377" i="56"/>
  <c r="W377" i="56" s="1"/>
  <c r="U375" i="56"/>
  <c r="W375" i="56" s="1"/>
  <c r="V384" i="56"/>
  <c r="Y384" i="56" s="1"/>
  <c r="X384" i="56"/>
  <c r="AH384" i="56" s="1"/>
  <c r="AG384" i="56" s="1"/>
  <c r="AJ384" i="56" s="1" a="1"/>
  <c r="AJ384" i="56" s="1"/>
  <c r="X64" i="57"/>
  <c r="AA64" i="57" s="1"/>
  <c r="Y64" i="57"/>
  <c r="AL64" i="57"/>
  <c r="AK64" i="57"/>
  <c r="X221" i="56"/>
  <c r="AH221" i="56" s="1"/>
  <c r="AG221" i="56" s="1"/>
  <c r="AJ221" i="56" s="1" a="1"/>
  <c r="AJ221" i="56" s="1"/>
  <c r="V221" i="56"/>
  <c r="Y221" i="56" s="1"/>
  <c r="X370" i="56"/>
  <c r="AH370" i="56" s="1"/>
  <c r="AG370" i="56" s="1"/>
  <c r="AJ370" i="56" s="1" a="1"/>
  <c r="AJ370" i="56" s="1"/>
  <c r="V370" i="56"/>
  <c r="Y370" i="56" s="1"/>
  <c r="V371" i="56"/>
  <c r="Y371" i="56" s="1"/>
  <c r="X371" i="56"/>
  <c r="AH371" i="56" s="1"/>
  <c r="AG371" i="56" s="1"/>
  <c r="AJ371" i="56" s="1" a="1"/>
  <c r="AJ371" i="56" s="1"/>
  <c r="V231" i="56"/>
  <c r="Y231" i="56" s="1"/>
  <c r="X231" i="56"/>
  <c r="AH231" i="56" s="1"/>
  <c r="AG231" i="56" s="1"/>
  <c r="AJ231" i="56" s="1" a="1"/>
  <c r="AJ231" i="56" s="1"/>
  <c r="X362" i="56"/>
  <c r="AH362" i="56" s="1"/>
  <c r="AG362" i="56" s="1"/>
  <c r="AJ362" i="56" s="1" a="1"/>
  <c r="AJ362" i="56" s="1"/>
  <c r="V362" i="56"/>
  <c r="Y362" i="56" s="1"/>
  <c r="X375" i="56"/>
  <c r="AH375" i="56" s="1"/>
  <c r="AG375" i="56" s="1"/>
  <c r="AJ375" i="56" s="1" a="1"/>
  <c r="AJ375" i="56" s="1"/>
  <c r="V375" i="56"/>
  <c r="Y375" i="56" s="1"/>
  <c r="X37" i="57"/>
  <c r="AA37" i="57" s="1"/>
  <c r="AL37" i="57"/>
  <c r="AK37" i="57"/>
  <c r="Y37" i="57"/>
  <c r="X181" i="56"/>
  <c r="AH181" i="56" s="1"/>
  <c r="AG181" i="56" s="1"/>
  <c r="AJ181" i="56" s="1" a="1"/>
  <c r="AJ181" i="56" s="1"/>
  <c r="V181" i="56"/>
  <c r="Y181" i="56" s="1"/>
  <c r="AL38" i="57"/>
  <c r="AK38" i="57"/>
  <c r="Y38" i="57"/>
  <c r="AM170" i="56"/>
  <c r="X467" i="56"/>
  <c r="AH467" i="56" s="1"/>
  <c r="AG467" i="56" s="1"/>
  <c r="AJ467" i="56" s="1" a="1"/>
  <c r="AJ467" i="56" s="1"/>
  <c r="V467" i="56"/>
  <c r="Y467" i="56" s="1"/>
  <c r="U161" i="56"/>
  <c r="W161" i="56" s="1"/>
  <c r="U159" i="56"/>
  <c r="W159" i="56" s="1"/>
  <c r="U160" i="56"/>
  <c r="W160" i="56" s="1"/>
  <c r="Y8" i="57"/>
  <c r="AL8" i="57"/>
  <c r="AK8" i="57"/>
  <c r="V15" i="56"/>
  <c r="Y15" i="56" s="1"/>
  <c r="X15" i="56"/>
  <c r="AH15" i="56" s="1"/>
  <c r="AG15" i="56" s="1"/>
  <c r="AJ15" i="56" s="1" a="1"/>
  <c r="AJ15" i="56" s="1"/>
  <c r="AM389" i="56"/>
  <c r="Y159" i="57"/>
  <c r="AK159" i="57"/>
  <c r="AL159" i="57"/>
  <c r="AM380" i="56"/>
  <c r="AM109" i="56"/>
  <c r="AC478" i="56"/>
  <c r="AD478" i="56"/>
  <c r="AE478" i="56" s="1"/>
  <c r="AK478" i="56"/>
  <c r="U364" i="56"/>
  <c r="W364" i="56" s="1"/>
  <c r="U363" i="56"/>
  <c r="W363" i="56" s="1"/>
  <c r="U365" i="56"/>
  <c r="W365" i="56" s="1"/>
  <c r="U352" i="56"/>
  <c r="W352" i="56" s="1"/>
  <c r="U353" i="56"/>
  <c r="W353" i="56" s="1"/>
  <c r="U351" i="56"/>
  <c r="W351" i="56" s="1"/>
  <c r="X157" i="57"/>
  <c r="AA157" i="57" s="1"/>
  <c r="Y157" i="57"/>
  <c r="AL157" i="57"/>
  <c r="AK157" i="57"/>
  <c r="X355" i="56"/>
  <c r="AH355" i="56" s="1"/>
  <c r="AG355" i="56" s="1"/>
  <c r="AJ355" i="56" s="1" a="1"/>
  <c r="AJ355" i="56" s="1"/>
  <c r="V355" i="56"/>
  <c r="Y355" i="56" s="1"/>
  <c r="V11" i="56"/>
  <c r="Y11" i="56" s="1"/>
  <c r="X11" i="56"/>
  <c r="AH11" i="56" s="1"/>
  <c r="AG11" i="56" s="1"/>
  <c r="AJ11" i="56" s="1" a="1"/>
  <c r="AJ11" i="56" s="1"/>
  <c r="X164" i="56"/>
  <c r="AH164" i="56" s="1"/>
  <c r="AG164" i="56" s="1"/>
  <c r="AJ164" i="56" s="1" a="1"/>
  <c r="AJ164" i="56" s="1"/>
  <c r="V164" i="56"/>
  <c r="Y164" i="56" s="1"/>
  <c r="U181" i="56"/>
  <c r="W181" i="56" s="1"/>
  <c r="U182" i="56"/>
  <c r="W182" i="56" s="1"/>
  <c r="U180" i="56"/>
  <c r="W180" i="56" s="1"/>
  <c r="AK170" i="56"/>
  <c r="AC170" i="56"/>
  <c r="AD170" i="56"/>
  <c r="AE170" i="56" s="1"/>
  <c r="U465" i="56"/>
  <c r="W465" i="56" s="1"/>
  <c r="U467" i="56"/>
  <c r="W467" i="56" s="1"/>
  <c r="U466" i="56"/>
  <c r="W466" i="56" s="1"/>
  <c r="V185" i="56"/>
  <c r="Y185" i="56" s="1"/>
  <c r="X185" i="56"/>
  <c r="AH185" i="56" s="1"/>
  <c r="AG185" i="56" s="1"/>
  <c r="AJ185" i="56" s="1" a="1"/>
  <c r="AJ185" i="56" s="1"/>
  <c r="U16" i="56"/>
  <c r="W16" i="56" s="1"/>
  <c r="U15" i="56"/>
  <c r="W15" i="56" s="1"/>
  <c r="U17" i="56"/>
  <c r="W17" i="56" s="1"/>
  <c r="AK389" i="56"/>
  <c r="AC389" i="56"/>
  <c r="AD389" i="56"/>
  <c r="AE389" i="56" s="1"/>
  <c r="AD380" i="56"/>
  <c r="AE380" i="56" s="1"/>
  <c r="AK380" i="56"/>
  <c r="AC380" i="56"/>
  <c r="AD109" i="56"/>
  <c r="AE109" i="56" s="1"/>
  <c r="AK109" i="56"/>
  <c r="AC109" i="56"/>
  <c r="AM468" i="56"/>
  <c r="V365" i="56"/>
  <c r="Y365" i="56" s="1"/>
  <c r="X365" i="56"/>
  <c r="AH365" i="56" s="1"/>
  <c r="AG365" i="56" s="1"/>
  <c r="AJ365" i="56" s="1" a="1"/>
  <c r="AJ365" i="56" s="1"/>
  <c r="U100" i="56"/>
  <c r="W100" i="56" s="1"/>
  <c r="U99" i="56"/>
  <c r="W99" i="56" s="1"/>
  <c r="U101" i="56"/>
  <c r="W101" i="56" s="1"/>
  <c r="U116" i="56"/>
  <c r="W116" i="56" s="1"/>
  <c r="U114" i="56"/>
  <c r="W114" i="56" s="1"/>
  <c r="U115" i="56"/>
  <c r="W115" i="56" s="1"/>
  <c r="X122" i="56"/>
  <c r="AH122" i="56" s="1"/>
  <c r="AG122" i="56" s="1"/>
  <c r="AJ122" i="56" s="1" a="1"/>
  <c r="AJ122" i="56" s="1"/>
  <c r="V122" i="56"/>
  <c r="Y122" i="56" s="1"/>
  <c r="V369" i="56"/>
  <c r="Y369" i="56" s="1"/>
  <c r="X369" i="56"/>
  <c r="AH369" i="56" s="1"/>
  <c r="AG369" i="56" s="1"/>
  <c r="AJ369" i="56" s="1" a="1"/>
  <c r="AJ369" i="56" s="1"/>
  <c r="V233" i="56"/>
  <c r="Y233" i="56" s="1"/>
  <c r="X233" i="56"/>
  <c r="AH233" i="56" s="1"/>
  <c r="AG233" i="56" s="1"/>
  <c r="AJ233" i="56" s="1" a="1"/>
  <c r="AJ233" i="56" s="1"/>
  <c r="U361" i="56"/>
  <c r="W361" i="56" s="1"/>
  <c r="U360" i="56"/>
  <c r="W360" i="56" s="1"/>
  <c r="U362" i="56"/>
  <c r="W362" i="56" s="1"/>
  <c r="X342" i="56"/>
  <c r="AH342" i="56" s="1"/>
  <c r="AG342" i="56" s="1"/>
  <c r="AJ342" i="56" s="1" a="1"/>
  <c r="AJ342" i="56" s="1"/>
  <c r="V342" i="56"/>
  <c r="Y342" i="56" s="1"/>
  <c r="U369" i="56"/>
  <c r="W369" i="56" s="1"/>
  <c r="U370" i="56"/>
  <c r="W370" i="56" s="1"/>
  <c r="U371" i="56"/>
  <c r="W371" i="56" s="1"/>
  <c r="V232" i="56"/>
  <c r="Y232" i="56" s="1"/>
  <c r="X232" i="56"/>
  <c r="AH232" i="56" s="1"/>
  <c r="AG232" i="56" s="1"/>
  <c r="AJ232" i="56" s="1" a="1"/>
  <c r="AJ232" i="56" s="1"/>
  <c r="V361" i="56"/>
  <c r="Y361" i="56" s="1"/>
  <c r="X361" i="56"/>
  <c r="AH361" i="56" s="1"/>
  <c r="AG361" i="56" s="1"/>
  <c r="AJ361" i="56" s="1" a="1"/>
  <c r="AJ361" i="56" s="1"/>
  <c r="AD456" i="56"/>
  <c r="AE456" i="56" s="1"/>
  <c r="AK456" i="56"/>
  <c r="AC456" i="56"/>
  <c r="X343" i="56"/>
  <c r="AH343" i="56" s="1"/>
  <c r="AG343" i="56" s="1"/>
  <c r="AJ343" i="56" s="1" a="1"/>
  <c r="AJ343" i="56" s="1"/>
  <c r="V343" i="56"/>
  <c r="Y343" i="56" s="1"/>
  <c r="X162" i="56"/>
  <c r="AH162" i="56" s="1"/>
  <c r="AG162" i="56" s="1"/>
  <c r="AJ162" i="56" s="1" a="1"/>
  <c r="AJ162" i="56" s="1"/>
  <c r="V162" i="56"/>
  <c r="Y162" i="56" s="1"/>
  <c r="X180" i="56"/>
  <c r="AH180" i="56" s="1"/>
  <c r="AG180" i="56" s="1"/>
  <c r="AJ180" i="56" s="1" a="1"/>
  <c r="AJ180" i="56" s="1"/>
  <c r="V180" i="56"/>
  <c r="Y180" i="56" s="1"/>
  <c r="V183" i="56"/>
  <c r="Y183" i="56" s="1"/>
  <c r="X183" i="56"/>
  <c r="AH183" i="56" s="1"/>
  <c r="AG183" i="56" s="1"/>
  <c r="AJ183" i="56" s="1" a="1"/>
  <c r="AJ183" i="56" s="1"/>
  <c r="AM98" i="56"/>
  <c r="Y41" i="57"/>
  <c r="AL41" i="57"/>
  <c r="AK41" i="57"/>
  <c r="V16" i="56"/>
  <c r="Y16" i="56" s="1"/>
  <c r="X16" i="56"/>
  <c r="AH16" i="56" s="1"/>
  <c r="AG16" i="56" s="1"/>
  <c r="AJ16" i="56" s="1" a="1"/>
  <c r="AJ16" i="56" s="1"/>
  <c r="AM470" i="56"/>
  <c r="X117" i="57"/>
  <c r="AA117" i="57" s="1"/>
  <c r="Y117" i="57"/>
  <c r="AL117" i="57"/>
  <c r="AK117" i="57"/>
  <c r="AK217" i="56"/>
  <c r="AC217" i="56"/>
  <c r="AD217" i="56"/>
  <c r="AE217" i="56" s="1"/>
  <c r="Y134" i="57"/>
  <c r="X134" i="57"/>
  <c r="AA134" i="57" s="1"/>
  <c r="AK134" i="57"/>
  <c r="AL134" i="57"/>
  <c r="AM469" i="56"/>
  <c r="AD468" i="56"/>
  <c r="AE468" i="56" s="1"/>
  <c r="AK468" i="56"/>
  <c r="AC468" i="56"/>
  <c r="X473" i="56"/>
  <c r="AH473" i="56" s="1"/>
  <c r="AG473" i="56" s="1"/>
  <c r="AJ473" i="56" s="1" a="1"/>
  <c r="AJ473" i="56" s="1"/>
  <c r="V473" i="56"/>
  <c r="Y473" i="56" s="1"/>
  <c r="X9" i="56"/>
  <c r="AH9" i="56" s="1"/>
  <c r="AG9" i="56" s="1"/>
  <c r="AJ9" i="56" s="1" a="1"/>
  <c r="AJ9" i="56" s="1"/>
  <c r="V9" i="56"/>
  <c r="Y9" i="56" s="1"/>
  <c r="X163" i="56"/>
  <c r="AH163" i="56" s="1"/>
  <c r="AG163" i="56" s="1"/>
  <c r="AJ163" i="56" s="1" a="1"/>
  <c r="AJ163" i="56" s="1"/>
  <c r="V163" i="56"/>
  <c r="Y163" i="56" s="1"/>
  <c r="X184" i="56"/>
  <c r="AH184" i="56" s="1"/>
  <c r="AG184" i="56" s="1"/>
  <c r="AJ184" i="56" s="1" a="1"/>
  <c r="AJ184" i="56" s="1"/>
  <c r="V184" i="56"/>
  <c r="Y184" i="56" s="1"/>
  <c r="AK469" i="56"/>
  <c r="AD469" i="56"/>
  <c r="AE469" i="56" s="1"/>
  <c r="AC469" i="56"/>
  <c r="X471" i="56"/>
  <c r="AH471" i="56" s="1"/>
  <c r="AG471" i="56" s="1"/>
  <c r="AJ471" i="56" s="1" a="1"/>
  <c r="AJ471" i="56" s="1"/>
  <c r="V471" i="56"/>
  <c r="Y471" i="56" s="1"/>
  <c r="X236" i="56"/>
  <c r="AH236" i="56" s="1"/>
  <c r="AG236" i="56" s="1"/>
  <c r="AJ236" i="56" s="1" a="1"/>
  <c r="AJ236" i="56" s="1"/>
  <c r="V236" i="56"/>
  <c r="Y236" i="56" s="1"/>
  <c r="AK79" i="57"/>
  <c r="Y79" i="57"/>
  <c r="AL79" i="57"/>
  <c r="X165" i="56"/>
  <c r="AH165" i="56" s="1"/>
  <c r="AG165" i="56" s="1"/>
  <c r="AJ165" i="56" s="1" a="1"/>
  <c r="AJ165" i="56" s="1"/>
  <c r="V165" i="56"/>
  <c r="Y165" i="56" s="1"/>
  <c r="X120" i="56"/>
  <c r="AH120" i="56" s="1"/>
  <c r="AG120" i="56" s="1"/>
  <c r="AJ120" i="56" s="1" a="1"/>
  <c r="AJ120" i="56" s="1"/>
  <c r="V120" i="56"/>
  <c r="Y120" i="56" s="1"/>
  <c r="AM478" i="56"/>
  <c r="V363" i="56"/>
  <c r="Y363" i="56" s="1"/>
  <c r="X363" i="56"/>
  <c r="AH363" i="56" s="1"/>
  <c r="AG363" i="56" s="1"/>
  <c r="AJ363" i="56" s="1" a="1"/>
  <c r="AJ363" i="56" s="1"/>
  <c r="V116" i="56"/>
  <c r="Y116" i="56" s="1"/>
  <c r="X116" i="56"/>
  <c r="AH116" i="56" s="1"/>
  <c r="AG116" i="56" s="1"/>
  <c r="AJ116" i="56" s="1" a="1"/>
  <c r="AJ116" i="56" s="1"/>
  <c r="X374" i="56"/>
  <c r="AH374" i="56" s="1"/>
  <c r="AG374" i="56" s="1"/>
  <c r="AJ374" i="56" s="1" a="1"/>
  <c r="AJ374" i="56" s="1"/>
  <c r="V374" i="56"/>
  <c r="Y374" i="56" s="1"/>
  <c r="AK62" i="57"/>
  <c r="AL62" i="57"/>
  <c r="Y62" i="57"/>
  <c r="X62" i="57"/>
  <c r="AA62" i="57" s="1"/>
  <c r="X124" i="56"/>
  <c r="AH124" i="56" s="1"/>
  <c r="AG124" i="56" s="1"/>
  <c r="AJ124" i="56" s="1" a="1"/>
  <c r="AJ124" i="56" s="1"/>
  <c r="V124" i="56"/>
  <c r="Y124" i="56" s="1"/>
  <c r="X364" i="56"/>
  <c r="AH364" i="56" s="1"/>
  <c r="AG364" i="56" s="1"/>
  <c r="AJ364" i="56" s="1" a="1"/>
  <c r="AJ364" i="56" s="1"/>
  <c r="V364" i="56"/>
  <c r="Y364" i="56" s="1"/>
  <c r="U233" i="56"/>
  <c r="W233" i="56" s="1"/>
  <c r="U232" i="56"/>
  <c r="W232" i="56" s="1"/>
  <c r="U231" i="56"/>
  <c r="W231" i="56" s="1"/>
  <c r="X344" i="56"/>
  <c r="AH344" i="56" s="1"/>
  <c r="AG344" i="56" s="1"/>
  <c r="AJ344" i="56" s="1" a="1"/>
  <c r="AJ344" i="56" s="1"/>
  <c r="V344" i="56"/>
  <c r="Y344" i="56" s="1"/>
  <c r="V475" i="56"/>
  <c r="Y475" i="56" s="1"/>
  <c r="X475" i="56"/>
  <c r="AH475" i="56" s="1"/>
  <c r="AG475" i="56" s="1"/>
  <c r="AJ475" i="56" s="1" a="1"/>
  <c r="AJ475" i="56" s="1"/>
  <c r="AL7" i="57"/>
  <c r="Y7" i="57"/>
  <c r="AK7" i="57"/>
  <c r="X7" i="57"/>
  <c r="AA7" i="57" s="1"/>
  <c r="AK98" i="56"/>
  <c r="AC98" i="56"/>
  <c r="AD98" i="56"/>
  <c r="AE98" i="56" s="1"/>
  <c r="AK470" i="56"/>
  <c r="AC470" i="56"/>
  <c r="AD470" i="56"/>
  <c r="AE470" i="56" s="1"/>
  <c r="AK9" i="57"/>
  <c r="AL9" i="57"/>
  <c r="Y9" i="57"/>
  <c r="AK135" i="57"/>
  <c r="AL135" i="57"/>
  <c r="Y135" i="57"/>
  <c r="AM6" i="56"/>
  <c r="X340" i="56"/>
  <c r="AH340" i="56" s="1"/>
  <c r="AG340" i="56" s="1"/>
  <c r="AJ340" i="56" s="1" a="1"/>
  <c r="AJ340" i="56" s="1"/>
  <c r="V340" i="56"/>
  <c r="Y340" i="56" s="1"/>
  <c r="U344" i="56"/>
  <c r="W344" i="56" s="1"/>
  <c r="U342" i="56"/>
  <c r="W342" i="56" s="1"/>
  <c r="U343" i="56"/>
  <c r="W343" i="56" s="1"/>
  <c r="AC156" i="56"/>
  <c r="AD156" i="56"/>
  <c r="AE156" i="56" s="1"/>
  <c r="AK156" i="56"/>
  <c r="U163" i="56"/>
  <c r="W163" i="56" s="1"/>
  <c r="U164" i="56"/>
  <c r="W164" i="56" s="1"/>
  <c r="U162" i="56"/>
  <c r="W162" i="56" s="1"/>
  <c r="AM216" i="56"/>
  <c r="Y42" i="57"/>
  <c r="AK42" i="57"/>
  <c r="AL42" i="57"/>
  <c r="X42" i="57"/>
  <c r="AA42" i="57" s="1"/>
  <c r="V474" i="56"/>
  <c r="Y474" i="56" s="1"/>
  <c r="X474" i="56"/>
  <c r="AH474" i="56" s="1"/>
  <c r="AG474" i="56" s="1"/>
  <c r="AJ474" i="56" s="1" a="1"/>
  <c r="AJ474" i="56" s="1"/>
  <c r="AL77" i="57"/>
  <c r="AK77" i="57"/>
  <c r="Y77" i="57"/>
  <c r="X77" i="57"/>
  <c r="AA77" i="57" s="1"/>
  <c r="AM237" i="56"/>
  <c r="U183" i="56"/>
  <c r="W183" i="56" s="1"/>
  <c r="U185" i="56"/>
  <c r="W185" i="56" s="1"/>
  <c r="U184" i="56"/>
  <c r="W184" i="56" s="1"/>
  <c r="AC337" i="56"/>
  <c r="AD337" i="56"/>
  <c r="AE337" i="56" s="1"/>
  <c r="AK337" i="56"/>
  <c r="AK168" i="56"/>
  <c r="AD168" i="56"/>
  <c r="AE168" i="56" s="1"/>
  <c r="AC168" i="56"/>
  <c r="AM368" i="56"/>
  <c r="U26" i="56"/>
  <c r="W26" i="56" s="1"/>
  <c r="U25" i="56"/>
  <c r="W25" i="56" s="1"/>
  <c r="U24" i="56"/>
  <c r="W24" i="56" s="1"/>
  <c r="X472" i="56"/>
  <c r="AH472" i="56" s="1"/>
  <c r="AG472" i="56" s="1"/>
  <c r="AJ472" i="56" s="1" a="1"/>
  <c r="AJ472" i="56" s="1"/>
  <c r="V472" i="56"/>
  <c r="Y472" i="56" s="1"/>
  <c r="AD108" i="56"/>
  <c r="AE108" i="56" s="1"/>
  <c r="AC108" i="56"/>
  <c r="AK108" i="56"/>
  <c r="Y161" i="57"/>
  <c r="AL161" i="57"/>
  <c r="AK161" i="57"/>
  <c r="AK6" i="56"/>
  <c r="AC6" i="56"/>
  <c r="AD6" i="56"/>
  <c r="AE6" i="56" s="1"/>
  <c r="U340" i="56"/>
  <c r="W340" i="56" s="1"/>
  <c r="U341" i="56"/>
  <c r="W341" i="56" s="1"/>
  <c r="U339" i="56"/>
  <c r="W339" i="56" s="1"/>
  <c r="AK44" i="57"/>
  <c r="AL44" i="57"/>
  <c r="Y44" i="57"/>
  <c r="X44" i="57"/>
  <c r="AA44" i="57" s="1"/>
  <c r="AM229" i="56"/>
  <c r="AD216" i="56"/>
  <c r="AE216" i="56" s="1"/>
  <c r="AC216" i="56"/>
  <c r="AK216" i="56"/>
  <c r="Y59" i="57"/>
  <c r="AL59" i="57"/>
  <c r="AK59" i="57"/>
  <c r="X476" i="56"/>
  <c r="AH476" i="56" s="1"/>
  <c r="AG476" i="56" s="1"/>
  <c r="AJ476" i="56" s="1" a="1"/>
  <c r="AJ476" i="56" s="1"/>
  <c r="V476" i="56"/>
  <c r="Y476" i="56" s="1"/>
  <c r="AC237" i="56"/>
  <c r="AD237" i="56"/>
  <c r="AE237" i="56" s="1"/>
  <c r="AK237" i="56"/>
  <c r="AK129" i="57"/>
  <c r="Y129" i="57"/>
  <c r="AL129" i="57"/>
  <c r="AD238" i="56"/>
  <c r="AE238" i="56" s="1"/>
  <c r="AC238" i="56"/>
  <c r="AK238" i="56"/>
  <c r="X132" i="57"/>
  <c r="AA132" i="57" s="1"/>
  <c r="Y132" i="57"/>
  <c r="AK132" i="57"/>
  <c r="AL132" i="57"/>
  <c r="U391" i="56"/>
  <c r="W391" i="56" s="1"/>
  <c r="U392" i="56"/>
  <c r="W392" i="56" s="1"/>
  <c r="U390" i="56"/>
  <c r="W390" i="56" s="1"/>
  <c r="AM228" i="56"/>
  <c r="AK368" i="56"/>
  <c r="AC368" i="56"/>
  <c r="AD368" i="56"/>
  <c r="AE368" i="56" s="1"/>
  <c r="V26" i="56"/>
  <c r="Y26" i="56" s="1"/>
  <c r="X26" i="56"/>
  <c r="AH26" i="56" s="1"/>
  <c r="AG26" i="56" s="1"/>
  <c r="AJ26" i="56" s="1" a="1"/>
  <c r="AJ26" i="56" s="1"/>
  <c r="U472" i="56"/>
  <c r="W472" i="56" s="1"/>
  <c r="U471" i="56"/>
  <c r="W471" i="56" s="1"/>
  <c r="U473" i="56"/>
  <c r="W473" i="56" s="1"/>
  <c r="X352" i="56"/>
  <c r="AH352" i="56" s="1"/>
  <c r="AG352" i="56" s="1"/>
  <c r="AJ352" i="56" s="1" a="1"/>
  <c r="AJ352" i="56" s="1"/>
  <c r="V352" i="56"/>
  <c r="Y352" i="56" s="1"/>
  <c r="AD229" i="56"/>
  <c r="AE229" i="56" s="1"/>
  <c r="AK229" i="56"/>
  <c r="AC229" i="56"/>
  <c r="AK84" i="57"/>
  <c r="AL84" i="57"/>
  <c r="X84" i="57"/>
  <c r="AA84" i="57" s="1"/>
  <c r="Y84" i="57"/>
  <c r="Y12" i="57"/>
  <c r="AK12" i="57"/>
  <c r="AL12" i="57"/>
  <c r="X12" i="57"/>
  <c r="AA12" i="57" s="1"/>
  <c r="AK348" i="56"/>
  <c r="AC348" i="56"/>
  <c r="AD348" i="56"/>
  <c r="AE348" i="56" s="1"/>
  <c r="X381" i="56"/>
  <c r="AH381" i="56" s="1"/>
  <c r="AG381" i="56" s="1"/>
  <c r="AJ381" i="56" s="1" a="1"/>
  <c r="AJ381" i="56" s="1"/>
  <c r="V381" i="56"/>
  <c r="Y381" i="56" s="1"/>
  <c r="V241" i="56"/>
  <c r="Y241" i="56" s="1"/>
  <c r="X241" i="56"/>
  <c r="AH241" i="56" s="1"/>
  <c r="AG241" i="56" s="1"/>
  <c r="AJ241" i="56" s="1" a="1"/>
  <c r="AJ241" i="56" s="1"/>
  <c r="AK239" i="56"/>
  <c r="AC239" i="56"/>
  <c r="AD239" i="56"/>
  <c r="AE239" i="56" s="1"/>
  <c r="X481" i="56"/>
  <c r="AH481" i="56" s="1"/>
  <c r="AG481" i="56" s="1"/>
  <c r="AJ481" i="56" s="1" a="1"/>
  <c r="AJ481" i="56" s="1"/>
  <c r="V481" i="56"/>
  <c r="Y481" i="56" s="1"/>
  <c r="V24" i="56"/>
  <c r="Y24" i="56" s="1"/>
  <c r="X24" i="56"/>
  <c r="AH24" i="56" s="1"/>
  <c r="AG24" i="56" s="1"/>
  <c r="AJ24" i="56" s="1" a="1"/>
  <c r="AJ24" i="56" s="1"/>
  <c r="AC177" i="56"/>
  <c r="AD177" i="56"/>
  <c r="AE177" i="56" s="1"/>
  <c r="AK177" i="56"/>
  <c r="AM349" i="56"/>
  <c r="X383" i="56"/>
  <c r="AH383" i="56" s="1"/>
  <c r="AG383" i="56" s="1"/>
  <c r="AJ383" i="56" s="1" a="1"/>
  <c r="AJ383" i="56" s="1"/>
  <c r="V383" i="56"/>
  <c r="Y383" i="56" s="1"/>
  <c r="X240" i="56"/>
  <c r="AH240" i="56" s="1"/>
  <c r="AG240" i="56" s="1"/>
  <c r="AJ240" i="56" s="1" a="1"/>
  <c r="AJ240" i="56" s="1"/>
  <c r="V240" i="56"/>
  <c r="Y240" i="56" s="1"/>
  <c r="AK388" i="56"/>
  <c r="AC388" i="56"/>
  <c r="AD388" i="56"/>
  <c r="AE388" i="56" s="1"/>
  <c r="X227" i="56"/>
  <c r="AH227" i="56" s="1"/>
  <c r="AG227" i="56" s="1"/>
  <c r="AJ227" i="56" s="1" a="1"/>
  <c r="AJ227" i="56" s="1"/>
  <c r="V227" i="56"/>
  <c r="Y227" i="56" s="1"/>
  <c r="U244" i="56"/>
  <c r="W244" i="56" s="1"/>
  <c r="U243" i="56"/>
  <c r="W243" i="56" s="1"/>
  <c r="U245" i="56"/>
  <c r="W245" i="56" s="1"/>
  <c r="X174" i="56"/>
  <c r="AH174" i="56" s="1"/>
  <c r="AG174" i="56" s="1"/>
  <c r="AJ174" i="56" s="1" a="1"/>
  <c r="AJ174" i="56" s="1"/>
  <c r="V174" i="56"/>
  <c r="Y174" i="56" s="1"/>
  <c r="V482" i="56"/>
  <c r="Y482" i="56" s="1"/>
  <c r="X482" i="56"/>
  <c r="AH482" i="56" s="1"/>
  <c r="AG482" i="56" s="1"/>
  <c r="AJ482" i="56" s="1" a="1"/>
  <c r="AJ482" i="56" s="1"/>
  <c r="X390" i="56"/>
  <c r="AH390" i="56" s="1"/>
  <c r="AG390" i="56" s="1"/>
  <c r="AJ390" i="56" s="1" a="1"/>
  <c r="AJ390" i="56" s="1"/>
  <c r="V390" i="56"/>
  <c r="Y390" i="56" s="1"/>
  <c r="AK457" i="56"/>
  <c r="AC457" i="56"/>
  <c r="AD457" i="56"/>
  <c r="AE457" i="56" s="1"/>
  <c r="X35" i="56"/>
  <c r="AH35" i="56" s="1"/>
  <c r="AG35" i="56" s="1"/>
  <c r="AJ35" i="56" s="1" a="1"/>
  <c r="AJ35" i="56" s="1"/>
  <c r="V35" i="56"/>
  <c r="Y35" i="56" s="1"/>
  <c r="V21" i="56"/>
  <c r="Y21" i="56" s="1"/>
  <c r="X21" i="56"/>
  <c r="AH21" i="56" s="1"/>
  <c r="AG21" i="56" s="1"/>
  <c r="AJ21" i="56" s="1" a="1"/>
  <c r="AJ21" i="56" s="1"/>
  <c r="Y124" i="57"/>
  <c r="AK124" i="57"/>
  <c r="AL124" i="57"/>
  <c r="X124" i="57"/>
  <c r="AA124" i="57" s="1"/>
  <c r="X114" i="56"/>
  <c r="AH114" i="56" s="1"/>
  <c r="AG114" i="56" s="1"/>
  <c r="AJ114" i="56" s="1" a="1"/>
  <c r="AJ114" i="56" s="1"/>
  <c r="V114" i="56"/>
  <c r="Y114" i="56" s="1"/>
  <c r="X171" i="56"/>
  <c r="AH171" i="56" s="1"/>
  <c r="AG171" i="56" s="1"/>
  <c r="AJ171" i="56" s="1" a="1"/>
  <c r="AJ171" i="56" s="1"/>
  <c r="V171" i="56"/>
  <c r="Y171" i="56" s="1"/>
  <c r="V392" i="56"/>
  <c r="Y392" i="56" s="1"/>
  <c r="X392" i="56"/>
  <c r="AH392" i="56" s="1"/>
  <c r="AG392" i="56" s="1"/>
  <c r="AJ392" i="56" s="1" a="1"/>
  <c r="AJ392" i="56" s="1"/>
  <c r="X25" i="56"/>
  <c r="AH25" i="56" s="1"/>
  <c r="AG25" i="56" s="1"/>
  <c r="AJ25" i="56" s="1" a="1"/>
  <c r="AJ25" i="56" s="1"/>
  <c r="V25" i="56"/>
  <c r="Y25" i="56" s="1"/>
  <c r="AC336" i="56"/>
  <c r="AK336" i="56"/>
  <c r="AD336" i="56"/>
  <c r="AE336" i="56" s="1"/>
  <c r="V339" i="56"/>
  <c r="Y339" i="56" s="1"/>
  <c r="X339" i="56"/>
  <c r="AH339" i="56" s="1"/>
  <c r="AG339" i="56" s="1"/>
  <c r="AJ339" i="56" s="1" a="1"/>
  <c r="AJ339" i="56" s="1"/>
  <c r="U226" i="56"/>
  <c r="W226" i="56" s="1"/>
  <c r="U225" i="56"/>
  <c r="W225" i="56" s="1"/>
  <c r="U227" i="56"/>
  <c r="W227" i="56" s="1"/>
  <c r="X176" i="56"/>
  <c r="AH176" i="56" s="1"/>
  <c r="AG176" i="56" s="1"/>
  <c r="AJ176" i="56" s="1" a="1"/>
  <c r="AJ176" i="56" s="1"/>
  <c r="V176" i="56"/>
  <c r="Y176" i="56" s="1"/>
  <c r="X391" i="56"/>
  <c r="AH391" i="56" s="1"/>
  <c r="AG391" i="56" s="1"/>
  <c r="AJ391" i="56" s="1" a="1"/>
  <c r="AJ391" i="56" s="1"/>
  <c r="V391" i="56"/>
  <c r="Y391" i="56" s="1"/>
  <c r="X34" i="56"/>
  <c r="AH34" i="56" s="1"/>
  <c r="AG34" i="56" s="1"/>
  <c r="AJ34" i="56" s="1" a="1"/>
  <c r="AJ34" i="56" s="1"/>
  <c r="V34" i="56"/>
  <c r="Y34" i="56" s="1"/>
  <c r="X22" i="56"/>
  <c r="AH22" i="56" s="1"/>
  <c r="AG22" i="56" s="1"/>
  <c r="AJ22" i="56" s="1" a="1"/>
  <c r="AJ22" i="56" s="1"/>
  <c r="V22" i="56"/>
  <c r="Y22" i="56" s="1"/>
  <c r="AM387" i="56"/>
  <c r="X394" i="56"/>
  <c r="AH394" i="56" s="1"/>
  <c r="AG394" i="56" s="1"/>
  <c r="AJ394" i="56" s="1" a="1"/>
  <c r="AJ394" i="56" s="1"/>
  <c r="V394" i="56"/>
  <c r="Y394" i="56" s="1"/>
  <c r="AC349" i="56"/>
  <c r="AD349" i="56"/>
  <c r="AE349" i="56" s="1"/>
  <c r="AK349" i="56"/>
  <c r="AC20" i="56"/>
  <c r="AK20" i="56"/>
  <c r="AD20" i="56"/>
  <c r="AE20" i="56" s="1"/>
  <c r="U382" i="56"/>
  <c r="W382" i="56" s="1"/>
  <c r="U381" i="56"/>
  <c r="W381" i="56" s="1"/>
  <c r="U383" i="56"/>
  <c r="W383" i="56" s="1"/>
  <c r="U242" i="56"/>
  <c r="W242" i="56" s="1"/>
  <c r="U241" i="56"/>
  <c r="W241" i="56" s="1"/>
  <c r="U240" i="56"/>
  <c r="W240" i="56" s="1"/>
  <c r="V226" i="56"/>
  <c r="Y226" i="56" s="1"/>
  <c r="X226" i="56"/>
  <c r="AH226" i="56" s="1"/>
  <c r="AG226" i="56" s="1"/>
  <c r="AJ226" i="56" s="1" a="1"/>
  <c r="AJ226" i="56" s="1"/>
  <c r="AD358" i="56"/>
  <c r="AE358" i="56" s="1"/>
  <c r="AK358" i="56"/>
  <c r="AC358" i="56"/>
  <c r="X245" i="56"/>
  <c r="AH245" i="56" s="1"/>
  <c r="AG245" i="56" s="1"/>
  <c r="AJ245" i="56" s="1" a="1"/>
  <c r="AJ245" i="56" s="1"/>
  <c r="V245" i="56"/>
  <c r="Y245" i="56" s="1"/>
  <c r="U175" i="56"/>
  <c r="W175" i="56" s="1"/>
  <c r="U176" i="56"/>
  <c r="W176" i="56" s="1"/>
  <c r="U174" i="56"/>
  <c r="W174" i="56" s="1"/>
  <c r="AM479" i="56"/>
  <c r="Y85" i="57"/>
  <c r="AL85" i="57"/>
  <c r="AK85" i="57"/>
  <c r="X346" i="56"/>
  <c r="AH346" i="56" s="1"/>
  <c r="AG346" i="56" s="1"/>
  <c r="AJ346" i="56" s="1" a="1"/>
  <c r="AJ346" i="56" s="1"/>
  <c r="V346" i="56"/>
  <c r="Y346" i="56" s="1"/>
  <c r="U480" i="56"/>
  <c r="W480" i="56" s="1"/>
  <c r="U482" i="56"/>
  <c r="W482" i="56" s="1"/>
  <c r="U481" i="56"/>
  <c r="W481" i="56" s="1"/>
  <c r="X33" i="56"/>
  <c r="AH33" i="56" s="1"/>
  <c r="AG33" i="56" s="1"/>
  <c r="AJ33" i="56" s="1" a="1"/>
  <c r="AJ33" i="56" s="1"/>
  <c r="V33" i="56"/>
  <c r="Y33" i="56" s="1"/>
  <c r="AM19" i="56"/>
  <c r="V463" i="56"/>
  <c r="Y463" i="56" s="1"/>
  <c r="X463" i="56"/>
  <c r="AH463" i="56" s="1"/>
  <c r="AG463" i="56" s="1"/>
  <c r="AJ463" i="56" s="1" a="1"/>
  <c r="AJ463" i="56" s="1"/>
  <c r="V23" i="56"/>
  <c r="Y23" i="56" s="1"/>
  <c r="X23" i="56"/>
  <c r="AH23" i="56" s="1"/>
  <c r="AG23" i="56" s="1"/>
  <c r="AJ23" i="56" s="1" a="1"/>
  <c r="AJ23" i="56" s="1"/>
  <c r="AC28" i="56"/>
  <c r="AD28" i="56"/>
  <c r="AE28" i="56" s="1"/>
  <c r="AK28" i="56"/>
  <c r="U171" i="56"/>
  <c r="W171" i="56" s="1"/>
  <c r="U173" i="56"/>
  <c r="W173" i="56" s="1"/>
  <c r="U172" i="56"/>
  <c r="W172" i="56" s="1"/>
  <c r="X105" i="56"/>
  <c r="AH105" i="56" s="1"/>
  <c r="AG105" i="56" s="1"/>
  <c r="AJ105" i="56" s="1" a="1"/>
  <c r="AJ105" i="56" s="1"/>
  <c r="V105" i="56"/>
  <c r="Y105" i="56" s="1"/>
  <c r="U165" i="56"/>
  <c r="W165" i="56" s="1"/>
  <c r="U167" i="56"/>
  <c r="W167" i="56" s="1"/>
  <c r="U166" i="56"/>
  <c r="W166" i="56" s="1"/>
  <c r="X382" i="56"/>
  <c r="AH382" i="56" s="1"/>
  <c r="AG382" i="56" s="1"/>
  <c r="AJ382" i="56" s="1" a="1"/>
  <c r="AJ382" i="56" s="1"/>
  <c r="V382" i="56"/>
  <c r="Y382" i="56" s="1"/>
  <c r="X175" i="56"/>
  <c r="AH175" i="56" s="1"/>
  <c r="AG175" i="56" s="1"/>
  <c r="AJ175" i="56" s="1" a="1"/>
  <c r="AJ175" i="56" s="1"/>
  <c r="V175" i="56"/>
  <c r="Y175" i="56" s="1"/>
  <c r="AL39" i="57"/>
  <c r="AK39" i="57"/>
  <c r="Y39" i="57"/>
  <c r="AC387" i="56"/>
  <c r="AD387" i="56"/>
  <c r="AE387" i="56" s="1"/>
  <c r="AK387" i="56"/>
  <c r="AD479" i="56"/>
  <c r="AE479" i="56" s="1"/>
  <c r="AC479" i="56"/>
  <c r="AK479" i="56"/>
  <c r="Y165" i="57"/>
  <c r="AL165" i="57"/>
  <c r="AK165" i="57"/>
  <c r="V485" i="56"/>
  <c r="Y485" i="56" s="1"/>
  <c r="X485" i="56"/>
  <c r="AH485" i="56" s="1"/>
  <c r="AG485" i="56" s="1"/>
  <c r="AJ485" i="56" s="1" a="1"/>
  <c r="AJ485" i="56" s="1"/>
  <c r="X113" i="56"/>
  <c r="AH113" i="56" s="1"/>
  <c r="AG113" i="56" s="1"/>
  <c r="AJ113" i="56" s="1" a="1"/>
  <c r="AJ113" i="56" s="1"/>
  <c r="V113" i="56"/>
  <c r="Y113" i="56" s="1"/>
  <c r="X102" i="56"/>
  <c r="AH102" i="56" s="1"/>
  <c r="AG102" i="56" s="1"/>
  <c r="AJ102" i="56" s="1" a="1"/>
  <c r="AJ102" i="56" s="1"/>
  <c r="V102" i="56"/>
  <c r="Y102" i="56" s="1"/>
  <c r="AC19" i="56"/>
  <c r="AK19" i="56"/>
  <c r="AD19" i="56"/>
  <c r="AE19" i="56" s="1"/>
  <c r="V464" i="56"/>
  <c r="Y464" i="56" s="1"/>
  <c r="X464" i="56"/>
  <c r="AH464" i="56" s="1"/>
  <c r="AG464" i="56" s="1"/>
  <c r="AJ464" i="56" s="1" a="1"/>
  <c r="AJ464" i="56" s="1"/>
  <c r="U23" i="56"/>
  <c r="W23" i="56" s="1"/>
  <c r="U21" i="56"/>
  <c r="W21" i="56" s="1"/>
  <c r="U22" i="56"/>
  <c r="W22" i="56" s="1"/>
  <c r="AK125" i="57"/>
  <c r="Y125" i="57"/>
  <c r="AL125" i="57"/>
  <c r="V393" i="56"/>
  <c r="Y393" i="56" s="1"/>
  <c r="X393" i="56"/>
  <c r="AH393" i="56" s="1"/>
  <c r="AG393" i="56" s="1"/>
  <c r="AJ393" i="56" s="1" a="1"/>
  <c r="AJ393" i="56" s="1"/>
  <c r="AC458" i="56"/>
  <c r="AD458" i="56"/>
  <c r="AE458" i="56" s="1"/>
  <c r="AK458" i="56"/>
  <c r="AD118" i="56"/>
  <c r="AE118" i="56" s="1"/>
  <c r="AK118" i="56"/>
  <c r="AC118" i="56"/>
  <c r="AD379" i="56"/>
  <c r="AE379" i="56" s="1"/>
  <c r="AC379" i="56"/>
  <c r="AK379" i="56"/>
  <c r="V30" i="56"/>
  <c r="Y30" i="56" s="1"/>
  <c r="X30" i="56"/>
  <c r="AH30" i="56" s="1"/>
  <c r="AG30" i="56" s="1"/>
  <c r="AJ30" i="56" s="1" a="1"/>
  <c r="AJ30" i="56" s="1"/>
  <c r="V243" i="56"/>
  <c r="Y243" i="56" s="1"/>
  <c r="X243" i="56"/>
  <c r="AH243" i="56" s="1"/>
  <c r="AG243" i="56" s="1"/>
  <c r="AJ243" i="56" s="1" a="1"/>
  <c r="AJ243" i="56" s="1"/>
  <c r="AM378" i="56"/>
  <c r="AM8" i="56"/>
  <c r="U346" i="56"/>
  <c r="W346" i="56" s="1"/>
  <c r="U347" i="56"/>
  <c r="W347" i="56" s="1"/>
  <c r="U345" i="56"/>
  <c r="W345" i="56" s="1"/>
  <c r="V461" i="56"/>
  <c r="Y461" i="56" s="1"/>
  <c r="X461" i="56"/>
  <c r="AH461" i="56" s="1"/>
  <c r="AG461" i="56" s="1"/>
  <c r="AJ461" i="56" s="1" a="1"/>
  <c r="AJ461" i="56" s="1"/>
  <c r="X484" i="56"/>
  <c r="AH484" i="56" s="1"/>
  <c r="AG484" i="56" s="1"/>
  <c r="AJ484" i="56" s="1" a="1"/>
  <c r="AJ484" i="56" s="1"/>
  <c r="V484" i="56"/>
  <c r="Y484" i="56" s="1"/>
  <c r="V111" i="56"/>
  <c r="Y111" i="56" s="1"/>
  <c r="X111" i="56"/>
  <c r="AH111" i="56" s="1"/>
  <c r="AG111" i="56" s="1"/>
  <c r="AJ111" i="56" s="1" a="1"/>
  <c r="AJ111" i="56" s="1"/>
  <c r="V103" i="56"/>
  <c r="Y103" i="56" s="1"/>
  <c r="X103" i="56"/>
  <c r="AH103" i="56" s="1"/>
  <c r="AG103" i="56" s="1"/>
  <c r="AJ103" i="56" s="1" a="1"/>
  <c r="AJ103" i="56" s="1"/>
  <c r="AC29" i="56"/>
  <c r="AK29" i="56"/>
  <c r="AD29" i="56"/>
  <c r="AE29" i="56" s="1"/>
  <c r="V462" i="56"/>
  <c r="Y462" i="56" s="1"/>
  <c r="X462" i="56"/>
  <c r="AH462" i="56" s="1"/>
  <c r="AG462" i="56" s="1"/>
  <c r="AJ462" i="56" s="1" a="1"/>
  <c r="AJ462" i="56" s="1"/>
  <c r="U463" i="56"/>
  <c r="W463" i="56" s="1"/>
  <c r="U462" i="56"/>
  <c r="W462" i="56" s="1"/>
  <c r="U464" i="56"/>
  <c r="W464" i="56" s="1"/>
  <c r="AL122" i="57"/>
  <c r="AK122" i="57"/>
  <c r="Y122" i="57"/>
  <c r="X122" i="57"/>
  <c r="AA122" i="57" s="1"/>
  <c r="AL128" i="57"/>
  <c r="Y128" i="57"/>
  <c r="AK128" i="57"/>
  <c r="X353" i="56"/>
  <c r="AH353" i="56" s="1"/>
  <c r="AG353" i="56" s="1"/>
  <c r="AJ353" i="56" s="1" a="1"/>
  <c r="AJ353" i="56" s="1"/>
  <c r="V353" i="56"/>
  <c r="Y353" i="56" s="1"/>
  <c r="X121" i="56"/>
  <c r="AH121" i="56" s="1"/>
  <c r="AG121" i="56" s="1"/>
  <c r="AJ121" i="56" s="1" a="1"/>
  <c r="AJ121" i="56" s="1"/>
  <c r="V121" i="56"/>
  <c r="Y121" i="56" s="1"/>
  <c r="V341" i="56"/>
  <c r="Y341" i="56" s="1"/>
  <c r="X341" i="56"/>
  <c r="AH341" i="56" s="1"/>
  <c r="AG341" i="56" s="1"/>
  <c r="AJ341" i="56" s="1" a="1"/>
  <c r="AJ341" i="56" s="1"/>
  <c r="V242" i="56"/>
  <c r="Y242" i="56" s="1"/>
  <c r="X242" i="56"/>
  <c r="AH242" i="56" s="1"/>
  <c r="AG242" i="56" s="1"/>
  <c r="AJ242" i="56" s="1" a="1"/>
  <c r="AJ242" i="56" s="1"/>
  <c r="U476" i="56"/>
  <c r="W476" i="56" s="1"/>
  <c r="U475" i="56"/>
  <c r="W475" i="56" s="1"/>
  <c r="U474" i="56"/>
  <c r="W474" i="56" s="1"/>
  <c r="X480" i="56"/>
  <c r="AH480" i="56" s="1"/>
  <c r="AG480" i="56" s="1"/>
  <c r="AJ480" i="56" s="1" a="1"/>
  <c r="AJ480" i="56" s="1"/>
  <c r="V480" i="56"/>
  <c r="Y480" i="56" s="1"/>
  <c r="U34" i="56"/>
  <c r="W34" i="56" s="1"/>
  <c r="U33" i="56"/>
  <c r="W33" i="56" s="1"/>
  <c r="U35" i="56"/>
  <c r="W35" i="56" s="1"/>
  <c r="X395" i="56"/>
  <c r="AH395" i="56" s="1"/>
  <c r="AG395" i="56" s="1"/>
  <c r="AJ395" i="56" s="1" a="1"/>
  <c r="AJ395" i="56" s="1"/>
  <c r="V395" i="56"/>
  <c r="Y395" i="56" s="1"/>
  <c r="AK162" i="57"/>
  <c r="X162" i="57"/>
  <c r="AA162" i="57" s="1"/>
  <c r="AL162" i="57"/>
  <c r="Y162" i="57"/>
  <c r="V225" i="56"/>
  <c r="Y225" i="56" s="1"/>
  <c r="X225" i="56"/>
  <c r="AH225" i="56" s="1"/>
  <c r="AG225" i="56" s="1"/>
  <c r="AJ225" i="56" s="1" a="1"/>
  <c r="AJ225" i="56" s="1"/>
  <c r="Y61" i="57"/>
  <c r="AK61" i="57"/>
  <c r="AL61" i="57"/>
  <c r="Y14" i="57"/>
  <c r="AL14" i="57"/>
  <c r="AK14" i="57"/>
  <c r="X14" i="57"/>
  <c r="AA14" i="57" s="1"/>
  <c r="U395" i="56"/>
  <c r="W395" i="56" s="1"/>
  <c r="U394" i="56"/>
  <c r="W394" i="56" s="1"/>
  <c r="U393" i="56"/>
  <c r="W393" i="56" s="1"/>
  <c r="X32" i="56"/>
  <c r="AH32" i="56" s="1"/>
  <c r="AG32" i="56" s="1"/>
  <c r="AJ32" i="56" s="1" a="1"/>
  <c r="AJ32" i="56" s="1"/>
  <c r="V32" i="56"/>
  <c r="Y32" i="56" s="1"/>
  <c r="AK82" i="57"/>
  <c r="X82" i="57"/>
  <c r="AA82" i="57" s="1"/>
  <c r="AL82" i="57"/>
  <c r="Y82" i="57"/>
  <c r="AK8" i="56"/>
  <c r="AD8" i="56"/>
  <c r="AE8" i="56" s="1"/>
  <c r="AC8" i="56"/>
  <c r="U222" i="56"/>
  <c r="W222" i="56" s="1"/>
  <c r="U224" i="56"/>
  <c r="W224" i="56" s="1"/>
  <c r="U223" i="56"/>
  <c r="W223" i="56" s="1"/>
  <c r="X347" i="56"/>
  <c r="AH347" i="56" s="1"/>
  <c r="AG347" i="56" s="1"/>
  <c r="AJ347" i="56" s="1" a="1"/>
  <c r="AJ347" i="56" s="1"/>
  <c r="V347" i="56"/>
  <c r="Y347" i="56" s="1"/>
  <c r="V459" i="56"/>
  <c r="Y459" i="56" s="1"/>
  <c r="X459" i="56"/>
  <c r="AH459" i="56" s="1"/>
  <c r="AG459" i="56" s="1"/>
  <c r="AJ459" i="56" s="1" a="1"/>
  <c r="AJ459" i="56" s="1"/>
  <c r="X483" i="56"/>
  <c r="AH483" i="56" s="1"/>
  <c r="AG483" i="56" s="1"/>
  <c r="AJ483" i="56" s="1" a="1"/>
  <c r="AJ483" i="56" s="1"/>
  <c r="V483" i="56"/>
  <c r="Y483" i="56" s="1"/>
  <c r="X112" i="56"/>
  <c r="AH112" i="56" s="1"/>
  <c r="AG112" i="56" s="1"/>
  <c r="AJ112" i="56" s="1" a="1"/>
  <c r="AJ112" i="56" s="1"/>
  <c r="V112" i="56"/>
  <c r="Y112" i="56" s="1"/>
  <c r="X104" i="56"/>
  <c r="AH104" i="56" s="1"/>
  <c r="AG104" i="56" s="1"/>
  <c r="AJ104" i="56" s="1" a="1"/>
  <c r="AJ104" i="56" s="1"/>
  <c r="V104" i="56"/>
  <c r="Y104" i="56" s="1"/>
  <c r="Y81" i="57"/>
  <c r="AL81" i="57"/>
  <c r="AK81" i="57"/>
  <c r="AM357" i="56"/>
  <c r="AM97" i="56"/>
  <c r="U234" i="56"/>
  <c r="W234" i="56" s="1"/>
  <c r="U236" i="56"/>
  <c r="W236" i="56" s="1"/>
  <c r="U235" i="56"/>
  <c r="W235" i="56" s="1"/>
  <c r="V101" i="56"/>
  <c r="Y101" i="56" s="1"/>
  <c r="X101" i="56"/>
  <c r="AH101" i="56" s="1"/>
  <c r="AG101" i="56" s="1"/>
  <c r="AJ101" i="56" s="1" a="1"/>
  <c r="AJ101" i="56" s="1"/>
  <c r="AK45" i="57"/>
  <c r="Y45" i="57"/>
  <c r="AL45" i="57"/>
  <c r="U32" i="56"/>
  <c r="W32" i="56" s="1"/>
  <c r="U30" i="56"/>
  <c r="W30" i="56" s="1"/>
  <c r="U31" i="56"/>
  <c r="W31" i="56" s="1"/>
  <c r="AC110" i="56"/>
  <c r="AD110" i="56"/>
  <c r="AE110" i="56" s="1"/>
  <c r="AK110" i="56"/>
  <c r="AM178" i="56"/>
  <c r="X222" i="56"/>
  <c r="AH222" i="56" s="1"/>
  <c r="AG222" i="56" s="1"/>
  <c r="AJ222" i="56" s="1" a="1"/>
  <c r="AJ222" i="56" s="1"/>
  <c r="V222" i="56"/>
  <c r="Y222" i="56" s="1"/>
  <c r="AM218" i="56"/>
  <c r="V460" i="56"/>
  <c r="Y460" i="56" s="1"/>
  <c r="X460" i="56"/>
  <c r="AH460" i="56" s="1"/>
  <c r="AG460" i="56" s="1"/>
  <c r="AJ460" i="56" s="1" a="1"/>
  <c r="AJ460" i="56" s="1"/>
  <c r="U485" i="56"/>
  <c r="W485" i="56" s="1"/>
  <c r="U483" i="56"/>
  <c r="W483" i="56" s="1"/>
  <c r="U484" i="56"/>
  <c r="W484" i="56" s="1"/>
  <c r="U111" i="56"/>
  <c r="W111" i="56" s="1"/>
  <c r="U112" i="56"/>
  <c r="W112" i="56" s="1"/>
  <c r="U113" i="56"/>
  <c r="W113" i="56" s="1"/>
  <c r="U104" i="56"/>
  <c r="W104" i="56" s="1"/>
  <c r="U103" i="56"/>
  <c r="W103" i="56" s="1"/>
  <c r="U102" i="56"/>
  <c r="W102" i="56" s="1"/>
  <c r="U105" i="56"/>
  <c r="W105" i="56" s="1"/>
  <c r="U106" i="56"/>
  <c r="W106" i="56" s="1"/>
  <c r="U107" i="56"/>
  <c r="W107" i="56" s="1"/>
  <c r="Y158" i="57"/>
  <c r="AK158" i="57"/>
  <c r="AL158" i="57"/>
  <c r="AM477" i="56"/>
  <c r="AK228" i="56"/>
  <c r="AC228" i="56"/>
  <c r="AD228" i="56"/>
  <c r="AE228" i="56" s="1"/>
  <c r="Y131" i="57"/>
  <c r="AL131" i="57"/>
  <c r="AK131" i="57"/>
  <c r="V31" i="56"/>
  <c r="Y31" i="56" s="1"/>
  <c r="X31" i="56"/>
  <c r="AH31" i="56" s="1"/>
  <c r="AG31" i="56" s="1"/>
  <c r="AJ31" i="56" s="1" a="1"/>
  <c r="AJ31" i="56" s="1"/>
  <c r="X244" i="56"/>
  <c r="AH244" i="56" s="1"/>
  <c r="AG244" i="56" s="1"/>
  <c r="AJ244" i="56" s="1" a="1"/>
  <c r="AJ244" i="56" s="1"/>
  <c r="V244" i="56"/>
  <c r="Y244" i="56" s="1"/>
  <c r="Y57" i="57"/>
  <c r="X57" i="57"/>
  <c r="AA57" i="57" s="1"/>
  <c r="AL57" i="57"/>
  <c r="AK57" i="57"/>
  <c r="X345" i="56"/>
  <c r="AH345" i="56" s="1"/>
  <c r="AG345" i="56" s="1"/>
  <c r="AJ345" i="56" s="1" a="1"/>
  <c r="AJ345" i="56" s="1"/>
  <c r="V345" i="56"/>
  <c r="Y345" i="56" s="1"/>
  <c r="AD378" i="56"/>
  <c r="AE378" i="56" s="1"/>
  <c r="AK378" i="56"/>
  <c r="AC378" i="56"/>
  <c r="AD357" i="56"/>
  <c r="AE357" i="56" s="1"/>
  <c r="AC357" i="56"/>
  <c r="AK357" i="56"/>
  <c r="AD97" i="56"/>
  <c r="AE97" i="56" s="1"/>
  <c r="AC97" i="56"/>
  <c r="AK97" i="56"/>
  <c r="V234" i="56"/>
  <c r="Y234" i="56" s="1"/>
  <c r="X234" i="56"/>
  <c r="AH234" i="56" s="1"/>
  <c r="AG234" i="56" s="1"/>
  <c r="AJ234" i="56" s="1" a="1"/>
  <c r="AJ234" i="56" s="1"/>
  <c r="X99" i="56"/>
  <c r="AH99" i="56" s="1"/>
  <c r="AG99" i="56" s="1"/>
  <c r="AJ99" i="56" s="1" a="1"/>
  <c r="AJ99" i="56" s="1"/>
  <c r="V99" i="56"/>
  <c r="Y99" i="56" s="1"/>
  <c r="Y65" i="57"/>
  <c r="AL65" i="57"/>
  <c r="AK65" i="57"/>
  <c r="AM350" i="56"/>
  <c r="V167" i="56"/>
  <c r="Y167" i="56" s="1"/>
  <c r="X167" i="56"/>
  <c r="AH167" i="56" s="1"/>
  <c r="AG167" i="56" s="1"/>
  <c r="AJ167" i="56" s="1" a="1"/>
  <c r="AJ167" i="56" s="1"/>
  <c r="AC178" i="56"/>
  <c r="AD178" i="56"/>
  <c r="AE178" i="56" s="1"/>
  <c r="AK178" i="56"/>
  <c r="V172" i="56"/>
  <c r="Y172" i="56" s="1"/>
  <c r="X172" i="56"/>
  <c r="AH172" i="56" s="1"/>
  <c r="AG172" i="56" s="1"/>
  <c r="AJ172" i="56" s="1" a="1"/>
  <c r="AJ172" i="56" s="1"/>
  <c r="V224" i="56"/>
  <c r="Y224" i="56" s="1"/>
  <c r="X224" i="56"/>
  <c r="AH224" i="56" s="1"/>
  <c r="AG224" i="56" s="1"/>
  <c r="AJ224" i="56" s="1" a="1"/>
  <c r="AJ224" i="56" s="1"/>
  <c r="AC218" i="56"/>
  <c r="AK218" i="56"/>
  <c r="AD218" i="56"/>
  <c r="AE218" i="56" s="1"/>
  <c r="U460" i="56"/>
  <c r="W460" i="56" s="1"/>
  <c r="U459" i="56"/>
  <c r="W459" i="56" s="1"/>
  <c r="U461" i="56"/>
  <c r="W461" i="56" s="1"/>
  <c r="AK78" i="57"/>
  <c r="Y78" i="57"/>
  <c r="AL78" i="57"/>
  <c r="AM179" i="56"/>
  <c r="AM27" i="56"/>
  <c r="X106" i="56"/>
  <c r="AH106" i="56" s="1"/>
  <c r="AG106" i="56" s="1"/>
  <c r="AJ106" i="56" s="1" a="1"/>
  <c r="AJ106" i="56" s="1"/>
  <c r="V106" i="56"/>
  <c r="Y106" i="56" s="1"/>
  <c r="AM7" i="56"/>
  <c r="AK477" i="56"/>
  <c r="AC477" i="56"/>
  <c r="AD477" i="56"/>
  <c r="AE477" i="56" s="1"/>
  <c r="AM230" i="56"/>
  <c r="AL119" i="57"/>
  <c r="Y119" i="57"/>
  <c r="AK119" i="57"/>
  <c r="V235" i="56"/>
  <c r="Y235" i="56" s="1"/>
  <c r="X235" i="56"/>
  <c r="AH235" i="56" s="1"/>
  <c r="AG235" i="56" s="1"/>
  <c r="AJ235" i="56" s="1" a="1"/>
  <c r="AJ235" i="56" s="1"/>
  <c r="X100" i="56"/>
  <c r="AH100" i="56" s="1"/>
  <c r="AG100" i="56" s="1"/>
  <c r="AJ100" i="56" s="1" a="1"/>
  <c r="AJ100" i="56" s="1"/>
  <c r="V100" i="56"/>
  <c r="Y100" i="56" s="1"/>
  <c r="AM28" i="56"/>
  <c r="X351" i="56"/>
  <c r="AH351" i="56" s="1"/>
  <c r="AG351" i="56" s="1"/>
  <c r="AJ351" i="56" s="1" a="1"/>
  <c r="AJ351" i="56" s="1"/>
  <c r="V351" i="56"/>
  <c r="Y351" i="56" s="1"/>
  <c r="X115" i="56"/>
  <c r="AH115" i="56" s="1"/>
  <c r="AG115" i="56" s="1"/>
  <c r="AJ115" i="56" s="1" a="1"/>
  <c r="AJ115" i="56" s="1"/>
  <c r="V115" i="56"/>
  <c r="Y115" i="56" s="1"/>
  <c r="AC350" i="56"/>
  <c r="AK350" i="56"/>
  <c r="AD350" i="56"/>
  <c r="AE350" i="56" s="1"/>
  <c r="V166" i="56"/>
  <c r="Y166" i="56" s="1"/>
  <c r="X166" i="56"/>
  <c r="AH166" i="56" s="1"/>
  <c r="AG166" i="56" s="1"/>
  <c r="AJ166" i="56" s="1" a="1"/>
  <c r="AJ166" i="56" s="1"/>
  <c r="AM117" i="56"/>
  <c r="X173" i="56"/>
  <c r="AH173" i="56" s="1"/>
  <c r="AG173" i="56" s="1"/>
  <c r="AJ173" i="56" s="1" a="1"/>
  <c r="AJ173" i="56" s="1"/>
  <c r="V173" i="56"/>
  <c r="Y173" i="56" s="1"/>
  <c r="X223" i="56"/>
  <c r="AH223" i="56" s="1"/>
  <c r="AG223" i="56" s="1"/>
  <c r="AJ223" i="56" s="1" a="1"/>
  <c r="AJ223" i="56" s="1"/>
  <c r="V223" i="56"/>
  <c r="Y223" i="56" s="1"/>
  <c r="AM119" i="56"/>
  <c r="AC179" i="56"/>
  <c r="AK179" i="56"/>
  <c r="AD179" i="56"/>
  <c r="AE179" i="56" s="1"/>
  <c r="AC27" i="56"/>
  <c r="AD27" i="56"/>
  <c r="AE27" i="56" s="1"/>
  <c r="AK27" i="56"/>
  <c r="V107" i="56"/>
  <c r="Y107" i="56" s="1"/>
  <c r="X107" i="56"/>
  <c r="AH107" i="56" s="1"/>
  <c r="AG107" i="56" s="1"/>
  <c r="AJ107" i="56" s="1" a="1"/>
  <c r="AJ107" i="56" s="1"/>
  <c r="AK7" i="56"/>
  <c r="AC7" i="56"/>
  <c r="AD7" i="56"/>
  <c r="AE7" i="56" s="1"/>
  <c r="AK230" i="56"/>
  <c r="AC230" i="56"/>
  <c r="AD230" i="56"/>
  <c r="AE230" i="56" s="1"/>
  <c r="AK45" i="5" l="1"/>
  <c r="AK43" i="5"/>
  <c r="AK46" i="5" s="1"/>
  <c r="AG43" i="5"/>
  <c r="AG45" i="5"/>
  <c r="AO18" i="5"/>
  <c r="AL157" i="56"/>
  <c r="AL230" i="56"/>
  <c r="AB175" i="56"/>
  <c r="AB115" i="56"/>
  <c r="AB234" i="56"/>
  <c r="AB24" i="56"/>
  <c r="AB475" i="56"/>
  <c r="AB355" i="56"/>
  <c r="AB354" i="56"/>
  <c r="AB476" i="56"/>
  <c r="AB474" i="56"/>
  <c r="AB356" i="56"/>
  <c r="AB384" i="56"/>
  <c r="AB236" i="56"/>
  <c r="AB385" i="56"/>
  <c r="AB114" i="56"/>
  <c r="AB386" i="56"/>
  <c r="AB25" i="56"/>
  <c r="AB235" i="56"/>
  <c r="AB174" i="56"/>
  <c r="AB176" i="56"/>
  <c r="AB116" i="56"/>
  <c r="AB26" i="56"/>
  <c r="AL388" i="56"/>
  <c r="AL477" i="56"/>
  <c r="AL7" i="56"/>
  <c r="AL237" i="56"/>
  <c r="AL6" i="56"/>
  <c r="AL337" i="56"/>
  <c r="AL350" i="56"/>
  <c r="AL359" i="56"/>
  <c r="AL367" i="56"/>
  <c r="AL336" i="56"/>
  <c r="AL18" i="56"/>
  <c r="AL228" i="56"/>
  <c r="AL357" i="56"/>
  <c r="AL156" i="56"/>
  <c r="AL379" i="56"/>
  <c r="AL20" i="56"/>
  <c r="AL217" i="56"/>
  <c r="AL170" i="56"/>
  <c r="AL28" i="56"/>
  <c r="AL178" i="56"/>
  <c r="AL29" i="56"/>
  <c r="AL348" i="56"/>
  <c r="AL98" i="56"/>
  <c r="AL158" i="56"/>
  <c r="AL389" i="56"/>
  <c r="AL19" i="56"/>
  <c r="AL108" i="56"/>
  <c r="AL119" i="56"/>
  <c r="AL110" i="56"/>
  <c r="AL216" i="56"/>
  <c r="AL378" i="56"/>
  <c r="AL457" i="56"/>
  <c r="AL177" i="56"/>
  <c r="AL96" i="56"/>
  <c r="AL458" i="56"/>
  <c r="AL478" i="56"/>
  <c r="AL470" i="56"/>
  <c r="AL468" i="56"/>
  <c r="AL479" i="56"/>
  <c r="AL380" i="56"/>
  <c r="AL169" i="56"/>
  <c r="AB463" i="56"/>
  <c r="AB241" i="56"/>
  <c r="AB374" i="56"/>
  <c r="AB184" i="56"/>
  <c r="AB232" i="56"/>
  <c r="AB365" i="56"/>
  <c r="AB467" i="56"/>
  <c r="AB221" i="56"/>
  <c r="AB160" i="56"/>
  <c r="AB223" i="56"/>
  <c r="AB104" i="56"/>
  <c r="AB34" i="56"/>
  <c r="AB224" i="56"/>
  <c r="AB123" i="56"/>
  <c r="AB173" i="56"/>
  <c r="AB391" i="56"/>
  <c r="AB163" i="56"/>
  <c r="AB465" i="56"/>
  <c r="AB23" i="56"/>
  <c r="AB360" i="56"/>
  <c r="AB464" i="56"/>
  <c r="AB172" i="56"/>
  <c r="AB462" i="56"/>
  <c r="AB226" i="56"/>
  <c r="AB227" i="56"/>
  <c r="AB112" i="56"/>
  <c r="AB33" i="56"/>
  <c r="AB381" i="56"/>
  <c r="AB363" i="56"/>
  <c r="AB16" i="56"/>
  <c r="AL109" i="56"/>
  <c r="AB483" i="56"/>
  <c r="AB242" i="56"/>
  <c r="AB21" i="56"/>
  <c r="AB9" i="56"/>
  <c r="AB372" i="56"/>
  <c r="AB12" i="56"/>
  <c r="AB373" i="56"/>
  <c r="AB14" i="56"/>
  <c r="AB30" i="56"/>
  <c r="AB352" i="56"/>
  <c r="AB480" i="56"/>
  <c r="AB166" i="56"/>
  <c r="AB459" i="56"/>
  <c r="AL118" i="56"/>
  <c r="AL368" i="56"/>
  <c r="AB167" i="56"/>
  <c r="AB382" i="56"/>
  <c r="AB240" i="56"/>
  <c r="AB473" i="56"/>
  <c r="AB342" i="56"/>
  <c r="AB181" i="56"/>
  <c r="AB219" i="56"/>
  <c r="AB10" i="56"/>
  <c r="AB341" i="56"/>
  <c r="AB103" i="56"/>
  <c r="AB102" i="56"/>
  <c r="AB106" i="56"/>
  <c r="AM345" i="56"/>
  <c r="AB345" i="56"/>
  <c r="AB35" i="56"/>
  <c r="AB120" i="56"/>
  <c r="AB182" i="56"/>
  <c r="AM376" i="56"/>
  <c r="AB376" i="56"/>
  <c r="AB370" i="56"/>
  <c r="AB32" i="56"/>
  <c r="AB113" i="56"/>
  <c r="AB346" i="56"/>
  <c r="AB383" i="56"/>
  <c r="AB344" i="56"/>
  <c r="AB183" i="56"/>
  <c r="AB107" i="56"/>
  <c r="AB225" i="56"/>
  <c r="AB233" i="56"/>
  <c r="AL456" i="56"/>
  <c r="AL338" i="56"/>
  <c r="AB243" i="56"/>
  <c r="AB353" i="56"/>
  <c r="AB105" i="56"/>
  <c r="AB11" i="56"/>
  <c r="AB171" i="56"/>
  <c r="AB222" i="56"/>
  <c r="AB111" i="56"/>
  <c r="AB339" i="56"/>
  <c r="AB340" i="56"/>
  <c r="AB121" i="56"/>
  <c r="AB485" i="56"/>
  <c r="AB165" i="56"/>
  <c r="AB164" i="56"/>
  <c r="AB101" i="56"/>
  <c r="AB484" i="56"/>
  <c r="AL27" i="56"/>
  <c r="AL8" i="56"/>
  <c r="AB461" i="56"/>
  <c r="AL349" i="56"/>
  <c r="AB180" i="56"/>
  <c r="AB369" i="56"/>
  <c r="AB375" i="56"/>
  <c r="AB13" i="56"/>
  <c r="AB377" i="56"/>
  <c r="AB15" i="56"/>
  <c r="AB159" i="56"/>
  <c r="AB31" i="56"/>
  <c r="AB482" i="56"/>
  <c r="AB364" i="56"/>
  <c r="AB162" i="56"/>
  <c r="AB362" i="56"/>
  <c r="AL117" i="56"/>
  <c r="AB17" i="56"/>
  <c r="AB347" i="56"/>
  <c r="AL179" i="56"/>
  <c r="AB100" i="56"/>
  <c r="AL218" i="56"/>
  <c r="AL97" i="56"/>
  <c r="AB392" i="56"/>
  <c r="AL229" i="56"/>
  <c r="AB124" i="56"/>
  <c r="AB471" i="56"/>
  <c r="AB343" i="56"/>
  <c r="AB220" i="56"/>
  <c r="AB244" i="56"/>
  <c r="AB393" i="56"/>
  <c r="AB390" i="56"/>
  <c r="AB472" i="56"/>
  <c r="AB231" i="56"/>
  <c r="AB460" i="56"/>
  <c r="AB395" i="56"/>
  <c r="AB245" i="56"/>
  <c r="AB394" i="56"/>
  <c r="AB481" i="56"/>
  <c r="AL238" i="56"/>
  <c r="AL469" i="56"/>
  <c r="AB371" i="56"/>
  <c r="AL366" i="56"/>
  <c r="AB22" i="56"/>
  <c r="AB361" i="56"/>
  <c r="AB351" i="56"/>
  <c r="AB99" i="56"/>
  <c r="AB161" i="56"/>
  <c r="AB122" i="56"/>
  <c r="AB466" i="56"/>
  <c r="AL387" i="56"/>
  <c r="AL358" i="56"/>
  <c r="AL239" i="56"/>
  <c r="AL168" i="56"/>
  <c r="AB185" i="56"/>
  <c r="AB125" i="56"/>
  <c r="S28" i="1"/>
  <c r="S16" i="1"/>
  <c r="S18" i="1"/>
  <c r="S12" i="1"/>
  <c r="S27" i="1"/>
  <c r="S43" i="1"/>
  <c r="S49" i="1"/>
  <c r="S19" i="1"/>
  <c r="S8" i="1"/>
  <c r="S15" i="1"/>
  <c r="S13" i="1"/>
  <c r="S37" i="1"/>
  <c r="S7" i="1"/>
  <c r="S10" i="1"/>
  <c r="S17" i="1"/>
  <c r="S21" i="1"/>
  <c r="S36" i="1"/>
  <c r="S6" i="1"/>
  <c r="S3" i="1"/>
  <c r="S40" i="1"/>
  <c r="S42" i="1"/>
  <c r="S29" i="1"/>
  <c r="S45" i="1"/>
  <c r="S20" i="1"/>
  <c r="S50" i="1"/>
  <c r="S23" i="1"/>
  <c r="S2" i="1"/>
  <c r="S14" i="1"/>
  <c r="S4" i="1"/>
  <c r="S41" i="1"/>
  <c r="S25" i="1"/>
  <c r="S32" i="1"/>
  <c r="L8" i="4"/>
  <c r="V8" i="4" s="1"/>
  <c r="S22" i="1"/>
  <c r="S46" i="1"/>
  <c r="S33" i="1"/>
  <c r="L6" i="4"/>
  <c r="M6" i="4" s="1"/>
  <c r="O6" i="4" s="1"/>
  <c r="S34" i="1"/>
  <c r="S35" i="1"/>
  <c r="S24" i="1"/>
  <c r="S44" i="1"/>
  <c r="L3" i="4"/>
  <c r="S48" i="1"/>
  <c r="S31" i="1"/>
  <c r="S5" i="1"/>
  <c r="S26" i="1"/>
  <c r="S38" i="1"/>
  <c r="L5" i="4"/>
  <c r="S39" i="1"/>
  <c r="L4" i="4"/>
  <c r="S30" i="1"/>
  <c r="L7" i="4"/>
  <c r="S47" i="1"/>
  <c r="S9" i="1"/>
  <c r="AG46" i="5" l="1"/>
  <c r="AG52" i="5"/>
  <c r="AO42" i="5"/>
  <c r="AO41" i="5"/>
  <c r="AM355" i="56"/>
  <c r="AM235" i="56"/>
  <c r="AM474" i="56"/>
  <c r="AM116" i="56"/>
  <c r="AK26" i="56"/>
  <c r="AC26" i="56"/>
  <c r="AD26" i="56"/>
  <c r="AE26" i="56" s="1"/>
  <c r="AK356" i="56"/>
  <c r="AD356" i="56"/>
  <c r="AE356" i="56" s="1"/>
  <c r="AC356" i="56"/>
  <c r="AM26" i="56"/>
  <c r="AM356" i="56"/>
  <c r="AM384" i="56"/>
  <c r="AC116" i="56"/>
  <c r="AK116" i="56"/>
  <c r="AD116" i="56"/>
  <c r="AE116" i="56" s="1"/>
  <c r="AC474" i="56"/>
  <c r="AD474" i="56"/>
  <c r="AE474" i="56" s="1"/>
  <c r="AK474" i="56"/>
  <c r="AM174" i="56"/>
  <c r="AM354" i="56"/>
  <c r="AD235" i="56"/>
  <c r="AE235" i="56" s="1"/>
  <c r="AK235" i="56"/>
  <c r="AC235" i="56"/>
  <c r="AC355" i="56"/>
  <c r="AK355" i="56"/>
  <c r="AD355" i="56"/>
  <c r="AE355" i="56" s="1"/>
  <c r="AK354" i="56"/>
  <c r="AD354" i="56"/>
  <c r="AE354" i="56" s="1"/>
  <c r="AC354" i="56"/>
  <c r="AD25" i="56"/>
  <c r="AE25" i="56" s="1"/>
  <c r="AK25" i="56"/>
  <c r="AC25" i="56"/>
  <c r="AC475" i="56"/>
  <c r="AD475" i="56"/>
  <c r="AE475" i="56" s="1"/>
  <c r="AK475" i="56"/>
  <c r="AC174" i="56"/>
  <c r="AK174" i="56"/>
  <c r="AD174" i="56"/>
  <c r="AE174" i="56" s="1"/>
  <c r="AM25" i="56"/>
  <c r="AM475" i="56"/>
  <c r="AK386" i="56"/>
  <c r="AC386" i="56"/>
  <c r="AD386" i="56"/>
  <c r="AE386" i="56" s="1"/>
  <c r="AC24" i="56"/>
  <c r="AK24" i="56"/>
  <c r="AD24" i="56"/>
  <c r="AE24" i="56" s="1"/>
  <c r="AC476" i="56"/>
  <c r="AD476" i="56"/>
  <c r="AE476" i="56" s="1"/>
  <c r="AK476" i="56"/>
  <c r="AM386" i="56"/>
  <c r="AM24" i="56"/>
  <c r="AM176" i="56"/>
  <c r="AK114" i="56"/>
  <c r="AD114" i="56"/>
  <c r="AE114" i="56" s="1"/>
  <c r="AC114" i="56"/>
  <c r="AC234" i="56"/>
  <c r="AK234" i="56"/>
  <c r="AD234" i="56"/>
  <c r="AE234" i="56" s="1"/>
  <c r="AK176" i="56"/>
  <c r="AC176" i="56"/>
  <c r="AD176" i="56"/>
  <c r="AE176" i="56" s="1"/>
  <c r="AM114" i="56"/>
  <c r="AM234" i="56"/>
  <c r="AD384" i="56"/>
  <c r="AE384" i="56" s="1"/>
  <c r="AC384" i="56"/>
  <c r="AK384" i="56"/>
  <c r="AM476" i="56"/>
  <c r="AC385" i="56"/>
  <c r="AD385" i="56"/>
  <c r="AE385" i="56" s="1"/>
  <c r="AK385" i="56"/>
  <c r="AK115" i="56"/>
  <c r="AC115" i="56"/>
  <c r="AD115" i="56"/>
  <c r="AE115" i="56" s="1"/>
  <c r="AM385" i="56"/>
  <c r="AM115" i="56"/>
  <c r="AD236" i="56"/>
  <c r="AE236" i="56" s="1"/>
  <c r="AC236" i="56"/>
  <c r="AK236" i="56"/>
  <c r="AD175" i="56"/>
  <c r="AE175" i="56" s="1"/>
  <c r="AK175" i="56"/>
  <c r="AC175" i="56"/>
  <c r="AM236" i="56"/>
  <c r="AM175" i="56"/>
  <c r="AM225" i="56"/>
  <c r="AM103" i="56"/>
  <c r="AM220" i="56"/>
  <c r="AM113" i="56"/>
  <c r="AM373" i="56"/>
  <c r="AM244" i="56"/>
  <c r="AM483" i="56"/>
  <c r="AM159" i="56"/>
  <c r="AM240" i="56"/>
  <c r="AM15" i="56"/>
  <c r="AM382" i="56"/>
  <c r="AM33" i="56"/>
  <c r="AM375" i="56"/>
  <c r="AM35" i="56"/>
  <c r="AM162" i="56"/>
  <c r="AM106" i="56"/>
  <c r="AM374" i="56"/>
  <c r="AM99" i="56"/>
  <c r="AM464" i="56"/>
  <c r="AM484" i="56"/>
  <c r="AM183" i="56"/>
  <c r="AM360" i="56"/>
  <c r="AM362" i="56"/>
  <c r="AM12" i="56"/>
  <c r="AM185" i="56"/>
  <c r="AM344" i="56"/>
  <c r="AM10" i="56"/>
  <c r="AM459" i="56"/>
  <c r="AM391" i="56"/>
  <c r="AM377" i="56"/>
  <c r="AM339" i="56"/>
  <c r="AM480" i="56"/>
  <c r="AM381" i="56"/>
  <c r="AM123" i="56"/>
  <c r="AM100" i="56"/>
  <c r="AM346" i="56"/>
  <c r="AM341" i="56"/>
  <c r="AM104" i="56"/>
  <c r="AM392" i="56"/>
  <c r="AM352" i="56"/>
  <c r="AM466" i="56"/>
  <c r="AM17" i="56"/>
  <c r="AM11" i="56"/>
  <c r="AM32" i="56"/>
  <c r="AM219" i="56"/>
  <c r="AM227" i="56"/>
  <c r="AM122" i="56"/>
  <c r="AM180" i="56"/>
  <c r="AM370" i="56"/>
  <c r="AM160" i="56"/>
  <c r="AM243" i="56"/>
  <c r="AM473" i="56"/>
  <c r="AM172" i="56"/>
  <c r="AM221" i="56"/>
  <c r="AM372" i="56"/>
  <c r="AM13" i="56"/>
  <c r="AM371" i="56"/>
  <c r="AM364" i="56"/>
  <c r="AM120" i="56"/>
  <c r="AM9" i="56"/>
  <c r="AM365" i="56"/>
  <c r="AM165" i="56"/>
  <c r="AM163" i="56"/>
  <c r="AM231" i="56"/>
  <c r="AM351" i="56"/>
  <c r="AM361" i="56"/>
  <c r="AM482" i="56"/>
  <c r="AM232" i="56"/>
  <c r="AM167" i="56"/>
  <c r="AM242" i="56"/>
  <c r="AM22" i="56"/>
  <c r="AM31" i="56"/>
  <c r="AM107" i="56"/>
  <c r="AD245" i="56"/>
  <c r="AE245" i="56" s="1"/>
  <c r="AK245" i="56"/>
  <c r="AC245" i="56"/>
  <c r="AC483" i="56"/>
  <c r="AD483" i="56"/>
  <c r="AE483" i="56" s="1"/>
  <c r="AK483" i="56"/>
  <c r="AK102" i="56"/>
  <c r="AC102" i="56"/>
  <c r="AD102" i="56"/>
  <c r="AE102" i="56" s="1"/>
  <c r="AK11" i="56"/>
  <c r="AD11" i="56"/>
  <c r="AE11" i="56" s="1"/>
  <c r="AC11" i="56"/>
  <c r="AD395" i="56"/>
  <c r="AE395" i="56" s="1"/>
  <c r="AC395" i="56"/>
  <c r="AK395" i="56"/>
  <c r="AM460" i="56"/>
  <c r="AK392" i="56"/>
  <c r="AC392" i="56"/>
  <c r="AD392" i="56"/>
  <c r="AE392" i="56" s="1"/>
  <c r="AD159" i="56"/>
  <c r="AE159" i="56" s="1"/>
  <c r="AK159" i="56"/>
  <c r="AC159" i="56"/>
  <c r="AM164" i="56"/>
  <c r="AM353" i="56"/>
  <c r="AD360" i="56"/>
  <c r="AE360" i="56" s="1"/>
  <c r="AC360" i="56"/>
  <c r="AK360" i="56"/>
  <c r="AK160" i="56"/>
  <c r="AC160" i="56"/>
  <c r="AD160" i="56"/>
  <c r="AE160" i="56" s="1"/>
  <c r="AC171" i="56"/>
  <c r="AD171" i="56"/>
  <c r="AE171" i="56" s="1"/>
  <c r="AK171" i="56"/>
  <c r="AK464" i="56"/>
  <c r="AC464" i="56"/>
  <c r="AD464" i="56"/>
  <c r="AE464" i="56" s="1"/>
  <c r="AD460" i="56"/>
  <c r="AE460" i="56" s="1"/>
  <c r="AK460" i="56"/>
  <c r="AC460" i="56"/>
  <c r="AD164" i="56"/>
  <c r="AE164" i="56" s="1"/>
  <c r="AC164" i="56"/>
  <c r="AK164" i="56"/>
  <c r="AC353" i="56"/>
  <c r="AD353" i="56"/>
  <c r="AE353" i="56" s="1"/>
  <c r="AK353" i="56"/>
  <c r="AK32" i="56"/>
  <c r="AD32" i="56"/>
  <c r="AE32" i="56" s="1"/>
  <c r="AC32" i="56"/>
  <c r="AC10" i="56"/>
  <c r="AK10" i="56"/>
  <c r="AD10" i="56"/>
  <c r="AE10" i="56" s="1"/>
  <c r="AK480" i="56"/>
  <c r="AC480" i="56"/>
  <c r="AD480" i="56"/>
  <c r="AE480" i="56" s="1"/>
  <c r="AM16" i="56"/>
  <c r="AM23" i="56"/>
  <c r="AD383" i="56"/>
  <c r="AE383" i="56" s="1"/>
  <c r="AC383" i="56"/>
  <c r="AK383" i="56"/>
  <c r="AK122" i="56"/>
  <c r="AC122" i="56"/>
  <c r="AD122" i="56"/>
  <c r="AE122" i="56" s="1"/>
  <c r="AM395" i="56"/>
  <c r="AM101" i="56"/>
  <c r="AC99" i="56"/>
  <c r="AD99" i="56"/>
  <c r="AE99" i="56" s="1"/>
  <c r="AK99" i="56"/>
  <c r="AC15" i="56"/>
  <c r="AD15" i="56"/>
  <c r="AE15" i="56" s="1"/>
  <c r="AK15" i="56"/>
  <c r="AC16" i="56"/>
  <c r="AD16" i="56"/>
  <c r="AE16" i="56" s="1"/>
  <c r="AK16" i="56"/>
  <c r="AD23" i="56"/>
  <c r="AE23" i="56" s="1"/>
  <c r="AK23" i="56"/>
  <c r="AC23" i="56"/>
  <c r="AC221" i="56"/>
  <c r="AK221" i="56"/>
  <c r="AD221" i="56"/>
  <c r="AE221" i="56" s="1"/>
  <c r="AK466" i="56"/>
  <c r="AD466" i="56"/>
  <c r="AE466" i="56" s="1"/>
  <c r="AC466" i="56"/>
  <c r="AK459" i="56"/>
  <c r="AD459" i="56"/>
  <c r="AE459" i="56" s="1"/>
  <c r="AC459" i="56"/>
  <c r="AC113" i="56"/>
  <c r="AK113" i="56"/>
  <c r="AD113" i="56"/>
  <c r="AE113" i="56" s="1"/>
  <c r="AK231" i="56"/>
  <c r="AC231" i="56"/>
  <c r="AD231" i="56"/>
  <c r="AE231" i="56" s="1"/>
  <c r="AC165" i="56"/>
  <c r="AD165" i="56"/>
  <c r="AE165" i="56" s="1"/>
  <c r="AK165" i="56"/>
  <c r="AK243" i="56"/>
  <c r="AC243" i="56"/>
  <c r="AD243" i="56"/>
  <c r="AE243" i="56" s="1"/>
  <c r="AD370" i="56"/>
  <c r="AE370" i="56" s="1"/>
  <c r="AK370" i="56"/>
  <c r="AC370" i="56"/>
  <c r="AK219" i="56"/>
  <c r="AD219" i="56"/>
  <c r="AE219" i="56" s="1"/>
  <c r="AC219" i="56"/>
  <c r="AK352" i="56"/>
  <c r="AC352" i="56"/>
  <c r="AD352" i="56"/>
  <c r="AE352" i="56" s="1"/>
  <c r="AM363" i="56"/>
  <c r="AM465" i="56"/>
  <c r="AM467" i="56"/>
  <c r="AM124" i="56"/>
  <c r="AK484" i="56"/>
  <c r="AC484" i="56"/>
  <c r="AD484" i="56"/>
  <c r="AE484" i="56" s="1"/>
  <c r="AM166" i="56"/>
  <c r="AD351" i="56"/>
  <c r="AE351" i="56" s="1"/>
  <c r="AC351" i="56"/>
  <c r="AK351" i="56"/>
  <c r="AM472" i="56"/>
  <c r="AD100" i="56"/>
  <c r="AE100" i="56" s="1"/>
  <c r="AK100" i="56"/>
  <c r="AC100" i="56"/>
  <c r="AK377" i="56"/>
  <c r="AD377" i="56"/>
  <c r="AE377" i="56" s="1"/>
  <c r="AC377" i="56"/>
  <c r="AM485" i="56"/>
  <c r="AK376" i="56"/>
  <c r="AC376" i="56"/>
  <c r="AD376" i="56"/>
  <c r="AE376" i="56" s="1"/>
  <c r="AM181" i="56"/>
  <c r="AM30" i="56"/>
  <c r="AD363" i="56"/>
  <c r="AE363" i="56" s="1"/>
  <c r="AK363" i="56"/>
  <c r="AC363" i="56"/>
  <c r="AC465" i="56"/>
  <c r="AK465" i="56"/>
  <c r="AD465" i="56"/>
  <c r="AE465" i="56" s="1"/>
  <c r="AC467" i="56"/>
  <c r="AD467" i="56"/>
  <c r="AE467" i="56" s="1"/>
  <c r="AK467" i="56"/>
  <c r="AC30" i="56"/>
  <c r="AK30" i="56"/>
  <c r="AD30" i="56"/>
  <c r="AE30" i="56" s="1"/>
  <c r="AC394" i="56"/>
  <c r="AD394" i="56"/>
  <c r="AE394" i="56" s="1"/>
  <c r="AK394" i="56"/>
  <c r="AC472" i="56"/>
  <c r="AD472" i="56"/>
  <c r="AE472" i="56" s="1"/>
  <c r="AK472" i="56"/>
  <c r="AK181" i="56"/>
  <c r="AC181" i="56"/>
  <c r="AD181" i="56"/>
  <c r="AE181" i="56" s="1"/>
  <c r="AK361" i="56"/>
  <c r="AC361" i="56"/>
  <c r="AD361" i="56"/>
  <c r="AE361" i="56" s="1"/>
  <c r="AM390" i="56"/>
  <c r="AM347" i="56"/>
  <c r="AC13" i="56"/>
  <c r="AK13" i="56"/>
  <c r="AD13" i="56"/>
  <c r="AE13" i="56" s="1"/>
  <c r="AM121" i="56"/>
  <c r="AM233" i="56"/>
  <c r="AM182" i="56"/>
  <c r="AM342" i="56"/>
  <c r="AM14" i="56"/>
  <c r="AK381" i="56"/>
  <c r="AD381" i="56"/>
  <c r="AE381" i="56" s="1"/>
  <c r="AC381" i="56"/>
  <c r="AK163" i="56"/>
  <c r="AC163" i="56"/>
  <c r="AD163" i="56"/>
  <c r="AE163" i="56" s="1"/>
  <c r="AD365" i="56"/>
  <c r="AE365" i="56" s="1"/>
  <c r="AK365" i="56"/>
  <c r="AC365" i="56"/>
  <c r="AC223" i="56"/>
  <c r="AK223" i="56"/>
  <c r="AD223" i="56"/>
  <c r="AE223" i="56" s="1"/>
  <c r="AK485" i="56"/>
  <c r="AC485" i="56"/>
  <c r="AD485" i="56"/>
  <c r="AE485" i="56" s="1"/>
  <c r="AC375" i="56"/>
  <c r="AK375" i="56"/>
  <c r="AD375" i="56"/>
  <c r="AE375" i="56" s="1"/>
  <c r="AM340" i="56"/>
  <c r="AC33" i="56"/>
  <c r="AK33" i="56"/>
  <c r="AD33" i="56"/>
  <c r="AE33" i="56" s="1"/>
  <c r="AD391" i="56"/>
  <c r="AE391" i="56" s="1"/>
  <c r="AC391" i="56"/>
  <c r="AK391" i="56"/>
  <c r="AC232" i="56"/>
  <c r="AK232" i="56"/>
  <c r="AD232" i="56"/>
  <c r="AE232" i="56" s="1"/>
  <c r="AD471" i="56"/>
  <c r="AE471" i="56" s="1"/>
  <c r="AC471" i="56"/>
  <c r="AK471" i="56"/>
  <c r="AM161" i="56"/>
  <c r="AK347" i="56"/>
  <c r="AD347" i="56"/>
  <c r="AE347" i="56" s="1"/>
  <c r="AC347" i="56"/>
  <c r="AD17" i="56"/>
  <c r="AE17" i="56" s="1"/>
  <c r="AC17" i="56"/>
  <c r="AK17" i="56"/>
  <c r="AM369" i="56"/>
  <c r="AK340" i="56"/>
  <c r="AD340" i="56"/>
  <c r="AE340" i="56" s="1"/>
  <c r="AC340" i="56"/>
  <c r="AC225" i="56"/>
  <c r="AK225" i="56"/>
  <c r="AD225" i="56"/>
  <c r="AE225" i="56" s="1"/>
  <c r="AK120" i="56"/>
  <c r="AC120" i="56"/>
  <c r="AD120" i="56"/>
  <c r="AE120" i="56" s="1"/>
  <c r="AK473" i="56"/>
  <c r="AC473" i="56"/>
  <c r="AD473" i="56"/>
  <c r="AE473" i="56" s="1"/>
  <c r="AK373" i="56"/>
  <c r="AC373" i="56"/>
  <c r="AD373" i="56"/>
  <c r="AE373" i="56" s="1"/>
  <c r="AM112" i="56"/>
  <c r="AM173" i="56"/>
  <c r="AM184" i="56"/>
  <c r="AC103" i="56"/>
  <c r="AK103" i="56"/>
  <c r="AD103" i="56"/>
  <c r="AE103" i="56" s="1"/>
  <c r="AC166" i="56"/>
  <c r="AK166" i="56"/>
  <c r="AD166" i="56"/>
  <c r="AE166" i="56" s="1"/>
  <c r="AD390" i="56"/>
  <c r="AE390" i="56" s="1"/>
  <c r="AK390" i="56"/>
  <c r="AC390" i="56"/>
  <c r="AK125" i="56"/>
  <c r="AD125" i="56"/>
  <c r="AE125" i="56" s="1"/>
  <c r="AC125" i="56"/>
  <c r="AK240" i="56"/>
  <c r="AD240" i="56"/>
  <c r="AE240" i="56" s="1"/>
  <c r="AC240" i="56"/>
  <c r="AK12" i="56"/>
  <c r="AC12" i="56"/>
  <c r="AD12" i="56"/>
  <c r="AE12" i="56" s="1"/>
  <c r="AC104" i="56"/>
  <c r="AD104" i="56"/>
  <c r="AE104" i="56" s="1"/>
  <c r="AK104" i="56"/>
  <c r="AD341" i="56"/>
  <c r="AE341" i="56" s="1"/>
  <c r="AC341" i="56"/>
  <c r="AK341" i="56"/>
  <c r="AK342" i="56"/>
  <c r="AC342" i="56"/>
  <c r="AD342" i="56"/>
  <c r="AE342" i="56" s="1"/>
  <c r="AD22" i="56"/>
  <c r="AE22" i="56" s="1"/>
  <c r="AK22" i="56"/>
  <c r="AC22" i="56"/>
  <c r="AK369" i="56"/>
  <c r="AD369" i="56"/>
  <c r="AE369" i="56" s="1"/>
  <c r="AC369" i="56"/>
  <c r="AC184" i="56"/>
  <c r="AD184" i="56"/>
  <c r="AE184" i="56" s="1"/>
  <c r="AK184" i="56"/>
  <c r="AC185" i="56"/>
  <c r="AD185" i="56"/>
  <c r="AE185" i="56" s="1"/>
  <c r="AK185" i="56"/>
  <c r="AC362" i="56"/>
  <c r="AK362" i="56"/>
  <c r="AD362" i="56"/>
  <c r="AE362" i="56" s="1"/>
  <c r="AC180" i="56"/>
  <c r="AD180" i="56"/>
  <c r="AE180" i="56" s="1"/>
  <c r="AK180" i="56"/>
  <c r="AM111" i="56"/>
  <c r="AK345" i="56"/>
  <c r="AD345" i="56"/>
  <c r="AE345" i="56" s="1"/>
  <c r="AC345" i="56"/>
  <c r="AK227" i="56"/>
  <c r="AD227" i="56"/>
  <c r="AE227" i="56" s="1"/>
  <c r="AC227" i="56"/>
  <c r="AC123" i="56"/>
  <c r="AK123" i="56"/>
  <c r="AD123" i="56"/>
  <c r="AE123" i="56" s="1"/>
  <c r="AC374" i="56"/>
  <c r="AK374" i="56"/>
  <c r="AD374" i="56"/>
  <c r="AE374" i="56" s="1"/>
  <c r="AC172" i="56"/>
  <c r="AK172" i="56"/>
  <c r="AD172" i="56"/>
  <c r="AE172" i="56" s="1"/>
  <c r="AC31" i="56"/>
  <c r="AK31" i="56"/>
  <c r="AD31" i="56"/>
  <c r="AE31" i="56" s="1"/>
  <c r="AM105" i="56"/>
  <c r="AC14" i="56"/>
  <c r="AD14" i="56"/>
  <c r="AE14" i="56" s="1"/>
  <c r="AK14" i="56"/>
  <c r="AD393" i="56"/>
  <c r="AE393" i="56" s="1"/>
  <c r="AK393" i="56"/>
  <c r="AC393" i="56"/>
  <c r="AD244" i="56"/>
  <c r="AE244" i="56" s="1"/>
  <c r="AC244" i="56"/>
  <c r="AK244" i="56"/>
  <c r="AD339" i="56"/>
  <c r="AE339" i="56" s="1"/>
  <c r="AK339" i="56"/>
  <c r="AC339" i="56"/>
  <c r="AC220" i="56"/>
  <c r="AK220" i="56"/>
  <c r="AD220" i="56"/>
  <c r="AE220" i="56" s="1"/>
  <c r="AK111" i="56"/>
  <c r="AC111" i="56"/>
  <c r="AD111" i="56"/>
  <c r="AE111" i="56" s="1"/>
  <c r="AK183" i="56"/>
  <c r="AD183" i="56"/>
  <c r="AE183" i="56" s="1"/>
  <c r="AC183" i="56"/>
  <c r="AC382" i="56"/>
  <c r="AK382" i="56"/>
  <c r="AD382" i="56"/>
  <c r="AE382" i="56" s="1"/>
  <c r="AC372" i="56"/>
  <c r="AK372" i="56"/>
  <c r="AD372" i="56"/>
  <c r="AE372" i="56" s="1"/>
  <c r="AM226" i="56"/>
  <c r="AM224" i="56"/>
  <c r="AM241" i="56"/>
  <c r="AD21" i="56"/>
  <c r="AE21" i="56" s="1"/>
  <c r="AK21" i="56"/>
  <c r="AC21" i="56"/>
  <c r="AK124" i="56"/>
  <c r="AC124" i="56"/>
  <c r="AD124" i="56"/>
  <c r="AE124" i="56" s="1"/>
  <c r="AM223" i="56"/>
  <c r="AD101" i="56"/>
  <c r="AE101" i="56" s="1"/>
  <c r="AK101" i="56"/>
  <c r="AC101" i="56"/>
  <c r="AD182" i="56"/>
  <c r="AE182" i="56" s="1"/>
  <c r="AK182" i="56"/>
  <c r="AC182" i="56"/>
  <c r="AM125" i="56"/>
  <c r="AC173" i="56"/>
  <c r="AD173" i="56"/>
  <c r="AE173" i="56" s="1"/>
  <c r="AK173" i="56"/>
  <c r="AK35" i="56"/>
  <c r="AC35" i="56"/>
  <c r="AD35" i="56"/>
  <c r="AE35" i="56" s="1"/>
  <c r="AM481" i="56"/>
  <c r="AM343" i="56"/>
  <c r="AK162" i="56"/>
  <c r="AD162" i="56"/>
  <c r="AE162" i="56" s="1"/>
  <c r="AC162" i="56"/>
  <c r="AM461" i="56"/>
  <c r="AM222" i="56"/>
  <c r="AK226" i="56"/>
  <c r="AC226" i="56"/>
  <c r="AD226" i="56"/>
  <c r="AE226" i="56" s="1"/>
  <c r="AC224" i="56"/>
  <c r="AD224" i="56"/>
  <c r="AE224" i="56" s="1"/>
  <c r="AK224" i="56"/>
  <c r="AD241" i="56"/>
  <c r="AE241" i="56" s="1"/>
  <c r="AC241" i="56"/>
  <c r="AK241" i="56"/>
  <c r="AC482" i="56"/>
  <c r="AK482" i="56"/>
  <c r="AD482" i="56"/>
  <c r="AE482" i="56" s="1"/>
  <c r="AK346" i="56"/>
  <c r="AD346" i="56"/>
  <c r="AE346" i="56" s="1"/>
  <c r="AC346" i="56"/>
  <c r="AD161" i="56"/>
  <c r="AE161" i="56" s="1"/>
  <c r="AC161" i="56"/>
  <c r="AK161" i="56"/>
  <c r="AK233" i="56"/>
  <c r="AC233" i="56"/>
  <c r="AD233" i="56"/>
  <c r="AE233" i="56" s="1"/>
  <c r="AC112" i="56"/>
  <c r="AD112" i="56"/>
  <c r="AE112" i="56" s="1"/>
  <c r="AK112" i="56"/>
  <c r="AD371" i="56"/>
  <c r="AE371" i="56" s="1"/>
  <c r="AK371" i="56"/>
  <c r="AC371" i="56"/>
  <c r="AC107" i="56"/>
  <c r="AK107" i="56"/>
  <c r="AD107" i="56"/>
  <c r="AE107" i="56" s="1"/>
  <c r="AK481" i="56"/>
  <c r="AC481" i="56"/>
  <c r="AD481" i="56"/>
  <c r="AE481" i="56" s="1"/>
  <c r="AD343" i="56"/>
  <c r="AE343" i="56" s="1"/>
  <c r="AK343" i="56"/>
  <c r="AC343" i="56"/>
  <c r="AD461" i="56"/>
  <c r="AE461" i="56" s="1"/>
  <c r="AK461" i="56"/>
  <c r="AC461" i="56"/>
  <c r="AK222" i="56"/>
  <c r="AD222" i="56"/>
  <c r="AE222" i="56" s="1"/>
  <c r="AC222" i="56"/>
  <c r="AC344" i="56"/>
  <c r="AD344" i="56"/>
  <c r="AE344" i="56" s="1"/>
  <c r="AK344" i="56"/>
  <c r="AK106" i="56"/>
  <c r="AD106" i="56"/>
  <c r="AE106" i="56" s="1"/>
  <c r="AC106" i="56"/>
  <c r="AD167" i="56"/>
  <c r="AE167" i="56" s="1"/>
  <c r="AK167" i="56"/>
  <c r="AC167" i="56"/>
  <c r="AC9" i="56"/>
  <c r="AK9" i="56"/>
  <c r="AD9" i="56"/>
  <c r="AE9" i="56" s="1"/>
  <c r="AM462" i="56"/>
  <c r="AM34" i="56"/>
  <c r="AM463" i="56"/>
  <c r="AM245" i="56"/>
  <c r="AK242" i="56"/>
  <c r="AC242" i="56"/>
  <c r="AD242" i="56"/>
  <c r="AE242" i="56" s="1"/>
  <c r="AK105" i="56"/>
  <c r="AD105" i="56"/>
  <c r="AE105" i="56" s="1"/>
  <c r="AC105" i="56"/>
  <c r="AK121" i="56"/>
  <c r="AC121" i="56"/>
  <c r="AD121" i="56"/>
  <c r="AE121" i="56" s="1"/>
  <c r="AM393" i="56"/>
  <c r="AM394" i="56"/>
  <c r="AM471" i="56"/>
  <c r="AK364" i="56"/>
  <c r="AC364" i="56"/>
  <c r="AD364" i="56"/>
  <c r="AE364" i="56" s="1"/>
  <c r="AM171" i="56"/>
  <c r="AM383" i="56"/>
  <c r="AM102" i="56"/>
  <c r="AM21" i="56"/>
  <c r="AC462" i="56"/>
  <c r="AK462" i="56"/>
  <c r="AD462" i="56"/>
  <c r="AE462" i="56" s="1"/>
  <c r="AC34" i="56"/>
  <c r="AD34" i="56"/>
  <c r="AE34" i="56" s="1"/>
  <c r="AK34" i="56"/>
  <c r="AD463" i="56"/>
  <c r="AE463" i="56" s="1"/>
  <c r="AK463" i="56"/>
  <c r="AC463" i="56"/>
  <c r="M4" i="4"/>
  <c r="O4" i="4" s="1"/>
  <c r="U4" i="4"/>
  <c r="U6" i="4"/>
  <c r="V7" i="4"/>
  <c r="U7" i="4"/>
  <c r="V5" i="4"/>
  <c r="U5" i="4"/>
  <c r="P3" i="4"/>
  <c r="U3" i="4"/>
  <c r="U8" i="4"/>
  <c r="M7" i="4"/>
  <c r="O7" i="4" s="1"/>
  <c r="V6" i="4"/>
  <c r="P7" i="4"/>
  <c r="M3" i="4"/>
  <c r="O3" i="4" s="1"/>
  <c r="M5" i="4"/>
  <c r="O5" i="4" s="1"/>
  <c r="P6" i="4"/>
  <c r="AC6" i="4" s="1"/>
  <c r="P4" i="4"/>
  <c r="P5" i="4"/>
  <c r="V3" i="4"/>
  <c r="V4" i="4"/>
  <c r="M8" i="4"/>
  <c r="O8" i="4" s="1"/>
  <c r="P8" i="4"/>
  <c r="AO45" i="5" l="1"/>
  <c r="AO43" i="5"/>
  <c r="AO46" i="5" s="1"/>
  <c r="AL25" i="56"/>
  <c r="AL354" i="56"/>
  <c r="AL32" i="56"/>
  <c r="AL355" i="56"/>
  <c r="AL475" i="56"/>
  <c r="AL245" i="56"/>
  <c r="AL24" i="56"/>
  <c r="AL174" i="56"/>
  <c r="AL236" i="56"/>
  <c r="AL235" i="56"/>
  <c r="AL116" i="56"/>
  <c r="AL163" i="56"/>
  <c r="AL115" i="56"/>
  <c r="AL26" i="56"/>
  <c r="AL234" i="56"/>
  <c r="AL114" i="56"/>
  <c r="AL175" i="56"/>
  <c r="AL392" i="56"/>
  <c r="AL474" i="56"/>
  <c r="AL224" i="56"/>
  <c r="AL385" i="56"/>
  <c r="AL176" i="56"/>
  <c r="AL384" i="56"/>
  <c r="AL356" i="56"/>
  <c r="AL386" i="56"/>
  <c r="AL476" i="56"/>
  <c r="AL466" i="56"/>
  <c r="AL160" i="56"/>
  <c r="AL484" i="56"/>
  <c r="AL347" i="56"/>
  <c r="AL31" i="56"/>
  <c r="AL164" i="56"/>
  <c r="AL159" i="56"/>
  <c r="AL219" i="56"/>
  <c r="AL462" i="56"/>
  <c r="AL35" i="56"/>
  <c r="AL377" i="56"/>
  <c r="AL106" i="56"/>
  <c r="AL390" i="56"/>
  <c r="AL112" i="56"/>
  <c r="AL111" i="56"/>
  <c r="AL373" i="56"/>
  <c r="AL221" i="56"/>
  <c r="AL461" i="56"/>
  <c r="AL122" i="56"/>
  <c r="AL243" i="56"/>
  <c r="AL105" i="56"/>
  <c r="AL395" i="56"/>
  <c r="AL362" i="56"/>
  <c r="AL34" i="56"/>
  <c r="AL124" i="56"/>
  <c r="AL220" i="56"/>
  <c r="AL172" i="56"/>
  <c r="AL165" i="56"/>
  <c r="AL374" i="56"/>
  <c r="AL244" i="56"/>
  <c r="AL99" i="56"/>
  <c r="AL162" i="56"/>
  <c r="AL120" i="56"/>
  <c r="AL352" i="56"/>
  <c r="AL13" i="56"/>
  <c r="AL370" i="56"/>
  <c r="AL371" i="56"/>
  <c r="AL341" i="56"/>
  <c r="AL103" i="56"/>
  <c r="AL242" i="56"/>
  <c r="AL344" i="56"/>
  <c r="AL372" i="56"/>
  <c r="AL171" i="56"/>
  <c r="AL15" i="56"/>
  <c r="AL11" i="56"/>
  <c r="AL363" i="56"/>
  <c r="AL485" i="56"/>
  <c r="AL465" i="56"/>
  <c r="AL223" i="56"/>
  <c r="AL342" i="56"/>
  <c r="AL21" i="56"/>
  <c r="AL182" i="56"/>
  <c r="AL369" i="56"/>
  <c r="AL375" i="56"/>
  <c r="AL460" i="56"/>
  <c r="AL383" i="56"/>
  <c r="AL472" i="56"/>
  <c r="AL351" i="56"/>
  <c r="AL364" i="56"/>
  <c r="AL9" i="56"/>
  <c r="AL346" i="56"/>
  <c r="AL12" i="56"/>
  <c r="AL173" i="56"/>
  <c r="AL16" i="56"/>
  <c r="AL394" i="56"/>
  <c r="AL231" i="56"/>
  <c r="AL14" i="56"/>
  <c r="AL471" i="56"/>
  <c r="AL22" i="56"/>
  <c r="AL233" i="56"/>
  <c r="AL345" i="56"/>
  <c r="AL232" i="56"/>
  <c r="AL353" i="56"/>
  <c r="AL166" i="56"/>
  <c r="AL30" i="56"/>
  <c r="AL23" i="56"/>
  <c r="AL343" i="56"/>
  <c r="AL339" i="56"/>
  <c r="AL33" i="56"/>
  <c r="AL107" i="56"/>
  <c r="AL482" i="56"/>
  <c r="AL104" i="56"/>
  <c r="AL381" i="56"/>
  <c r="AL376" i="56"/>
  <c r="AL464" i="56"/>
  <c r="AL227" i="56"/>
  <c r="AL222" i="56"/>
  <c r="AL241" i="56"/>
  <c r="AL125" i="56"/>
  <c r="AL180" i="56"/>
  <c r="AL473" i="56"/>
  <c r="AL181" i="56"/>
  <c r="AL102" i="56"/>
  <c r="AL17" i="56"/>
  <c r="AL360" i="56"/>
  <c r="AL483" i="56"/>
  <c r="AL382" i="56"/>
  <c r="AL185" i="56"/>
  <c r="AL225" i="56"/>
  <c r="AL113" i="56"/>
  <c r="AL480" i="56"/>
  <c r="AL463" i="56"/>
  <c r="AL240" i="56"/>
  <c r="AL167" i="56"/>
  <c r="AL161" i="56"/>
  <c r="AL123" i="56"/>
  <c r="AL226" i="56"/>
  <c r="AL101" i="56"/>
  <c r="AL393" i="56"/>
  <c r="AL100" i="56"/>
  <c r="AL121" i="56"/>
  <c r="AL481" i="56"/>
  <c r="AL391" i="56"/>
  <c r="AL365" i="56"/>
  <c r="AL467" i="56"/>
  <c r="AL183" i="56"/>
  <c r="AL184" i="56"/>
  <c r="AL340" i="56"/>
  <c r="AL361" i="56"/>
  <c r="AL459" i="56"/>
  <c r="AL10" i="56"/>
  <c r="AC3" i="4"/>
  <c r="AC4" i="4"/>
  <c r="Z7" i="4"/>
  <c r="AX14" i="4" s="1"/>
  <c r="Z6" i="4"/>
  <c r="AT14" i="4" s="1"/>
  <c r="AC7" i="4"/>
  <c r="Z3" i="4"/>
  <c r="AH14" i="4" s="1"/>
  <c r="AG17" i="4" s="1"/>
  <c r="AC5" i="4"/>
  <c r="Z5" i="4"/>
  <c r="Z4" i="4"/>
  <c r="Z8" i="4"/>
  <c r="AC8" i="4"/>
  <c r="N16" i="9" l="1" a="1"/>
  <c r="N16" i="9" s="1"/>
  <c r="Z16" i="9" s="1"/>
  <c r="N17" i="9" a="1"/>
  <c r="N17" i="9" s="1"/>
  <c r="Z17" i="9" s="1"/>
  <c r="N12" i="9" a="1"/>
  <c r="N12" i="9" s="1"/>
  <c r="Z12" i="9" s="1"/>
  <c r="N6" i="9" a="1"/>
  <c r="N6" i="9" s="1"/>
  <c r="Z6" i="9" s="1"/>
  <c r="N18" i="9" a="1"/>
  <c r="N18" i="9" s="1"/>
  <c r="Z18" i="9" s="1"/>
  <c r="N64" i="9" a="1"/>
  <c r="N64" i="9" s="1"/>
  <c r="Z64" i="9" s="1"/>
  <c r="N4" i="32" a="1"/>
  <c r="N4" i="32" s="1"/>
  <c r="Z4" i="32" s="1"/>
  <c r="N5" i="32" a="1"/>
  <c r="N5" i="32" s="1"/>
  <c r="N11" i="32" a="1"/>
  <c r="N11" i="32" s="1"/>
  <c r="N10" i="32" a="1"/>
  <c r="N10" i="32" s="1"/>
  <c r="X10" i="32" s="1"/>
  <c r="N16" i="32" a="1"/>
  <c r="N16" i="32" s="1"/>
  <c r="X16" i="32" s="1"/>
  <c r="N17" i="32" a="1"/>
  <c r="N17" i="32" s="1"/>
  <c r="N54" i="9" a="1"/>
  <c r="N54" i="9" s="1"/>
  <c r="N59" i="9" a="1"/>
  <c r="N59" i="9" s="1"/>
  <c r="N65" i="9" a="1"/>
  <c r="N65" i="9" s="1"/>
  <c r="N66" i="9" a="1"/>
  <c r="N66" i="9" s="1"/>
  <c r="N60" i="9" a="1"/>
  <c r="N60" i="9" s="1"/>
  <c r="N6" i="32" a="1"/>
  <c r="N6" i="32" s="1"/>
  <c r="N53" i="9" a="1"/>
  <c r="N53" i="9" s="1"/>
  <c r="N58" i="9" a="1"/>
  <c r="N58" i="9" s="1"/>
  <c r="N51" i="9" a="1"/>
  <c r="N51" i="9" s="1"/>
  <c r="N63" i="9" a="1"/>
  <c r="N63" i="9" s="1"/>
  <c r="N12" i="32" a="1"/>
  <c r="N12" i="32" s="1"/>
  <c r="N3" i="32" a="1"/>
  <c r="N3" i="32" s="1"/>
  <c r="N9" i="32" a="1"/>
  <c r="N9" i="32" s="1"/>
  <c r="N11" i="9" a="1"/>
  <c r="N11" i="9" s="1"/>
  <c r="N5" i="9" a="1"/>
  <c r="N5" i="9" s="1"/>
  <c r="N9" i="9" a="1"/>
  <c r="N9" i="9" s="1"/>
  <c r="N18" i="32" a="1"/>
  <c r="N18" i="32" s="1"/>
  <c r="Z18" i="32" s="1"/>
  <c r="N15" i="9" a="1"/>
  <c r="N15" i="9" s="1"/>
  <c r="X15" i="9" s="1"/>
  <c r="N3" i="9" a="1"/>
  <c r="N3" i="9" s="1"/>
  <c r="N15" i="32" a="1"/>
  <c r="N15" i="32" s="1"/>
  <c r="N10" i="9" a="1"/>
  <c r="N10" i="9" s="1"/>
  <c r="X10" i="9" s="1"/>
  <c r="N4" i="9" a="1"/>
  <c r="N4" i="9" s="1"/>
  <c r="N57" i="9" a="1"/>
  <c r="N57" i="9" s="1"/>
  <c r="N52" i="9" a="1"/>
  <c r="N52" i="9" s="1"/>
  <c r="Z52" i="9" s="1"/>
  <c r="AF227" i="57" a="1"/>
  <c r="AF227" i="57" s="1"/>
  <c r="AF210" i="57" a="1"/>
  <c r="AF210" i="57" s="1"/>
  <c r="AF205" i="57" a="1"/>
  <c r="AF205" i="57" s="1"/>
  <c r="AF211" i="57" a="1"/>
  <c r="AF211" i="57" s="1"/>
  <c r="AF221" i="57" a="1"/>
  <c r="AF221" i="57" s="1"/>
  <c r="AF202" i="57" a="1"/>
  <c r="AF202" i="57" s="1"/>
  <c r="AF220" i="57" a="1"/>
  <c r="AF220" i="57" s="1"/>
  <c r="AF228" i="57" a="1"/>
  <c r="AF228" i="57" s="1"/>
  <c r="AF218" i="57" a="1"/>
  <c r="AF218" i="57" s="1"/>
  <c r="AF219" i="57" a="1"/>
  <c r="AF219" i="57" s="1"/>
  <c r="AF212" i="57" a="1"/>
  <c r="AF212" i="57" s="1"/>
  <c r="AF204" i="57" a="1"/>
  <c r="AF204" i="57" s="1"/>
  <c r="AF226" i="57" a="1"/>
  <c r="AF226" i="57" s="1"/>
  <c r="AF203" i="57" a="1"/>
  <c r="AF203" i="57" s="1"/>
  <c r="AF213" i="57" a="1"/>
  <c r="AF213" i="57" s="1"/>
  <c r="AF229" i="57" a="1"/>
  <c r="AF229" i="57" s="1"/>
  <c r="AF257" i="57" a="1"/>
  <c r="AF257" i="57" s="1"/>
  <c r="AF239" i="57" a="1"/>
  <c r="AF239" i="57" s="1"/>
  <c r="AF241" i="57" a="1"/>
  <c r="AF241" i="57" s="1"/>
  <c r="AF192" i="57" a="1"/>
  <c r="AF192" i="57" s="1"/>
  <c r="AF195" i="57" a="1"/>
  <c r="AF195" i="57" s="1"/>
  <c r="AF256" i="57" a="1"/>
  <c r="AF256" i="57" s="1"/>
  <c r="AF250" i="57" a="1"/>
  <c r="AF250" i="57" s="1"/>
  <c r="AF251" i="57" a="1"/>
  <c r="AF251" i="57" s="1"/>
  <c r="AF194" i="57" a="1"/>
  <c r="AF194" i="57" s="1"/>
  <c r="AF190" i="57" a="1"/>
  <c r="AF190" i="57" s="1"/>
  <c r="AF245" i="57" a="1"/>
  <c r="AF245" i="57" s="1"/>
  <c r="AF255" i="57" a="1"/>
  <c r="AF255" i="57" s="1"/>
  <c r="AF196" i="57" a="1"/>
  <c r="AF196" i="57" s="1"/>
  <c r="AF254" i="57" a="1"/>
  <c r="AF254" i="57" s="1"/>
  <c r="AF243" i="57" a="1"/>
  <c r="AF243" i="57" s="1"/>
  <c r="AF244" i="57" a="1"/>
  <c r="AF244" i="57" s="1"/>
  <c r="AF242" i="57" a="1"/>
  <c r="AF242" i="57" s="1"/>
  <c r="AF252" i="57" a="1"/>
  <c r="AF252" i="57" s="1"/>
  <c r="AF197" i="57" a="1"/>
  <c r="AF197" i="57" s="1"/>
  <c r="AF253" i="57" a="1"/>
  <c r="AF253" i="57" s="1"/>
  <c r="AF238" i="57" a="1"/>
  <c r="AF238" i="57" s="1"/>
  <c r="AF193" i="57" a="1"/>
  <c r="AF193" i="57" s="1"/>
  <c r="AF240" i="57" a="1"/>
  <c r="AF240" i="57" s="1"/>
  <c r="AF191" i="57" a="1"/>
  <c r="AF191" i="57" s="1"/>
  <c r="AF223" i="57" a="1"/>
  <c r="AF223" i="57" s="1"/>
  <c r="AF224" i="57" a="1"/>
  <c r="AF224" i="57" s="1"/>
  <c r="AF225" i="57" a="1"/>
  <c r="AF225" i="57" s="1"/>
  <c r="AF222" i="57" a="1"/>
  <c r="AF222" i="57" s="1"/>
  <c r="AF98" i="57" a="1"/>
  <c r="AF98" i="57" s="1"/>
  <c r="AF96" i="57" a="1"/>
  <c r="AF96" i="57" s="1"/>
  <c r="AF104" i="57" a="1"/>
  <c r="AF104" i="57" s="1"/>
  <c r="AF101" i="57" a="1"/>
  <c r="AF101" i="57" s="1"/>
  <c r="AF105" i="57" a="1"/>
  <c r="AF105" i="57" s="1"/>
  <c r="AF103" i="57" a="1"/>
  <c r="AF103" i="57" s="1"/>
  <c r="AF99" i="57" a="1"/>
  <c r="AF99" i="57" s="1"/>
  <c r="AF102" i="57" a="1"/>
  <c r="AF102" i="57" s="1"/>
  <c r="AF97" i="57" a="1"/>
  <c r="AF97" i="57" s="1"/>
  <c r="AF100" i="57" a="1"/>
  <c r="AF100" i="57" s="1"/>
  <c r="AF166" i="57" a="1"/>
  <c r="AF166" i="57" s="1"/>
  <c r="AF178" i="57" a="1"/>
  <c r="AF178" i="57" s="1"/>
  <c r="AF145" i="57" a="1"/>
  <c r="AF145" i="57" s="1"/>
  <c r="AF31" i="57" a="1"/>
  <c r="AF31" i="57" s="1"/>
  <c r="AF17" i="57" a="1"/>
  <c r="AF17" i="57" s="1"/>
  <c r="AF30" i="57" a="1"/>
  <c r="AF30" i="57" s="1"/>
  <c r="AF184" i="57" a="1"/>
  <c r="AF184" i="57" s="1"/>
  <c r="AF136" i="57" a="1"/>
  <c r="AF136" i="57" s="1"/>
  <c r="AF27" i="57" a="1"/>
  <c r="AF27" i="57" s="1"/>
  <c r="AF172" i="57" a="1"/>
  <c r="AF172" i="57" s="1"/>
  <c r="AF23" i="57" a="1"/>
  <c r="AF23" i="57" s="1"/>
  <c r="AF155" i="57" a="1"/>
  <c r="AF155" i="57" s="1"/>
  <c r="AF185" i="57" a="1"/>
  <c r="AF185" i="57" s="1"/>
  <c r="AF28" i="57" a="1"/>
  <c r="AF28" i="57" s="1"/>
  <c r="AF152" i="57" a="1"/>
  <c r="AF152" i="57" s="1"/>
  <c r="AF141" i="57" a="1"/>
  <c r="AF141" i="57" s="1"/>
  <c r="AF176" i="57" a="1"/>
  <c r="AF176" i="57" s="1"/>
  <c r="AF149" i="57" a="1"/>
  <c r="AF149" i="57" s="1"/>
  <c r="AF33" i="57" a="1"/>
  <c r="AF33" i="57" s="1"/>
  <c r="AF177" i="57" a="1"/>
  <c r="AF177" i="57" s="1"/>
  <c r="AF143" i="57" a="1"/>
  <c r="AF143" i="57" s="1"/>
  <c r="AF21" i="57" a="1"/>
  <c r="AF21" i="57" s="1"/>
  <c r="AF147" i="57" a="1"/>
  <c r="AF147" i="57" s="1"/>
  <c r="AF150" i="57" a="1"/>
  <c r="AF150" i="57" s="1"/>
  <c r="AF16" i="57" a="1"/>
  <c r="AF16" i="57" s="1"/>
  <c r="AF179" i="57" a="1"/>
  <c r="AF179" i="57" s="1"/>
  <c r="AF25" i="57" a="1"/>
  <c r="AF25" i="57" s="1"/>
  <c r="AF175" i="57" a="1"/>
  <c r="AF175" i="57" s="1"/>
  <c r="AF35" i="57" a="1"/>
  <c r="AF35" i="57" s="1"/>
  <c r="AF138" i="57" a="1"/>
  <c r="AF138" i="57" s="1"/>
  <c r="AF144" i="57" a="1"/>
  <c r="AF144" i="57" s="1"/>
  <c r="AF154" i="57" a="1"/>
  <c r="AF154" i="57" s="1"/>
  <c r="AF140" i="57" a="1"/>
  <c r="AF140" i="57" s="1"/>
  <c r="AF137" i="57" a="1"/>
  <c r="AF137" i="57" s="1"/>
  <c r="AF19" i="57" a="1"/>
  <c r="AF19" i="57" s="1"/>
  <c r="AF20" i="57" a="1"/>
  <c r="AF20" i="57" s="1"/>
  <c r="AF148" i="57" a="1"/>
  <c r="AF148" i="57" s="1"/>
  <c r="AF146" i="57" a="1"/>
  <c r="AF146" i="57" s="1"/>
  <c r="AF34" i="57" a="1"/>
  <c r="AF34" i="57" s="1"/>
  <c r="AF22" i="57" a="1"/>
  <c r="AF22" i="57" s="1"/>
  <c r="AF174" i="57" a="1"/>
  <c r="AF174" i="57" s="1"/>
  <c r="AF153" i="57" a="1"/>
  <c r="AF153" i="57" s="1"/>
  <c r="AF142" i="57" a="1"/>
  <c r="AF142" i="57" s="1"/>
  <c r="AF151" i="57" a="1"/>
  <c r="AF151" i="57" s="1"/>
  <c r="AF171" i="57" a="1"/>
  <c r="AF171" i="57" s="1"/>
  <c r="AF24" i="57" a="1"/>
  <c r="AF24" i="57" s="1"/>
  <c r="AF26" i="57" a="1"/>
  <c r="AF26" i="57" s="1"/>
  <c r="AF169" i="57" a="1"/>
  <c r="AF169" i="57" s="1"/>
  <c r="AF183" i="57" a="1"/>
  <c r="AF183" i="57" s="1"/>
  <c r="AF18" i="57" a="1"/>
  <c r="AF18" i="57" s="1"/>
  <c r="AF139" i="57" a="1"/>
  <c r="AF139" i="57" s="1"/>
  <c r="AF29" i="57" a="1"/>
  <c r="AF29" i="57" s="1"/>
  <c r="AF180" i="57" a="1"/>
  <c r="AF180" i="57" s="1"/>
  <c r="AF32" i="57" a="1"/>
  <c r="AF32" i="57" s="1"/>
  <c r="AF168" i="57" a="1"/>
  <c r="AF168" i="57" s="1"/>
  <c r="AF182" i="57" a="1"/>
  <c r="AF182" i="57" s="1"/>
  <c r="AF167" i="57" a="1"/>
  <c r="AF167" i="57" s="1"/>
  <c r="AF170" i="57" a="1"/>
  <c r="AF170" i="57" s="1"/>
  <c r="AF173" i="57" a="1"/>
  <c r="AF173" i="57" s="1"/>
  <c r="AF181" i="57" a="1"/>
  <c r="AF181" i="57" s="1"/>
  <c r="AF46" i="57" a="1"/>
  <c r="AF46" i="57" s="1"/>
  <c r="AF74" i="57" a="1"/>
  <c r="AF74" i="57" s="1"/>
  <c r="AF52" i="57" a="1"/>
  <c r="AF52" i="57" s="1"/>
  <c r="AF90" i="57" a="1"/>
  <c r="AF90" i="57" s="1"/>
  <c r="AF112" i="57" a="1"/>
  <c r="AF112" i="57" s="1"/>
  <c r="AF71" i="57" a="1"/>
  <c r="AF71" i="57" s="1"/>
  <c r="AF91" i="57" a="1"/>
  <c r="AF91" i="57" s="1"/>
  <c r="AF51" i="57" a="1"/>
  <c r="AF51" i="57" s="1"/>
  <c r="AF111" i="57" a="1"/>
  <c r="AF111" i="57" s="1"/>
  <c r="AF106" i="57" a="1"/>
  <c r="AF106" i="57" s="1"/>
  <c r="AF107" i="57" a="1"/>
  <c r="AF107" i="57" s="1"/>
  <c r="AF89" i="57" a="1"/>
  <c r="AF89" i="57" s="1"/>
  <c r="AF110" i="57" a="1"/>
  <c r="AF110" i="57" s="1"/>
  <c r="AF88" i="57" a="1"/>
  <c r="AF88" i="57" s="1"/>
  <c r="AF86" i="57" a="1"/>
  <c r="AF86" i="57" s="1"/>
  <c r="AF75" i="57" a="1"/>
  <c r="AF75" i="57" s="1"/>
  <c r="AF94" i="57" a="1"/>
  <c r="AF94" i="57" s="1"/>
  <c r="AF48" i="57" a="1"/>
  <c r="AF48" i="57" s="1"/>
  <c r="AF114" i="57" a="1"/>
  <c r="AF114" i="57" s="1"/>
  <c r="AF70" i="57" a="1"/>
  <c r="AF70" i="57" s="1"/>
  <c r="AF69" i="57" a="1"/>
  <c r="AF69" i="57" s="1"/>
  <c r="AF108" i="57" a="1"/>
  <c r="AF108" i="57" s="1"/>
  <c r="AF55" i="57" a="1"/>
  <c r="AF55" i="57" s="1"/>
  <c r="AF67" i="57" a="1"/>
  <c r="AF67" i="57" s="1"/>
  <c r="AF93" i="57" a="1"/>
  <c r="AF93" i="57" s="1"/>
  <c r="AF87" i="57" a="1"/>
  <c r="AF87" i="57" s="1"/>
  <c r="AF50" i="57" a="1"/>
  <c r="AF50" i="57" s="1"/>
  <c r="AF73" i="57" a="1"/>
  <c r="AF73" i="57" s="1"/>
  <c r="AF47" i="57" a="1"/>
  <c r="AF47" i="57" s="1"/>
  <c r="AF115" i="57" a="1"/>
  <c r="AF115" i="57" s="1"/>
  <c r="AF95" i="57" a="1"/>
  <c r="AF95" i="57" s="1"/>
  <c r="AF113" i="57" a="1"/>
  <c r="AF113" i="57" s="1"/>
  <c r="AF54" i="57" a="1"/>
  <c r="AF54" i="57" s="1"/>
  <c r="AF109" i="57" a="1"/>
  <c r="AF109" i="57" s="1"/>
  <c r="AF92" i="57" a="1"/>
  <c r="AF92" i="57" s="1"/>
  <c r="AF53" i="57" a="1"/>
  <c r="AF53" i="57" s="1"/>
  <c r="AF49" i="57" a="1"/>
  <c r="AF49" i="57" s="1"/>
  <c r="AF68" i="57" a="1"/>
  <c r="AF68" i="57" s="1"/>
  <c r="AF66" i="57" a="1"/>
  <c r="AF66" i="57" s="1"/>
  <c r="AF72" i="57" a="1"/>
  <c r="AF72" i="57" s="1"/>
  <c r="X7" i="32"/>
  <c r="Z7" i="32"/>
  <c r="X13" i="32"/>
  <c r="X19" i="32"/>
  <c r="X13" i="9"/>
  <c r="X19" i="9"/>
  <c r="AB7" i="4" a="1"/>
  <c r="AB7" i="4" s="1"/>
  <c r="AW17" i="4" s="1"/>
  <c r="AX19" i="4" s="1"/>
  <c r="AA7" i="4" a="1"/>
  <c r="AA7" i="4" s="1"/>
  <c r="AA3" i="4" a="1"/>
  <c r="AA3" i="4" s="1"/>
  <c r="AB3" i="4" a="1"/>
  <c r="AB3" i="4" s="1"/>
  <c r="AA6" i="4" a="1"/>
  <c r="AA6" i="4" s="1"/>
  <c r="AB6" i="4" a="1"/>
  <c r="AB6" i="4" s="1"/>
  <c r="AS17" i="4" s="1"/>
  <c r="AT19" i="4" s="1"/>
  <c r="AA8" i="4" a="1"/>
  <c r="AA8" i="4" s="1"/>
  <c r="BB14" i="4"/>
  <c r="AB8" i="4" a="1"/>
  <c r="AB8" i="4" s="1"/>
  <c r="BA17" i="4" s="1"/>
  <c r="BB19" i="4" s="1"/>
  <c r="AL14" i="4"/>
  <c r="AK17" i="4" s="1"/>
  <c r="AA4" i="4" a="1"/>
  <c r="AA4" i="4" s="1"/>
  <c r="AB4" i="4" a="1"/>
  <c r="AB4" i="4" s="1"/>
  <c r="AB5" i="4" a="1"/>
  <c r="AB5" i="4" s="1"/>
  <c r="AA5" i="4" a="1"/>
  <c r="AA5" i="4" s="1"/>
  <c r="AP14" i="4"/>
  <c r="AO17" i="4" s="1"/>
  <c r="BF16" i="4"/>
  <c r="AH19" i="4"/>
  <c r="AN225" i="57" l="1"/>
  <c r="AS225" i="57"/>
  <c r="T225" i="57" s="1"/>
  <c r="AN195" i="57"/>
  <c r="AS195" i="57"/>
  <c r="T195" i="57" s="1"/>
  <c r="AN223" i="57"/>
  <c r="AS223" i="57"/>
  <c r="T223" i="57" s="1"/>
  <c r="AN241" i="57"/>
  <c r="AS241" i="57"/>
  <c r="T241" i="57" s="1"/>
  <c r="AN191" i="57"/>
  <c r="AS191" i="57"/>
  <c r="T191" i="57" s="1"/>
  <c r="AN239" i="57"/>
  <c r="AS239" i="57"/>
  <c r="T239" i="57" s="1"/>
  <c r="AN240" i="57"/>
  <c r="AS240" i="57"/>
  <c r="T240" i="57" s="1"/>
  <c r="AN257" i="57"/>
  <c r="AS257" i="57"/>
  <c r="T257" i="57" s="1"/>
  <c r="AN193" i="57"/>
  <c r="AS193" i="57"/>
  <c r="T193" i="57" s="1"/>
  <c r="AN229" i="57"/>
  <c r="AS229" i="57"/>
  <c r="T229" i="57" s="1"/>
  <c r="AN238" i="57"/>
  <c r="AS238" i="57"/>
  <c r="T238" i="57" s="1"/>
  <c r="AN213" i="57"/>
  <c r="AS213" i="57"/>
  <c r="T213" i="57" s="1"/>
  <c r="AN253" i="57"/>
  <c r="AS253" i="57"/>
  <c r="T253" i="57" s="1"/>
  <c r="AN203" i="57"/>
  <c r="AS203" i="57"/>
  <c r="T203" i="57" s="1"/>
  <c r="AN197" i="57"/>
  <c r="AS197" i="57"/>
  <c r="T197" i="57" s="1"/>
  <c r="AN226" i="57"/>
  <c r="AS226" i="57"/>
  <c r="T226" i="57" s="1"/>
  <c r="AN224" i="57"/>
  <c r="AS224" i="57"/>
  <c r="T224" i="57" s="1"/>
  <c r="AN252" i="57"/>
  <c r="AS252" i="57"/>
  <c r="T252" i="57" s="1"/>
  <c r="AN204" i="57"/>
  <c r="AS204" i="57"/>
  <c r="T204" i="57" s="1"/>
  <c r="AN242" i="57"/>
  <c r="AS242" i="57"/>
  <c r="T242" i="57" s="1"/>
  <c r="AN212" i="57"/>
  <c r="AS212" i="57"/>
  <c r="T212" i="57" s="1"/>
  <c r="AN256" i="57"/>
  <c r="AS256" i="57"/>
  <c r="T256" i="57" s="1"/>
  <c r="AN192" i="57"/>
  <c r="AS192" i="57"/>
  <c r="T192" i="57" s="1"/>
  <c r="AN244" i="57"/>
  <c r="AS244" i="57"/>
  <c r="T244" i="57" s="1"/>
  <c r="AN219" i="57"/>
  <c r="AS219" i="57"/>
  <c r="T219" i="57" s="1"/>
  <c r="AN222" i="57"/>
  <c r="AS222" i="57"/>
  <c r="T222" i="57" s="1"/>
  <c r="AN243" i="57"/>
  <c r="AS243" i="57"/>
  <c r="T243" i="57" s="1"/>
  <c r="AN218" i="57"/>
  <c r="AS218" i="57"/>
  <c r="T218" i="57" s="1"/>
  <c r="AN254" i="57"/>
  <c r="AS254" i="57"/>
  <c r="T254" i="57" s="1"/>
  <c r="AN228" i="57"/>
  <c r="AS228" i="57"/>
  <c r="T228" i="57" s="1"/>
  <c r="AN196" i="57"/>
  <c r="AS196" i="57"/>
  <c r="T196" i="57" s="1"/>
  <c r="AN220" i="57"/>
  <c r="AS220" i="57"/>
  <c r="T220" i="57" s="1"/>
  <c r="AN255" i="57"/>
  <c r="AS255" i="57"/>
  <c r="T255" i="57" s="1"/>
  <c r="AN202" i="57"/>
  <c r="AS202" i="57"/>
  <c r="T202" i="57" s="1"/>
  <c r="AN245" i="57"/>
  <c r="AS245" i="57"/>
  <c r="T245" i="57" s="1"/>
  <c r="AN221" i="57"/>
  <c r="AS221" i="57"/>
  <c r="T221" i="57" s="1"/>
  <c r="AN190" i="57"/>
  <c r="AS190" i="57"/>
  <c r="T190" i="57" s="1"/>
  <c r="AN211" i="57"/>
  <c r="AS211" i="57"/>
  <c r="T211" i="57" s="1"/>
  <c r="AN194" i="57"/>
  <c r="AS194" i="57"/>
  <c r="T194" i="57" s="1"/>
  <c r="AN205" i="57"/>
  <c r="AS205" i="57"/>
  <c r="T205" i="57" s="1"/>
  <c r="AN251" i="57"/>
  <c r="AS251" i="57"/>
  <c r="T251" i="57" s="1"/>
  <c r="AN210" i="57"/>
  <c r="AS210" i="57"/>
  <c r="T210" i="57" s="1"/>
  <c r="AN250" i="57"/>
  <c r="AS250" i="57"/>
  <c r="T250" i="57" s="1"/>
  <c r="AN227" i="57"/>
  <c r="AS227" i="57"/>
  <c r="T227" i="57" s="1"/>
  <c r="AN180" i="57"/>
  <c r="AS180" i="57"/>
  <c r="T180" i="57" s="1"/>
  <c r="AN144" i="57"/>
  <c r="AS144" i="57"/>
  <c r="T144" i="57" s="1"/>
  <c r="AN27" i="57"/>
  <c r="AS27" i="57"/>
  <c r="T27" i="57" s="1"/>
  <c r="AN86" i="57"/>
  <c r="AS86" i="57"/>
  <c r="T86" i="57" s="1"/>
  <c r="AN53" i="57"/>
  <c r="AS53" i="57"/>
  <c r="T53" i="57" s="1"/>
  <c r="AN88" i="57"/>
  <c r="AS88" i="57"/>
  <c r="T88" i="57" s="1"/>
  <c r="AN29" i="57"/>
  <c r="AS29" i="57"/>
  <c r="T29" i="57" s="1"/>
  <c r="AN138" i="57"/>
  <c r="AS138" i="57"/>
  <c r="T138" i="57" s="1"/>
  <c r="AN136" i="57"/>
  <c r="AS136" i="57"/>
  <c r="T136" i="57" s="1"/>
  <c r="AN72" i="57"/>
  <c r="AS72" i="57"/>
  <c r="T72" i="57" s="1"/>
  <c r="AN49" i="57"/>
  <c r="AS49" i="57"/>
  <c r="T49" i="57" s="1"/>
  <c r="AN92" i="57"/>
  <c r="AS92" i="57"/>
  <c r="T92" i="57" s="1"/>
  <c r="AN110" i="57"/>
  <c r="AS110" i="57"/>
  <c r="T110" i="57" s="1"/>
  <c r="AN139" i="57"/>
  <c r="AS139" i="57"/>
  <c r="T139" i="57" s="1"/>
  <c r="AN35" i="57"/>
  <c r="AS35" i="57"/>
  <c r="T35" i="57" s="1"/>
  <c r="AN184" i="57"/>
  <c r="AS184" i="57"/>
  <c r="T184" i="57" s="1"/>
  <c r="AN75" i="57"/>
  <c r="AS75" i="57"/>
  <c r="T75" i="57" s="1"/>
  <c r="AN109" i="57"/>
  <c r="AS109" i="57"/>
  <c r="T109" i="57" s="1"/>
  <c r="AN89" i="57"/>
  <c r="AS89" i="57"/>
  <c r="T89" i="57" s="1"/>
  <c r="AN18" i="57"/>
  <c r="AS18" i="57"/>
  <c r="T18" i="57" s="1"/>
  <c r="AN175" i="57"/>
  <c r="AS175" i="57"/>
  <c r="T175" i="57" s="1"/>
  <c r="AN30" i="57"/>
  <c r="AS30" i="57"/>
  <c r="T30" i="57" s="1"/>
  <c r="AN23" i="57"/>
  <c r="AS23" i="57"/>
  <c r="T23" i="57" s="1"/>
  <c r="AN54" i="57"/>
  <c r="AS54" i="57"/>
  <c r="T54" i="57" s="1"/>
  <c r="AN107" i="57"/>
  <c r="AS107" i="57"/>
  <c r="T107" i="57" s="1"/>
  <c r="AN183" i="57"/>
  <c r="AS183" i="57"/>
  <c r="T183" i="57" s="1"/>
  <c r="AN25" i="57"/>
  <c r="AS25" i="57"/>
  <c r="T25" i="57" s="1"/>
  <c r="AN17" i="57"/>
  <c r="AS17" i="57"/>
  <c r="T17" i="57" s="1"/>
  <c r="AN32" i="57"/>
  <c r="AS32" i="57"/>
  <c r="T32" i="57" s="1"/>
  <c r="AN113" i="57"/>
  <c r="AS113" i="57"/>
  <c r="T113" i="57" s="1"/>
  <c r="AN106" i="57"/>
  <c r="AS106" i="57"/>
  <c r="T106" i="57" s="1"/>
  <c r="AN169" i="57"/>
  <c r="AS169" i="57"/>
  <c r="T169" i="57" s="1"/>
  <c r="AN179" i="57"/>
  <c r="AS179" i="57"/>
  <c r="T179" i="57" s="1"/>
  <c r="AN31" i="57"/>
  <c r="AS31" i="57"/>
  <c r="T31" i="57" s="1"/>
  <c r="AN26" i="57"/>
  <c r="AS26" i="57"/>
  <c r="T26" i="57" s="1"/>
  <c r="AN16" i="57"/>
  <c r="AS16" i="57"/>
  <c r="T16" i="57" s="1"/>
  <c r="AN145" i="57"/>
  <c r="AS145" i="57"/>
  <c r="T145" i="57" s="1"/>
  <c r="AN48" i="57"/>
  <c r="AS48" i="57"/>
  <c r="T48" i="57" s="1"/>
  <c r="AN111" i="57"/>
  <c r="AS111" i="57"/>
  <c r="T111" i="57" s="1"/>
  <c r="AN115" i="57"/>
  <c r="AS115" i="57"/>
  <c r="T115" i="57" s="1"/>
  <c r="AN51" i="57"/>
  <c r="AS51" i="57"/>
  <c r="T51" i="57" s="1"/>
  <c r="AN24" i="57"/>
  <c r="AS24" i="57"/>
  <c r="T24" i="57" s="1"/>
  <c r="AN150" i="57"/>
  <c r="AS150" i="57"/>
  <c r="T150" i="57" s="1"/>
  <c r="AN178" i="57"/>
  <c r="AS178" i="57"/>
  <c r="T178" i="57" s="1"/>
  <c r="AN182" i="57"/>
  <c r="AS182" i="57"/>
  <c r="T182" i="57" s="1"/>
  <c r="AN47" i="57"/>
  <c r="AS47" i="57"/>
  <c r="T47" i="57" s="1"/>
  <c r="AN91" i="57"/>
  <c r="AS91" i="57"/>
  <c r="T91" i="57" s="1"/>
  <c r="AN171" i="57"/>
  <c r="AS171" i="57"/>
  <c r="T171" i="57" s="1"/>
  <c r="AN147" i="57"/>
  <c r="AS147" i="57"/>
  <c r="T147" i="57" s="1"/>
  <c r="AN166" i="57"/>
  <c r="AS166" i="57"/>
  <c r="T166" i="57" s="1"/>
  <c r="AN155" i="57"/>
  <c r="AS155" i="57"/>
  <c r="T155" i="57" s="1"/>
  <c r="AN73" i="57"/>
  <c r="AS73" i="57"/>
  <c r="T73" i="57" s="1"/>
  <c r="AN71" i="57"/>
  <c r="AS71" i="57"/>
  <c r="T71" i="57" s="1"/>
  <c r="AN151" i="57"/>
  <c r="AS151" i="57"/>
  <c r="T151" i="57" s="1"/>
  <c r="AN21" i="57"/>
  <c r="AS21" i="57"/>
  <c r="T21" i="57" s="1"/>
  <c r="AN100" i="57"/>
  <c r="AS100" i="57"/>
  <c r="T100" i="57" s="1"/>
  <c r="AN172" i="57"/>
  <c r="AS172" i="57"/>
  <c r="T172" i="57" s="1"/>
  <c r="AN50" i="57"/>
  <c r="AS50" i="57"/>
  <c r="T50" i="57" s="1"/>
  <c r="AN112" i="57"/>
  <c r="AS112" i="57"/>
  <c r="T112" i="57" s="1"/>
  <c r="AN142" i="57"/>
  <c r="AS142" i="57"/>
  <c r="T142" i="57" s="1"/>
  <c r="AN143" i="57"/>
  <c r="AS143" i="57"/>
  <c r="T143" i="57" s="1"/>
  <c r="AN97" i="57"/>
  <c r="AS97" i="57"/>
  <c r="T97" i="57" s="1"/>
  <c r="AN68" i="57"/>
  <c r="AS68" i="57"/>
  <c r="T68" i="57" s="1"/>
  <c r="AN87" i="57"/>
  <c r="AS87" i="57"/>
  <c r="T87" i="57" s="1"/>
  <c r="AN90" i="57"/>
  <c r="AS90" i="57"/>
  <c r="T90" i="57" s="1"/>
  <c r="AN153" i="57"/>
  <c r="AS153" i="57"/>
  <c r="T153" i="57" s="1"/>
  <c r="AN177" i="57"/>
  <c r="AS177" i="57"/>
  <c r="T177" i="57" s="1"/>
  <c r="AN102" i="57"/>
  <c r="AS102" i="57"/>
  <c r="T102" i="57" s="1"/>
  <c r="AN154" i="57"/>
  <c r="AS154" i="57"/>
  <c r="T154" i="57" s="1"/>
  <c r="AN93" i="57"/>
  <c r="AS93" i="57"/>
  <c r="T93" i="57" s="1"/>
  <c r="AN52" i="57"/>
  <c r="AS52" i="57"/>
  <c r="T52" i="57" s="1"/>
  <c r="AN174" i="57"/>
  <c r="AS174" i="57"/>
  <c r="T174" i="57" s="1"/>
  <c r="AN33" i="57"/>
  <c r="AS33" i="57"/>
  <c r="T33" i="57" s="1"/>
  <c r="AN99" i="57"/>
  <c r="AS99" i="57"/>
  <c r="T99" i="57" s="1"/>
  <c r="AN94" i="57"/>
  <c r="AS94" i="57"/>
  <c r="T94" i="57" s="1"/>
  <c r="AN67" i="57"/>
  <c r="AS67" i="57"/>
  <c r="T67" i="57" s="1"/>
  <c r="AN74" i="57"/>
  <c r="AS74" i="57"/>
  <c r="T74" i="57" s="1"/>
  <c r="AN22" i="57"/>
  <c r="AS22" i="57"/>
  <c r="T22" i="57" s="1"/>
  <c r="AN149" i="57"/>
  <c r="AS149" i="57"/>
  <c r="T149" i="57" s="1"/>
  <c r="AN103" i="57"/>
  <c r="AS103" i="57"/>
  <c r="T103" i="57" s="1"/>
  <c r="AN95" i="57"/>
  <c r="AS95" i="57"/>
  <c r="T95" i="57" s="1"/>
  <c r="AN55" i="57"/>
  <c r="AS55" i="57"/>
  <c r="T55" i="57" s="1"/>
  <c r="AN46" i="57"/>
  <c r="AS46" i="57"/>
  <c r="T46" i="57" s="1"/>
  <c r="AN34" i="57"/>
  <c r="AS34" i="57"/>
  <c r="T34" i="57" s="1"/>
  <c r="AN176" i="57"/>
  <c r="AS176" i="57"/>
  <c r="T176" i="57" s="1"/>
  <c r="AN105" i="57"/>
  <c r="AS105" i="57"/>
  <c r="T105" i="57" s="1"/>
  <c r="AN66" i="57"/>
  <c r="AS66" i="57"/>
  <c r="T66" i="57" s="1"/>
  <c r="AN108" i="57"/>
  <c r="AS108" i="57"/>
  <c r="T108" i="57" s="1"/>
  <c r="AN181" i="57"/>
  <c r="AS181" i="57"/>
  <c r="T181" i="57" s="1"/>
  <c r="AN146" i="57"/>
  <c r="AS146" i="57"/>
  <c r="T146" i="57" s="1"/>
  <c r="AN141" i="57"/>
  <c r="AS141" i="57"/>
  <c r="T141" i="57" s="1"/>
  <c r="AN101" i="57"/>
  <c r="AS101" i="57"/>
  <c r="T101" i="57" s="1"/>
  <c r="AN140" i="57"/>
  <c r="AS140" i="57"/>
  <c r="T140" i="57" s="1"/>
  <c r="AN69" i="57"/>
  <c r="AS69" i="57"/>
  <c r="T69" i="57" s="1"/>
  <c r="AN173" i="57"/>
  <c r="AS173" i="57"/>
  <c r="T173" i="57" s="1"/>
  <c r="AN148" i="57"/>
  <c r="AS148" i="57"/>
  <c r="T148" i="57" s="1"/>
  <c r="AN152" i="57"/>
  <c r="AS152" i="57"/>
  <c r="T152" i="57" s="1"/>
  <c r="AN104" i="57"/>
  <c r="AS104" i="57"/>
  <c r="T104" i="57" s="1"/>
  <c r="AN168" i="57"/>
  <c r="AS168" i="57"/>
  <c r="T168" i="57" s="1"/>
  <c r="AN170" i="57"/>
  <c r="AS170" i="57"/>
  <c r="T170" i="57" s="1"/>
  <c r="AN20" i="57"/>
  <c r="AS20" i="57"/>
  <c r="T20" i="57" s="1"/>
  <c r="AN28" i="57"/>
  <c r="AS28" i="57"/>
  <c r="T28" i="57" s="1"/>
  <c r="AN96" i="57"/>
  <c r="AS96" i="57"/>
  <c r="T96" i="57" s="1"/>
  <c r="AN137" i="57"/>
  <c r="AS137" i="57"/>
  <c r="T137" i="57" s="1"/>
  <c r="AN70" i="57"/>
  <c r="AS70" i="57"/>
  <c r="T70" i="57" s="1"/>
  <c r="AN114" i="57"/>
  <c r="AS114" i="57"/>
  <c r="T114" i="57" s="1"/>
  <c r="AN167" i="57"/>
  <c r="AS167" i="57"/>
  <c r="T167" i="57" s="1"/>
  <c r="AN19" i="57"/>
  <c r="AS19" i="57"/>
  <c r="T19" i="57" s="1"/>
  <c r="AN185" i="57"/>
  <c r="AS185" i="57"/>
  <c r="T185" i="57" s="1"/>
  <c r="AN98" i="57"/>
  <c r="AS98" i="57"/>
  <c r="T98" i="57" s="1"/>
  <c r="X18" i="32"/>
  <c r="X4" i="32"/>
  <c r="X12" i="32"/>
  <c r="Z12" i="32"/>
  <c r="AP22" i="32" a="1"/>
  <c r="AP22" i="32" s="1"/>
  <c r="Z9" i="32"/>
  <c r="AL22" i="32" a="1"/>
  <c r="AL22" i="32" s="1"/>
  <c r="Z3" i="32"/>
  <c r="AH22" i="32" a="1"/>
  <c r="AH22" i="32" s="1"/>
  <c r="Z3" i="9"/>
  <c r="AH23" i="9" a="1"/>
  <c r="AH23" i="9" s="1"/>
  <c r="Z9" i="9"/>
  <c r="AL23" i="9" a="1"/>
  <c r="AL23" i="9" s="1"/>
  <c r="X7" i="9"/>
  <c r="Z7" i="9"/>
  <c r="X64" i="9"/>
  <c r="X52" i="9"/>
  <c r="X6" i="32"/>
  <c r="Z6" i="32"/>
  <c r="Z10" i="32"/>
  <c r="Z16" i="32"/>
  <c r="X11" i="32"/>
  <c r="Z11" i="32"/>
  <c r="X17" i="32"/>
  <c r="Z17" i="32"/>
  <c r="X5" i="32"/>
  <c r="Z5" i="32"/>
  <c r="X15" i="32"/>
  <c r="Z15" i="32"/>
  <c r="X9" i="32"/>
  <c r="X3" i="32"/>
  <c r="X54" i="9"/>
  <c r="Z54" i="9"/>
  <c r="X57" i="9"/>
  <c r="Z57" i="9"/>
  <c r="AL72" i="9" a="1"/>
  <c r="AL72" i="9" s="1"/>
  <c r="Z53" i="9"/>
  <c r="X53" i="9"/>
  <c r="AH72" i="9" a="1"/>
  <c r="AH72" i="9" s="1"/>
  <c r="X51" i="9"/>
  <c r="Z51" i="9"/>
  <c r="X60" i="9"/>
  <c r="Z60" i="9"/>
  <c r="Z63" i="9"/>
  <c r="X63" i="9"/>
  <c r="AP72" i="9" a="1"/>
  <c r="AP72" i="9" s="1"/>
  <c r="X59" i="9"/>
  <c r="Z59" i="9"/>
  <c r="Z58" i="9"/>
  <c r="X58" i="9"/>
  <c r="X65" i="9"/>
  <c r="Z65" i="9"/>
  <c r="X66" i="9"/>
  <c r="Z66" i="9"/>
  <c r="X9" i="9"/>
  <c r="Z15" i="9"/>
  <c r="X12" i="9"/>
  <c r="X3" i="9"/>
  <c r="Z10" i="9"/>
  <c r="X6" i="9"/>
  <c r="X18" i="9"/>
  <c r="X17" i="9"/>
  <c r="AP23" i="9" a="1"/>
  <c r="AP23" i="9" s="1"/>
  <c r="X16" i="9"/>
  <c r="X11" i="9"/>
  <c r="Z11" i="9"/>
  <c r="AL19" i="4"/>
  <c r="BF17" i="4"/>
  <c r="Z4" i="9"/>
  <c r="X4" i="9"/>
  <c r="X5" i="9"/>
  <c r="Z5" i="9"/>
  <c r="BF18" i="4"/>
  <c r="AP19" i="4"/>
  <c r="V57" i="9" l="1"/>
  <c r="Y57" i="9" s="1"/>
  <c r="V63" i="9"/>
  <c r="V15" i="32"/>
  <c r="V3" i="32"/>
  <c r="V9" i="32"/>
  <c r="W210" i="57"/>
  <c r="U210" i="57"/>
  <c r="R210" i="57"/>
  <c r="U239" i="57"/>
  <c r="W239" i="57"/>
  <c r="R239" i="57"/>
  <c r="W197" i="57"/>
  <c r="U197" i="57"/>
  <c r="R197" i="57"/>
  <c r="W244" i="57"/>
  <c r="U244" i="57"/>
  <c r="R244" i="57"/>
  <c r="W222" i="57"/>
  <c r="U222" i="57"/>
  <c r="R222" i="57"/>
  <c r="R202" i="57"/>
  <c r="U202" i="57"/>
  <c r="W202" i="57"/>
  <c r="W240" i="57"/>
  <c r="U240" i="57"/>
  <c r="R240" i="57"/>
  <c r="U226" i="57"/>
  <c r="W226" i="57"/>
  <c r="R226" i="57"/>
  <c r="R228" i="57"/>
  <c r="W228" i="57"/>
  <c r="U228" i="57"/>
  <c r="W257" i="57"/>
  <c r="U257" i="57"/>
  <c r="R257" i="57"/>
  <c r="W251" i="57"/>
  <c r="U251" i="57"/>
  <c r="R251" i="57"/>
  <c r="U242" i="57"/>
  <c r="W242" i="57"/>
  <c r="R242" i="57"/>
  <c r="R229" i="57"/>
  <c r="W229" i="57"/>
  <c r="U229" i="57"/>
  <c r="W256" i="57"/>
  <c r="U256" i="57"/>
  <c r="R256" i="57"/>
  <c r="W213" i="57"/>
  <c r="U213" i="57"/>
  <c r="R213" i="57"/>
  <c r="R252" i="57"/>
  <c r="W252" i="57"/>
  <c r="U252" i="57"/>
  <c r="U193" i="57"/>
  <c r="W193" i="57"/>
  <c r="R193" i="57"/>
  <c r="R250" i="57"/>
  <c r="U250" i="57"/>
  <c r="W250" i="57"/>
  <c r="R212" i="57"/>
  <c r="U212" i="57"/>
  <c r="W212" i="57"/>
  <c r="U245" i="57"/>
  <c r="W245" i="57"/>
  <c r="R245" i="57"/>
  <c r="R218" i="57"/>
  <c r="W218" i="57"/>
  <c r="U218" i="57"/>
  <c r="U253" i="57"/>
  <c r="W253" i="57"/>
  <c r="R253" i="57"/>
  <c r="U221" i="57"/>
  <c r="W221" i="57"/>
  <c r="R221" i="57"/>
  <c r="U243" i="57"/>
  <c r="W243" i="57"/>
  <c r="R243" i="57"/>
  <c r="U191" i="57"/>
  <c r="W191" i="57"/>
  <c r="R191" i="57"/>
  <c r="W227" i="57"/>
  <c r="U227" i="57"/>
  <c r="R227" i="57"/>
  <c r="W204" i="57"/>
  <c r="U204" i="57"/>
  <c r="R204" i="57"/>
  <c r="U241" i="57"/>
  <c r="W241" i="57"/>
  <c r="R241" i="57"/>
  <c r="R254" i="57"/>
  <c r="W254" i="57"/>
  <c r="U254" i="57"/>
  <c r="U255" i="57"/>
  <c r="W255" i="57"/>
  <c r="R255" i="57"/>
  <c r="W205" i="57"/>
  <c r="U205" i="57"/>
  <c r="R205" i="57"/>
  <c r="W238" i="57"/>
  <c r="U238" i="57"/>
  <c r="R238" i="57"/>
  <c r="W219" i="57"/>
  <c r="U219" i="57"/>
  <c r="R219" i="57"/>
  <c r="W223" i="57"/>
  <c r="U223" i="57"/>
  <c r="R223" i="57"/>
  <c r="R220" i="57"/>
  <c r="W220" i="57"/>
  <c r="U220" i="57"/>
  <c r="U194" i="57"/>
  <c r="W194" i="57"/>
  <c r="R194" i="57"/>
  <c r="W224" i="57"/>
  <c r="U224" i="57"/>
  <c r="R224" i="57"/>
  <c r="W195" i="57"/>
  <c r="U195" i="57"/>
  <c r="R195" i="57"/>
  <c r="W190" i="57"/>
  <c r="U190" i="57"/>
  <c r="R190" i="57"/>
  <c r="U211" i="57"/>
  <c r="W211" i="57"/>
  <c r="R211" i="57"/>
  <c r="W196" i="57"/>
  <c r="U196" i="57"/>
  <c r="R196" i="57"/>
  <c r="U203" i="57"/>
  <c r="W203" i="57"/>
  <c r="R203" i="57"/>
  <c r="W225" i="57"/>
  <c r="U225" i="57"/>
  <c r="R225" i="57"/>
  <c r="W192" i="57"/>
  <c r="U192" i="57"/>
  <c r="R192" i="57"/>
  <c r="U72" i="57"/>
  <c r="W72" i="57"/>
  <c r="R72" i="57"/>
  <c r="R50" i="57"/>
  <c r="U50" i="57"/>
  <c r="W50" i="57"/>
  <c r="U105" i="57"/>
  <c r="W105" i="57"/>
  <c r="R105" i="57"/>
  <c r="W32" i="57"/>
  <c r="U32" i="57"/>
  <c r="R32" i="57"/>
  <c r="U177" i="57"/>
  <c r="W177" i="57"/>
  <c r="R177" i="57"/>
  <c r="W91" i="57"/>
  <c r="U91" i="57"/>
  <c r="R91" i="57"/>
  <c r="W88" i="57"/>
  <c r="U88" i="57"/>
  <c r="R88" i="57"/>
  <c r="U67" i="57"/>
  <c r="W67" i="57"/>
  <c r="R67" i="57"/>
  <c r="U153" i="57"/>
  <c r="W153" i="57"/>
  <c r="R153" i="57"/>
  <c r="W28" i="57"/>
  <c r="U28" i="57"/>
  <c r="R28" i="57"/>
  <c r="U29" i="57"/>
  <c r="W29" i="57"/>
  <c r="R29" i="57"/>
  <c r="U182" i="57"/>
  <c r="W182" i="57"/>
  <c r="R182" i="57"/>
  <c r="W20" i="57"/>
  <c r="U20" i="57"/>
  <c r="R20" i="57"/>
  <c r="R31" i="57"/>
  <c r="W31" i="57"/>
  <c r="U31" i="57"/>
  <c r="W89" i="57"/>
  <c r="U89" i="57"/>
  <c r="R89" i="57"/>
  <c r="W17" i="57"/>
  <c r="U17" i="57"/>
  <c r="R17" i="57"/>
  <c r="R69" i="57"/>
  <c r="U69" i="57"/>
  <c r="W69" i="57"/>
  <c r="W25" i="57"/>
  <c r="U25" i="57"/>
  <c r="R25" i="57"/>
  <c r="R100" i="57"/>
  <c r="W100" i="57"/>
  <c r="U100" i="57"/>
  <c r="U87" i="57"/>
  <c r="W87" i="57"/>
  <c r="R87" i="57"/>
  <c r="U151" i="57"/>
  <c r="W151" i="57"/>
  <c r="R151" i="57"/>
  <c r="W54" i="57"/>
  <c r="U54" i="57"/>
  <c r="R54" i="57"/>
  <c r="U174" i="57"/>
  <c r="W174" i="57"/>
  <c r="R174" i="57"/>
  <c r="R150" i="57"/>
  <c r="W150" i="57"/>
  <c r="U150" i="57"/>
  <c r="W73" i="57"/>
  <c r="U73" i="57"/>
  <c r="R73" i="57"/>
  <c r="W27" i="57"/>
  <c r="U27" i="57"/>
  <c r="R27" i="57"/>
  <c r="U139" i="57"/>
  <c r="W139" i="57"/>
  <c r="R139" i="57"/>
  <c r="W30" i="57"/>
  <c r="U30" i="57"/>
  <c r="R30" i="57"/>
  <c r="U92" i="57"/>
  <c r="W92" i="57"/>
  <c r="R92" i="57"/>
  <c r="U183" i="57"/>
  <c r="W183" i="57"/>
  <c r="R183" i="57"/>
  <c r="W16" i="57"/>
  <c r="U16" i="57"/>
  <c r="R16" i="57"/>
  <c r="U101" i="57"/>
  <c r="W101" i="57"/>
  <c r="R101" i="57"/>
  <c r="W71" i="57"/>
  <c r="U71" i="57"/>
  <c r="R71" i="57"/>
  <c r="W86" i="57"/>
  <c r="U86" i="57"/>
  <c r="R86" i="57"/>
  <c r="U168" i="57"/>
  <c r="W168" i="57"/>
  <c r="R168" i="57"/>
  <c r="U103" i="57"/>
  <c r="W103" i="57"/>
  <c r="R103" i="57"/>
  <c r="W155" i="57"/>
  <c r="U155" i="57"/>
  <c r="R155" i="57"/>
  <c r="U181" i="57"/>
  <c r="W181" i="57"/>
  <c r="R181" i="57"/>
  <c r="W147" i="57"/>
  <c r="U147" i="57"/>
  <c r="R147" i="57"/>
  <c r="W18" i="57"/>
  <c r="U18" i="57"/>
  <c r="R18" i="57"/>
  <c r="W180" i="57"/>
  <c r="U180" i="57"/>
  <c r="R180" i="57"/>
  <c r="R136" i="57"/>
  <c r="U136" i="57"/>
  <c r="W136" i="57"/>
  <c r="W176" i="57"/>
  <c r="U176" i="57"/>
  <c r="R176" i="57"/>
  <c r="U172" i="57"/>
  <c r="W172" i="57"/>
  <c r="R172" i="57"/>
  <c r="W138" i="57"/>
  <c r="U138" i="57"/>
  <c r="R138" i="57"/>
  <c r="W75" i="57"/>
  <c r="U75" i="57"/>
  <c r="R75" i="57"/>
  <c r="R90" i="57"/>
  <c r="W90" i="57"/>
  <c r="U90" i="57"/>
  <c r="U140" i="57"/>
  <c r="W140" i="57"/>
  <c r="R140" i="57"/>
  <c r="W99" i="57"/>
  <c r="U99" i="57"/>
  <c r="R99" i="57"/>
  <c r="W21" i="57"/>
  <c r="U21" i="57"/>
  <c r="R21" i="57"/>
  <c r="U107" i="57"/>
  <c r="W107" i="57"/>
  <c r="R107" i="57"/>
  <c r="R33" i="57"/>
  <c r="U33" i="57"/>
  <c r="W33" i="57"/>
  <c r="R26" i="57"/>
  <c r="W26" i="57"/>
  <c r="U26" i="57"/>
  <c r="W55" i="57"/>
  <c r="U55" i="57"/>
  <c r="R55" i="57"/>
  <c r="W23" i="57"/>
  <c r="U23" i="57"/>
  <c r="R23" i="57"/>
  <c r="R19" i="57"/>
  <c r="U19" i="57"/>
  <c r="W19" i="57"/>
  <c r="W52" i="57"/>
  <c r="U52" i="57"/>
  <c r="R52" i="57"/>
  <c r="R179" i="57"/>
  <c r="U179" i="57"/>
  <c r="W179" i="57"/>
  <c r="W24" i="57"/>
  <c r="U24" i="57"/>
  <c r="R24" i="57"/>
  <c r="W110" i="57"/>
  <c r="U110" i="57"/>
  <c r="R110" i="57"/>
  <c r="W167" i="57"/>
  <c r="U167" i="57"/>
  <c r="R167" i="57"/>
  <c r="U93" i="57"/>
  <c r="W93" i="57"/>
  <c r="R93" i="57"/>
  <c r="W169" i="57"/>
  <c r="U169" i="57"/>
  <c r="R169" i="57"/>
  <c r="R51" i="57"/>
  <c r="W51" i="57"/>
  <c r="U51" i="57"/>
  <c r="U149" i="57"/>
  <c r="W149" i="57"/>
  <c r="R149" i="57"/>
  <c r="R166" i="57"/>
  <c r="U166" i="57"/>
  <c r="W166" i="57"/>
  <c r="W152" i="57"/>
  <c r="U152" i="57"/>
  <c r="R152" i="57"/>
  <c r="W108" i="57"/>
  <c r="U108" i="57"/>
  <c r="R108" i="57"/>
  <c r="R142" i="57"/>
  <c r="U142" i="57"/>
  <c r="W142" i="57"/>
  <c r="U115" i="57"/>
  <c r="W115" i="57"/>
  <c r="R115" i="57"/>
  <c r="U22" i="57"/>
  <c r="W22" i="57"/>
  <c r="R22" i="57"/>
  <c r="U70" i="57"/>
  <c r="W70" i="57"/>
  <c r="R70" i="57"/>
  <c r="U66" i="57"/>
  <c r="W66" i="57"/>
  <c r="R66" i="57"/>
  <c r="R113" i="57"/>
  <c r="W113" i="57"/>
  <c r="U113" i="57"/>
  <c r="U112" i="57"/>
  <c r="W112" i="57"/>
  <c r="R112" i="57"/>
  <c r="U185" i="57"/>
  <c r="W185" i="57"/>
  <c r="R185" i="57"/>
  <c r="R74" i="57"/>
  <c r="U74" i="57"/>
  <c r="W74" i="57"/>
  <c r="U35" i="57"/>
  <c r="W35" i="57"/>
  <c r="R35" i="57"/>
  <c r="U68" i="57"/>
  <c r="W68" i="57"/>
  <c r="R68" i="57"/>
  <c r="U171" i="57"/>
  <c r="W171" i="57"/>
  <c r="R171" i="57"/>
  <c r="W49" i="57"/>
  <c r="U49" i="57"/>
  <c r="R49" i="57"/>
  <c r="U98" i="57"/>
  <c r="W98" i="57"/>
  <c r="R98" i="57"/>
  <c r="W173" i="57"/>
  <c r="U173" i="57"/>
  <c r="R173" i="57"/>
  <c r="U175" i="57"/>
  <c r="W175" i="57"/>
  <c r="R175" i="57"/>
  <c r="W53" i="57"/>
  <c r="U53" i="57"/>
  <c r="R53" i="57"/>
  <c r="U170" i="57"/>
  <c r="W170" i="57"/>
  <c r="R170" i="57"/>
  <c r="U114" i="57"/>
  <c r="W114" i="57"/>
  <c r="R114" i="57"/>
  <c r="U34" i="57"/>
  <c r="W34" i="57"/>
  <c r="R34" i="57"/>
  <c r="W109" i="57"/>
  <c r="U109" i="57"/>
  <c r="R109" i="57"/>
  <c r="W178" i="57"/>
  <c r="U178" i="57"/>
  <c r="R178" i="57"/>
  <c r="U95" i="57"/>
  <c r="W95" i="57"/>
  <c r="R95" i="57"/>
  <c r="W104" i="57"/>
  <c r="U104" i="57"/>
  <c r="R104" i="57"/>
  <c r="W141" i="57"/>
  <c r="U141" i="57"/>
  <c r="R141" i="57"/>
  <c r="W154" i="57"/>
  <c r="U154" i="57"/>
  <c r="R154" i="57"/>
  <c r="R97" i="57"/>
  <c r="U97" i="57"/>
  <c r="W97" i="57"/>
  <c r="W96" i="57"/>
  <c r="U96" i="57"/>
  <c r="R96" i="57"/>
  <c r="U46" i="57"/>
  <c r="W46" i="57"/>
  <c r="R46" i="57"/>
  <c r="U143" i="57"/>
  <c r="W143" i="57"/>
  <c r="R143" i="57"/>
  <c r="U111" i="57"/>
  <c r="W111" i="57"/>
  <c r="R111" i="57"/>
  <c r="R144" i="57"/>
  <c r="W144" i="57"/>
  <c r="U144" i="57"/>
  <c r="R146" i="57"/>
  <c r="U146" i="57"/>
  <c r="W146" i="57"/>
  <c r="W106" i="57"/>
  <c r="U106" i="57"/>
  <c r="R106" i="57"/>
  <c r="W145" i="57"/>
  <c r="U145" i="57"/>
  <c r="R145" i="57"/>
  <c r="W102" i="57"/>
  <c r="U102" i="57"/>
  <c r="R102" i="57"/>
  <c r="R47" i="57"/>
  <c r="U47" i="57"/>
  <c r="W47" i="57"/>
  <c r="W94" i="57"/>
  <c r="U94" i="57"/>
  <c r="R94" i="57"/>
  <c r="R48" i="57"/>
  <c r="W48" i="57"/>
  <c r="U48" i="57"/>
  <c r="U184" i="57"/>
  <c r="W184" i="57"/>
  <c r="R184" i="57"/>
  <c r="U137" i="57"/>
  <c r="W137" i="57"/>
  <c r="R137" i="57"/>
  <c r="W148" i="57"/>
  <c r="U148" i="57"/>
  <c r="R148" i="57"/>
  <c r="W3" i="32"/>
  <c r="W15" i="32"/>
  <c r="AP25" i="32" s="1" a="1"/>
  <c r="AP25" i="32" s="1"/>
  <c r="W9" i="32"/>
  <c r="AL25" i="32" s="1" a="1"/>
  <c r="AL25" i="32" s="1"/>
  <c r="W63" i="9"/>
  <c r="AP75" i="9" s="1" a="1"/>
  <c r="AP75" i="9" s="1"/>
  <c r="AP68" i="9" s="1" a="1"/>
  <c r="AP68" i="9" s="1"/>
  <c r="AL68" i="9" l="1" a="1"/>
  <c r="AL68" i="9" s="1"/>
  <c r="AL18" i="32" a="1"/>
  <c r="AL18" i="32" s="1"/>
  <c r="AO77" i="9"/>
  <c r="AP18" i="32" a="1"/>
  <c r="AP18" i="32" s="1"/>
  <c r="S225" i="57"/>
  <c r="AM225" i="57"/>
  <c r="AB194" i="57"/>
  <c r="AC194" i="57" s="1"/>
  <c r="V194" i="57"/>
  <c r="Z194" i="57"/>
  <c r="S254" i="57"/>
  <c r="AM254" i="57"/>
  <c r="Z240" i="57"/>
  <c r="AB240" i="57"/>
  <c r="AC240" i="57" s="1"/>
  <c r="V240" i="57"/>
  <c r="Z202" i="57"/>
  <c r="V202" i="57"/>
  <c r="AB202" i="57"/>
  <c r="AC202" i="57" s="1"/>
  <c r="S218" i="57"/>
  <c r="AM218" i="57"/>
  <c r="S203" i="57"/>
  <c r="AM203" i="57"/>
  <c r="AB220" i="57"/>
  <c r="AC220" i="57" s="1"/>
  <c r="Z220" i="57"/>
  <c r="V220" i="57"/>
  <c r="S245" i="57"/>
  <c r="AM245" i="57"/>
  <c r="V229" i="57"/>
  <c r="Z229" i="57"/>
  <c r="AB229" i="57"/>
  <c r="AC229" i="57" s="1"/>
  <c r="S202" i="57"/>
  <c r="AM202" i="57"/>
  <c r="Z254" i="57"/>
  <c r="AB254" i="57"/>
  <c r="AC254" i="57" s="1"/>
  <c r="V254" i="57"/>
  <c r="AB241" i="57"/>
  <c r="AC241" i="57" s="1"/>
  <c r="V241" i="57"/>
  <c r="Z241" i="57"/>
  <c r="Z203" i="57"/>
  <c r="AB203" i="57"/>
  <c r="AC203" i="57" s="1"/>
  <c r="V203" i="57"/>
  <c r="S220" i="57"/>
  <c r="AM220" i="57"/>
  <c r="S204" i="57"/>
  <c r="AM204" i="57"/>
  <c r="AB245" i="57"/>
  <c r="AC245" i="57" s="1"/>
  <c r="Z245" i="57"/>
  <c r="V245" i="57"/>
  <c r="S229" i="57"/>
  <c r="AM229" i="57"/>
  <c r="S222" i="57"/>
  <c r="AM222" i="57"/>
  <c r="S223" i="57"/>
  <c r="AM223" i="57"/>
  <c r="S242" i="57"/>
  <c r="AM242" i="57"/>
  <c r="S241" i="57"/>
  <c r="AM241" i="57"/>
  <c r="S196" i="57"/>
  <c r="AM196" i="57"/>
  <c r="V204" i="57"/>
  <c r="AB204" i="57"/>
  <c r="AC204" i="57" s="1"/>
  <c r="Z204" i="57"/>
  <c r="Z212" i="57"/>
  <c r="AB212" i="57"/>
  <c r="AC212" i="57" s="1"/>
  <c r="V212" i="57"/>
  <c r="Z242" i="57"/>
  <c r="V242" i="57"/>
  <c r="AB242" i="57"/>
  <c r="AC242" i="57" s="1"/>
  <c r="AB222" i="57"/>
  <c r="AC222" i="57" s="1"/>
  <c r="Z222" i="57"/>
  <c r="V222" i="57"/>
  <c r="V224" i="57"/>
  <c r="AB224" i="57"/>
  <c r="AC224" i="57" s="1"/>
  <c r="Z224" i="57"/>
  <c r="AB223" i="57"/>
  <c r="AC223" i="57" s="1"/>
  <c r="V223" i="57"/>
  <c r="Z223" i="57"/>
  <c r="S227" i="57"/>
  <c r="AM227" i="57"/>
  <c r="S244" i="57"/>
  <c r="AM244" i="57"/>
  <c r="S240" i="57"/>
  <c r="AM240" i="57"/>
  <c r="AB256" i="57"/>
  <c r="AC256" i="57" s="1"/>
  <c r="V256" i="57"/>
  <c r="Z256" i="57"/>
  <c r="AB196" i="57"/>
  <c r="AC196" i="57" s="1"/>
  <c r="Z196" i="57"/>
  <c r="V196" i="57"/>
  <c r="S219" i="57"/>
  <c r="AM219" i="57"/>
  <c r="S212" i="57"/>
  <c r="AM212" i="57"/>
  <c r="S251" i="57"/>
  <c r="AM251" i="57"/>
  <c r="AB253" i="57"/>
  <c r="AC253" i="57" s="1"/>
  <c r="Z253" i="57"/>
  <c r="V253" i="57"/>
  <c r="S211" i="57"/>
  <c r="AM211" i="57"/>
  <c r="AB227" i="57"/>
  <c r="AC227" i="57" s="1"/>
  <c r="V227" i="57"/>
  <c r="Z227" i="57"/>
  <c r="AB250" i="57"/>
  <c r="AC250" i="57" s="1"/>
  <c r="Z250" i="57"/>
  <c r="V250" i="57"/>
  <c r="AB244" i="57"/>
  <c r="AC244" i="57" s="1"/>
  <c r="Z244" i="57"/>
  <c r="V244" i="57"/>
  <c r="AM192" i="57"/>
  <c r="S192" i="57"/>
  <c r="Z192" i="57"/>
  <c r="V192" i="57"/>
  <c r="AB192" i="57"/>
  <c r="AC192" i="57" s="1"/>
  <c r="V211" i="57"/>
  <c r="AB211" i="57"/>
  <c r="AC211" i="57" s="1"/>
  <c r="Z211" i="57"/>
  <c r="V219" i="57"/>
  <c r="Z219" i="57"/>
  <c r="AB219" i="57"/>
  <c r="AC219" i="57" s="1"/>
  <c r="S191" i="57"/>
  <c r="AM191" i="57"/>
  <c r="AB251" i="57"/>
  <c r="AC251" i="57" s="1"/>
  <c r="V251" i="57"/>
  <c r="Z251" i="57"/>
  <c r="S197" i="57"/>
  <c r="AM197" i="57"/>
  <c r="S194" i="57"/>
  <c r="AM194" i="57"/>
  <c r="S238" i="57"/>
  <c r="AM238" i="57"/>
  <c r="V191" i="57"/>
  <c r="Z191" i="57"/>
  <c r="AB191" i="57"/>
  <c r="AC191" i="57" s="1"/>
  <c r="S250" i="57"/>
  <c r="AM250" i="57"/>
  <c r="S257" i="57"/>
  <c r="AM257" i="57"/>
  <c r="S190" i="57"/>
  <c r="AM190" i="57"/>
  <c r="S193" i="57"/>
  <c r="AM193" i="57"/>
  <c r="AB197" i="57"/>
  <c r="AC197" i="57" s="1"/>
  <c r="Z197" i="57"/>
  <c r="V197" i="57"/>
  <c r="Z238" i="57"/>
  <c r="AB238" i="57"/>
  <c r="AC238" i="57" s="1"/>
  <c r="V238" i="57"/>
  <c r="S243" i="57"/>
  <c r="AM243" i="57"/>
  <c r="Z193" i="57"/>
  <c r="AB193" i="57"/>
  <c r="AC193" i="57" s="1"/>
  <c r="V193" i="57"/>
  <c r="AB257" i="57"/>
  <c r="AC257" i="57" s="1"/>
  <c r="Z257" i="57"/>
  <c r="V257" i="57"/>
  <c r="S239" i="57"/>
  <c r="AM239" i="57"/>
  <c r="AB190" i="57"/>
  <c r="AC190" i="57" s="1"/>
  <c r="Z190" i="57"/>
  <c r="V190" i="57"/>
  <c r="S205" i="57"/>
  <c r="AM205" i="57"/>
  <c r="AB243" i="57"/>
  <c r="AC243" i="57" s="1"/>
  <c r="Z243" i="57"/>
  <c r="V243" i="57"/>
  <c r="V239" i="57"/>
  <c r="AB239" i="57"/>
  <c r="AC239" i="57" s="1"/>
  <c r="Z239" i="57"/>
  <c r="Z225" i="57"/>
  <c r="V225" i="57"/>
  <c r="AB225" i="57"/>
  <c r="AC225" i="57" s="1"/>
  <c r="S195" i="57"/>
  <c r="AM195" i="57"/>
  <c r="V228" i="57"/>
  <c r="AB228" i="57"/>
  <c r="AC228" i="57" s="1"/>
  <c r="Z228" i="57"/>
  <c r="AB205" i="57"/>
  <c r="AC205" i="57" s="1"/>
  <c r="Z205" i="57"/>
  <c r="V205" i="57"/>
  <c r="S221" i="57"/>
  <c r="AM221" i="57"/>
  <c r="V252" i="57"/>
  <c r="Z252" i="57"/>
  <c r="AB252" i="57"/>
  <c r="AC252" i="57" s="1"/>
  <c r="S228" i="57"/>
  <c r="AM228" i="57"/>
  <c r="S210" i="57"/>
  <c r="AM210" i="57"/>
  <c r="S253" i="57"/>
  <c r="AM253" i="57"/>
  <c r="S256" i="57"/>
  <c r="AM256" i="57"/>
  <c r="AB195" i="57"/>
  <c r="AC195" i="57" s="1"/>
  <c r="Z195" i="57"/>
  <c r="V195" i="57"/>
  <c r="S255" i="57"/>
  <c r="AM255" i="57"/>
  <c r="AB221" i="57"/>
  <c r="AC221" i="57" s="1"/>
  <c r="Z221" i="57"/>
  <c r="V221" i="57"/>
  <c r="S252" i="57"/>
  <c r="AM252" i="57"/>
  <c r="S226" i="57"/>
  <c r="AM226" i="57"/>
  <c r="Z213" i="57"/>
  <c r="AB213" i="57"/>
  <c r="AC213" i="57" s="1"/>
  <c r="V213" i="57"/>
  <c r="AB218" i="57"/>
  <c r="AC218" i="57" s="1"/>
  <c r="V218" i="57"/>
  <c r="Z218" i="57"/>
  <c r="S224" i="57"/>
  <c r="AM224" i="57"/>
  <c r="AB255" i="57"/>
  <c r="AC255" i="57" s="1"/>
  <c r="Z255" i="57"/>
  <c r="V255" i="57"/>
  <c r="S213" i="57"/>
  <c r="AM213" i="57"/>
  <c r="AB226" i="57"/>
  <c r="AC226" i="57" s="1"/>
  <c r="V226" i="57"/>
  <c r="Z226" i="57"/>
  <c r="Z210" i="57"/>
  <c r="AB210" i="57"/>
  <c r="AC210" i="57" s="1"/>
  <c r="V210" i="57"/>
  <c r="V49" i="57"/>
  <c r="AB49" i="57"/>
  <c r="AC49" i="57" s="1"/>
  <c r="Z49" i="57"/>
  <c r="AB89" i="57"/>
  <c r="AC89" i="57" s="1"/>
  <c r="Z89" i="57"/>
  <c r="V89" i="57"/>
  <c r="Z24" i="57"/>
  <c r="AB24" i="57"/>
  <c r="AC24" i="57" s="1"/>
  <c r="V24" i="57"/>
  <c r="Z148" i="57"/>
  <c r="AB148" i="57"/>
  <c r="AC148" i="57" s="1"/>
  <c r="V148" i="57"/>
  <c r="Z66" i="57"/>
  <c r="AB66" i="57"/>
  <c r="AC66" i="57" s="1"/>
  <c r="V66" i="57"/>
  <c r="V70" i="57"/>
  <c r="Z70" i="57"/>
  <c r="AB70" i="57"/>
  <c r="AC70" i="57" s="1"/>
  <c r="T436" i="56"/>
  <c r="T437" i="56"/>
  <c r="S149" i="57"/>
  <c r="T435" i="56"/>
  <c r="AM149" i="57"/>
  <c r="S91" i="57"/>
  <c r="T261" i="56"/>
  <c r="T263" i="56"/>
  <c r="T262" i="56"/>
  <c r="AM91" i="57"/>
  <c r="T250" i="56"/>
  <c r="S87" i="57"/>
  <c r="T251" i="56"/>
  <c r="T249" i="56"/>
  <c r="AM87" i="57"/>
  <c r="S106" i="57"/>
  <c r="T307" i="56"/>
  <c r="T306" i="56"/>
  <c r="T308" i="56"/>
  <c r="AM106" i="57"/>
  <c r="Z52" i="57"/>
  <c r="AB52" i="57"/>
  <c r="AC52" i="57" s="1"/>
  <c r="V52" i="57"/>
  <c r="S177" i="57"/>
  <c r="T520" i="56"/>
  <c r="T519" i="56"/>
  <c r="T521" i="56"/>
  <c r="AM177" i="57"/>
  <c r="T505" i="56"/>
  <c r="S172" i="57"/>
  <c r="T504" i="56"/>
  <c r="T506" i="56"/>
  <c r="AM172" i="57"/>
  <c r="V54" i="57"/>
  <c r="AB54" i="57"/>
  <c r="AC54" i="57" s="1"/>
  <c r="Z54" i="57"/>
  <c r="S114" i="57"/>
  <c r="T331" i="56"/>
  <c r="T330" i="56"/>
  <c r="T332" i="56"/>
  <c r="AM114" i="57"/>
  <c r="V137" i="57"/>
  <c r="Z137" i="57"/>
  <c r="AB137" i="57"/>
  <c r="AC137" i="57" s="1"/>
  <c r="V151" i="57"/>
  <c r="AB151" i="57"/>
  <c r="AC151" i="57" s="1"/>
  <c r="Z151" i="57"/>
  <c r="Z176" i="57"/>
  <c r="V176" i="57"/>
  <c r="AB176" i="57"/>
  <c r="AC176" i="57" s="1"/>
  <c r="Z21" i="57"/>
  <c r="V21" i="57"/>
  <c r="AB21" i="57"/>
  <c r="AC21" i="57" s="1"/>
  <c r="AB172" i="57"/>
  <c r="AC172" i="57" s="1"/>
  <c r="V172" i="57"/>
  <c r="Z172" i="57"/>
  <c r="Z88" i="57"/>
  <c r="V88" i="57"/>
  <c r="AB88" i="57"/>
  <c r="AC88" i="57" s="1"/>
  <c r="Z91" i="57"/>
  <c r="AB91" i="57"/>
  <c r="AC91" i="57" s="1"/>
  <c r="V91" i="57"/>
  <c r="AB99" i="57"/>
  <c r="AC99" i="57" s="1"/>
  <c r="Z99" i="57"/>
  <c r="V99" i="57"/>
  <c r="T90" i="56"/>
  <c r="T92" i="56"/>
  <c r="T91" i="56"/>
  <c r="S34" i="57"/>
  <c r="AM34" i="57"/>
  <c r="S33" i="57"/>
  <c r="T88" i="56"/>
  <c r="T89" i="56"/>
  <c r="T87" i="56"/>
  <c r="AM33" i="57"/>
  <c r="AB97" i="57"/>
  <c r="AC97" i="57" s="1"/>
  <c r="V97" i="57"/>
  <c r="Z97" i="57"/>
  <c r="S166" i="57"/>
  <c r="T488" i="56"/>
  <c r="T486" i="56"/>
  <c r="T487" i="56"/>
  <c r="AM166" i="57"/>
  <c r="S137" i="57"/>
  <c r="T399" i="56"/>
  <c r="T401" i="56"/>
  <c r="T400" i="56"/>
  <c r="AM137" i="57"/>
  <c r="Z31" i="57"/>
  <c r="V31" i="57"/>
  <c r="AB31" i="57"/>
  <c r="AC31" i="57" s="1"/>
  <c r="S179" i="57"/>
  <c r="T527" i="56"/>
  <c r="T526" i="56"/>
  <c r="T525" i="56"/>
  <c r="AM179" i="57"/>
  <c r="V146" i="57"/>
  <c r="AB146" i="57"/>
  <c r="AC146" i="57" s="1"/>
  <c r="Z146" i="57"/>
  <c r="T48" i="56"/>
  <c r="T49" i="56"/>
  <c r="S20" i="57"/>
  <c r="T50" i="56"/>
  <c r="AM20" i="57"/>
  <c r="V68" i="57"/>
  <c r="AB68" i="57"/>
  <c r="AC68" i="57" s="1"/>
  <c r="Z68" i="57"/>
  <c r="V136" i="57"/>
  <c r="AB136" i="57"/>
  <c r="AC136" i="57" s="1"/>
  <c r="Z136" i="57"/>
  <c r="S22" i="57"/>
  <c r="T54" i="56"/>
  <c r="T55" i="56"/>
  <c r="T56" i="56"/>
  <c r="AM22" i="57"/>
  <c r="Z20" i="57"/>
  <c r="V20" i="57"/>
  <c r="AB20" i="57"/>
  <c r="AC20" i="57" s="1"/>
  <c r="AB19" i="57"/>
  <c r="AC19" i="57" s="1"/>
  <c r="V19" i="57"/>
  <c r="Z19" i="57"/>
  <c r="Z177" i="57"/>
  <c r="V177" i="57"/>
  <c r="AB177" i="57"/>
  <c r="AC177" i="57" s="1"/>
  <c r="AB35" i="57"/>
  <c r="AC35" i="57" s="1"/>
  <c r="V35" i="57"/>
  <c r="Z35" i="57"/>
  <c r="T528" i="56"/>
  <c r="T529" i="56"/>
  <c r="T530" i="56"/>
  <c r="S180" i="57"/>
  <c r="AM180" i="57"/>
  <c r="Z100" i="57"/>
  <c r="AB100" i="57"/>
  <c r="AC100" i="57" s="1"/>
  <c r="V100" i="57"/>
  <c r="T86" i="56"/>
  <c r="T84" i="56"/>
  <c r="T85" i="56"/>
  <c r="S32" i="57"/>
  <c r="AM32" i="57"/>
  <c r="T433" i="56"/>
  <c r="S148" i="57"/>
  <c r="T434" i="56"/>
  <c r="T432" i="56"/>
  <c r="AM148" i="57"/>
  <c r="T187" i="56"/>
  <c r="S66" i="57"/>
  <c r="T186" i="56"/>
  <c r="T188" i="56"/>
  <c r="AM66" i="57"/>
  <c r="S103" i="57"/>
  <c r="T299" i="56"/>
  <c r="T297" i="56"/>
  <c r="T298" i="56"/>
  <c r="AM103" i="57"/>
  <c r="T516" i="56"/>
  <c r="T518" i="56"/>
  <c r="S176" i="57"/>
  <c r="T517" i="56"/>
  <c r="AM176" i="57"/>
  <c r="V114" i="57"/>
  <c r="Z114" i="57"/>
  <c r="AB114" i="57"/>
  <c r="AC114" i="57" s="1"/>
  <c r="S30" i="57"/>
  <c r="T79" i="56"/>
  <c r="T80" i="56"/>
  <c r="T78" i="56"/>
  <c r="AM30" i="57"/>
  <c r="S141" i="57"/>
  <c r="T411" i="56"/>
  <c r="T413" i="56"/>
  <c r="T412" i="56"/>
  <c r="AM141" i="57"/>
  <c r="V51" i="57"/>
  <c r="AB51" i="57"/>
  <c r="AC51" i="57" s="1"/>
  <c r="Z51" i="57"/>
  <c r="S182" i="57"/>
  <c r="T534" i="56"/>
  <c r="T536" i="56"/>
  <c r="T535" i="56"/>
  <c r="AM182" i="57"/>
  <c r="S169" i="57"/>
  <c r="T495" i="56"/>
  <c r="T496" i="56"/>
  <c r="T497" i="56"/>
  <c r="AM169" i="57"/>
  <c r="V53" i="57"/>
  <c r="Z53" i="57"/>
  <c r="AB53" i="57"/>
  <c r="AC53" i="57" s="1"/>
  <c r="AB169" i="57"/>
  <c r="AC169" i="57" s="1"/>
  <c r="V169" i="57"/>
  <c r="Z169" i="57"/>
  <c r="V180" i="57"/>
  <c r="AB180" i="57"/>
  <c r="AC180" i="57" s="1"/>
  <c r="Z180" i="57"/>
  <c r="S100" i="57"/>
  <c r="T290" i="56"/>
  <c r="T289" i="56"/>
  <c r="T288" i="56"/>
  <c r="AM100" i="57"/>
  <c r="T76" i="56"/>
  <c r="S29" i="57"/>
  <c r="T75" i="56"/>
  <c r="T77" i="56"/>
  <c r="AM29" i="57"/>
  <c r="V145" i="57"/>
  <c r="AB145" i="57"/>
  <c r="AC145" i="57" s="1"/>
  <c r="Z145" i="57"/>
  <c r="V92" i="57"/>
  <c r="Z92" i="57"/>
  <c r="AB92" i="57"/>
  <c r="AC92" i="57" s="1"/>
  <c r="S97" i="57"/>
  <c r="T281" i="56"/>
  <c r="T279" i="56"/>
  <c r="T280" i="56"/>
  <c r="AM97" i="57"/>
  <c r="S154" i="57"/>
  <c r="T450" i="56"/>
  <c r="T451" i="56"/>
  <c r="T452" i="56"/>
  <c r="AM154" i="57"/>
  <c r="S31" i="57"/>
  <c r="T83" i="56"/>
  <c r="T81" i="56"/>
  <c r="T82" i="56"/>
  <c r="AM31" i="57"/>
  <c r="S68" i="57"/>
  <c r="T193" i="56"/>
  <c r="T194" i="56"/>
  <c r="T192" i="56"/>
  <c r="AM68" i="57"/>
  <c r="S52" i="57"/>
  <c r="T144" i="56"/>
  <c r="T145" i="56"/>
  <c r="T146" i="56"/>
  <c r="AM52" i="57"/>
  <c r="AB154" i="57"/>
  <c r="AC154" i="57" s="1"/>
  <c r="V154" i="57"/>
  <c r="Z154" i="57"/>
  <c r="Z30" i="57"/>
  <c r="AB30" i="57"/>
  <c r="AC30" i="57" s="1"/>
  <c r="V30" i="57"/>
  <c r="S99" i="57"/>
  <c r="T285" i="56"/>
  <c r="T287" i="56"/>
  <c r="T286" i="56"/>
  <c r="AM99" i="57"/>
  <c r="Z139" i="57"/>
  <c r="V139" i="57"/>
  <c r="AB139" i="57"/>
  <c r="AC139" i="57" s="1"/>
  <c r="T301" i="56"/>
  <c r="T300" i="56"/>
  <c r="S104" i="57"/>
  <c r="T302" i="56"/>
  <c r="AM104" i="57"/>
  <c r="S27" i="57"/>
  <c r="T70" i="56"/>
  <c r="T69" i="56"/>
  <c r="T71" i="56"/>
  <c r="AM27" i="57"/>
  <c r="AB74" i="57"/>
  <c r="AC74" i="57" s="1"/>
  <c r="Z74" i="57"/>
  <c r="V74" i="57"/>
  <c r="S23" i="57"/>
  <c r="T57" i="56"/>
  <c r="T58" i="56"/>
  <c r="T59" i="56"/>
  <c r="AM23" i="57"/>
  <c r="Z104" i="57"/>
  <c r="AB104" i="57"/>
  <c r="AC104" i="57" s="1"/>
  <c r="V104" i="57"/>
  <c r="S175" i="57"/>
  <c r="T514" i="56"/>
  <c r="T513" i="56"/>
  <c r="T515" i="56"/>
  <c r="AM175" i="57"/>
  <c r="T268" i="56"/>
  <c r="T269" i="56"/>
  <c r="T267" i="56"/>
  <c r="S93" i="57"/>
  <c r="AM93" i="57"/>
  <c r="T43" i="56"/>
  <c r="S18" i="57"/>
  <c r="T42" i="56"/>
  <c r="T44" i="56"/>
  <c r="AM18" i="57"/>
  <c r="Z27" i="57"/>
  <c r="AB27" i="57"/>
  <c r="AC27" i="57" s="1"/>
  <c r="V27" i="57"/>
  <c r="T64" i="56"/>
  <c r="S25" i="57"/>
  <c r="T65" i="56"/>
  <c r="T63" i="56"/>
  <c r="AM25" i="57"/>
  <c r="V29" i="57"/>
  <c r="Z29" i="57"/>
  <c r="AB29" i="57"/>
  <c r="AC29" i="57" s="1"/>
  <c r="V32" i="57"/>
  <c r="AB32" i="57"/>
  <c r="AC32" i="57" s="1"/>
  <c r="Z32" i="57"/>
  <c r="T327" i="56"/>
  <c r="T328" i="56"/>
  <c r="S113" i="57"/>
  <c r="T329" i="56"/>
  <c r="AM113" i="57"/>
  <c r="T310" i="56"/>
  <c r="T309" i="56"/>
  <c r="T311" i="56"/>
  <c r="S107" i="57"/>
  <c r="AM107" i="57"/>
  <c r="AB107" i="57"/>
  <c r="AC107" i="57" s="1"/>
  <c r="V107" i="57"/>
  <c r="Z107" i="57"/>
  <c r="Z106" i="57"/>
  <c r="V106" i="57"/>
  <c r="AB106" i="57"/>
  <c r="AC106" i="57" s="1"/>
  <c r="S21" i="57"/>
  <c r="T53" i="56"/>
  <c r="T51" i="56"/>
  <c r="T52" i="56"/>
  <c r="AM21" i="57"/>
  <c r="S170" i="57"/>
  <c r="T498" i="56"/>
  <c r="T500" i="56"/>
  <c r="T499" i="56"/>
  <c r="AM170" i="57"/>
  <c r="Z184" i="57"/>
  <c r="AB184" i="57"/>
  <c r="AC184" i="57" s="1"/>
  <c r="V184" i="57"/>
  <c r="T407" i="56"/>
  <c r="S139" i="57"/>
  <c r="T406" i="56"/>
  <c r="T405" i="56"/>
  <c r="AM139" i="57"/>
  <c r="S51" i="57"/>
  <c r="T141" i="56"/>
  <c r="T143" i="56"/>
  <c r="T142" i="56"/>
  <c r="AM51" i="57"/>
  <c r="S136" i="57"/>
  <c r="T396" i="56"/>
  <c r="T398" i="56"/>
  <c r="T397" i="56"/>
  <c r="AM136" i="57"/>
  <c r="V144" i="57"/>
  <c r="AB144" i="57"/>
  <c r="AC144" i="57" s="1"/>
  <c r="Z144" i="57"/>
  <c r="V48" i="57"/>
  <c r="AB48" i="57"/>
  <c r="AC48" i="57" s="1"/>
  <c r="Z48" i="57"/>
  <c r="S19" i="57"/>
  <c r="T46" i="56"/>
  <c r="T45" i="56"/>
  <c r="T47" i="56"/>
  <c r="AM19" i="57"/>
  <c r="T133" i="56"/>
  <c r="T134" i="56"/>
  <c r="T132" i="56"/>
  <c r="S48" i="57"/>
  <c r="AM48" i="57"/>
  <c r="T271" i="56"/>
  <c r="S94" i="57"/>
  <c r="T270" i="56"/>
  <c r="T272" i="56"/>
  <c r="AM94" i="57"/>
  <c r="T275" i="56"/>
  <c r="S95" i="57"/>
  <c r="T273" i="56"/>
  <c r="T274" i="56"/>
  <c r="AM95" i="57"/>
  <c r="V175" i="57"/>
  <c r="Z175" i="57"/>
  <c r="AB175" i="57"/>
  <c r="AC175" i="57" s="1"/>
  <c r="T211" i="56"/>
  <c r="T212" i="56"/>
  <c r="S74" i="57"/>
  <c r="T210" i="56"/>
  <c r="AM74" i="57"/>
  <c r="V142" i="57"/>
  <c r="Z142" i="57"/>
  <c r="AB142" i="57"/>
  <c r="AC142" i="57" s="1"/>
  <c r="V93" i="57"/>
  <c r="Z93" i="57"/>
  <c r="AB93" i="57"/>
  <c r="AC93" i="57" s="1"/>
  <c r="AB23" i="57"/>
  <c r="AC23" i="57" s="1"/>
  <c r="V23" i="57"/>
  <c r="Z23" i="57"/>
  <c r="AB71" i="57"/>
  <c r="AC71" i="57" s="1"/>
  <c r="V71" i="57"/>
  <c r="Z71" i="57"/>
  <c r="T207" i="56"/>
  <c r="S73" i="57"/>
  <c r="T208" i="56"/>
  <c r="T209" i="56"/>
  <c r="AM73" i="57"/>
  <c r="S105" i="57"/>
  <c r="T305" i="56"/>
  <c r="T304" i="56"/>
  <c r="T303" i="56"/>
  <c r="AM105" i="57"/>
  <c r="V96" i="57"/>
  <c r="Z96" i="57"/>
  <c r="AB96" i="57"/>
  <c r="AC96" i="57" s="1"/>
  <c r="AB166" i="57"/>
  <c r="AC166" i="57" s="1"/>
  <c r="V166" i="57"/>
  <c r="Z166" i="57"/>
  <c r="V155" i="57"/>
  <c r="AB155" i="57"/>
  <c r="AC155" i="57" s="1"/>
  <c r="Z155" i="57"/>
  <c r="V179" i="57"/>
  <c r="AB179" i="57"/>
  <c r="AC179" i="57" s="1"/>
  <c r="Z179" i="57"/>
  <c r="AB103" i="57"/>
  <c r="AC103" i="57" s="1"/>
  <c r="V103" i="57"/>
  <c r="Z103" i="57"/>
  <c r="S168" i="57"/>
  <c r="T492" i="56"/>
  <c r="T493" i="56"/>
  <c r="T494" i="56"/>
  <c r="AM168" i="57"/>
  <c r="Z168" i="57"/>
  <c r="AB168" i="57"/>
  <c r="AC168" i="57" s="1"/>
  <c r="V168" i="57"/>
  <c r="AB170" i="57"/>
  <c r="AC170" i="57" s="1"/>
  <c r="V170" i="57"/>
  <c r="Z170" i="57"/>
  <c r="S35" i="57"/>
  <c r="T93" i="56"/>
  <c r="T95" i="56"/>
  <c r="T94" i="56"/>
  <c r="AM35" i="57"/>
  <c r="T248" i="56"/>
  <c r="T247" i="56"/>
  <c r="T246" i="56"/>
  <c r="S86" i="57"/>
  <c r="AM86" i="57"/>
  <c r="S53" i="57"/>
  <c r="T149" i="56"/>
  <c r="T148" i="56"/>
  <c r="T147" i="56"/>
  <c r="AM53" i="57"/>
  <c r="T409" i="56"/>
  <c r="S140" i="57"/>
  <c r="T408" i="56"/>
  <c r="T410" i="56"/>
  <c r="AM140" i="57"/>
  <c r="S111" i="57"/>
  <c r="T322" i="56"/>
  <c r="T323" i="56"/>
  <c r="T321" i="56"/>
  <c r="AM111" i="57"/>
  <c r="AM71" i="57"/>
  <c r="S71" i="57"/>
  <c r="T203" i="56"/>
  <c r="T201" i="56"/>
  <c r="T202" i="56"/>
  <c r="Z95" i="57"/>
  <c r="AB95" i="57"/>
  <c r="AC95" i="57" s="1"/>
  <c r="V95" i="57"/>
  <c r="S185" i="57"/>
  <c r="T543" i="56"/>
  <c r="T544" i="56"/>
  <c r="T545" i="56"/>
  <c r="AM185" i="57"/>
  <c r="T153" i="56"/>
  <c r="S55" i="57"/>
  <c r="T155" i="56"/>
  <c r="T154" i="56"/>
  <c r="AM55" i="57"/>
  <c r="Z90" i="57"/>
  <c r="AB90" i="57"/>
  <c r="AC90" i="57" s="1"/>
  <c r="V90" i="57"/>
  <c r="Z18" i="57"/>
  <c r="V18" i="57"/>
  <c r="AB18" i="57"/>
  <c r="AC18" i="57" s="1"/>
  <c r="S101" i="57"/>
  <c r="T292" i="56"/>
  <c r="T293" i="56"/>
  <c r="T291" i="56"/>
  <c r="AM101" i="57"/>
  <c r="AB25" i="57"/>
  <c r="AC25" i="57" s="1"/>
  <c r="V25" i="57"/>
  <c r="Z25" i="57"/>
  <c r="T72" i="56"/>
  <c r="T73" i="56"/>
  <c r="T74" i="56"/>
  <c r="S28" i="57"/>
  <c r="AM28" i="57"/>
  <c r="V105" i="57"/>
  <c r="AB105" i="57"/>
  <c r="AC105" i="57" s="1"/>
  <c r="Z105" i="57"/>
  <c r="T254" i="56"/>
  <c r="S88" i="57"/>
  <c r="T252" i="56"/>
  <c r="T253" i="56"/>
  <c r="AM88" i="57"/>
  <c r="S151" i="57"/>
  <c r="T441" i="56"/>
  <c r="T443" i="56"/>
  <c r="T442" i="56"/>
  <c r="AM151" i="57"/>
  <c r="Z149" i="57"/>
  <c r="V149" i="57"/>
  <c r="AB149" i="57"/>
  <c r="AC149" i="57" s="1"/>
  <c r="T540" i="56"/>
  <c r="T542" i="56"/>
  <c r="T541" i="56"/>
  <c r="S184" i="57"/>
  <c r="AM184" i="57"/>
  <c r="S146" i="57"/>
  <c r="T426" i="56"/>
  <c r="T427" i="56"/>
  <c r="T428" i="56"/>
  <c r="AM146" i="57"/>
  <c r="V22" i="57"/>
  <c r="AB22" i="57"/>
  <c r="AC22" i="57" s="1"/>
  <c r="Z22" i="57"/>
  <c r="V141" i="57"/>
  <c r="Z141" i="57"/>
  <c r="AB141" i="57"/>
  <c r="AC141" i="57" s="1"/>
  <c r="AB182" i="57"/>
  <c r="AC182" i="57" s="1"/>
  <c r="V182" i="57"/>
  <c r="Z182" i="57"/>
  <c r="T422" i="56"/>
  <c r="S144" i="57"/>
  <c r="T420" i="56"/>
  <c r="T421" i="56"/>
  <c r="AM144" i="57"/>
  <c r="S115" i="57"/>
  <c r="T335" i="56"/>
  <c r="T333" i="56"/>
  <c r="T334" i="56"/>
  <c r="AM115" i="57"/>
  <c r="AB86" i="57"/>
  <c r="AC86" i="57" s="1"/>
  <c r="Z86" i="57"/>
  <c r="V86" i="57"/>
  <c r="V115" i="57"/>
  <c r="AB115" i="57"/>
  <c r="AC115" i="57" s="1"/>
  <c r="Z115" i="57"/>
  <c r="AB140" i="57"/>
  <c r="AC140" i="57" s="1"/>
  <c r="Z140" i="57"/>
  <c r="V140" i="57"/>
  <c r="AB111" i="57"/>
  <c r="AC111" i="57" s="1"/>
  <c r="V111" i="57"/>
  <c r="Z111" i="57"/>
  <c r="V94" i="57"/>
  <c r="Z94" i="57"/>
  <c r="AB94" i="57"/>
  <c r="AC94" i="57" s="1"/>
  <c r="S143" i="57"/>
  <c r="T418" i="56"/>
  <c r="T417" i="56"/>
  <c r="T419" i="56"/>
  <c r="AM143" i="57"/>
  <c r="AB47" i="57"/>
  <c r="AC47" i="57" s="1"/>
  <c r="V47" i="57"/>
  <c r="Z47" i="57"/>
  <c r="AB143" i="57"/>
  <c r="AC143" i="57" s="1"/>
  <c r="Z143" i="57"/>
  <c r="V143" i="57"/>
  <c r="T507" i="56"/>
  <c r="T508" i="56"/>
  <c r="S173" i="57"/>
  <c r="T509" i="56"/>
  <c r="AM173" i="57"/>
  <c r="AB185" i="57"/>
  <c r="AC185" i="57" s="1"/>
  <c r="V185" i="57"/>
  <c r="Z185" i="57"/>
  <c r="S142" i="57"/>
  <c r="T416" i="56"/>
  <c r="T414" i="56"/>
  <c r="T415" i="56"/>
  <c r="AM142" i="57"/>
  <c r="S167" i="57"/>
  <c r="T490" i="56"/>
  <c r="T489" i="56"/>
  <c r="T491" i="56"/>
  <c r="AM167" i="57"/>
  <c r="S90" i="57"/>
  <c r="T258" i="56"/>
  <c r="T259" i="56"/>
  <c r="T260" i="56"/>
  <c r="AM90" i="57"/>
  <c r="S147" i="57"/>
  <c r="T429" i="56"/>
  <c r="T431" i="56"/>
  <c r="T430" i="56"/>
  <c r="AM147" i="57"/>
  <c r="Z101" i="57"/>
  <c r="V101" i="57"/>
  <c r="AB101" i="57"/>
  <c r="AC101" i="57" s="1"/>
  <c r="AB73" i="57"/>
  <c r="AC73" i="57" s="1"/>
  <c r="V73" i="57"/>
  <c r="Z73" i="57"/>
  <c r="Z69" i="57"/>
  <c r="V69" i="57"/>
  <c r="AB69" i="57"/>
  <c r="AC69" i="57" s="1"/>
  <c r="T265" i="56"/>
  <c r="T266" i="56"/>
  <c r="T264" i="56"/>
  <c r="S92" i="57"/>
  <c r="AM92" i="57"/>
  <c r="S171" i="57"/>
  <c r="T501" i="56"/>
  <c r="T503" i="56"/>
  <c r="T502" i="56"/>
  <c r="AM171" i="57"/>
  <c r="Z171" i="57"/>
  <c r="AB171" i="57"/>
  <c r="AC171" i="57" s="1"/>
  <c r="V171" i="57"/>
  <c r="S70" i="57"/>
  <c r="T200" i="56"/>
  <c r="T199" i="56"/>
  <c r="T198" i="56"/>
  <c r="AM70" i="57"/>
  <c r="Z87" i="57"/>
  <c r="V87" i="57"/>
  <c r="AB87" i="57"/>
  <c r="AC87" i="57" s="1"/>
  <c r="S178" i="57"/>
  <c r="T523" i="56"/>
  <c r="T524" i="56"/>
  <c r="T522" i="56"/>
  <c r="AM178" i="57"/>
  <c r="S108" i="57"/>
  <c r="T313" i="56"/>
  <c r="T312" i="56"/>
  <c r="T314" i="56"/>
  <c r="AM108" i="57"/>
  <c r="AB55" i="57"/>
  <c r="AC55" i="57" s="1"/>
  <c r="V55" i="57"/>
  <c r="Z55" i="57"/>
  <c r="S75" i="57"/>
  <c r="T213" i="56"/>
  <c r="T215" i="56"/>
  <c r="T214" i="56"/>
  <c r="AM75" i="57"/>
  <c r="Z28" i="57"/>
  <c r="V28" i="57"/>
  <c r="AB28" i="57"/>
  <c r="AC28" i="57" s="1"/>
  <c r="V50" i="57"/>
  <c r="AB50" i="57"/>
  <c r="AC50" i="57" s="1"/>
  <c r="Z50" i="57"/>
  <c r="V34" i="57"/>
  <c r="Z34" i="57"/>
  <c r="AB34" i="57"/>
  <c r="AC34" i="57" s="1"/>
  <c r="S47" i="57"/>
  <c r="T131" i="56"/>
  <c r="T129" i="56"/>
  <c r="T130" i="56"/>
  <c r="AM47" i="57"/>
  <c r="S46" i="57"/>
  <c r="T128" i="56"/>
  <c r="T126" i="56"/>
  <c r="T127" i="56"/>
  <c r="AM46" i="57"/>
  <c r="AB173" i="57"/>
  <c r="AC173" i="57" s="1"/>
  <c r="Z173" i="57"/>
  <c r="V173" i="57"/>
  <c r="T324" i="56"/>
  <c r="T325" i="56"/>
  <c r="T326" i="56"/>
  <c r="S112" i="57"/>
  <c r="AM112" i="57"/>
  <c r="V167" i="57"/>
  <c r="Z167" i="57"/>
  <c r="AB167" i="57"/>
  <c r="AC167" i="57" s="1"/>
  <c r="V147" i="57"/>
  <c r="Z147" i="57"/>
  <c r="AB147" i="57"/>
  <c r="AC147" i="57" s="1"/>
  <c r="S16" i="57"/>
  <c r="T36" i="56"/>
  <c r="T37" i="56"/>
  <c r="T38" i="56"/>
  <c r="AM16" i="57"/>
  <c r="AB150" i="57"/>
  <c r="AC150" i="57" s="1"/>
  <c r="V150" i="57"/>
  <c r="Z150" i="57"/>
  <c r="S69" i="57"/>
  <c r="T195" i="56"/>
  <c r="T196" i="56"/>
  <c r="T197" i="56"/>
  <c r="AM69" i="57"/>
  <c r="S153" i="57"/>
  <c r="T449" i="56"/>
  <c r="T447" i="56"/>
  <c r="T448" i="56"/>
  <c r="AM153" i="57"/>
  <c r="S102" i="57"/>
  <c r="T296" i="56"/>
  <c r="T294" i="56"/>
  <c r="T295" i="56"/>
  <c r="AM102" i="57"/>
  <c r="V46" i="57"/>
  <c r="AB46" i="57"/>
  <c r="AC46" i="57" s="1"/>
  <c r="Z46" i="57"/>
  <c r="V178" i="57"/>
  <c r="AB178" i="57"/>
  <c r="AC178" i="57" s="1"/>
  <c r="Z178" i="57"/>
  <c r="S98" i="57"/>
  <c r="T283" i="56"/>
  <c r="T284" i="56"/>
  <c r="T282" i="56"/>
  <c r="AM98" i="57"/>
  <c r="AB112" i="57"/>
  <c r="AC112" i="57" s="1"/>
  <c r="Z112" i="57"/>
  <c r="V112" i="57"/>
  <c r="V108" i="57"/>
  <c r="AB108" i="57"/>
  <c r="AC108" i="57" s="1"/>
  <c r="Z108" i="57"/>
  <c r="S110" i="57"/>
  <c r="T319" i="56"/>
  <c r="T318" i="56"/>
  <c r="T320" i="56"/>
  <c r="AM110" i="57"/>
  <c r="V26" i="57"/>
  <c r="AB26" i="57"/>
  <c r="AC26" i="57" s="1"/>
  <c r="Z26" i="57"/>
  <c r="V75" i="57"/>
  <c r="Z75" i="57"/>
  <c r="AB75" i="57"/>
  <c r="AC75" i="57" s="1"/>
  <c r="T531" i="56"/>
  <c r="T533" i="56"/>
  <c r="T532" i="56"/>
  <c r="S181" i="57"/>
  <c r="AM181" i="57"/>
  <c r="S150" i="57"/>
  <c r="T440" i="56"/>
  <c r="T439" i="56"/>
  <c r="T438" i="56"/>
  <c r="AM150" i="57"/>
  <c r="S17" i="57"/>
  <c r="T41" i="56"/>
  <c r="T39" i="56"/>
  <c r="T40" i="56"/>
  <c r="AM17" i="57"/>
  <c r="AB153" i="57"/>
  <c r="AC153" i="57" s="1"/>
  <c r="V153" i="57"/>
  <c r="Z153" i="57"/>
  <c r="S50" i="57"/>
  <c r="T139" i="56"/>
  <c r="T138" i="56"/>
  <c r="T140" i="56"/>
  <c r="AM50" i="57"/>
  <c r="S54" i="57"/>
  <c r="T152" i="56"/>
  <c r="T150" i="56"/>
  <c r="T151" i="56"/>
  <c r="AM54" i="57"/>
  <c r="V181" i="57"/>
  <c r="AB181" i="57"/>
  <c r="AC181" i="57" s="1"/>
  <c r="Z181" i="57"/>
  <c r="Z16" i="57"/>
  <c r="V16" i="57"/>
  <c r="AB16" i="57"/>
  <c r="AC16" i="57" s="1"/>
  <c r="T512" i="56"/>
  <c r="S174" i="57"/>
  <c r="T511" i="56"/>
  <c r="T510" i="56"/>
  <c r="AM174" i="57"/>
  <c r="T204" i="56"/>
  <c r="T206" i="56"/>
  <c r="T205" i="56"/>
  <c r="S72" i="57"/>
  <c r="AM72" i="57"/>
  <c r="T317" i="56"/>
  <c r="T316" i="56"/>
  <c r="S109" i="57"/>
  <c r="T315" i="56"/>
  <c r="AM109" i="57"/>
  <c r="Z98" i="57"/>
  <c r="AB98" i="57"/>
  <c r="AC98" i="57" s="1"/>
  <c r="V98" i="57"/>
  <c r="T446" i="56"/>
  <c r="T445" i="56"/>
  <c r="T444" i="56"/>
  <c r="S152" i="57"/>
  <c r="AM152" i="57"/>
  <c r="S26" i="57"/>
  <c r="T67" i="56"/>
  <c r="T68" i="56"/>
  <c r="T66" i="56"/>
  <c r="AM26" i="57"/>
  <c r="S138" i="57"/>
  <c r="T402" i="56"/>
  <c r="T403" i="56"/>
  <c r="T404" i="56"/>
  <c r="AM138" i="57"/>
  <c r="AB102" i="57"/>
  <c r="AC102" i="57" s="1"/>
  <c r="V102" i="57"/>
  <c r="Z102" i="57"/>
  <c r="T276" i="56"/>
  <c r="T277" i="56"/>
  <c r="T278" i="56"/>
  <c r="S96" i="57"/>
  <c r="AM96" i="57"/>
  <c r="Z110" i="57"/>
  <c r="V110" i="57"/>
  <c r="AB110" i="57"/>
  <c r="AC110" i="57" s="1"/>
  <c r="Z33" i="57"/>
  <c r="V33" i="57"/>
  <c r="AB33" i="57"/>
  <c r="AC33" i="57" s="1"/>
  <c r="T537" i="56"/>
  <c r="T538" i="56"/>
  <c r="S183" i="57"/>
  <c r="T539" i="56"/>
  <c r="AM183" i="57"/>
  <c r="Z174" i="57"/>
  <c r="AB174" i="57"/>
  <c r="AC174" i="57" s="1"/>
  <c r="V174" i="57"/>
  <c r="Z17" i="57"/>
  <c r="V17" i="57"/>
  <c r="AB17" i="57"/>
  <c r="AC17" i="57" s="1"/>
  <c r="T191" i="56"/>
  <c r="T190" i="56"/>
  <c r="T189" i="56"/>
  <c r="S67" i="57"/>
  <c r="AM67" i="57"/>
  <c r="Z72" i="57"/>
  <c r="AB72" i="57"/>
  <c r="AC72" i="57" s="1"/>
  <c r="V72" i="57"/>
  <c r="S145" i="57"/>
  <c r="T424" i="56"/>
  <c r="T423" i="56"/>
  <c r="T425" i="56"/>
  <c r="AM145" i="57"/>
  <c r="AB109" i="57"/>
  <c r="AC109" i="57" s="1"/>
  <c r="V109" i="57"/>
  <c r="Z109" i="57"/>
  <c r="S49" i="57"/>
  <c r="T137" i="56"/>
  <c r="T135" i="56"/>
  <c r="T136" i="56"/>
  <c r="AM49" i="57"/>
  <c r="V113" i="57"/>
  <c r="Z113" i="57"/>
  <c r="AB113" i="57"/>
  <c r="AC113" i="57" s="1"/>
  <c r="AB152" i="57"/>
  <c r="AC152" i="57" s="1"/>
  <c r="V152" i="57"/>
  <c r="Z152" i="57"/>
  <c r="S24" i="57"/>
  <c r="T61" i="56"/>
  <c r="T60" i="56"/>
  <c r="T62" i="56"/>
  <c r="AM24" i="57"/>
  <c r="V138" i="57"/>
  <c r="Z138" i="57"/>
  <c r="AB138" i="57"/>
  <c r="AC138" i="57" s="1"/>
  <c r="T455" i="56"/>
  <c r="T453" i="56"/>
  <c r="S155" i="57"/>
  <c r="T454" i="56"/>
  <c r="AM155" i="57"/>
  <c r="V183" i="57"/>
  <c r="Z183" i="57"/>
  <c r="AB183" i="57"/>
  <c r="AC183" i="57" s="1"/>
  <c r="T255" i="56"/>
  <c r="T256" i="56"/>
  <c r="T257" i="56"/>
  <c r="S89" i="57"/>
  <c r="AM89" i="57"/>
  <c r="V67" i="57"/>
  <c r="AB67" i="57"/>
  <c r="AC67" i="57" s="1"/>
  <c r="Z67" i="57"/>
  <c r="AH25" i="32" a="1"/>
  <c r="AH25" i="32" s="1"/>
  <c r="AL69" i="9"/>
  <c r="Y3" i="32"/>
  <c r="Y15" i="32"/>
  <c r="Y9" i="32"/>
  <c r="Y63" i="9"/>
  <c r="AL73" i="32" l="1"/>
  <c r="AL72" i="32" s="1"/>
  <c r="AL76" i="32" s="1"/>
  <c r="AH73" i="32"/>
  <c r="AH72" i="32" s="1"/>
  <c r="AH76" i="32" s="1"/>
  <c r="AP73" i="32"/>
  <c r="AP72" i="32" s="1"/>
  <c r="AP76" i="32" s="1"/>
  <c r="AH18" i="32" a="1"/>
  <c r="AH18" i="32" s="1"/>
  <c r="AG27" i="32" s="1"/>
  <c r="X245" i="57"/>
  <c r="AA245" i="57" s="1"/>
  <c r="AK245" i="57"/>
  <c r="Y245" i="57"/>
  <c r="AL245" i="57"/>
  <c r="Y257" i="57"/>
  <c r="X257" i="57"/>
  <c r="AA257" i="57" s="1"/>
  <c r="AL257" i="57"/>
  <c r="AK257" i="57"/>
  <c r="AL220" i="57"/>
  <c r="Y220" i="57"/>
  <c r="AK220" i="57"/>
  <c r="AK196" i="57"/>
  <c r="Y196" i="57"/>
  <c r="AL196" i="57"/>
  <c r="AL242" i="57"/>
  <c r="AK242" i="57"/>
  <c r="Y242" i="57"/>
  <c r="AL226" i="57"/>
  <c r="Y226" i="57"/>
  <c r="AK226" i="57"/>
  <c r="AK191" i="57"/>
  <c r="AL191" i="57"/>
  <c r="Y191" i="57"/>
  <c r="AK228" i="57"/>
  <c r="Y228" i="57"/>
  <c r="AL228" i="57"/>
  <c r="Y193" i="57"/>
  <c r="X193" i="57"/>
  <c r="AA193" i="57" s="1"/>
  <c r="AL193" i="57"/>
  <c r="AK193" i="57"/>
  <c r="AL244" i="57"/>
  <c r="Y244" i="57"/>
  <c r="AK244" i="57"/>
  <c r="Y212" i="57"/>
  <c r="AK212" i="57"/>
  <c r="AL212" i="57"/>
  <c r="AL192" i="57"/>
  <c r="AK192" i="57"/>
  <c r="Y192" i="57"/>
  <c r="AL195" i="57"/>
  <c r="Y195" i="57"/>
  <c r="AK195" i="57"/>
  <c r="Y256" i="57"/>
  <c r="AL256" i="57"/>
  <c r="AK256" i="57"/>
  <c r="Y255" i="57"/>
  <c r="AL255" i="57"/>
  <c r="AK255" i="57"/>
  <c r="AL250" i="57"/>
  <c r="AK250" i="57"/>
  <c r="Y250" i="57"/>
  <c r="AL203" i="57"/>
  <c r="Y203" i="57"/>
  <c r="AK203" i="57"/>
  <c r="Y225" i="57"/>
  <c r="AL225" i="57"/>
  <c r="X225" i="57"/>
  <c r="AA225" i="57" s="1"/>
  <c r="AK225" i="57"/>
  <c r="AK238" i="57"/>
  <c r="Y238" i="57"/>
  <c r="AL238" i="57"/>
  <c r="Y204" i="57"/>
  <c r="AL204" i="57"/>
  <c r="AK204" i="57"/>
  <c r="Y202" i="57"/>
  <c r="AK202" i="57"/>
  <c r="AL202" i="57"/>
  <c r="AL251" i="57"/>
  <c r="Y251" i="57"/>
  <c r="AK251" i="57"/>
  <c r="AK227" i="57"/>
  <c r="Y227" i="57"/>
  <c r="AL227" i="57"/>
  <c r="Y241" i="57"/>
  <c r="AK241" i="57"/>
  <c r="AL241" i="57"/>
  <c r="X241" i="57"/>
  <c r="AA241" i="57" s="1"/>
  <c r="AK240" i="57"/>
  <c r="Y240" i="57"/>
  <c r="AL240" i="57"/>
  <c r="AK239" i="57"/>
  <c r="Y239" i="57"/>
  <c r="AL239" i="57"/>
  <c r="AL197" i="57"/>
  <c r="Y197" i="57"/>
  <c r="X197" i="57"/>
  <c r="AA197" i="57" s="1"/>
  <c r="AK197" i="57"/>
  <c r="AK218" i="57"/>
  <c r="AL218" i="57"/>
  <c r="Y218" i="57"/>
  <c r="Y243" i="57"/>
  <c r="AL243" i="57"/>
  <c r="AK243" i="57"/>
  <c r="AK254" i="57"/>
  <c r="Y254" i="57"/>
  <c r="AL254" i="57"/>
  <c r="Y205" i="57"/>
  <c r="AL205" i="57"/>
  <c r="X205" i="57"/>
  <c r="AA205" i="57" s="1"/>
  <c r="AK205" i="57"/>
  <c r="Y213" i="57"/>
  <c r="AL213" i="57"/>
  <c r="AK213" i="57"/>
  <c r="X213" i="57"/>
  <c r="AA213" i="57" s="1"/>
  <c r="Y253" i="57"/>
  <c r="X253" i="57"/>
  <c r="AA253" i="57" s="1"/>
  <c r="AK253" i="57"/>
  <c r="AL253" i="57"/>
  <c r="AL223" i="57"/>
  <c r="AK223" i="57"/>
  <c r="Y223" i="57"/>
  <c r="Y219" i="57"/>
  <c r="AL219" i="57"/>
  <c r="AK219" i="57"/>
  <c r="Y194" i="57"/>
  <c r="AK194" i="57"/>
  <c r="AL194" i="57"/>
  <c r="Y210" i="57"/>
  <c r="AL210" i="57"/>
  <c r="AK210" i="57"/>
  <c r="AK252" i="57"/>
  <c r="Y252" i="57"/>
  <c r="AL252" i="57"/>
  <c r="Y190" i="57"/>
  <c r="AK190" i="57"/>
  <c r="AL190" i="57"/>
  <c r="AL221" i="57"/>
  <c r="X221" i="57"/>
  <c r="AA221" i="57" s="1"/>
  <c r="Y221" i="57"/>
  <c r="AK221" i="57"/>
  <c r="Y224" i="57"/>
  <c r="AK224" i="57"/>
  <c r="AL224" i="57"/>
  <c r="Y211" i="57"/>
  <c r="AL211" i="57"/>
  <c r="AK211" i="57"/>
  <c r="AK222" i="57"/>
  <c r="AL222" i="57"/>
  <c r="Y222" i="57"/>
  <c r="X229" i="57"/>
  <c r="AA229" i="57" s="1"/>
  <c r="Y229" i="57"/>
  <c r="AK229" i="57"/>
  <c r="AL229" i="57"/>
  <c r="X65" i="56"/>
  <c r="AH65" i="56" s="1"/>
  <c r="AG65" i="56" s="1"/>
  <c r="AJ65" i="56" s="1" a="1"/>
  <c r="AJ65" i="56" s="1"/>
  <c r="V65" i="56"/>
  <c r="Y65" i="56" s="1"/>
  <c r="U141" i="56"/>
  <c r="W141" i="56" s="1"/>
  <c r="U142" i="56"/>
  <c r="W142" i="56" s="1"/>
  <c r="U143" i="56"/>
  <c r="W143" i="56" s="1"/>
  <c r="X133" i="56"/>
  <c r="AH133" i="56" s="1"/>
  <c r="AG133" i="56" s="1"/>
  <c r="AJ133" i="56" s="1" a="1"/>
  <c r="AJ133" i="56" s="1"/>
  <c r="V133" i="56"/>
  <c r="Y133" i="56" s="1"/>
  <c r="U62" i="56"/>
  <c r="W62" i="56" s="1"/>
  <c r="U60" i="56"/>
  <c r="W60" i="56" s="1"/>
  <c r="U61" i="56"/>
  <c r="W61" i="56" s="1"/>
  <c r="AK27" i="57"/>
  <c r="AL27" i="57"/>
  <c r="X27" i="57"/>
  <c r="AA27" i="57" s="1"/>
  <c r="Y27" i="57"/>
  <c r="U309" i="56"/>
  <c r="W309" i="56" s="1"/>
  <c r="U310" i="56"/>
  <c r="W310" i="56" s="1"/>
  <c r="U311" i="56"/>
  <c r="W311" i="56" s="1"/>
  <c r="X418" i="56"/>
  <c r="AH418" i="56" s="1"/>
  <c r="AG418" i="56" s="1"/>
  <c r="AJ418" i="56" s="1" a="1"/>
  <c r="AJ418" i="56" s="1"/>
  <c r="V418" i="56"/>
  <c r="Y418" i="56" s="1"/>
  <c r="V311" i="56"/>
  <c r="Y311" i="56" s="1"/>
  <c r="X311" i="56"/>
  <c r="AH311" i="56" s="1"/>
  <c r="AG311" i="56" s="1"/>
  <c r="AJ311" i="56" s="1" a="1"/>
  <c r="AJ311" i="56" s="1"/>
  <c r="U59" i="56"/>
  <c r="W59" i="56" s="1"/>
  <c r="U58" i="56"/>
  <c r="W58" i="56" s="1"/>
  <c r="U57" i="56"/>
  <c r="W57" i="56" s="1"/>
  <c r="AL30" i="57"/>
  <c r="Y30" i="57"/>
  <c r="AK30" i="57"/>
  <c r="X452" i="56"/>
  <c r="AH452" i="56" s="1"/>
  <c r="AG452" i="56" s="1"/>
  <c r="AJ452" i="56" s="1" a="1"/>
  <c r="AJ452" i="56" s="1"/>
  <c r="V452" i="56"/>
  <c r="Y452" i="56" s="1"/>
  <c r="V289" i="56"/>
  <c r="Y289" i="56" s="1"/>
  <c r="X289" i="56"/>
  <c r="AH289" i="56" s="1"/>
  <c r="AG289" i="56" s="1"/>
  <c r="AJ289" i="56" s="1" a="1"/>
  <c r="AJ289" i="56" s="1"/>
  <c r="X298" i="56"/>
  <c r="AH298" i="56" s="1"/>
  <c r="AG298" i="56" s="1"/>
  <c r="AJ298" i="56" s="1" a="1"/>
  <c r="AJ298" i="56" s="1"/>
  <c r="V298" i="56"/>
  <c r="Y298" i="56" s="1"/>
  <c r="X90" i="56"/>
  <c r="AH90" i="56" s="1"/>
  <c r="AG90" i="56" s="1"/>
  <c r="AJ90" i="56" s="1" a="1"/>
  <c r="AJ90" i="56" s="1"/>
  <c r="V90" i="56"/>
  <c r="Y90" i="56" s="1"/>
  <c r="U295" i="56"/>
  <c r="W295" i="56" s="1"/>
  <c r="U294" i="56"/>
  <c r="W294" i="56" s="1"/>
  <c r="U296" i="56"/>
  <c r="W296" i="56" s="1"/>
  <c r="X155" i="56"/>
  <c r="AH155" i="56" s="1"/>
  <c r="AG155" i="56" s="1"/>
  <c r="AJ155" i="56" s="1" a="1"/>
  <c r="AJ155" i="56" s="1"/>
  <c r="V155" i="56"/>
  <c r="Y155" i="56" s="1"/>
  <c r="X84" i="56"/>
  <c r="AH84" i="56" s="1"/>
  <c r="AG84" i="56" s="1"/>
  <c r="AJ84" i="56" s="1" a="1"/>
  <c r="AJ84" i="56" s="1"/>
  <c r="V84" i="56"/>
  <c r="Y84" i="56" s="1"/>
  <c r="U516" i="56"/>
  <c r="W516" i="56" s="1"/>
  <c r="U517" i="56"/>
  <c r="W517" i="56" s="1"/>
  <c r="U518" i="56"/>
  <c r="W518" i="56" s="1"/>
  <c r="X445" i="56"/>
  <c r="AH445" i="56" s="1"/>
  <c r="AG445" i="56" s="1"/>
  <c r="AJ445" i="56" s="1" a="1"/>
  <c r="AJ445" i="56" s="1"/>
  <c r="V445" i="56"/>
  <c r="Y445" i="56" s="1"/>
  <c r="V303" i="56"/>
  <c r="Y303" i="56" s="1"/>
  <c r="X303" i="56"/>
  <c r="AH303" i="56" s="1"/>
  <c r="AG303" i="56" s="1"/>
  <c r="AJ303" i="56" s="1" a="1"/>
  <c r="AJ303" i="56" s="1"/>
  <c r="U92" i="56"/>
  <c r="W92" i="56" s="1"/>
  <c r="U90" i="56"/>
  <c r="W90" i="56" s="1"/>
  <c r="U91" i="56"/>
  <c r="W91" i="56" s="1"/>
  <c r="X447" i="56"/>
  <c r="AH447" i="56" s="1"/>
  <c r="AG447" i="56" s="1"/>
  <c r="AJ447" i="56" s="1" a="1"/>
  <c r="AJ447" i="56" s="1"/>
  <c r="V447" i="56"/>
  <c r="Y447" i="56" s="1"/>
  <c r="X409" i="56"/>
  <c r="AH409" i="56" s="1"/>
  <c r="AG409" i="56" s="1"/>
  <c r="AJ409" i="56" s="1" a="1"/>
  <c r="AJ409" i="56" s="1"/>
  <c r="V409" i="56"/>
  <c r="Y409" i="56" s="1"/>
  <c r="V516" i="56"/>
  <c r="Y516" i="56" s="1"/>
  <c r="X516" i="56"/>
  <c r="AH516" i="56" s="1"/>
  <c r="AG516" i="56" s="1"/>
  <c r="AJ516" i="56" s="1" a="1"/>
  <c r="AJ516" i="56" s="1"/>
  <c r="Y69" i="57"/>
  <c r="AL69" i="57"/>
  <c r="AK69" i="57"/>
  <c r="V436" i="56"/>
  <c r="Y436" i="56" s="1"/>
  <c r="X436" i="56"/>
  <c r="AH436" i="56" s="1"/>
  <c r="AG436" i="56" s="1"/>
  <c r="AJ436" i="56" s="1" a="1"/>
  <c r="AJ436" i="56" s="1"/>
  <c r="X278" i="56"/>
  <c r="AH278" i="56" s="1"/>
  <c r="AG278" i="56" s="1"/>
  <c r="AJ278" i="56" s="1" a="1"/>
  <c r="AJ278" i="56" s="1"/>
  <c r="V278" i="56"/>
  <c r="Y278" i="56" s="1"/>
  <c r="V326" i="56"/>
  <c r="Y326" i="56" s="1"/>
  <c r="X326" i="56"/>
  <c r="AH326" i="56" s="1"/>
  <c r="AG326" i="56" s="1"/>
  <c r="AJ326" i="56" s="1" a="1"/>
  <c r="AJ326" i="56" s="1"/>
  <c r="X87" i="57"/>
  <c r="AA87" i="57" s="1"/>
  <c r="Y87" i="57"/>
  <c r="AL87" i="57"/>
  <c r="AK87" i="57"/>
  <c r="U438" i="56"/>
  <c r="W438" i="56" s="1"/>
  <c r="U440" i="56"/>
  <c r="W440" i="56" s="1"/>
  <c r="U439" i="56"/>
  <c r="W439" i="56" s="1"/>
  <c r="X325" i="56"/>
  <c r="AH325" i="56" s="1"/>
  <c r="AG325" i="56" s="1"/>
  <c r="AJ325" i="56" s="1" a="1"/>
  <c r="AJ325" i="56" s="1"/>
  <c r="V325" i="56"/>
  <c r="Y325" i="56" s="1"/>
  <c r="AL28" i="57"/>
  <c r="AK28" i="57"/>
  <c r="Y28" i="57"/>
  <c r="X415" i="56"/>
  <c r="AH415" i="56" s="1"/>
  <c r="AG415" i="56" s="1"/>
  <c r="AJ415" i="56" s="1" a="1"/>
  <c r="AJ415" i="56" s="1"/>
  <c r="V415" i="56"/>
  <c r="Y415" i="56" s="1"/>
  <c r="U417" i="56"/>
  <c r="W417" i="56" s="1"/>
  <c r="U419" i="56"/>
  <c r="W419" i="56" s="1"/>
  <c r="U418" i="56"/>
  <c r="W418" i="56" s="1"/>
  <c r="X421" i="56"/>
  <c r="AH421" i="56" s="1"/>
  <c r="AG421" i="56" s="1"/>
  <c r="AJ421" i="56" s="1" a="1"/>
  <c r="AJ421" i="56" s="1"/>
  <c r="V421" i="56"/>
  <c r="Y421" i="56" s="1"/>
  <c r="V540" i="56"/>
  <c r="Y540" i="56" s="1"/>
  <c r="X540" i="56"/>
  <c r="AH540" i="56" s="1"/>
  <c r="AG540" i="56" s="1"/>
  <c r="AJ540" i="56" s="1" a="1"/>
  <c r="AJ540" i="56" s="1"/>
  <c r="X543" i="56"/>
  <c r="AH543" i="56" s="1"/>
  <c r="AG543" i="56" s="1"/>
  <c r="AJ543" i="56" s="1" a="1"/>
  <c r="AJ543" i="56" s="1"/>
  <c r="V543" i="56"/>
  <c r="Y543" i="56" s="1"/>
  <c r="V148" i="56"/>
  <c r="Y148" i="56" s="1"/>
  <c r="X148" i="56"/>
  <c r="AH148" i="56" s="1"/>
  <c r="AG148" i="56" s="1"/>
  <c r="AJ148" i="56" s="1" a="1"/>
  <c r="AJ148" i="56" s="1"/>
  <c r="X492" i="56"/>
  <c r="AH492" i="56" s="1"/>
  <c r="AG492" i="56" s="1"/>
  <c r="AJ492" i="56" s="1" a="1"/>
  <c r="AJ492" i="56" s="1"/>
  <c r="V492" i="56"/>
  <c r="Y492" i="56" s="1"/>
  <c r="U47" i="56"/>
  <c r="W47" i="56" s="1"/>
  <c r="U45" i="56"/>
  <c r="W45" i="56" s="1"/>
  <c r="U46" i="56"/>
  <c r="W46" i="56" s="1"/>
  <c r="AK184" i="57"/>
  <c r="Y184" i="57"/>
  <c r="X184" i="57"/>
  <c r="AA184" i="57" s="1"/>
  <c r="AL184" i="57"/>
  <c r="V309" i="56"/>
  <c r="Y309" i="56" s="1"/>
  <c r="X309" i="56"/>
  <c r="AH309" i="56" s="1"/>
  <c r="AG309" i="56" s="1"/>
  <c r="AJ309" i="56" s="1" a="1"/>
  <c r="AJ309" i="56" s="1"/>
  <c r="V44" i="56"/>
  <c r="Y44" i="56" s="1"/>
  <c r="X44" i="56"/>
  <c r="AH44" i="56" s="1"/>
  <c r="AG44" i="56" s="1"/>
  <c r="AJ44" i="56" s="1" a="1"/>
  <c r="AJ44" i="56" s="1"/>
  <c r="AK74" i="57"/>
  <c r="X74" i="57"/>
  <c r="AA74" i="57" s="1"/>
  <c r="Y74" i="57"/>
  <c r="AL74" i="57"/>
  <c r="V451" i="56"/>
  <c r="Y451" i="56" s="1"/>
  <c r="X451" i="56"/>
  <c r="AH451" i="56" s="1"/>
  <c r="AG451" i="56" s="1"/>
  <c r="AJ451" i="56" s="1" a="1"/>
  <c r="AJ451" i="56" s="1"/>
  <c r="X290" i="56"/>
  <c r="AH290" i="56" s="1"/>
  <c r="AG290" i="56" s="1"/>
  <c r="AJ290" i="56" s="1" a="1"/>
  <c r="AJ290" i="56" s="1"/>
  <c r="V290" i="56"/>
  <c r="Y290" i="56" s="1"/>
  <c r="V297" i="56"/>
  <c r="Y297" i="56" s="1"/>
  <c r="X297" i="56"/>
  <c r="AH297" i="56" s="1"/>
  <c r="AG297" i="56" s="1"/>
  <c r="AJ297" i="56" s="1" a="1"/>
  <c r="AJ297" i="56" s="1"/>
  <c r="U528" i="56"/>
  <c r="W528" i="56" s="1"/>
  <c r="U530" i="56"/>
  <c r="W530" i="56" s="1"/>
  <c r="U529" i="56"/>
  <c r="W529" i="56" s="1"/>
  <c r="V400" i="56"/>
  <c r="Y400" i="56" s="1"/>
  <c r="X400" i="56"/>
  <c r="AH400" i="56" s="1"/>
  <c r="AG400" i="56" s="1"/>
  <c r="AJ400" i="56" s="1" a="1"/>
  <c r="AJ400" i="56" s="1"/>
  <c r="Y99" i="57"/>
  <c r="AK99" i="57"/>
  <c r="AL99" i="57"/>
  <c r="X527" i="56"/>
  <c r="AH527" i="56" s="1"/>
  <c r="AG527" i="56" s="1"/>
  <c r="AJ527" i="56" s="1" a="1"/>
  <c r="AJ527" i="56" s="1"/>
  <c r="V527" i="56"/>
  <c r="Y527" i="56" s="1"/>
  <c r="Y107" i="57"/>
  <c r="AK107" i="57"/>
  <c r="X107" i="57"/>
  <c r="AA107" i="57" s="1"/>
  <c r="AL107" i="57"/>
  <c r="U72" i="56"/>
  <c r="W72" i="56" s="1"/>
  <c r="U73" i="56"/>
  <c r="W73" i="56" s="1"/>
  <c r="U74" i="56"/>
  <c r="W74" i="56" s="1"/>
  <c r="X520" i="56"/>
  <c r="AH520" i="56" s="1"/>
  <c r="AG520" i="56" s="1"/>
  <c r="AJ520" i="56" s="1" a="1"/>
  <c r="AJ520" i="56" s="1"/>
  <c r="V520" i="56"/>
  <c r="Y520" i="56" s="1"/>
  <c r="X74" i="56"/>
  <c r="AH74" i="56" s="1"/>
  <c r="AG74" i="56" s="1"/>
  <c r="AJ74" i="56" s="1" a="1"/>
  <c r="AJ74" i="56" s="1"/>
  <c r="V74" i="56"/>
  <c r="Y74" i="56" s="1"/>
  <c r="V449" i="56"/>
  <c r="Y449" i="56" s="1"/>
  <c r="X449" i="56"/>
  <c r="AH449" i="56" s="1"/>
  <c r="AG449" i="56" s="1"/>
  <c r="AJ449" i="56" s="1" a="1"/>
  <c r="AJ449" i="56" s="1"/>
  <c r="X494" i="56"/>
  <c r="AH494" i="56" s="1"/>
  <c r="AG494" i="56" s="1"/>
  <c r="AJ494" i="56" s="1" a="1"/>
  <c r="AJ494" i="56" s="1"/>
  <c r="V494" i="56"/>
  <c r="Y494" i="56" s="1"/>
  <c r="U255" i="56"/>
  <c r="W255" i="56" s="1"/>
  <c r="U257" i="56"/>
  <c r="W257" i="56" s="1"/>
  <c r="U256" i="56"/>
  <c r="W256" i="56" s="1"/>
  <c r="U448" i="56"/>
  <c r="W448" i="56" s="1"/>
  <c r="U449" i="56"/>
  <c r="W449" i="56" s="1"/>
  <c r="U447" i="56"/>
  <c r="W447" i="56" s="1"/>
  <c r="X72" i="56"/>
  <c r="AH72" i="56" s="1"/>
  <c r="AG72" i="56" s="1"/>
  <c r="AJ72" i="56" s="1" a="1"/>
  <c r="AJ72" i="56" s="1"/>
  <c r="V72" i="56"/>
  <c r="Y72" i="56" s="1"/>
  <c r="V324" i="56"/>
  <c r="Y324" i="56" s="1"/>
  <c r="X324" i="56"/>
  <c r="AH324" i="56" s="1"/>
  <c r="AG324" i="56" s="1"/>
  <c r="AJ324" i="56" s="1" a="1"/>
  <c r="AJ324" i="56" s="1"/>
  <c r="AL73" i="57"/>
  <c r="AK73" i="57"/>
  <c r="Y73" i="57"/>
  <c r="V414" i="56"/>
  <c r="Y414" i="56" s="1"/>
  <c r="X414" i="56"/>
  <c r="AH414" i="56" s="1"/>
  <c r="AG414" i="56" s="1"/>
  <c r="AJ414" i="56" s="1" a="1"/>
  <c r="AJ414" i="56" s="1"/>
  <c r="V420" i="56"/>
  <c r="Y420" i="56" s="1"/>
  <c r="X420" i="56"/>
  <c r="AH420" i="56" s="1"/>
  <c r="AG420" i="56" s="1"/>
  <c r="AJ420" i="56" s="1" a="1"/>
  <c r="AJ420" i="56" s="1"/>
  <c r="AK25" i="57"/>
  <c r="Y25" i="57"/>
  <c r="AL25" i="57"/>
  <c r="U544" i="56"/>
  <c r="W544" i="56" s="1"/>
  <c r="U543" i="56"/>
  <c r="W543" i="56" s="1"/>
  <c r="U545" i="56"/>
  <c r="W545" i="56" s="1"/>
  <c r="X149" i="56"/>
  <c r="AH149" i="56" s="1"/>
  <c r="AG149" i="56" s="1"/>
  <c r="AJ149" i="56" s="1" a="1"/>
  <c r="AJ149" i="56" s="1"/>
  <c r="V149" i="56"/>
  <c r="Y149" i="56" s="1"/>
  <c r="U492" i="56"/>
  <c r="W492" i="56" s="1"/>
  <c r="U494" i="56"/>
  <c r="W494" i="56" s="1"/>
  <c r="U493" i="56"/>
  <c r="W493" i="56" s="1"/>
  <c r="X209" i="56"/>
  <c r="AH209" i="56" s="1"/>
  <c r="AG209" i="56" s="1"/>
  <c r="AJ209" i="56" s="1" a="1"/>
  <c r="AJ209" i="56" s="1"/>
  <c r="V209" i="56"/>
  <c r="Y209" i="56" s="1"/>
  <c r="X310" i="56"/>
  <c r="AH310" i="56" s="1"/>
  <c r="AG310" i="56" s="1"/>
  <c r="AJ310" i="56" s="1" a="1"/>
  <c r="AJ310" i="56" s="1"/>
  <c r="V310" i="56"/>
  <c r="Y310" i="56" s="1"/>
  <c r="V42" i="56"/>
  <c r="Y42" i="56" s="1"/>
  <c r="X42" i="56"/>
  <c r="AH42" i="56" s="1"/>
  <c r="AG42" i="56" s="1"/>
  <c r="AJ42" i="56" s="1" a="1"/>
  <c r="AJ42" i="56" s="1"/>
  <c r="V450" i="56"/>
  <c r="Y450" i="56" s="1"/>
  <c r="X450" i="56"/>
  <c r="AH450" i="56" s="1"/>
  <c r="AG450" i="56" s="1"/>
  <c r="AJ450" i="56" s="1" a="1"/>
  <c r="AJ450" i="56" s="1"/>
  <c r="U289" i="56"/>
  <c r="W289" i="56" s="1"/>
  <c r="U288" i="56"/>
  <c r="W288" i="56" s="1"/>
  <c r="U290" i="56"/>
  <c r="W290" i="56" s="1"/>
  <c r="Y51" i="57"/>
  <c r="AL51" i="57"/>
  <c r="AK51" i="57"/>
  <c r="V299" i="56"/>
  <c r="Y299" i="56" s="1"/>
  <c r="X299" i="56"/>
  <c r="AH299" i="56" s="1"/>
  <c r="AG299" i="56" s="1"/>
  <c r="AJ299" i="56" s="1" a="1"/>
  <c r="AJ299" i="56" s="1"/>
  <c r="X530" i="56"/>
  <c r="AH530" i="56" s="1"/>
  <c r="AG530" i="56" s="1"/>
  <c r="AJ530" i="56" s="1" a="1"/>
  <c r="AJ530" i="56" s="1"/>
  <c r="V530" i="56"/>
  <c r="Y530" i="56" s="1"/>
  <c r="Y136" i="57"/>
  <c r="AL136" i="57"/>
  <c r="AK136" i="57"/>
  <c r="V401" i="56"/>
  <c r="Y401" i="56" s="1"/>
  <c r="X401" i="56"/>
  <c r="AH401" i="56" s="1"/>
  <c r="AG401" i="56" s="1"/>
  <c r="AJ401" i="56" s="1" a="1"/>
  <c r="AJ401" i="56" s="1"/>
  <c r="AK137" i="57"/>
  <c r="X137" i="57"/>
  <c r="AA137" i="57" s="1"/>
  <c r="AL137" i="57"/>
  <c r="Y137" i="57"/>
  <c r="Y70" i="57"/>
  <c r="AK70" i="57"/>
  <c r="AL70" i="57"/>
  <c r="AK105" i="57"/>
  <c r="Y105" i="57"/>
  <c r="AL105" i="57"/>
  <c r="U88" i="56"/>
  <c r="W88" i="56" s="1"/>
  <c r="U87" i="56"/>
  <c r="W87" i="56" s="1"/>
  <c r="U89" i="56"/>
  <c r="W89" i="56" s="1"/>
  <c r="Y34" i="57"/>
  <c r="X34" i="57"/>
  <c r="AA34" i="57" s="1"/>
  <c r="AK34" i="57"/>
  <c r="AL34" i="57"/>
  <c r="X86" i="56"/>
  <c r="AH86" i="56" s="1"/>
  <c r="AG86" i="56" s="1"/>
  <c r="AJ86" i="56" s="1" a="1"/>
  <c r="AJ86" i="56" s="1"/>
  <c r="V86" i="56"/>
  <c r="Y86" i="56" s="1"/>
  <c r="X489" i="56"/>
  <c r="AH489" i="56" s="1"/>
  <c r="AG489" i="56" s="1"/>
  <c r="AJ489" i="56" s="1" a="1"/>
  <c r="AJ489" i="56" s="1"/>
  <c r="V489" i="56"/>
  <c r="Y489" i="56" s="1"/>
  <c r="X59" i="56"/>
  <c r="AH59" i="56" s="1"/>
  <c r="AG59" i="56" s="1"/>
  <c r="AJ59" i="56" s="1" a="1"/>
  <c r="AJ59" i="56" s="1"/>
  <c r="V59" i="56"/>
  <c r="Y59" i="56" s="1"/>
  <c r="AK31" i="57"/>
  <c r="AL31" i="57"/>
  <c r="Y31" i="57"/>
  <c r="U324" i="56"/>
  <c r="W324" i="56" s="1"/>
  <c r="U326" i="56"/>
  <c r="W326" i="56" s="1"/>
  <c r="U325" i="56"/>
  <c r="W325" i="56" s="1"/>
  <c r="V545" i="56"/>
  <c r="Y545" i="56" s="1"/>
  <c r="X545" i="56"/>
  <c r="AH545" i="56" s="1"/>
  <c r="AG545" i="56" s="1"/>
  <c r="AJ545" i="56" s="1" a="1"/>
  <c r="AJ545" i="56" s="1"/>
  <c r="X57" i="56"/>
  <c r="AH57" i="56" s="1"/>
  <c r="AG57" i="56" s="1"/>
  <c r="AJ57" i="56" s="1" a="1"/>
  <c r="AJ57" i="56" s="1"/>
  <c r="V57" i="56"/>
  <c r="Y57" i="56" s="1"/>
  <c r="X189" i="56"/>
  <c r="AH189" i="56" s="1"/>
  <c r="AG189" i="56" s="1"/>
  <c r="AJ189" i="56" s="1" a="1"/>
  <c r="AJ189" i="56" s="1"/>
  <c r="V189" i="56"/>
  <c r="Y189" i="56" s="1"/>
  <c r="U305" i="56"/>
  <c r="W305" i="56" s="1"/>
  <c r="U303" i="56"/>
  <c r="W303" i="56" s="1"/>
  <c r="U304" i="56"/>
  <c r="W304" i="56" s="1"/>
  <c r="X256" i="56"/>
  <c r="AH256" i="56" s="1"/>
  <c r="AG256" i="56" s="1"/>
  <c r="AJ256" i="56" s="1" a="1"/>
  <c r="AJ256" i="56" s="1"/>
  <c r="V256" i="56"/>
  <c r="Y256" i="56" s="1"/>
  <c r="V151" i="56"/>
  <c r="Y151" i="56" s="1"/>
  <c r="X151" i="56"/>
  <c r="AH151" i="56" s="1"/>
  <c r="AG151" i="56" s="1"/>
  <c r="AJ151" i="56" s="1" a="1"/>
  <c r="AJ151" i="56" s="1"/>
  <c r="V197" i="56"/>
  <c r="Y197" i="56" s="1"/>
  <c r="X197" i="56"/>
  <c r="AH197" i="56" s="1"/>
  <c r="AG197" i="56" s="1"/>
  <c r="AJ197" i="56" s="1" a="1"/>
  <c r="AJ197" i="56" s="1"/>
  <c r="X255" i="56"/>
  <c r="AH255" i="56" s="1"/>
  <c r="AG255" i="56" s="1"/>
  <c r="AJ255" i="56" s="1" a="1"/>
  <c r="AJ255" i="56" s="1"/>
  <c r="V255" i="56"/>
  <c r="Y255" i="56" s="1"/>
  <c r="Y113" i="57"/>
  <c r="AL113" i="57"/>
  <c r="AK113" i="57"/>
  <c r="X315" i="56"/>
  <c r="AH315" i="56" s="1"/>
  <c r="AG315" i="56" s="1"/>
  <c r="AJ315" i="56" s="1" a="1"/>
  <c r="AJ315" i="56" s="1"/>
  <c r="V315" i="56"/>
  <c r="Y315" i="56" s="1"/>
  <c r="X150" i="56"/>
  <c r="AH150" i="56" s="1"/>
  <c r="AG150" i="56" s="1"/>
  <c r="AJ150" i="56" s="1" a="1"/>
  <c r="AJ150" i="56" s="1"/>
  <c r="V150" i="56"/>
  <c r="Y150" i="56" s="1"/>
  <c r="U532" i="56"/>
  <c r="W532" i="56" s="1"/>
  <c r="U531" i="56"/>
  <c r="W531" i="56" s="1"/>
  <c r="U533" i="56"/>
  <c r="W533" i="56" s="1"/>
  <c r="X282" i="56"/>
  <c r="AH282" i="56" s="1"/>
  <c r="AG282" i="56" s="1"/>
  <c r="AJ282" i="56" s="1" a="1"/>
  <c r="AJ282" i="56" s="1"/>
  <c r="V282" i="56"/>
  <c r="Y282" i="56" s="1"/>
  <c r="X196" i="56"/>
  <c r="AH196" i="56" s="1"/>
  <c r="AG196" i="56" s="1"/>
  <c r="AJ196" i="56" s="1" a="1"/>
  <c r="AJ196" i="56" s="1"/>
  <c r="V196" i="56"/>
  <c r="Y196" i="56" s="1"/>
  <c r="Y173" i="57"/>
  <c r="AL173" i="57"/>
  <c r="AK173" i="57"/>
  <c r="V198" i="56"/>
  <c r="Y198" i="56" s="1"/>
  <c r="X198" i="56"/>
  <c r="AH198" i="56" s="1"/>
  <c r="AG198" i="56" s="1"/>
  <c r="AJ198" i="56" s="1" a="1"/>
  <c r="AJ198" i="56" s="1"/>
  <c r="V416" i="56"/>
  <c r="Y416" i="56" s="1"/>
  <c r="X416" i="56"/>
  <c r="AH416" i="56" s="1"/>
  <c r="AG416" i="56" s="1"/>
  <c r="AJ416" i="56" s="1" a="1"/>
  <c r="AJ416" i="56" s="1"/>
  <c r="U421" i="56"/>
  <c r="W421" i="56" s="1"/>
  <c r="U420" i="56"/>
  <c r="W420" i="56" s="1"/>
  <c r="U422" i="56"/>
  <c r="W422" i="56" s="1"/>
  <c r="AL149" i="57"/>
  <c r="Y149" i="57"/>
  <c r="AK149" i="57"/>
  <c r="AK95" i="57"/>
  <c r="Y95" i="57"/>
  <c r="AL95" i="57"/>
  <c r="U147" i="56"/>
  <c r="W147" i="56" s="1"/>
  <c r="U149" i="56"/>
  <c r="W149" i="56" s="1"/>
  <c r="U148" i="56"/>
  <c r="W148" i="56" s="1"/>
  <c r="X208" i="56"/>
  <c r="AH208" i="56" s="1"/>
  <c r="AG208" i="56" s="1"/>
  <c r="AJ208" i="56" s="1" a="1"/>
  <c r="AJ208" i="56" s="1"/>
  <c r="V208" i="56"/>
  <c r="Y208" i="56" s="1"/>
  <c r="Y175" i="57"/>
  <c r="AK175" i="57"/>
  <c r="AL175" i="57"/>
  <c r="U43" i="56"/>
  <c r="W43" i="56" s="1"/>
  <c r="U44" i="56"/>
  <c r="W44" i="56" s="1"/>
  <c r="U42" i="56"/>
  <c r="W42" i="56" s="1"/>
  <c r="U452" i="56"/>
  <c r="W452" i="56" s="1"/>
  <c r="U451" i="56"/>
  <c r="W451" i="56" s="1"/>
  <c r="U450" i="56"/>
  <c r="W450" i="56" s="1"/>
  <c r="U298" i="56"/>
  <c r="W298" i="56" s="1"/>
  <c r="U299" i="56"/>
  <c r="W299" i="56" s="1"/>
  <c r="U297" i="56"/>
  <c r="W297" i="56" s="1"/>
  <c r="V529" i="56"/>
  <c r="Y529" i="56" s="1"/>
  <c r="X529" i="56"/>
  <c r="AH529" i="56" s="1"/>
  <c r="AG529" i="56" s="1"/>
  <c r="AJ529" i="56" s="1" a="1"/>
  <c r="AJ529" i="56" s="1"/>
  <c r="X399" i="56"/>
  <c r="AH399" i="56" s="1"/>
  <c r="AG399" i="56" s="1"/>
  <c r="AJ399" i="56" s="1" a="1"/>
  <c r="AJ399" i="56" s="1"/>
  <c r="V399" i="56"/>
  <c r="Y399" i="56" s="1"/>
  <c r="X308" i="56"/>
  <c r="AH308" i="56" s="1"/>
  <c r="AG308" i="56" s="1"/>
  <c r="AJ308" i="56" s="1" a="1"/>
  <c r="AJ308" i="56" s="1"/>
  <c r="V308" i="56"/>
  <c r="Y308" i="56" s="1"/>
  <c r="Y66" i="57"/>
  <c r="AK66" i="57"/>
  <c r="AL66" i="57"/>
  <c r="V62" i="56"/>
  <c r="Y62" i="56" s="1"/>
  <c r="X62" i="56"/>
  <c r="AH62" i="56" s="1"/>
  <c r="AG62" i="56" s="1"/>
  <c r="AJ62" i="56" s="1" a="1"/>
  <c r="AJ62" i="56" s="1"/>
  <c r="X427" i="56"/>
  <c r="AH427" i="56" s="1"/>
  <c r="AG427" i="56" s="1"/>
  <c r="AJ427" i="56" s="1" a="1"/>
  <c r="AJ427" i="56" s="1"/>
  <c r="V427" i="56"/>
  <c r="Y427" i="56" s="1"/>
  <c r="V85" i="56"/>
  <c r="Y85" i="56" s="1"/>
  <c r="X85" i="56"/>
  <c r="AH85" i="56" s="1"/>
  <c r="AG85" i="56" s="1"/>
  <c r="AJ85" i="56" s="1" a="1"/>
  <c r="AJ85" i="56" s="1"/>
  <c r="U320" i="56"/>
  <c r="W320" i="56" s="1"/>
  <c r="U318" i="56"/>
  <c r="W318" i="56" s="1"/>
  <c r="U319" i="56"/>
  <c r="W319" i="56" s="1"/>
  <c r="Y47" i="57"/>
  <c r="X47" i="57"/>
  <c r="AA47" i="57" s="1"/>
  <c r="AK47" i="57"/>
  <c r="AL47" i="57"/>
  <c r="AK96" i="57"/>
  <c r="AL96" i="57"/>
  <c r="Y96" i="57"/>
  <c r="X517" i="56"/>
  <c r="AH517" i="56" s="1"/>
  <c r="AG517" i="56" s="1"/>
  <c r="AJ517" i="56" s="1" a="1"/>
  <c r="AJ517" i="56" s="1"/>
  <c r="V517" i="56"/>
  <c r="Y517" i="56" s="1"/>
  <c r="X334" i="56"/>
  <c r="AH334" i="56" s="1"/>
  <c r="AG334" i="56" s="1"/>
  <c r="AJ334" i="56" s="1" a="1"/>
  <c r="AJ334" i="56" s="1"/>
  <c r="V334" i="56"/>
  <c r="Y334" i="56" s="1"/>
  <c r="V153" i="56"/>
  <c r="Y153" i="56" s="1"/>
  <c r="X153" i="56"/>
  <c r="AH153" i="56" s="1"/>
  <c r="AG153" i="56" s="1"/>
  <c r="AJ153" i="56" s="1" a="1"/>
  <c r="AJ153" i="56" s="1"/>
  <c r="V518" i="56"/>
  <c r="Y518" i="56" s="1"/>
  <c r="X518" i="56"/>
  <c r="AH518" i="56" s="1"/>
  <c r="AG518" i="56" s="1"/>
  <c r="AJ518" i="56" s="1" a="1"/>
  <c r="AJ518" i="56" s="1"/>
  <c r="X335" i="56"/>
  <c r="AH335" i="56" s="1"/>
  <c r="AG335" i="56" s="1"/>
  <c r="AJ335" i="56" s="1" a="1"/>
  <c r="AJ335" i="56" s="1"/>
  <c r="V335" i="56"/>
  <c r="Y335" i="56" s="1"/>
  <c r="X437" i="56"/>
  <c r="AH437" i="56" s="1"/>
  <c r="AG437" i="56" s="1"/>
  <c r="AJ437" i="56" s="1" a="1"/>
  <c r="AJ437" i="56" s="1"/>
  <c r="V437" i="56"/>
  <c r="Y437" i="56" s="1"/>
  <c r="X112" i="57"/>
  <c r="AA112" i="57" s="1"/>
  <c r="AL112" i="57"/>
  <c r="AK112" i="57"/>
  <c r="Y112" i="57"/>
  <c r="U489" i="56"/>
  <c r="W489" i="56" s="1"/>
  <c r="U491" i="56"/>
  <c r="W491" i="56" s="1"/>
  <c r="U490" i="56"/>
  <c r="W490" i="56" s="1"/>
  <c r="X212" i="56"/>
  <c r="AH212" i="56" s="1"/>
  <c r="AG212" i="56" s="1"/>
  <c r="AJ212" i="56" s="1" a="1"/>
  <c r="AJ212" i="56" s="1"/>
  <c r="V212" i="56"/>
  <c r="Y212" i="56" s="1"/>
  <c r="U534" i="56"/>
  <c r="W534" i="56" s="1"/>
  <c r="U535" i="56"/>
  <c r="W535" i="56" s="1"/>
  <c r="U536" i="56"/>
  <c r="W536" i="56" s="1"/>
  <c r="X46" i="56"/>
  <c r="AH46" i="56" s="1"/>
  <c r="AG46" i="56" s="1"/>
  <c r="AJ46" i="56" s="1" a="1"/>
  <c r="AJ46" i="56" s="1"/>
  <c r="V46" i="56"/>
  <c r="Y46" i="56" s="1"/>
  <c r="V276" i="56"/>
  <c r="Y276" i="56" s="1"/>
  <c r="X276" i="56"/>
  <c r="AH276" i="56" s="1"/>
  <c r="AG276" i="56" s="1"/>
  <c r="AJ276" i="56" s="1" a="1"/>
  <c r="AJ276" i="56" s="1"/>
  <c r="U317" i="56"/>
  <c r="W317" i="56" s="1"/>
  <c r="U316" i="56"/>
  <c r="W316" i="56" s="1"/>
  <c r="U315" i="56"/>
  <c r="W315" i="56" s="1"/>
  <c r="X532" i="56"/>
  <c r="AH532" i="56" s="1"/>
  <c r="AG532" i="56" s="1"/>
  <c r="AJ532" i="56" s="1" a="1"/>
  <c r="AJ532" i="56" s="1"/>
  <c r="V532" i="56"/>
  <c r="Y532" i="56" s="1"/>
  <c r="V195" i="56"/>
  <c r="Y195" i="56" s="1"/>
  <c r="X195" i="56"/>
  <c r="AH195" i="56" s="1"/>
  <c r="AG195" i="56" s="1"/>
  <c r="AJ195" i="56" s="1" a="1"/>
  <c r="AJ195" i="56" s="1"/>
  <c r="X199" i="56"/>
  <c r="AH199" i="56" s="1"/>
  <c r="AG199" i="56" s="1"/>
  <c r="AJ199" i="56" s="1" a="1"/>
  <c r="AJ199" i="56" s="1"/>
  <c r="V199" i="56"/>
  <c r="Y199" i="56" s="1"/>
  <c r="U416" i="56"/>
  <c r="W416" i="56" s="1"/>
  <c r="U414" i="56"/>
  <c r="W414" i="56" s="1"/>
  <c r="U415" i="56"/>
  <c r="W415" i="56" s="1"/>
  <c r="AL94" i="57"/>
  <c r="AK94" i="57"/>
  <c r="Y94" i="57"/>
  <c r="X94" i="57"/>
  <c r="AA94" i="57" s="1"/>
  <c r="X422" i="56"/>
  <c r="AH422" i="56" s="1"/>
  <c r="AG422" i="56" s="1"/>
  <c r="AJ422" i="56" s="1" a="1"/>
  <c r="AJ422" i="56" s="1"/>
  <c r="V422" i="56"/>
  <c r="Y422" i="56" s="1"/>
  <c r="AL103" i="57"/>
  <c r="AK103" i="57"/>
  <c r="Y103" i="57"/>
  <c r="U208" i="56"/>
  <c r="W208" i="56" s="1"/>
  <c r="U209" i="56"/>
  <c r="W209" i="56" s="1"/>
  <c r="U207" i="56"/>
  <c r="W207" i="56" s="1"/>
  <c r="Y48" i="57"/>
  <c r="AL48" i="57"/>
  <c r="AK48" i="57"/>
  <c r="X329" i="56"/>
  <c r="AH329" i="56" s="1"/>
  <c r="AG329" i="56" s="1"/>
  <c r="AJ329" i="56" s="1" a="1"/>
  <c r="AJ329" i="56" s="1"/>
  <c r="V329" i="56"/>
  <c r="Y329" i="56" s="1"/>
  <c r="X43" i="56"/>
  <c r="AH43" i="56" s="1"/>
  <c r="AG43" i="56" s="1"/>
  <c r="AJ43" i="56" s="1" a="1"/>
  <c r="AJ43" i="56" s="1"/>
  <c r="V43" i="56"/>
  <c r="Y43" i="56" s="1"/>
  <c r="Y154" i="57"/>
  <c r="AK154" i="57"/>
  <c r="AL154" i="57"/>
  <c r="X154" i="57"/>
  <c r="AA154" i="57" s="1"/>
  <c r="V412" i="56"/>
  <c r="Y412" i="56" s="1"/>
  <c r="X412" i="56"/>
  <c r="AH412" i="56" s="1"/>
  <c r="AG412" i="56" s="1"/>
  <c r="AJ412" i="56" s="1" a="1"/>
  <c r="AJ412" i="56" s="1"/>
  <c r="X528" i="56"/>
  <c r="AH528" i="56" s="1"/>
  <c r="AG528" i="56" s="1"/>
  <c r="AJ528" i="56" s="1" a="1"/>
  <c r="AJ528" i="56" s="1"/>
  <c r="V528" i="56"/>
  <c r="Y528" i="56" s="1"/>
  <c r="U399" i="56"/>
  <c r="W399" i="56" s="1"/>
  <c r="U400" i="56"/>
  <c r="W400" i="56" s="1"/>
  <c r="U401" i="56"/>
  <c r="W401" i="56" s="1"/>
  <c r="Y91" i="57"/>
  <c r="AK91" i="57"/>
  <c r="AL91" i="57"/>
  <c r="X332" i="56"/>
  <c r="AH332" i="56" s="1"/>
  <c r="AG332" i="56" s="1"/>
  <c r="AJ332" i="56" s="1" a="1"/>
  <c r="AJ332" i="56" s="1"/>
  <c r="V332" i="56"/>
  <c r="Y332" i="56" s="1"/>
  <c r="X306" i="56"/>
  <c r="AH306" i="56" s="1"/>
  <c r="AG306" i="56" s="1"/>
  <c r="AJ306" i="56" s="1" a="1"/>
  <c r="AJ306" i="56" s="1"/>
  <c r="V306" i="56"/>
  <c r="Y306" i="56" s="1"/>
  <c r="V512" i="56"/>
  <c r="Y512" i="56" s="1"/>
  <c r="X512" i="56"/>
  <c r="AH512" i="56" s="1"/>
  <c r="AG512" i="56" s="1"/>
  <c r="AJ512" i="56" s="1" a="1"/>
  <c r="AJ512" i="56" s="1"/>
  <c r="V526" i="56"/>
  <c r="Y526" i="56" s="1"/>
  <c r="X526" i="56"/>
  <c r="AH526" i="56" s="1"/>
  <c r="AG526" i="56" s="1"/>
  <c r="AJ526" i="56" s="1" a="1"/>
  <c r="AJ526" i="56" s="1"/>
  <c r="V435" i="56"/>
  <c r="Y435" i="56" s="1"/>
  <c r="X435" i="56"/>
  <c r="AH435" i="56" s="1"/>
  <c r="AG435" i="56" s="1"/>
  <c r="AJ435" i="56" s="1" a="1"/>
  <c r="AJ435" i="56" s="1"/>
  <c r="V523" i="56"/>
  <c r="Y523" i="56" s="1"/>
  <c r="X523" i="56"/>
  <c r="AH523" i="56" s="1"/>
  <c r="AG523" i="56" s="1"/>
  <c r="AJ523" i="56" s="1" a="1"/>
  <c r="AJ523" i="56" s="1"/>
  <c r="X333" i="56"/>
  <c r="AH333" i="56" s="1"/>
  <c r="AG333" i="56" s="1"/>
  <c r="AJ333" i="56" s="1" a="1"/>
  <c r="AJ333" i="56" s="1"/>
  <c r="V333" i="56"/>
  <c r="Y333" i="56" s="1"/>
  <c r="X210" i="56"/>
  <c r="AH210" i="56" s="1"/>
  <c r="AG210" i="56" s="1"/>
  <c r="AJ210" i="56" s="1" a="1"/>
  <c r="AJ210" i="56" s="1"/>
  <c r="V210" i="56"/>
  <c r="Y210" i="56" s="1"/>
  <c r="X536" i="56"/>
  <c r="AH536" i="56" s="1"/>
  <c r="AG536" i="56" s="1"/>
  <c r="AJ536" i="56" s="1" a="1"/>
  <c r="AJ536" i="56" s="1"/>
  <c r="V536" i="56"/>
  <c r="Y536" i="56" s="1"/>
  <c r="X438" i="56"/>
  <c r="AH438" i="56" s="1"/>
  <c r="AG438" i="56" s="1"/>
  <c r="AJ438" i="56" s="1" a="1"/>
  <c r="AJ438" i="56" s="1"/>
  <c r="V438" i="56"/>
  <c r="Y438" i="56" s="1"/>
  <c r="V406" i="56"/>
  <c r="Y406" i="56" s="1"/>
  <c r="X406" i="56"/>
  <c r="AH406" i="56" s="1"/>
  <c r="AG406" i="56" s="1"/>
  <c r="AJ406" i="56" s="1" a="1"/>
  <c r="AJ406" i="56" s="1"/>
  <c r="X17" i="57"/>
  <c r="AA17" i="57" s="1"/>
  <c r="Y17" i="57"/>
  <c r="AL17" i="57"/>
  <c r="AK17" i="57"/>
  <c r="Y102" i="57"/>
  <c r="AL102" i="57"/>
  <c r="X102" i="57"/>
  <c r="AA102" i="57" s="1"/>
  <c r="AK102" i="57"/>
  <c r="V152" i="56"/>
  <c r="Y152" i="56" s="1"/>
  <c r="X152" i="56"/>
  <c r="AH152" i="56" s="1"/>
  <c r="AG152" i="56" s="1"/>
  <c r="AJ152" i="56" s="1" a="1"/>
  <c r="AJ152" i="56" s="1"/>
  <c r="X284" i="56"/>
  <c r="AH284" i="56" s="1"/>
  <c r="AG284" i="56" s="1"/>
  <c r="AJ284" i="56" s="1" a="1"/>
  <c r="AJ284" i="56" s="1"/>
  <c r="V284" i="56"/>
  <c r="Y284" i="56" s="1"/>
  <c r="V214" i="56"/>
  <c r="Y214" i="56" s="1"/>
  <c r="X214" i="56"/>
  <c r="AH214" i="56" s="1"/>
  <c r="AG214" i="56" s="1"/>
  <c r="AJ214" i="56" s="1" a="1"/>
  <c r="AJ214" i="56" s="1"/>
  <c r="X136" i="56"/>
  <c r="AH136" i="56" s="1"/>
  <c r="AG136" i="56" s="1"/>
  <c r="AJ136" i="56" s="1" a="1"/>
  <c r="AJ136" i="56" s="1"/>
  <c r="V136" i="56"/>
  <c r="Y136" i="56" s="1"/>
  <c r="X316" i="56"/>
  <c r="AH316" i="56" s="1"/>
  <c r="AG316" i="56" s="1"/>
  <c r="AJ316" i="56" s="1" a="1"/>
  <c r="AJ316" i="56" s="1"/>
  <c r="V316" i="56"/>
  <c r="Y316" i="56" s="1"/>
  <c r="U151" i="56"/>
  <c r="W151" i="56" s="1"/>
  <c r="U152" i="56"/>
  <c r="W152" i="56" s="1"/>
  <c r="U150" i="56"/>
  <c r="W150" i="56" s="1"/>
  <c r="X533" i="56"/>
  <c r="AH533" i="56" s="1"/>
  <c r="AG533" i="56" s="1"/>
  <c r="AJ533" i="56" s="1" a="1"/>
  <c r="AJ533" i="56" s="1"/>
  <c r="V533" i="56"/>
  <c r="Y533" i="56" s="1"/>
  <c r="X283" i="56"/>
  <c r="AH283" i="56" s="1"/>
  <c r="AG283" i="56" s="1"/>
  <c r="AJ283" i="56" s="1" a="1"/>
  <c r="AJ283" i="56" s="1"/>
  <c r="V283" i="56"/>
  <c r="Y283" i="56" s="1"/>
  <c r="U195" i="56"/>
  <c r="W195" i="56" s="1"/>
  <c r="U196" i="56"/>
  <c r="W196" i="56" s="1"/>
  <c r="U197" i="56"/>
  <c r="W197" i="56" s="1"/>
  <c r="X215" i="56"/>
  <c r="AH215" i="56" s="1"/>
  <c r="AG215" i="56" s="1"/>
  <c r="AJ215" i="56" s="1" a="1"/>
  <c r="AJ215" i="56" s="1"/>
  <c r="V215" i="56"/>
  <c r="Y215" i="56" s="1"/>
  <c r="V200" i="56"/>
  <c r="Y200" i="56" s="1"/>
  <c r="X200" i="56"/>
  <c r="AH200" i="56" s="1"/>
  <c r="AG200" i="56" s="1"/>
  <c r="AJ200" i="56" s="1" a="1"/>
  <c r="AJ200" i="56" s="1"/>
  <c r="AL101" i="57"/>
  <c r="Y101" i="57"/>
  <c r="AK101" i="57"/>
  <c r="X291" i="56"/>
  <c r="AH291" i="56" s="1"/>
  <c r="AG291" i="56" s="1"/>
  <c r="AJ291" i="56" s="1" a="1"/>
  <c r="AJ291" i="56" s="1"/>
  <c r="V291" i="56"/>
  <c r="Y291" i="56" s="1"/>
  <c r="U246" i="56"/>
  <c r="W246" i="56" s="1"/>
  <c r="U248" i="56"/>
  <c r="W248" i="56" s="1"/>
  <c r="U247" i="56"/>
  <c r="W247" i="56" s="1"/>
  <c r="V207" i="56"/>
  <c r="Y207" i="56" s="1"/>
  <c r="X207" i="56"/>
  <c r="AH207" i="56" s="1"/>
  <c r="AG207" i="56" s="1"/>
  <c r="AJ207" i="56" s="1" a="1"/>
  <c r="AJ207" i="56" s="1"/>
  <c r="X274" i="56"/>
  <c r="AH274" i="56" s="1"/>
  <c r="AG274" i="56" s="1"/>
  <c r="AJ274" i="56" s="1" a="1"/>
  <c r="AJ274" i="56" s="1"/>
  <c r="V274" i="56"/>
  <c r="Y274" i="56" s="1"/>
  <c r="X499" i="56"/>
  <c r="AH499" i="56" s="1"/>
  <c r="AG499" i="56" s="1"/>
  <c r="AJ499" i="56" s="1" a="1"/>
  <c r="AJ499" i="56" s="1"/>
  <c r="V499" i="56"/>
  <c r="Y499" i="56" s="1"/>
  <c r="U328" i="56"/>
  <c r="W328" i="56" s="1"/>
  <c r="U327" i="56"/>
  <c r="W327" i="56" s="1"/>
  <c r="U329" i="56"/>
  <c r="W329" i="56" s="1"/>
  <c r="X71" i="56"/>
  <c r="AH71" i="56" s="1"/>
  <c r="AG71" i="56" s="1"/>
  <c r="AJ71" i="56" s="1" a="1"/>
  <c r="AJ71" i="56" s="1"/>
  <c r="V71" i="56"/>
  <c r="Y71" i="56" s="1"/>
  <c r="V280" i="56"/>
  <c r="Y280" i="56" s="1"/>
  <c r="X280" i="56"/>
  <c r="AH280" i="56" s="1"/>
  <c r="AG280" i="56" s="1"/>
  <c r="AJ280" i="56" s="1" a="1"/>
  <c r="AJ280" i="56" s="1"/>
  <c r="Y180" i="57"/>
  <c r="AK180" i="57"/>
  <c r="AL180" i="57"/>
  <c r="V413" i="56"/>
  <c r="Y413" i="56" s="1"/>
  <c r="X413" i="56"/>
  <c r="AH413" i="56" s="1"/>
  <c r="AG413" i="56" s="1"/>
  <c r="AJ413" i="56" s="1" a="1"/>
  <c r="AJ413" i="56" s="1"/>
  <c r="X188" i="56"/>
  <c r="AH188" i="56" s="1"/>
  <c r="AG188" i="56" s="1"/>
  <c r="AJ188" i="56" s="1" a="1"/>
  <c r="AJ188" i="56" s="1"/>
  <c r="V188" i="56"/>
  <c r="Y188" i="56" s="1"/>
  <c r="Y68" i="57"/>
  <c r="AK68" i="57"/>
  <c r="AL68" i="57"/>
  <c r="X330" i="56"/>
  <c r="AH330" i="56" s="1"/>
  <c r="AG330" i="56" s="1"/>
  <c r="AJ330" i="56" s="1" a="1"/>
  <c r="AJ330" i="56" s="1"/>
  <c r="V330" i="56"/>
  <c r="Y330" i="56" s="1"/>
  <c r="X307" i="56"/>
  <c r="AH307" i="56" s="1"/>
  <c r="AG307" i="56" s="1"/>
  <c r="AJ307" i="56" s="1" a="1"/>
  <c r="AJ307" i="56" s="1"/>
  <c r="V307" i="56"/>
  <c r="Y307" i="56" s="1"/>
  <c r="X522" i="56"/>
  <c r="AH522" i="56" s="1"/>
  <c r="AG522" i="56" s="1"/>
  <c r="AJ522" i="56" s="1" a="1"/>
  <c r="AJ522" i="56" s="1"/>
  <c r="V522" i="56"/>
  <c r="Y522" i="56" s="1"/>
  <c r="U65" i="56"/>
  <c r="W65" i="56" s="1"/>
  <c r="U64" i="56"/>
  <c r="W64" i="56" s="1"/>
  <c r="U63" i="56"/>
  <c r="W63" i="56" s="1"/>
  <c r="V524" i="56"/>
  <c r="Y524" i="56" s="1"/>
  <c r="X524" i="56"/>
  <c r="AH524" i="56" s="1"/>
  <c r="AG524" i="56" s="1"/>
  <c r="AJ524" i="56" s="1" a="1"/>
  <c r="AJ524" i="56" s="1"/>
  <c r="U436" i="56"/>
  <c r="W436" i="56" s="1"/>
  <c r="U435" i="56"/>
  <c r="W435" i="56" s="1"/>
  <c r="U437" i="56"/>
  <c r="W437" i="56" s="1"/>
  <c r="V92" i="56"/>
  <c r="Y92" i="56" s="1"/>
  <c r="X92" i="56"/>
  <c r="AH92" i="56" s="1"/>
  <c r="AG92" i="56" s="1"/>
  <c r="AJ92" i="56" s="1" a="1"/>
  <c r="AJ92" i="56" s="1"/>
  <c r="V213" i="56"/>
  <c r="Y213" i="56" s="1"/>
  <c r="X213" i="56"/>
  <c r="AH213" i="56" s="1"/>
  <c r="AG213" i="56" s="1"/>
  <c r="AJ213" i="56" s="1" a="1"/>
  <c r="AJ213" i="56" s="1"/>
  <c r="X246" i="56"/>
  <c r="AH246" i="56" s="1"/>
  <c r="AG246" i="56" s="1"/>
  <c r="AJ246" i="56" s="1" a="1"/>
  <c r="AJ246" i="56" s="1"/>
  <c r="V246" i="56"/>
  <c r="Y246" i="56" s="1"/>
  <c r="V328" i="56"/>
  <c r="Y328" i="56" s="1"/>
  <c r="X328" i="56"/>
  <c r="AH328" i="56" s="1"/>
  <c r="AG328" i="56" s="1"/>
  <c r="AJ328" i="56" s="1" a="1"/>
  <c r="AJ328" i="56" s="1"/>
  <c r="U269" i="56"/>
  <c r="W269" i="56" s="1"/>
  <c r="U267" i="56"/>
  <c r="W267" i="56" s="1"/>
  <c r="U268" i="56"/>
  <c r="W268" i="56" s="1"/>
  <c r="X69" i="56"/>
  <c r="AH69" i="56" s="1"/>
  <c r="AG69" i="56" s="1"/>
  <c r="AJ69" i="56" s="1" a="1"/>
  <c r="AJ69" i="56" s="1"/>
  <c r="V69" i="56"/>
  <c r="Y69" i="56" s="1"/>
  <c r="X279" i="56"/>
  <c r="AH279" i="56" s="1"/>
  <c r="AG279" i="56" s="1"/>
  <c r="AJ279" i="56" s="1" a="1"/>
  <c r="AJ279" i="56" s="1"/>
  <c r="V279" i="56"/>
  <c r="Y279" i="56" s="1"/>
  <c r="X411" i="56"/>
  <c r="AH411" i="56" s="1"/>
  <c r="AG411" i="56" s="1"/>
  <c r="AJ411" i="56" s="1" a="1"/>
  <c r="AJ411" i="56" s="1"/>
  <c r="V411" i="56"/>
  <c r="Y411" i="56" s="1"/>
  <c r="X186" i="56"/>
  <c r="AH186" i="56" s="1"/>
  <c r="AG186" i="56" s="1"/>
  <c r="AJ186" i="56" s="1" a="1"/>
  <c r="AJ186" i="56" s="1"/>
  <c r="V186" i="56"/>
  <c r="Y186" i="56" s="1"/>
  <c r="Y35" i="57"/>
  <c r="AL35" i="57"/>
  <c r="AK35" i="57"/>
  <c r="V487" i="56"/>
  <c r="Y487" i="56" s="1"/>
  <c r="X487" i="56"/>
  <c r="AH487" i="56" s="1"/>
  <c r="AG487" i="56" s="1"/>
  <c r="AJ487" i="56" s="1" a="1"/>
  <c r="AJ487" i="56" s="1"/>
  <c r="V331" i="56"/>
  <c r="Y331" i="56" s="1"/>
  <c r="X331" i="56"/>
  <c r="AH331" i="56" s="1"/>
  <c r="AG331" i="56" s="1"/>
  <c r="AJ331" i="56" s="1" a="1"/>
  <c r="AJ331" i="56" s="1"/>
  <c r="U306" i="56"/>
  <c r="W306" i="56" s="1"/>
  <c r="U308" i="56"/>
  <c r="W308" i="56" s="1"/>
  <c r="U307" i="56"/>
  <c r="W307" i="56" s="1"/>
  <c r="AK148" i="57"/>
  <c r="AL148" i="57"/>
  <c r="Y148" i="57"/>
  <c r="U260" i="56"/>
  <c r="W260" i="56" s="1"/>
  <c r="U259" i="56"/>
  <c r="W259" i="56" s="1"/>
  <c r="U258" i="56"/>
  <c r="W258" i="56" s="1"/>
  <c r="Y16" i="57"/>
  <c r="AK16" i="57"/>
  <c r="AL16" i="57"/>
  <c r="U426" i="56"/>
  <c r="W426" i="56" s="1"/>
  <c r="U428" i="56"/>
  <c r="W428" i="56" s="1"/>
  <c r="U427" i="56"/>
  <c r="W427" i="56" s="1"/>
  <c r="V286" i="56"/>
  <c r="Y286" i="56" s="1"/>
  <c r="X286" i="56"/>
  <c r="AH286" i="56" s="1"/>
  <c r="AG286" i="56" s="1"/>
  <c r="AJ286" i="56" s="1" a="1"/>
  <c r="AJ286" i="56" s="1"/>
  <c r="X167" i="57"/>
  <c r="AA167" i="57" s="1"/>
  <c r="Y167" i="57"/>
  <c r="AL167" i="57"/>
  <c r="AK167" i="57"/>
  <c r="V287" i="56"/>
  <c r="Y287" i="56" s="1"/>
  <c r="X287" i="56"/>
  <c r="AH287" i="56" s="1"/>
  <c r="AG287" i="56" s="1"/>
  <c r="AJ287" i="56" s="1" a="1"/>
  <c r="AJ287" i="56" s="1"/>
  <c r="AK108" i="57"/>
  <c r="AL108" i="57"/>
  <c r="Y108" i="57"/>
  <c r="X285" i="56"/>
  <c r="AH285" i="56" s="1"/>
  <c r="AG285" i="56" s="1"/>
  <c r="AJ285" i="56" s="1" a="1"/>
  <c r="AJ285" i="56" s="1"/>
  <c r="V285" i="56"/>
  <c r="Y285" i="56" s="1"/>
  <c r="Y98" i="57"/>
  <c r="AL98" i="57"/>
  <c r="AK98" i="57"/>
  <c r="Y181" i="57"/>
  <c r="AL181" i="57"/>
  <c r="AK181" i="57"/>
  <c r="X493" i="56"/>
  <c r="AH493" i="56" s="1"/>
  <c r="AG493" i="56" s="1"/>
  <c r="AJ493" i="56" s="1" a="1"/>
  <c r="AJ493" i="56" s="1"/>
  <c r="V493" i="56"/>
  <c r="Y493" i="56" s="1"/>
  <c r="X191" i="56"/>
  <c r="AH191" i="56" s="1"/>
  <c r="AG191" i="56" s="1"/>
  <c r="AJ191" i="56" s="1" a="1"/>
  <c r="AJ191" i="56" s="1"/>
  <c r="V191" i="56"/>
  <c r="Y191" i="56" s="1"/>
  <c r="Y183" i="57"/>
  <c r="AL183" i="57"/>
  <c r="AK183" i="57"/>
  <c r="U282" i="56"/>
  <c r="W282" i="56" s="1"/>
  <c r="U284" i="56"/>
  <c r="W284" i="56" s="1"/>
  <c r="U283" i="56"/>
  <c r="W283" i="56" s="1"/>
  <c r="X442" i="56"/>
  <c r="AH442" i="56" s="1"/>
  <c r="AG442" i="56" s="1"/>
  <c r="AJ442" i="56" s="1" a="1"/>
  <c r="AJ442" i="56" s="1"/>
  <c r="V442" i="56"/>
  <c r="Y442" i="56" s="1"/>
  <c r="X140" i="56"/>
  <c r="AH140" i="56" s="1"/>
  <c r="AG140" i="56" s="1"/>
  <c r="AJ140" i="56" s="1" a="1"/>
  <c r="AJ140" i="56" s="1"/>
  <c r="V140" i="56"/>
  <c r="Y140" i="56" s="1"/>
  <c r="Y150" i="57"/>
  <c r="AK150" i="57"/>
  <c r="AL150" i="57"/>
  <c r="X127" i="56"/>
  <c r="AH127" i="56" s="1"/>
  <c r="AG127" i="56" s="1"/>
  <c r="AJ127" i="56" s="1" a="1"/>
  <c r="AJ127" i="56" s="1"/>
  <c r="V127" i="56"/>
  <c r="Y127" i="56" s="1"/>
  <c r="U215" i="56"/>
  <c r="W215" i="56" s="1"/>
  <c r="U214" i="56"/>
  <c r="W214" i="56" s="1"/>
  <c r="U213" i="56"/>
  <c r="W213" i="56" s="1"/>
  <c r="Y171" i="57"/>
  <c r="AL171" i="57"/>
  <c r="AK171" i="57"/>
  <c r="X443" i="56"/>
  <c r="AH443" i="56" s="1"/>
  <c r="AG443" i="56" s="1"/>
  <c r="AJ443" i="56" s="1" a="1"/>
  <c r="AJ443" i="56" s="1"/>
  <c r="V443" i="56"/>
  <c r="Y443" i="56" s="1"/>
  <c r="X292" i="56"/>
  <c r="AH292" i="56" s="1"/>
  <c r="AG292" i="56" s="1"/>
  <c r="AJ292" i="56" s="1" a="1"/>
  <c r="AJ292" i="56" s="1"/>
  <c r="V292" i="56"/>
  <c r="Y292" i="56" s="1"/>
  <c r="X201" i="56"/>
  <c r="AH201" i="56" s="1"/>
  <c r="AG201" i="56" s="1"/>
  <c r="AJ201" i="56" s="1" a="1"/>
  <c r="AJ201" i="56" s="1"/>
  <c r="V201" i="56"/>
  <c r="Y201" i="56" s="1"/>
  <c r="V247" i="56"/>
  <c r="Y247" i="56" s="1"/>
  <c r="X247" i="56"/>
  <c r="AH247" i="56" s="1"/>
  <c r="AG247" i="56" s="1"/>
  <c r="AJ247" i="56" s="1" a="1"/>
  <c r="AJ247" i="56" s="1"/>
  <c r="AK71" i="57"/>
  <c r="AL71" i="57"/>
  <c r="Y71" i="57"/>
  <c r="U275" i="56"/>
  <c r="W275" i="56" s="1"/>
  <c r="U274" i="56"/>
  <c r="W274" i="56" s="1"/>
  <c r="U273" i="56"/>
  <c r="W273" i="56" s="1"/>
  <c r="AK144" i="57"/>
  <c r="X144" i="57"/>
  <c r="AA144" i="57" s="1"/>
  <c r="AL144" i="57"/>
  <c r="Y144" i="57"/>
  <c r="X498" i="56"/>
  <c r="AH498" i="56" s="1"/>
  <c r="AG498" i="56" s="1"/>
  <c r="AJ498" i="56" s="1" a="1"/>
  <c r="AJ498" i="56" s="1"/>
  <c r="V498" i="56"/>
  <c r="Y498" i="56" s="1"/>
  <c r="X327" i="56"/>
  <c r="AH327" i="56" s="1"/>
  <c r="AG327" i="56" s="1"/>
  <c r="AJ327" i="56" s="1" a="1"/>
  <c r="AJ327" i="56" s="1"/>
  <c r="V327" i="56"/>
  <c r="Y327" i="56" s="1"/>
  <c r="X267" i="56"/>
  <c r="AH267" i="56" s="1"/>
  <c r="AG267" i="56" s="1"/>
  <c r="AJ267" i="56" s="1" a="1"/>
  <c r="AJ267" i="56" s="1"/>
  <c r="V267" i="56"/>
  <c r="Y267" i="56" s="1"/>
  <c r="X70" i="56"/>
  <c r="AH70" i="56" s="1"/>
  <c r="AG70" i="56" s="1"/>
  <c r="AJ70" i="56" s="1" a="1"/>
  <c r="AJ70" i="56" s="1"/>
  <c r="V70" i="56"/>
  <c r="Y70" i="56" s="1"/>
  <c r="X146" i="56"/>
  <c r="AH146" i="56" s="1"/>
  <c r="AG146" i="56" s="1"/>
  <c r="AJ146" i="56" s="1" a="1"/>
  <c r="AJ146" i="56" s="1"/>
  <c r="V146" i="56"/>
  <c r="Y146" i="56" s="1"/>
  <c r="X281" i="56"/>
  <c r="AH281" i="56" s="1"/>
  <c r="AG281" i="56" s="1"/>
  <c r="AJ281" i="56" s="1" a="1"/>
  <c r="AJ281" i="56" s="1"/>
  <c r="V281" i="56"/>
  <c r="Y281" i="56" s="1"/>
  <c r="AL169" i="57"/>
  <c r="AK169" i="57"/>
  <c r="Y169" i="57"/>
  <c r="U413" i="56"/>
  <c r="W413" i="56" s="1"/>
  <c r="U412" i="56"/>
  <c r="W412" i="56" s="1"/>
  <c r="U411" i="56"/>
  <c r="W411" i="56" s="1"/>
  <c r="U186" i="56"/>
  <c r="W186" i="56" s="1"/>
  <c r="U187" i="56"/>
  <c r="W187" i="56" s="1"/>
  <c r="U188" i="56"/>
  <c r="W188" i="56" s="1"/>
  <c r="X50" i="56"/>
  <c r="AH50" i="56" s="1"/>
  <c r="AG50" i="56" s="1"/>
  <c r="AJ50" i="56" s="1" a="1"/>
  <c r="AJ50" i="56" s="1"/>
  <c r="V50" i="56"/>
  <c r="Y50" i="56" s="1"/>
  <c r="V486" i="56"/>
  <c r="Y486" i="56" s="1"/>
  <c r="X486" i="56"/>
  <c r="AH486" i="56" s="1"/>
  <c r="AG486" i="56" s="1"/>
  <c r="AJ486" i="56" s="1" a="1"/>
  <c r="AJ486" i="56" s="1"/>
  <c r="U332" i="56"/>
  <c r="W332" i="56" s="1"/>
  <c r="U330" i="56"/>
  <c r="W330" i="56" s="1"/>
  <c r="U331" i="56"/>
  <c r="W331" i="56" s="1"/>
  <c r="V134" i="56"/>
  <c r="Y134" i="56" s="1"/>
  <c r="X134" i="56"/>
  <c r="AH134" i="56" s="1"/>
  <c r="AG134" i="56" s="1"/>
  <c r="AJ134" i="56" s="1" a="1"/>
  <c r="AJ134" i="56" s="1"/>
  <c r="Y110" i="57"/>
  <c r="AK110" i="57"/>
  <c r="AL110" i="57"/>
  <c r="X448" i="56"/>
  <c r="AH448" i="56" s="1"/>
  <c r="AG448" i="56" s="1"/>
  <c r="AJ448" i="56" s="1" a="1"/>
  <c r="AJ448" i="56" s="1"/>
  <c r="V448" i="56"/>
  <c r="Y448" i="56" s="1"/>
  <c r="X76" i="56"/>
  <c r="AH76" i="56" s="1"/>
  <c r="AG76" i="56" s="1"/>
  <c r="AJ76" i="56" s="1" a="1"/>
  <c r="AJ76" i="56" s="1"/>
  <c r="V76" i="56"/>
  <c r="Y76" i="56" s="1"/>
  <c r="U524" i="56"/>
  <c r="W524" i="56" s="1"/>
  <c r="U522" i="56"/>
  <c r="W522" i="56" s="1"/>
  <c r="U523" i="56"/>
  <c r="W523" i="56" s="1"/>
  <c r="U189" i="56"/>
  <c r="W189" i="56" s="1"/>
  <c r="U191" i="56"/>
  <c r="W191" i="56" s="1"/>
  <c r="U190" i="56"/>
  <c r="W190" i="56" s="1"/>
  <c r="U333" i="56"/>
  <c r="W333" i="56" s="1"/>
  <c r="U334" i="56"/>
  <c r="W334" i="56" s="1"/>
  <c r="U335" i="56"/>
  <c r="W335" i="56" s="1"/>
  <c r="V288" i="56"/>
  <c r="Y288" i="56" s="1"/>
  <c r="X288" i="56"/>
  <c r="AH288" i="56" s="1"/>
  <c r="AG288" i="56" s="1"/>
  <c r="AJ288" i="56" s="1" a="1"/>
  <c r="AJ288" i="56" s="1"/>
  <c r="X147" i="56"/>
  <c r="AH147" i="56" s="1"/>
  <c r="AG147" i="56" s="1"/>
  <c r="AJ147" i="56" s="1" a="1"/>
  <c r="AJ147" i="56" s="1"/>
  <c r="V147" i="56"/>
  <c r="Y147" i="56" s="1"/>
  <c r="X317" i="56"/>
  <c r="AH317" i="56" s="1"/>
  <c r="AG317" i="56" s="1"/>
  <c r="AJ317" i="56" s="1" a="1"/>
  <c r="AJ317" i="56" s="1"/>
  <c r="V317" i="56"/>
  <c r="Y317" i="56" s="1"/>
  <c r="U199" i="56"/>
  <c r="W199" i="56" s="1"/>
  <c r="U200" i="56"/>
  <c r="W200" i="56" s="1"/>
  <c r="U198" i="56"/>
  <c r="W198" i="56" s="1"/>
  <c r="X293" i="56"/>
  <c r="AH293" i="56" s="1"/>
  <c r="AG293" i="56" s="1"/>
  <c r="AJ293" i="56" s="1" a="1"/>
  <c r="AJ293" i="56" s="1"/>
  <c r="V293" i="56"/>
  <c r="Y293" i="56" s="1"/>
  <c r="V403" i="56"/>
  <c r="Y403" i="56" s="1"/>
  <c r="X403" i="56"/>
  <c r="AH403" i="56" s="1"/>
  <c r="AG403" i="56" s="1"/>
  <c r="AJ403" i="56" s="1" a="1"/>
  <c r="AJ403" i="56" s="1"/>
  <c r="X126" i="56"/>
  <c r="AH126" i="56" s="1"/>
  <c r="AG126" i="56" s="1"/>
  <c r="AJ126" i="56" s="1" a="1"/>
  <c r="AJ126" i="56" s="1"/>
  <c r="V126" i="56"/>
  <c r="Y126" i="56" s="1"/>
  <c r="Y140" i="57"/>
  <c r="AK140" i="57"/>
  <c r="AL140" i="57"/>
  <c r="X441" i="56"/>
  <c r="AH441" i="56" s="1"/>
  <c r="AG441" i="56" s="1"/>
  <c r="AJ441" i="56" s="1" a="1"/>
  <c r="AJ441" i="56" s="1"/>
  <c r="V441" i="56"/>
  <c r="Y441" i="56" s="1"/>
  <c r="U292" i="56"/>
  <c r="W292" i="56" s="1"/>
  <c r="U291" i="56"/>
  <c r="W291" i="56" s="1"/>
  <c r="U293" i="56"/>
  <c r="W293" i="56" s="1"/>
  <c r="V203" i="56"/>
  <c r="Y203" i="56" s="1"/>
  <c r="X203" i="56"/>
  <c r="AH203" i="56" s="1"/>
  <c r="AG203" i="56" s="1"/>
  <c r="AJ203" i="56" s="1" a="1"/>
  <c r="AJ203" i="56" s="1"/>
  <c r="X248" i="56"/>
  <c r="AH248" i="56" s="1"/>
  <c r="AG248" i="56" s="1"/>
  <c r="AJ248" i="56" s="1" a="1"/>
  <c r="AJ248" i="56" s="1"/>
  <c r="V248" i="56"/>
  <c r="Y248" i="56" s="1"/>
  <c r="Y179" i="57"/>
  <c r="AL179" i="57"/>
  <c r="AK179" i="57"/>
  <c r="V275" i="56"/>
  <c r="Y275" i="56" s="1"/>
  <c r="X275" i="56"/>
  <c r="AH275" i="56" s="1"/>
  <c r="AG275" i="56" s="1"/>
  <c r="AJ275" i="56" s="1" a="1"/>
  <c r="AJ275" i="56" s="1"/>
  <c r="U498" i="56"/>
  <c r="W498" i="56" s="1"/>
  <c r="U500" i="56"/>
  <c r="W500" i="56" s="1"/>
  <c r="U499" i="56"/>
  <c r="W499" i="56" s="1"/>
  <c r="X269" i="56"/>
  <c r="AH269" i="56" s="1"/>
  <c r="AG269" i="56" s="1"/>
  <c r="AJ269" i="56" s="1" a="1"/>
  <c r="AJ269" i="56" s="1"/>
  <c r="V269" i="56"/>
  <c r="Y269" i="56" s="1"/>
  <c r="U71" i="56"/>
  <c r="W71" i="56" s="1"/>
  <c r="U70" i="56"/>
  <c r="W70" i="56" s="1"/>
  <c r="U69" i="56"/>
  <c r="W69" i="56" s="1"/>
  <c r="V145" i="56"/>
  <c r="Y145" i="56" s="1"/>
  <c r="X145" i="56"/>
  <c r="AH145" i="56" s="1"/>
  <c r="AG145" i="56" s="1"/>
  <c r="AJ145" i="56" s="1" a="1"/>
  <c r="AJ145" i="56" s="1"/>
  <c r="U280" i="56"/>
  <c r="W280" i="56" s="1"/>
  <c r="U281" i="56"/>
  <c r="W281" i="56" s="1"/>
  <c r="U279" i="56"/>
  <c r="W279" i="56" s="1"/>
  <c r="X187" i="56"/>
  <c r="AH187" i="56" s="1"/>
  <c r="AG187" i="56" s="1"/>
  <c r="AJ187" i="56" s="1" a="1"/>
  <c r="AJ187" i="56" s="1"/>
  <c r="V187" i="56"/>
  <c r="Y187" i="56" s="1"/>
  <c r="U50" i="56"/>
  <c r="W50" i="56" s="1"/>
  <c r="U48" i="56"/>
  <c r="W48" i="56" s="1"/>
  <c r="U49" i="56"/>
  <c r="W49" i="56" s="1"/>
  <c r="X488" i="56"/>
  <c r="AH488" i="56" s="1"/>
  <c r="AG488" i="56" s="1"/>
  <c r="AJ488" i="56" s="1" a="1"/>
  <c r="AJ488" i="56" s="1"/>
  <c r="V488" i="56"/>
  <c r="Y488" i="56" s="1"/>
  <c r="Y88" i="57"/>
  <c r="AK88" i="57"/>
  <c r="AL88" i="57"/>
  <c r="V249" i="56"/>
  <c r="Y249" i="56" s="1"/>
  <c r="X249" i="56"/>
  <c r="AH249" i="56" s="1"/>
  <c r="AG249" i="56" s="1"/>
  <c r="AJ249" i="56" s="1" a="1"/>
  <c r="AJ249" i="56" s="1"/>
  <c r="Y151" i="57"/>
  <c r="AK151" i="57"/>
  <c r="AL151" i="57"/>
  <c r="V544" i="56"/>
  <c r="Y544" i="56" s="1"/>
  <c r="X544" i="56"/>
  <c r="AH544" i="56" s="1"/>
  <c r="AG544" i="56" s="1"/>
  <c r="AJ544" i="56" s="1" a="1"/>
  <c r="AJ544" i="56" s="1"/>
  <c r="V277" i="56"/>
  <c r="Y277" i="56" s="1"/>
  <c r="X277" i="56"/>
  <c r="AH277" i="56" s="1"/>
  <c r="AG277" i="56" s="1"/>
  <c r="AJ277" i="56" s="1" a="1"/>
  <c r="AJ277" i="56" s="1"/>
  <c r="V135" i="56"/>
  <c r="Y135" i="56" s="1"/>
  <c r="X135" i="56"/>
  <c r="AH135" i="56" s="1"/>
  <c r="AG135" i="56" s="1"/>
  <c r="AJ135" i="56" s="1" a="1"/>
  <c r="AJ135" i="56" s="1"/>
  <c r="X273" i="56"/>
  <c r="AH273" i="56" s="1"/>
  <c r="AG273" i="56" s="1"/>
  <c r="AJ273" i="56" s="1" a="1"/>
  <c r="AJ273" i="56" s="1"/>
  <c r="V273" i="56"/>
  <c r="Y273" i="56" s="1"/>
  <c r="X139" i="56"/>
  <c r="AH139" i="56" s="1"/>
  <c r="AG139" i="56" s="1"/>
  <c r="AJ139" i="56" s="1" a="1"/>
  <c r="AJ139" i="56" s="1"/>
  <c r="V139" i="56"/>
  <c r="Y139" i="56" s="1"/>
  <c r="V128" i="56"/>
  <c r="Y128" i="56" s="1"/>
  <c r="X128" i="56"/>
  <c r="AH128" i="56" s="1"/>
  <c r="AG128" i="56" s="1"/>
  <c r="AJ128" i="56" s="1" a="1"/>
  <c r="AJ128" i="56" s="1"/>
  <c r="Y55" i="57"/>
  <c r="AK55" i="57"/>
  <c r="AL55" i="57"/>
  <c r="X431" i="56"/>
  <c r="AH431" i="56" s="1"/>
  <c r="AG431" i="56" s="1"/>
  <c r="AJ431" i="56" s="1" a="1"/>
  <c r="AJ431" i="56" s="1"/>
  <c r="V431" i="56"/>
  <c r="Y431" i="56" s="1"/>
  <c r="V509" i="56"/>
  <c r="Y509" i="56" s="1"/>
  <c r="X509" i="56"/>
  <c r="AH509" i="56" s="1"/>
  <c r="AG509" i="56" s="1"/>
  <c r="AJ509" i="56" s="1" a="1"/>
  <c r="AJ509" i="56" s="1"/>
  <c r="U443" i="56"/>
  <c r="W443" i="56" s="1"/>
  <c r="U441" i="56"/>
  <c r="W441" i="56" s="1"/>
  <c r="U442" i="56"/>
  <c r="W442" i="56" s="1"/>
  <c r="U203" i="56"/>
  <c r="W203" i="56" s="1"/>
  <c r="U201" i="56"/>
  <c r="W201" i="56" s="1"/>
  <c r="U202" i="56"/>
  <c r="W202" i="56" s="1"/>
  <c r="V397" i="56"/>
  <c r="Y397" i="56" s="1"/>
  <c r="X397" i="56"/>
  <c r="AH397" i="56" s="1"/>
  <c r="AG397" i="56" s="1"/>
  <c r="AJ397" i="56" s="1" a="1"/>
  <c r="AJ397" i="56" s="1"/>
  <c r="V268" i="56"/>
  <c r="Y268" i="56" s="1"/>
  <c r="X268" i="56"/>
  <c r="AH268" i="56" s="1"/>
  <c r="AG268" i="56" s="1"/>
  <c r="AJ268" i="56" s="1" a="1"/>
  <c r="AJ268" i="56" s="1"/>
  <c r="X144" i="56"/>
  <c r="AH144" i="56" s="1"/>
  <c r="AG144" i="56" s="1"/>
  <c r="AJ144" i="56" s="1" a="1"/>
  <c r="AJ144" i="56" s="1"/>
  <c r="V144" i="56"/>
  <c r="Y144" i="56" s="1"/>
  <c r="V78" i="56"/>
  <c r="Y78" i="56" s="1"/>
  <c r="X78" i="56"/>
  <c r="AH78" i="56" s="1"/>
  <c r="AG78" i="56" s="1"/>
  <c r="AJ78" i="56" s="1" a="1"/>
  <c r="AJ78" i="56" s="1"/>
  <c r="Y177" i="57"/>
  <c r="X177" i="57"/>
  <c r="AA177" i="57" s="1"/>
  <c r="AL177" i="57"/>
  <c r="AK177" i="57"/>
  <c r="X49" i="56"/>
  <c r="AH49" i="56" s="1"/>
  <c r="AG49" i="56" s="1"/>
  <c r="AJ49" i="56" s="1" a="1"/>
  <c r="AJ49" i="56" s="1"/>
  <c r="V49" i="56"/>
  <c r="Y49" i="56" s="1"/>
  <c r="U488" i="56"/>
  <c r="W488" i="56" s="1"/>
  <c r="U487" i="56"/>
  <c r="W487" i="56" s="1"/>
  <c r="U486" i="56"/>
  <c r="W486" i="56" s="1"/>
  <c r="V251" i="56"/>
  <c r="Y251" i="56" s="1"/>
  <c r="X251" i="56"/>
  <c r="AH251" i="56" s="1"/>
  <c r="AG251" i="56" s="1"/>
  <c r="AJ251" i="56" s="1" a="1"/>
  <c r="AJ251" i="56" s="1"/>
  <c r="X24" i="57"/>
  <c r="AA24" i="57" s="1"/>
  <c r="AK24" i="57"/>
  <c r="AL24" i="57"/>
  <c r="Y24" i="57"/>
  <c r="U265" i="56"/>
  <c r="W265" i="56" s="1"/>
  <c r="U264" i="56"/>
  <c r="W264" i="56" s="1"/>
  <c r="U266" i="56"/>
  <c r="W266" i="56" s="1"/>
  <c r="X154" i="56"/>
  <c r="AH154" i="56" s="1"/>
  <c r="AG154" i="56" s="1"/>
  <c r="AJ154" i="56" s="1" a="1"/>
  <c r="AJ154" i="56" s="1"/>
  <c r="V154" i="56"/>
  <c r="Y154" i="56" s="1"/>
  <c r="X77" i="56"/>
  <c r="AH77" i="56" s="1"/>
  <c r="AG77" i="56" s="1"/>
  <c r="AJ77" i="56" s="1" a="1"/>
  <c r="AJ77" i="56" s="1"/>
  <c r="V77" i="56"/>
  <c r="Y77" i="56" s="1"/>
  <c r="X60" i="56"/>
  <c r="AH60" i="56" s="1"/>
  <c r="AG60" i="56" s="1"/>
  <c r="AJ60" i="56" s="1" a="1"/>
  <c r="AJ60" i="56" s="1"/>
  <c r="V60" i="56"/>
  <c r="Y60" i="56" s="1"/>
  <c r="Y168" i="57"/>
  <c r="AL168" i="57"/>
  <c r="AK168" i="57"/>
  <c r="V75" i="56"/>
  <c r="Y75" i="56" s="1"/>
  <c r="X75" i="56"/>
  <c r="AH75" i="56" s="1"/>
  <c r="AG75" i="56" s="1"/>
  <c r="AJ75" i="56" s="1" a="1"/>
  <c r="AJ75" i="56" s="1"/>
  <c r="V535" i="56"/>
  <c r="Y535" i="56" s="1"/>
  <c r="X535" i="56"/>
  <c r="AH535" i="56" s="1"/>
  <c r="AG535" i="56" s="1"/>
  <c r="AJ535" i="56" s="1" a="1"/>
  <c r="AJ535" i="56" s="1"/>
  <c r="X55" i="56"/>
  <c r="AH55" i="56" s="1"/>
  <c r="AG55" i="56" s="1"/>
  <c r="AJ55" i="56" s="1" a="1"/>
  <c r="AJ55" i="56" s="1"/>
  <c r="V55" i="56"/>
  <c r="Y55" i="56" s="1"/>
  <c r="Y67" i="57"/>
  <c r="AL67" i="57"/>
  <c r="AK67" i="57"/>
  <c r="X67" i="57"/>
  <c r="AA67" i="57" s="1"/>
  <c r="X490" i="56"/>
  <c r="AH490" i="56" s="1"/>
  <c r="AG490" i="56" s="1"/>
  <c r="AJ490" i="56" s="1" a="1"/>
  <c r="AJ490" i="56" s="1"/>
  <c r="V490" i="56"/>
  <c r="Y490" i="56" s="1"/>
  <c r="V534" i="56"/>
  <c r="Y534" i="56" s="1"/>
  <c r="X534" i="56"/>
  <c r="AH534" i="56" s="1"/>
  <c r="AG534" i="56" s="1"/>
  <c r="AJ534" i="56" s="1" a="1"/>
  <c r="AJ534" i="56" s="1"/>
  <c r="X417" i="56"/>
  <c r="AH417" i="56" s="1"/>
  <c r="AG417" i="56" s="1"/>
  <c r="AJ417" i="56" s="1" a="1"/>
  <c r="AJ417" i="56" s="1"/>
  <c r="V417" i="56"/>
  <c r="Y417" i="56" s="1"/>
  <c r="AK52" i="57"/>
  <c r="AL52" i="57"/>
  <c r="X52" i="57"/>
  <c r="AA52" i="57" s="1"/>
  <c r="Y52" i="57"/>
  <c r="X257" i="56"/>
  <c r="AH257" i="56" s="1"/>
  <c r="AG257" i="56" s="1"/>
  <c r="AJ257" i="56" s="1" a="1"/>
  <c r="AJ257" i="56" s="1"/>
  <c r="V257" i="56"/>
  <c r="Y257" i="56" s="1"/>
  <c r="AK111" i="57"/>
  <c r="Y111" i="57"/>
  <c r="AL111" i="57"/>
  <c r="X500" i="56"/>
  <c r="AH500" i="56" s="1"/>
  <c r="AG500" i="56" s="1"/>
  <c r="AJ500" i="56" s="1" a="1"/>
  <c r="AJ500" i="56" s="1"/>
  <c r="V500" i="56"/>
  <c r="Y500" i="56" s="1"/>
  <c r="V454" i="56"/>
  <c r="Y454" i="56" s="1"/>
  <c r="X454" i="56"/>
  <c r="AH454" i="56" s="1"/>
  <c r="AG454" i="56" s="1"/>
  <c r="AJ454" i="56" s="1" a="1"/>
  <c r="AJ454" i="56" s="1"/>
  <c r="U206" i="56"/>
  <c r="W206" i="56" s="1"/>
  <c r="U204" i="56"/>
  <c r="W204" i="56" s="1"/>
  <c r="U205" i="56"/>
  <c r="W205" i="56" s="1"/>
  <c r="X205" i="56"/>
  <c r="AH205" i="56" s="1"/>
  <c r="AG205" i="56" s="1"/>
  <c r="AJ205" i="56" s="1" a="1"/>
  <c r="AJ205" i="56" s="1"/>
  <c r="V205" i="56"/>
  <c r="Y205" i="56" s="1"/>
  <c r="AL178" i="57"/>
  <c r="Y178" i="57"/>
  <c r="AK178" i="57"/>
  <c r="V453" i="56"/>
  <c r="Y453" i="56" s="1"/>
  <c r="X453" i="56"/>
  <c r="AH453" i="56" s="1"/>
  <c r="AG453" i="56" s="1"/>
  <c r="AJ453" i="56" s="1" a="1"/>
  <c r="AJ453" i="56" s="1"/>
  <c r="Y109" i="57"/>
  <c r="AL109" i="57"/>
  <c r="AK109" i="57"/>
  <c r="V539" i="56"/>
  <c r="Y539" i="56" s="1"/>
  <c r="X539" i="56"/>
  <c r="AH539" i="56" s="1"/>
  <c r="AG539" i="56" s="1"/>
  <c r="AJ539" i="56" s="1" a="1"/>
  <c r="AJ539" i="56" s="1"/>
  <c r="U402" i="56"/>
  <c r="W402" i="56" s="1"/>
  <c r="U404" i="56"/>
  <c r="W404" i="56" s="1"/>
  <c r="U403" i="56"/>
  <c r="W403" i="56" s="1"/>
  <c r="X206" i="56"/>
  <c r="AH206" i="56" s="1"/>
  <c r="AG206" i="56" s="1"/>
  <c r="AJ206" i="56" s="1" a="1"/>
  <c r="AJ206" i="56" s="1"/>
  <c r="V206" i="56"/>
  <c r="Y206" i="56" s="1"/>
  <c r="U138" i="56"/>
  <c r="W138" i="56" s="1"/>
  <c r="U140" i="56"/>
  <c r="W140" i="56" s="1"/>
  <c r="U139" i="56"/>
  <c r="W139" i="56" s="1"/>
  <c r="X38" i="56"/>
  <c r="AH38" i="56" s="1"/>
  <c r="AG38" i="56" s="1"/>
  <c r="AJ38" i="56" s="1" a="1"/>
  <c r="AJ38" i="56" s="1"/>
  <c r="V38" i="56"/>
  <c r="Y38" i="56" s="1"/>
  <c r="U126" i="56"/>
  <c r="W126" i="56" s="1"/>
  <c r="U127" i="56"/>
  <c r="W127" i="56" s="1"/>
  <c r="U128" i="56"/>
  <c r="W128" i="56" s="1"/>
  <c r="V429" i="56"/>
  <c r="Y429" i="56" s="1"/>
  <c r="X429" i="56"/>
  <c r="AH429" i="56" s="1"/>
  <c r="AG429" i="56" s="1"/>
  <c r="AJ429" i="56" s="1" a="1"/>
  <c r="AJ429" i="56" s="1"/>
  <c r="U509" i="56"/>
  <c r="W509" i="56" s="1"/>
  <c r="U507" i="56"/>
  <c r="W507" i="56" s="1"/>
  <c r="U508" i="56"/>
  <c r="W508" i="56" s="1"/>
  <c r="Y141" i="57"/>
  <c r="AK141" i="57"/>
  <c r="AL141" i="57"/>
  <c r="Y18" i="57"/>
  <c r="AK18" i="57"/>
  <c r="AL18" i="57"/>
  <c r="X94" i="56"/>
  <c r="AH94" i="56" s="1"/>
  <c r="AG94" i="56" s="1"/>
  <c r="AJ94" i="56" s="1" a="1"/>
  <c r="AJ94" i="56" s="1"/>
  <c r="V94" i="56"/>
  <c r="Y94" i="56" s="1"/>
  <c r="Y23" i="57"/>
  <c r="AK23" i="57"/>
  <c r="AL23" i="57"/>
  <c r="X272" i="56"/>
  <c r="AH272" i="56" s="1"/>
  <c r="AG272" i="56" s="1"/>
  <c r="AJ272" i="56" s="1" a="1"/>
  <c r="AJ272" i="56" s="1"/>
  <c r="V272" i="56"/>
  <c r="Y272" i="56" s="1"/>
  <c r="V398" i="56"/>
  <c r="Y398" i="56" s="1"/>
  <c r="X398" i="56"/>
  <c r="AH398" i="56" s="1"/>
  <c r="AG398" i="56" s="1"/>
  <c r="AJ398" i="56" s="1" a="1"/>
  <c r="AJ398" i="56" s="1"/>
  <c r="V52" i="56"/>
  <c r="Y52" i="56" s="1"/>
  <c r="X52" i="56"/>
  <c r="AH52" i="56" s="1"/>
  <c r="AG52" i="56" s="1"/>
  <c r="AJ52" i="56" s="1" a="1"/>
  <c r="AJ52" i="56" s="1"/>
  <c r="AL32" i="57"/>
  <c r="AK32" i="57"/>
  <c r="Y32" i="57"/>
  <c r="X32" i="57"/>
  <c r="AA32" i="57" s="1"/>
  <c r="X302" i="56"/>
  <c r="AH302" i="56" s="1"/>
  <c r="AG302" i="56" s="1"/>
  <c r="AJ302" i="56" s="1" a="1"/>
  <c r="AJ302" i="56" s="1"/>
  <c r="V302" i="56"/>
  <c r="Y302" i="56" s="1"/>
  <c r="U146" i="56"/>
  <c r="W146" i="56" s="1"/>
  <c r="U145" i="56"/>
  <c r="W145" i="56" s="1"/>
  <c r="U144" i="56"/>
  <c r="W144" i="56" s="1"/>
  <c r="V80" i="56"/>
  <c r="Y80" i="56" s="1"/>
  <c r="X80" i="56"/>
  <c r="AH80" i="56" s="1"/>
  <c r="AG80" i="56" s="1"/>
  <c r="AJ80" i="56" s="1" a="1"/>
  <c r="AJ80" i="56" s="1"/>
  <c r="X432" i="56"/>
  <c r="AH432" i="56" s="1"/>
  <c r="AG432" i="56" s="1"/>
  <c r="AJ432" i="56" s="1" a="1"/>
  <c r="AJ432" i="56" s="1"/>
  <c r="V432" i="56"/>
  <c r="Y432" i="56" s="1"/>
  <c r="X48" i="56"/>
  <c r="AH48" i="56" s="1"/>
  <c r="AG48" i="56" s="1"/>
  <c r="AJ48" i="56" s="1" a="1"/>
  <c r="AJ48" i="56" s="1"/>
  <c r="V48" i="56"/>
  <c r="Y48" i="56" s="1"/>
  <c r="AL54" i="57"/>
  <c r="Y54" i="57"/>
  <c r="AK54" i="57"/>
  <c r="X54" i="57"/>
  <c r="AA54" i="57" s="1"/>
  <c r="U251" i="56"/>
  <c r="W251" i="56" s="1"/>
  <c r="U249" i="56"/>
  <c r="W249" i="56" s="1"/>
  <c r="U250" i="56"/>
  <c r="W250" i="56" s="1"/>
  <c r="V319" i="56"/>
  <c r="Y319" i="56" s="1"/>
  <c r="X319" i="56"/>
  <c r="AH319" i="56" s="1"/>
  <c r="AG319" i="56" s="1"/>
  <c r="AJ319" i="56" s="1" a="1"/>
  <c r="AJ319" i="56" s="1"/>
  <c r="X141" i="56"/>
  <c r="AH141" i="56" s="1"/>
  <c r="AG141" i="56" s="1"/>
  <c r="AJ141" i="56" s="1" a="1"/>
  <c r="AJ141" i="56" s="1"/>
  <c r="V141" i="56"/>
  <c r="Y141" i="56" s="1"/>
  <c r="X264" i="56"/>
  <c r="AH264" i="56" s="1"/>
  <c r="AG264" i="56" s="1"/>
  <c r="AJ264" i="56" s="1" a="1"/>
  <c r="AJ264" i="56" s="1"/>
  <c r="V264" i="56"/>
  <c r="Y264" i="56" s="1"/>
  <c r="V56" i="56"/>
  <c r="Y56" i="56" s="1"/>
  <c r="X56" i="56"/>
  <c r="AH56" i="56" s="1"/>
  <c r="AG56" i="56" s="1"/>
  <c r="AJ56" i="56" s="1" a="1"/>
  <c r="AJ56" i="56" s="1"/>
  <c r="U408" i="56"/>
  <c r="W408" i="56" s="1"/>
  <c r="U410" i="56"/>
  <c r="W410" i="56" s="1"/>
  <c r="U409" i="56"/>
  <c r="W409" i="56" s="1"/>
  <c r="X446" i="56"/>
  <c r="AH446" i="56" s="1"/>
  <c r="AG446" i="56" s="1"/>
  <c r="AJ446" i="56" s="1" a="1"/>
  <c r="AJ446" i="56" s="1"/>
  <c r="V446" i="56"/>
  <c r="Y446" i="56" s="1"/>
  <c r="V419" i="56"/>
  <c r="Y419" i="56" s="1"/>
  <c r="X419" i="56"/>
  <c r="AH419" i="56" s="1"/>
  <c r="AG419" i="56" s="1"/>
  <c r="AJ419" i="56" s="1" a="1"/>
  <c r="AJ419" i="56" s="1"/>
  <c r="U212" i="56"/>
  <c r="W212" i="56" s="1"/>
  <c r="U210" i="56"/>
  <c r="W210" i="56" s="1"/>
  <c r="U211" i="56"/>
  <c r="W211" i="56" s="1"/>
  <c r="V54" i="56"/>
  <c r="Y54" i="56" s="1"/>
  <c r="X54" i="56"/>
  <c r="AH54" i="56" s="1"/>
  <c r="AG54" i="56" s="1"/>
  <c r="AJ54" i="56" s="1" a="1"/>
  <c r="AJ54" i="56" s="1"/>
  <c r="Y50" i="57"/>
  <c r="AK50" i="57"/>
  <c r="AL50" i="57"/>
  <c r="X45" i="56"/>
  <c r="AH45" i="56" s="1"/>
  <c r="AG45" i="56" s="1"/>
  <c r="AJ45" i="56" s="1" a="1"/>
  <c r="AJ45" i="56" s="1"/>
  <c r="V45" i="56"/>
  <c r="Y45" i="56" s="1"/>
  <c r="U407" i="56"/>
  <c r="W407" i="56" s="1"/>
  <c r="U406" i="56"/>
  <c r="W406" i="56" s="1"/>
  <c r="U405" i="56"/>
  <c r="W405" i="56" s="1"/>
  <c r="U286" i="56"/>
  <c r="W286" i="56" s="1"/>
  <c r="U287" i="56"/>
  <c r="W287" i="56" s="1"/>
  <c r="U285" i="56"/>
  <c r="W285" i="56" s="1"/>
  <c r="V211" i="56"/>
  <c r="Y211" i="56" s="1"/>
  <c r="X211" i="56"/>
  <c r="AH211" i="56" s="1"/>
  <c r="AG211" i="56" s="1"/>
  <c r="AJ211" i="56" s="1" a="1"/>
  <c r="AJ211" i="56" s="1"/>
  <c r="X404" i="56"/>
  <c r="AH404" i="56" s="1"/>
  <c r="AG404" i="56" s="1"/>
  <c r="AJ404" i="56" s="1" a="1"/>
  <c r="AJ404" i="56" s="1"/>
  <c r="V404" i="56"/>
  <c r="Y404" i="56" s="1"/>
  <c r="U455" i="56"/>
  <c r="W455" i="56" s="1"/>
  <c r="U454" i="56"/>
  <c r="W454" i="56" s="1"/>
  <c r="U453" i="56"/>
  <c r="W453" i="56" s="1"/>
  <c r="X402" i="56"/>
  <c r="AH402" i="56" s="1"/>
  <c r="AG402" i="56" s="1"/>
  <c r="AJ402" i="56" s="1" a="1"/>
  <c r="AJ402" i="56" s="1"/>
  <c r="V402" i="56"/>
  <c r="Y402" i="56" s="1"/>
  <c r="Y75" i="57"/>
  <c r="AL75" i="57"/>
  <c r="AK75" i="57"/>
  <c r="X455" i="56"/>
  <c r="AH455" i="56" s="1"/>
  <c r="AG455" i="56" s="1"/>
  <c r="AJ455" i="56" s="1" a="1"/>
  <c r="AJ455" i="56" s="1"/>
  <c r="V455" i="56"/>
  <c r="Y455" i="56" s="1"/>
  <c r="U537" i="56"/>
  <c r="W537" i="56" s="1"/>
  <c r="U538" i="56"/>
  <c r="W538" i="56" s="1"/>
  <c r="U539" i="56"/>
  <c r="W539" i="56" s="1"/>
  <c r="V204" i="56"/>
  <c r="Y204" i="56" s="1"/>
  <c r="X204" i="56"/>
  <c r="AH204" i="56" s="1"/>
  <c r="AG204" i="56" s="1"/>
  <c r="AJ204" i="56" s="1" a="1"/>
  <c r="AJ204" i="56" s="1"/>
  <c r="V37" i="56"/>
  <c r="Y37" i="56" s="1"/>
  <c r="X37" i="56"/>
  <c r="AH37" i="56" s="1"/>
  <c r="AG37" i="56" s="1"/>
  <c r="AJ37" i="56" s="1" a="1"/>
  <c r="AJ37" i="56" s="1"/>
  <c r="X502" i="56"/>
  <c r="AH502" i="56" s="1"/>
  <c r="AG502" i="56" s="1"/>
  <c r="AJ502" i="56" s="1" a="1"/>
  <c r="AJ502" i="56" s="1"/>
  <c r="V502" i="56"/>
  <c r="Y502" i="56" s="1"/>
  <c r="U431" i="56"/>
  <c r="W431" i="56" s="1"/>
  <c r="U430" i="56"/>
  <c r="W430" i="56" s="1"/>
  <c r="U429" i="56"/>
  <c r="W429" i="56" s="1"/>
  <c r="X508" i="56"/>
  <c r="AH508" i="56" s="1"/>
  <c r="AG508" i="56" s="1"/>
  <c r="AJ508" i="56" s="1" a="1"/>
  <c r="AJ508" i="56" s="1"/>
  <c r="V508" i="56"/>
  <c r="Y508" i="56" s="1"/>
  <c r="V253" i="56"/>
  <c r="Y253" i="56" s="1"/>
  <c r="X253" i="56"/>
  <c r="AH253" i="56" s="1"/>
  <c r="AG253" i="56" s="1"/>
  <c r="AJ253" i="56" s="1" a="1"/>
  <c r="AJ253" i="56" s="1"/>
  <c r="X95" i="56"/>
  <c r="AH95" i="56" s="1"/>
  <c r="AG95" i="56" s="1"/>
  <c r="AJ95" i="56" s="1" a="1"/>
  <c r="AJ95" i="56" s="1"/>
  <c r="V95" i="56"/>
  <c r="Y95" i="56" s="1"/>
  <c r="Y155" i="57"/>
  <c r="AL155" i="57"/>
  <c r="AK155" i="57"/>
  <c r="X270" i="56"/>
  <c r="AH270" i="56" s="1"/>
  <c r="AG270" i="56" s="1"/>
  <c r="AJ270" i="56" s="1" a="1"/>
  <c r="AJ270" i="56" s="1"/>
  <c r="V270" i="56"/>
  <c r="Y270" i="56" s="1"/>
  <c r="V396" i="56"/>
  <c r="Y396" i="56" s="1"/>
  <c r="X396" i="56"/>
  <c r="AH396" i="56" s="1"/>
  <c r="AG396" i="56" s="1"/>
  <c r="AJ396" i="56" s="1" a="1"/>
  <c r="AJ396" i="56" s="1"/>
  <c r="X51" i="56"/>
  <c r="AH51" i="56" s="1"/>
  <c r="AG51" i="56" s="1"/>
  <c r="AJ51" i="56" s="1" a="1"/>
  <c r="AJ51" i="56" s="1"/>
  <c r="V51" i="56"/>
  <c r="Y51" i="56" s="1"/>
  <c r="V515" i="56"/>
  <c r="Y515" i="56" s="1"/>
  <c r="X515" i="56"/>
  <c r="AH515" i="56" s="1"/>
  <c r="AG515" i="56" s="1"/>
  <c r="AJ515" i="56" s="1" a="1"/>
  <c r="AJ515" i="56" s="1"/>
  <c r="U300" i="56"/>
  <c r="W300" i="56" s="1"/>
  <c r="U302" i="56"/>
  <c r="W302" i="56" s="1"/>
  <c r="U301" i="56"/>
  <c r="W301" i="56" s="1"/>
  <c r="X92" i="57"/>
  <c r="AA92" i="57" s="1"/>
  <c r="Y92" i="57"/>
  <c r="AK92" i="57"/>
  <c r="AL92" i="57"/>
  <c r="Y53" i="57"/>
  <c r="AK53" i="57"/>
  <c r="AL53" i="57"/>
  <c r="X79" i="56"/>
  <c r="AH79" i="56" s="1"/>
  <c r="AG79" i="56" s="1"/>
  <c r="AJ79" i="56" s="1" a="1"/>
  <c r="AJ79" i="56" s="1"/>
  <c r="V79" i="56"/>
  <c r="Y79" i="56" s="1"/>
  <c r="X434" i="56"/>
  <c r="AH434" i="56" s="1"/>
  <c r="AG434" i="56" s="1"/>
  <c r="AJ434" i="56" s="1" a="1"/>
  <c r="AJ434" i="56" s="1"/>
  <c r="V434" i="56"/>
  <c r="Y434" i="56" s="1"/>
  <c r="AL97" i="57"/>
  <c r="X97" i="57"/>
  <c r="AA97" i="57" s="1"/>
  <c r="Y97" i="57"/>
  <c r="AK97" i="57"/>
  <c r="AK172" i="57"/>
  <c r="X172" i="57"/>
  <c r="AA172" i="57" s="1"/>
  <c r="AL172" i="57"/>
  <c r="Y172" i="57"/>
  <c r="X250" i="56"/>
  <c r="AH250" i="56" s="1"/>
  <c r="AG250" i="56" s="1"/>
  <c r="AJ250" i="56" s="1" a="1"/>
  <c r="AJ250" i="56" s="1"/>
  <c r="V250" i="56"/>
  <c r="Y250" i="56" s="1"/>
  <c r="U424" i="56"/>
  <c r="W424" i="56" s="1"/>
  <c r="U425" i="56"/>
  <c r="W425" i="56" s="1"/>
  <c r="U423" i="56"/>
  <c r="W423" i="56" s="1"/>
  <c r="AL147" i="57"/>
  <c r="AK147" i="57"/>
  <c r="X147" i="57"/>
  <c r="AA147" i="57" s="1"/>
  <c r="Y147" i="57"/>
  <c r="X132" i="56"/>
  <c r="AH132" i="56" s="1"/>
  <c r="AG132" i="56" s="1"/>
  <c r="AJ132" i="56" s="1" a="1"/>
  <c r="AJ132" i="56" s="1"/>
  <c r="V132" i="56"/>
  <c r="Y132" i="56" s="1"/>
  <c r="V410" i="56"/>
  <c r="Y410" i="56" s="1"/>
  <c r="X410" i="56"/>
  <c r="AH410" i="56" s="1"/>
  <c r="AG410" i="56" s="1"/>
  <c r="AJ410" i="56" s="1" a="1"/>
  <c r="AJ410" i="56" s="1"/>
  <c r="X444" i="56"/>
  <c r="AH444" i="56" s="1"/>
  <c r="AG444" i="56" s="1"/>
  <c r="AJ444" i="56" s="1" a="1"/>
  <c r="AJ444" i="56" s="1"/>
  <c r="V444" i="56"/>
  <c r="Y444" i="56" s="1"/>
  <c r="X519" i="56"/>
  <c r="AH519" i="56" s="1"/>
  <c r="AG519" i="56" s="1"/>
  <c r="AJ519" i="56" s="1" a="1"/>
  <c r="AJ519" i="56" s="1"/>
  <c r="V519" i="56"/>
  <c r="Y519" i="56" s="1"/>
  <c r="X265" i="56"/>
  <c r="AH265" i="56" s="1"/>
  <c r="AG265" i="56" s="1"/>
  <c r="AJ265" i="56" s="1" a="1"/>
  <c r="AJ265" i="56" s="1"/>
  <c r="V265" i="56"/>
  <c r="Y265" i="56" s="1"/>
  <c r="V47" i="56"/>
  <c r="Y47" i="56" s="1"/>
  <c r="X47" i="56"/>
  <c r="AH47" i="56" s="1"/>
  <c r="AG47" i="56" s="1"/>
  <c r="AJ47" i="56" s="1" a="1"/>
  <c r="AJ47" i="56" s="1"/>
  <c r="V91" i="56"/>
  <c r="Y91" i="56" s="1"/>
  <c r="X91" i="56"/>
  <c r="AH91" i="56" s="1"/>
  <c r="AG91" i="56" s="1"/>
  <c r="AJ91" i="56" s="1" a="1"/>
  <c r="AJ91" i="56" s="1"/>
  <c r="X73" i="56"/>
  <c r="AH73" i="56" s="1"/>
  <c r="AG73" i="56" s="1"/>
  <c r="AJ73" i="56" s="1" a="1"/>
  <c r="AJ73" i="56" s="1"/>
  <c r="V73" i="56"/>
  <c r="Y73" i="56" s="1"/>
  <c r="V190" i="56"/>
  <c r="Y190" i="56" s="1"/>
  <c r="X190" i="56"/>
  <c r="AH190" i="56" s="1"/>
  <c r="AG190" i="56" s="1"/>
  <c r="AJ190" i="56" s="1" a="1"/>
  <c r="AJ190" i="56" s="1"/>
  <c r="AK182" i="57"/>
  <c r="AL182" i="57"/>
  <c r="X182" i="57"/>
  <c r="AA182" i="57" s="1"/>
  <c r="Y182" i="57"/>
  <c r="X137" i="56"/>
  <c r="AH137" i="56" s="1"/>
  <c r="AG137" i="56" s="1"/>
  <c r="AJ137" i="56" s="1" a="1"/>
  <c r="AJ137" i="56" s="1"/>
  <c r="V137" i="56"/>
  <c r="Y137" i="56" s="1"/>
  <c r="X138" i="56"/>
  <c r="AH138" i="56" s="1"/>
  <c r="AG138" i="56" s="1"/>
  <c r="AJ138" i="56" s="1" a="1"/>
  <c r="AJ138" i="56" s="1"/>
  <c r="V138" i="56"/>
  <c r="Y138" i="56" s="1"/>
  <c r="V430" i="56"/>
  <c r="Y430" i="56" s="1"/>
  <c r="X430" i="56"/>
  <c r="AH430" i="56" s="1"/>
  <c r="AG430" i="56" s="1"/>
  <c r="AJ430" i="56" s="1" a="1"/>
  <c r="AJ430" i="56" s="1"/>
  <c r="X538" i="56"/>
  <c r="AH538" i="56" s="1"/>
  <c r="AG538" i="56" s="1"/>
  <c r="AJ538" i="56" s="1" a="1"/>
  <c r="AJ538" i="56" s="1"/>
  <c r="V538" i="56"/>
  <c r="Y538" i="56" s="1"/>
  <c r="X66" i="56"/>
  <c r="AH66" i="56" s="1"/>
  <c r="AG66" i="56" s="1"/>
  <c r="AJ66" i="56" s="1" a="1"/>
  <c r="AJ66" i="56" s="1"/>
  <c r="V66" i="56"/>
  <c r="Y66" i="56" s="1"/>
  <c r="AL153" i="57"/>
  <c r="AK153" i="57"/>
  <c r="Y153" i="57"/>
  <c r="Y26" i="57"/>
  <c r="AL26" i="57"/>
  <c r="AK26" i="57"/>
  <c r="AL46" i="57"/>
  <c r="Y46" i="57"/>
  <c r="AK46" i="57"/>
  <c r="X36" i="56"/>
  <c r="AH36" i="56" s="1"/>
  <c r="AG36" i="56" s="1"/>
  <c r="AJ36" i="56" s="1" a="1"/>
  <c r="AJ36" i="56" s="1"/>
  <c r="V36" i="56"/>
  <c r="Y36" i="56" s="1"/>
  <c r="X130" i="56"/>
  <c r="AH130" i="56" s="1"/>
  <c r="AG130" i="56" s="1"/>
  <c r="AJ130" i="56" s="1" a="1"/>
  <c r="AJ130" i="56" s="1"/>
  <c r="V130" i="56"/>
  <c r="Y130" i="56" s="1"/>
  <c r="V314" i="56"/>
  <c r="Y314" i="56" s="1"/>
  <c r="X314" i="56"/>
  <c r="AH314" i="56" s="1"/>
  <c r="AG314" i="56" s="1"/>
  <c r="AJ314" i="56" s="1" a="1"/>
  <c r="AJ314" i="56" s="1"/>
  <c r="V503" i="56"/>
  <c r="Y503" i="56" s="1"/>
  <c r="X503" i="56"/>
  <c r="AH503" i="56" s="1"/>
  <c r="AG503" i="56" s="1"/>
  <c r="AJ503" i="56" s="1" a="1"/>
  <c r="AJ503" i="56" s="1"/>
  <c r="X507" i="56"/>
  <c r="AH507" i="56" s="1"/>
  <c r="AG507" i="56" s="1"/>
  <c r="AJ507" i="56" s="1" a="1"/>
  <c r="AJ507" i="56" s="1"/>
  <c r="V507" i="56"/>
  <c r="Y507" i="56" s="1"/>
  <c r="X252" i="56"/>
  <c r="AH252" i="56" s="1"/>
  <c r="AG252" i="56" s="1"/>
  <c r="AJ252" i="56" s="1" a="1"/>
  <c r="AJ252" i="56" s="1"/>
  <c r="V252" i="56"/>
  <c r="Y252" i="56" s="1"/>
  <c r="AK90" i="57"/>
  <c r="Y90" i="57"/>
  <c r="AL90" i="57"/>
  <c r="X321" i="56"/>
  <c r="AH321" i="56" s="1"/>
  <c r="AG321" i="56" s="1"/>
  <c r="AJ321" i="56" s="1" a="1"/>
  <c r="AJ321" i="56" s="1"/>
  <c r="V321" i="56"/>
  <c r="Y321" i="56" s="1"/>
  <c r="X93" i="56"/>
  <c r="AH93" i="56" s="1"/>
  <c r="AG93" i="56" s="1"/>
  <c r="AJ93" i="56" s="1" a="1"/>
  <c r="AJ93" i="56" s="1"/>
  <c r="V93" i="56"/>
  <c r="Y93" i="56" s="1"/>
  <c r="U271" i="56"/>
  <c r="W271" i="56" s="1"/>
  <c r="U270" i="56"/>
  <c r="W270" i="56" s="1"/>
  <c r="U272" i="56"/>
  <c r="W272" i="56" s="1"/>
  <c r="U397" i="56"/>
  <c r="W397" i="56" s="1"/>
  <c r="U396" i="56"/>
  <c r="W396" i="56" s="1"/>
  <c r="U398" i="56"/>
  <c r="W398" i="56" s="1"/>
  <c r="X53" i="56"/>
  <c r="AH53" i="56" s="1"/>
  <c r="AG53" i="56" s="1"/>
  <c r="AJ53" i="56" s="1" a="1"/>
  <c r="AJ53" i="56" s="1"/>
  <c r="V53" i="56"/>
  <c r="Y53" i="56" s="1"/>
  <c r="X513" i="56"/>
  <c r="AH513" i="56" s="1"/>
  <c r="AG513" i="56" s="1"/>
  <c r="AJ513" i="56" s="1" a="1"/>
  <c r="AJ513" i="56" s="1"/>
  <c r="V513" i="56"/>
  <c r="Y513" i="56" s="1"/>
  <c r="X300" i="56"/>
  <c r="AH300" i="56" s="1"/>
  <c r="AG300" i="56" s="1"/>
  <c r="AJ300" i="56" s="1" a="1"/>
  <c r="AJ300" i="56" s="1"/>
  <c r="V300" i="56"/>
  <c r="Y300" i="56" s="1"/>
  <c r="V192" i="56"/>
  <c r="Y192" i="56" s="1"/>
  <c r="X192" i="56"/>
  <c r="AH192" i="56" s="1"/>
  <c r="AG192" i="56" s="1"/>
  <c r="AJ192" i="56" s="1" a="1"/>
  <c r="AJ192" i="56" s="1"/>
  <c r="U78" i="56"/>
  <c r="W78" i="56" s="1"/>
  <c r="U79" i="56"/>
  <c r="W79" i="56" s="1"/>
  <c r="U80" i="56"/>
  <c r="W80" i="56" s="1"/>
  <c r="U434" i="56"/>
  <c r="W434" i="56" s="1"/>
  <c r="U433" i="56"/>
  <c r="W433" i="56" s="1"/>
  <c r="U432" i="56"/>
  <c r="W432" i="56" s="1"/>
  <c r="Y19" i="57"/>
  <c r="AL19" i="57"/>
  <c r="AK19" i="57"/>
  <c r="X506" i="56"/>
  <c r="AH506" i="56" s="1"/>
  <c r="AG506" i="56" s="1"/>
  <c r="AJ506" i="56" s="1" a="1"/>
  <c r="AJ506" i="56" s="1"/>
  <c r="V506" i="56"/>
  <c r="Y506" i="56" s="1"/>
  <c r="AL89" i="57"/>
  <c r="AK89" i="57"/>
  <c r="Y89" i="57"/>
  <c r="X296" i="56"/>
  <c r="AH296" i="56" s="1"/>
  <c r="AG296" i="56" s="1"/>
  <c r="AJ296" i="56" s="1" a="1"/>
  <c r="AJ296" i="56" s="1"/>
  <c r="V296" i="56"/>
  <c r="Y296" i="56" s="1"/>
  <c r="U446" i="56"/>
  <c r="W446" i="56" s="1"/>
  <c r="U445" i="56"/>
  <c r="W445" i="56" s="1"/>
  <c r="U444" i="56"/>
  <c r="W444" i="56" s="1"/>
  <c r="V61" i="56"/>
  <c r="Y61" i="56" s="1"/>
  <c r="X61" i="56"/>
  <c r="AH61" i="56" s="1"/>
  <c r="AG61" i="56" s="1"/>
  <c r="AJ61" i="56" s="1" a="1"/>
  <c r="AJ61" i="56" s="1"/>
  <c r="V491" i="56"/>
  <c r="Y491" i="56" s="1"/>
  <c r="X491" i="56"/>
  <c r="AH491" i="56" s="1"/>
  <c r="AG491" i="56" s="1"/>
  <c r="AJ491" i="56" s="1" a="1"/>
  <c r="AJ491" i="56" s="1"/>
  <c r="X81" i="56"/>
  <c r="AH81" i="56" s="1"/>
  <c r="AG81" i="56" s="1"/>
  <c r="AJ81" i="56" s="1" a="1"/>
  <c r="AJ81" i="56" s="1"/>
  <c r="V81" i="56"/>
  <c r="Y81" i="56" s="1"/>
  <c r="V83" i="56"/>
  <c r="Y83" i="56" s="1"/>
  <c r="X83" i="56"/>
  <c r="AH83" i="56" s="1"/>
  <c r="AG83" i="56" s="1"/>
  <c r="AJ83" i="56" s="1" a="1"/>
  <c r="AJ83" i="56" s="1"/>
  <c r="U540" i="56"/>
  <c r="W540" i="56" s="1"/>
  <c r="U542" i="56"/>
  <c r="W542" i="56" s="1"/>
  <c r="U541" i="56"/>
  <c r="W541" i="56" s="1"/>
  <c r="U82" i="56"/>
  <c r="W82" i="56" s="1"/>
  <c r="U83" i="56"/>
  <c r="W83" i="56" s="1"/>
  <c r="U81" i="56"/>
  <c r="W81" i="56" s="1"/>
  <c r="V439" i="56"/>
  <c r="Y439" i="56" s="1"/>
  <c r="X439" i="56"/>
  <c r="AH439" i="56" s="1"/>
  <c r="AG439" i="56" s="1"/>
  <c r="AJ439" i="56" s="1" a="1"/>
  <c r="AJ439" i="56" s="1"/>
  <c r="V541" i="56"/>
  <c r="Y541" i="56" s="1"/>
  <c r="X541" i="56"/>
  <c r="AH541" i="56" s="1"/>
  <c r="AG541" i="56" s="1"/>
  <c r="AJ541" i="56" s="1" a="1"/>
  <c r="AJ541" i="56" s="1"/>
  <c r="X407" i="56"/>
  <c r="AH407" i="56" s="1"/>
  <c r="AG407" i="56" s="1"/>
  <c r="AJ407" i="56" s="1" a="1"/>
  <c r="AJ407" i="56" s="1"/>
  <c r="V407" i="56"/>
  <c r="Y407" i="56" s="1"/>
  <c r="X531" i="56"/>
  <c r="AH531" i="56" s="1"/>
  <c r="AG531" i="56" s="1"/>
  <c r="AJ531" i="56" s="1" a="1"/>
  <c r="AJ531" i="56" s="1"/>
  <c r="V531" i="56"/>
  <c r="Y531" i="56" s="1"/>
  <c r="X425" i="56"/>
  <c r="AH425" i="56" s="1"/>
  <c r="AG425" i="56" s="1"/>
  <c r="AJ425" i="56" s="1" a="1"/>
  <c r="AJ425" i="56" s="1"/>
  <c r="V425" i="56"/>
  <c r="Y425" i="56" s="1"/>
  <c r="X537" i="56"/>
  <c r="AH537" i="56" s="1"/>
  <c r="AG537" i="56" s="1"/>
  <c r="AJ537" i="56" s="1" a="1"/>
  <c r="AJ537" i="56" s="1"/>
  <c r="V537" i="56"/>
  <c r="Y537" i="56" s="1"/>
  <c r="V68" i="56"/>
  <c r="Y68" i="56" s="1"/>
  <c r="X68" i="56"/>
  <c r="AH68" i="56" s="1"/>
  <c r="AG68" i="56" s="1"/>
  <c r="AJ68" i="56" s="1" a="1"/>
  <c r="AJ68" i="56" s="1"/>
  <c r="V510" i="56"/>
  <c r="Y510" i="56" s="1"/>
  <c r="X510" i="56"/>
  <c r="AH510" i="56" s="1"/>
  <c r="AG510" i="56" s="1"/>
  <c r="AJ510" i="56" s="1" a="1"/>
  <c r="AJ510" i="56" s="1"/>
  <c r="U37" i="56"/>
  <c r="W37" i="56" s="1"/>
  <c r="U36" i="56"/>
  <c r="W36" i="56" s="1"/>
  <c r="U38" i="56"/>
  <c r="W38" i="56" s="1"/>
  <c r="X129" i="56"/>
  <c r="AH129" i="56" s="1"/>
  <c r="AG129" i="56" s="1"/>
  <c r="AJ129" i="56" s="1" a="1"/>
  <c r="AJ129" i="56" s="1"/>
  <c r="V129" i="56"/>
  <c r="Y129" i="56" s="1"/>
  <c r="X312" i="56"/>
  <c r="AH312" i="56" s="1"/>
  <c r="AG312" i="56" s="1"/>
  <c r="AJ312" i="56" s="1" a="1"/>
  <c r="AJ312" i="56" s="1"/>
  <c r="V312" i="56"/>
  <c r="Y312" i="56" s="1"/>
  <c r="X501" i="56"/>
  <c r="AH501" i="56" s="1"/>
  <c r="AG501" i="56" s="1"/>
  <c r="AJ501" i="56" s="1" a="1"/>
  <c r="AJ501" i="56" s="1"/>
  <c r="V501" i="56"/>
  <c r="Y501" i="56" s="1"/>
  <c r="V260" i="56"/>
  <c r="Y260" i="56" s="1"/>
  <c r="X260" i="56"/>
  <c r="AH260" i="56" s="1"/>
  <c r="AG260" i="56" s="1"/>
  <c r="AJ260" i="56" s="1" a="1"/>
  <c r="AJ260" i="56" s="1"/>
  <c r="Y143" i="57"/>
  <c r="AK143" i="57"/>
  <c r="AL143" i="57"/>
  <c r="AL115" i="57"/>
  <c r="AK115" i="57"/>
  <c r="Y115" i="57"/>
  <c r="X22" i="57"/>
  <c r="AA22" i="57" s="1"/>
  <c r="AL22" i="57"/>
  <c r="Y22" i="57"/>
  <c r="AK22" i="57"/>
  <c r="U252" i="56"/>
  <c r="W252" i="56" s="1"/>
  <c r="U253" i="56"/>
  <c r="W253" i="56" s="1"/>
  <c r="U254" i="56"/>
  <c r="W254" i="56" s="1"/>
  <c r="X323" i="56"/>
  <c r="AH323" i="56" s="1"/>
  <c r="AG323" i="56" s="1"/>
  <c r="AJ323" i="56" s="1" a="1"/>
  <c r="AJ323" i="56" s="1"/>
  <c r="V323" i="56"/>
  <c r="Y323" i="56" s="1"/>
  <c r="U94" i="56"/>
  <c r="W94" i="56" s="1"/>
  <c r="U95" i="56"/>
  <c r="W95" i="56" s="1"/>
  <c r="U93" i="56"/>
  <c r="W93" i="56" s="1"/>
  <c r="AK166" i="57"/>
  <c r="AL166" i="57"/>
  <c r="Y166" i="57"/>
  <c r="X271" i="56"/>
  <c r="AH271" i="56" s="1"/>
  <c r="AG271" i="56" s="1"/>
  <c r="AJ271" i="56" s="1" a="1"/>
  <c r="AJ271" i="56" s="1"/>
  <c r="V271" i="56"/>
  <c r="Y271" i="56" s="1"/>
  <c r="U53" i="56"/>
  <c r="W53" i="56" s="1"/>
  <c r="U52" i="56"/>
  <c r="W52" i="56" s="1"/>
  <c r="U51" i="56"/>
  <c r="W51" i="56" s="1"/>
  <c r="Y29" i="57"/>
  <c r="AL29" i="57"/>
  <c r="AK29" i="57"/>
  <c r="X514" i="56"/>
  <c r="AH514" i="56" s="1"/>
  <c r="AG514" i="56" s="1"/>
  <c r="AJ514" i="56" s="1" a="1"/>
  <c r="AJ514" i="56" s="1"/>
  <c r="V514" i="56"/>
  <c r="Y514" i="56" s="1"/>
  <c r="V301" i="56"/>
  <c r="Y301" i="56" s="1"/>
  <c r="X301" i="56"/>
  <c r="AH301" i="56" s="1"/>
  <c r="AG301" i="56" s="1"/>
  <c r="AJ301" i="56" s="1" a="1"/>
  <c r="AJ301" i="56" s="1"/>
  <c r="X194" i="56"/>
  <c r="AH194" i="56" s="1"/>
  <c r="AG194" i="56" s="1"/>
  <c r="AJ194" i="56" s="1" a="1"/>
  <c r="AJ194" i="56" s="1"/>
  <c r="V194" i="56"/>
  <c r="Y194" i="56" s="1"/>
  <c r="V497" i="56"/>
  <c r="Y497" i="56" s="1"/>
  <c r="X497" i="56"/>
  <c r="AH497" i="56" s="1"/>
  <c r="AG497" i="56" s="1"/>
  <c r="AJ497" i="56" s="1" a="1"/>
  <c r="AJ497" i="56" s="1"/>
  <c r="X433" i="56"/>
  <c r="AH433" i="56" s="1"/>
  <c r="AG433" i="56" s="1"/>
  <c r="AJ433" i="56" s="1" a="1"/>
  <c r="AJ433" i="56" s="1"/>
  <c r="V433" i="56"/>
  <c r="Y433" i="56" s="1"/>
  <c r="Y146" i="57"/>
  <c r="AK146" i="57"/>
  <c r="AL146" i="57"/>
  <c r="V504" i="56"/>
  <c r="Y504" i="56" s="1"/>
  <c r="X504" i="56"/>
  <c r="AH504" i="56" s="1"/>
  <c r="AG504" i="56" s="1"/>
  <c r="AJ504" i="56" s="1" a="1"/>
  <c r="AJ504" i="56" s="1"/>
  <c r="X262" i="56"/>
  <c r="AH262" i="56" s="1"/>
  <c r="AG262" i="56" s="1"/>
  <c r="AJ262" i="56" s="1" a="1"/>
  <c r="AJ262" i="56" s="1"/>
  <c r="V262" i="56"/>
  <c r="Y262" i="56" s="1"/>
  <c r="X39" i="56"/>
  <c r="AH39" i="56" s="1"/>
  <c r="AG39" i="56" s="1"/>
  <c r="AJ39" i="56" s="1" a="1"/>
  <c r="AJ39" i="56" s="1"/>
  <c r="V39" i="56"/>
  <c r="Y39" i="56" s="1"/>
  <c r="U495" i="56"/>
  <c r="W495" i="56" s="1"/>
  <c r="U497" i="56"/>
  <c r="W497" i="56" s="1"/>
  <c r="U496" i="56"/>
  <c r="W496" i="56" s="1"/>
  <c r="X41" i="56"/>
  <c r="AH41" i="56" s="1"/>
  <c r="AG41" i="56" s="1"/>
  <c r="AJ41" i="56" s="1" a="1"/>
  <c r="AJ41" i="56" s="1"/>
  <c r="V41" i="56"/>
  <c r="Y41" i="56" s="1"/>
  <c r="AK142" i="57"/>
  <c r="AL142" i="57"/>
  <c r="Y142" i="57"/>
  <c r="X142" i="57"/>
  <c r="AA142" i="57" s="1"/>
  <c r="X82" i="56"/>
  <c r="AH82" i="56" s="1"/>
  <c r="AG82" i="56" s="1"/>
  <c r="AJ82" i="56" s="1" a="1"/>
  <c r="AJ82" i="56" s="1"/>
  <c r="V82" i="56"/>
  <c r="Y82" i="56" s="1"/>
  <c r="V266" i="56"/>
  <c r="Y266" i="56" s="1"/>
  <c r="X266" i="56"/>
  <c r="AH266" i="56" s="1"/>
  <c r="AG266" i="56" s="1"/>
  <c r="AJ266" i="56" s="1" a="1"/>
  <c r="AJ266" i="56" s="1"/>
  <c r="U153" i="56"/>
  <c r="W153" i="56" s="1"/>
  <c r="U154" i="56"/>
  <c r="W154" i="56" s="1"/>
  <c r="U155" i="56"/>
  <c r="W155" i="56" s="1"/>
  <c r="V64" i="56"/>
  <c r="Y64" i="56" s="1"/>
  <c r="X64" i="56"/>
  <c r="AH64" i="56" s="1"/>
  <c r="AG64" i="56" s="1"/>
  <c r="AJ64" i="56" s="1" a="1"/>
  <c r="AJ64" i="56" s="1"/>
  <c r="U525" i="56"/>
  <c r="W525" i="56" s="1"/>
  <c r="U526" i="56"/>
  <c r="W526" i="56" s="1"/>
  <c r="U527" i="56"/>
  <c r="W527" i="56" s="1"/>
  <c r="X405" i="56"/>
  <c r="AH405" i="56" s="1"/>
  <c r="AG405" i="56" s="1"/>
  <c r="AJ405" i="56" s="1" a="1"/>
  <c r="AJ405" i="56" s="1"/>
  <c r="V405" i="56"/>
  <c r="Y405" i="56" s="1"/>
  <c r="Y100" i="57"/>
  <c r="AK100" i="57"/>
  <c r="AL100" i="57"/>
  <c r="V304" i="56"/>
  <c r="Y304" i="56" s="1"/>
  <c r="X304" i="56"/>
  <c r="AH304" i="56" s="1"/>
  <c r="AG304" i="56" s="1"/>
  <c r="AJ304" i="56" s="1" a="1"/>
  <c r="AJ304" i="56" s="1"/>
  <c r="U519" i="56"/>
  <c r="W519" i="56" s="1"/>
  <c r="U520" i="56"/>
  <c r="W520" i="56" s="1"/>
  <c r="U521" i="56"/>
  <c r="W521" i="56" s="1"/>
  <c r="Y152" i="57"/>
  <c r="AK152" i="57"/>
  <c r="X152" i="57"/>
  <c r="AA152" i="57" s="1"/>
  <c r="AL152" i="57"/>
  <c r="X305" i="56"/>
  <c r="AH305" i="56" s="1"/>
  <c r="AG305" i="56" s="1"/>
  <c r="AJ305" i="56" s="1" a="1"/>
  <c r="AJ305" i="56" s="1"/>
  <c r="V305" i="56"/>
  <c r="Y305" i="56" s="1"/>
  <c r="U55" i="56"/>
  <c r="W55" i="56" s="1"/>
  <c r="U56" i="56"/>
  <c r="W56" i="56" s="1"/>
  <c r="U54" i="56"/>
  <c r="W54" i="56" s="1"/>
  <c r="X440" i="56"/>
  <c r="AH440" i="56" s="1"/>
  <c r="AG440" i="56" s="1"/>
  <c r="AJ440" i="56" s="1" a="1"/>
  <c r="AJ440" i="56" s="1"/>
  <c r="V440" i="56"/>
  <c r="Y440" i="56" s="1"/>
  <c r="X542" i="56"/>
  <c r="AH542" i="56" s="1"/>
  <c r="AG542" i="56" s="1"/>
  <c r="AJ542" i="56" s="1" a="1"/>
  <c r="AJ542" i="56" s="1"/>
  <c r="V542" i="56"/>
  <c r="Y542" i="56" s="1"/>
  <c r="AK174" i="57"/>
  <c r="AL174" i="57"/>
  <c r="X174" i="57"/>
  <c r="AA174" i="57" s="1"/>
  <c r="Y174" i="57"/>
  <c r="AL185" i="57"/>
  <c r="AK185" i="57"/>
  <c r="Y185" i="57"/>
  <c r="V202" i="56"/>
  <c r="Y202" i="56" s="1"/>
  <c r="X202" i="56"/>
  <c r="AH202" i="56" s="1"/>
  <c r="AG202" i="56" s="1"/>
  <c r="AJ202" i="56" s="1" a="1"/>
  <c r="AJ202" i="56" s="1"/>
  <c r="U137" i="56"/>
  <c r="W137" i="56" s="1"/>
  <c r="U136" i="56"/>
  <c r="W136" i="56" s="1"/>
  <c r="U135" i="56"/>
  <c r="W135" i="56" s="1"/>
  <c r="Y138" i="57"/>
  <c r="AK138" i="57"/>
  <c r="AL138" i="57"/>
  <c r="X423" i="56"/>
  <c r="AH423" i="56" s="1"/>
  <c r="AG423" i="56" s="1"/>
  <c r="AJ423" i="56" s="1" a="1"/>
  <c r="AJ423" i="56" s="1"/>
  <c r="V423" i="56"/>
  <c r="Y423" i="56" s="1"/>
  <c r="X67" i="56"/>
  <c r="AH67" i="56" s="1"/>
  <c r="AG67" i="56" s="1"/>
  <c r="AJ67" i="56" s="1" a="1"/>
  <c r="AJ67" i="56" s="1"/>
  <c r="V67" i="56"/>
  <c r="Y67" i="56" s="1"/>
  <c r="X511" i="56"/>
  <c r="AH511" i="56" s="1"/>
  <c r="AG511" i="56" s="1"/>
  <c r="AJ511" i="56" s="1" a="1"/>
  <c r="AJ511" i="56" s="1"/>
  <c r="V511" i="56"/>
  <c r="Y511" i="56" s="1"/>
  <c r="V320" i="56"/>
  <c r="Y320" i="56" s="1"/>
  <c r="X320" i="56"/>
  <c r="AH320" i="56" s="1"/>
  <c r="AG320" i="56" s="1"/>
  <c r="AJ320" i="56" s="1" a="1"/>
  <c r="AJ320" i="56" s="1"/>
  <c r="X295" i="56"/>
  <c r="AH295" i="56" s="1"/>
  <c r="AG295" i="56" s="1"/>
  <c r="AJ295" i="56" s="1" a="1"/>
  <c r="AJ295" i="56" s="1"/>
  <c r="V295" i="56"/>
  <c r="Y295" i="56" s="1"/>
  <c r="V131" i="56"/>
  <c r="Y131" i="56" s="1"/>
  <c r="X131" i="56"/>
  <c r="AH131" i="56" s="1"/>
  <c r="AG131" i="56" s="1"/>
  <c r="AJ131" i="56" s="1" a="1"/>
  <c r="AJ131" i="56" s="1"/>
  <c r="V313" i="56"/>
  <c r="Y313" i="56" s="1"/>
  <c r="X313" i="56"/>
  <c r="AH313" i="56" s="1"/>
  <c r="AG313" i="56" s="1"/>
  <c r="AJ313" i="56" s="1" a="1"/>
  <c r="AJ313" i="56" s="1"/>
  <c r="U502" i="56"/>
  <c r="W502" i="56" s="1"/>
  <c r="U503" i="56"/>
  <c r="W503" i="56" s="1"/>
  <c r="U501" i="56"/>
  <c r="W501" i="56" s="1"/>
  <c r="X259" i="56"/>
  <c r="AH259" i="56" s="1"/>
  <c r="AG259" i="56" s="1"/>
  <c r="AJ259" i="56" s="1" a="1"/>
  <c r="AJ259" i="56" s="1"/>
  <c r="V259" i="56"/>
  <c r="Y259" i="56" s="1"/>
  <c r="Y86" i="57"/>
  <c r="AK86" i="57"/>
  <c r="AL86" i="57"/>
  <c r="V254" i="56"/>
  <c r="Y254" i="56" s="1"/>
  <c r="X254" i="56"/>
  <c r="AH254" i="56" s="1"/>
  <c r="AG254" i="56" s="1"/>
  <c r="AJ254" i="56" s="1" a="1"/>
  <c r="AJ254" i="56" s="1"/>
  <c r="V322" i="56"/>
  <c r="Y322" i="56" s="1"/>
  <c r="X322" i="56"/>
  <c r="AH322" i="56" s="1"/>
  <c r="AG322" i="56" s="1"/>
  <c r="AJ322" i="56" s="1" a="1"/>
  <c r="AJ322" i="56" s="1"/>
  <c r="Y93" i="57"/>
  <c r="AK93" i="57"/>
  <c r="AL93" i="57"/>
  <c r="X142" i="56"/>
  <c r="AH142" i="56" s="1"/>
  <c r="AG142" i="56" s="1"/>
  <c r="AJ142" i="56" s="1" a="1"/>
  <c r="AJ142" i="56" s="1"/>
  <c r="V142" i="56"/>
  <c r="Y142" i="56" s="1"/>
  <c r="U515" i="56"/>
  <c r="W515" i="56" s="1"/>
  <c r="U514" i="56"/>
  <c r="W514" i="56" s="1"/>
  <c r="U513" i="56"/>
  <c r="W513" i="56" s="1"/>
  <c r="V193" i="56"/>
  <c r="Y193" i="56" s="1"/>
  <c r="X193" i="56"/>
  <c r="AH193" i="56" s="1"/>
  <c r="AG193" i="56" s="1"/>
  <c r="AJ193" i="56" s="1" a="1"/>
  <c r="AJ193" i="56" s="1"/>
  <c r="Y145" i="57"/>
  <c r="AL145" i="57"/>
  <c r="AK145" i="57"/>
  <c r="X496" i="56"/>
  <c r="AH496" i="56" s="1"/>
  <c r="AG496" i="56" s="1"/>
  <c r="AJ496" i="56" s="1" a="1"/>
  <c r="AJ496" i="56" s="1"/>
  <c r="V496" i="56"/>
  <c r="Y496" i="56" s="1"/>
  <c r="X87" i="56"/>
  <c r="AH87" i="56" s="1"/>
  <c r="AG87" i="56" s="1"/>
  <c r="AJ87" i="56" s="1" a="1"/>
  <c r="AJ87" i="56" s="1"/>
  <c r="V87" i="56"/>
  <c r="Y87" i="56" s="1"/>
  <c r="AL21" i="57"/>
  <c r="Y21" i="57"/>
  <c r="AK21" i="57"/>
  <c r="U505" i="56"/>
  <c r="W505" i="56" s="1"/>
  <c r="U504" i="56"/>
  <c r="W504" i="56" s="1"/>
  <c r="U506" i="56"/>
  <c r="W506" i="56" s="1"/>
  <c r="X263" i="56"/>
  <c r="AH263" i="56" s="1"/>
  <c r="AG263" i="56" s="1"/>
  <c r="AJ263" i="56" s="1" a="1"/>
  <c r="AJ263" i="56" s="1"/>
  <c r="V263" i="56"/>
  <c r="Y263" i="56" s="1"/>
  <c r="Y72" i="57"/>
  <c r="AK72" i="57"/>
  <c r="AL72" i="57"/>
  <c r="X72" i="57"/>
  <c r="AA72" i="57" s="1"/>
  <c r="X426" i="56"/>
  <c r="AH426" i="56" s="1"/>
  <c r="AG426" i="56" s="1"/>
  <c r="AJ426" i="56" s="1" a="1"/>
  <c r="AJ426" i="56" s="1"/>
  <c r="V426" i="56"/>
  <c r="Y426" i="56" s="1"/>
  <c r="U41" i="56"/>
  <c r="W41" i="56" s="1"/>
  <c r="U39" i="56"/>
  <c r="W39" i="56" s="1"/>
  <c r="U40" i="56"/>
  <c r="W40" i="56" s="1"/>
  <c r="X408" i="56"/>
  <c r="AH408" i="56" s="1"/>
  <c r="AG408" i="56" s="1"/>
  <c r="AJ408" i="56" s="1" a="1"/>
  <c r="AJ408" i="56" s="1"/>
  <c r="V408" i="56"/>
  <c r="Y408" i="56" s="1"/>
  <c r="U75" i="56"/>
  <c r="W75" i="56" s="1"/>
  <c r="U76" i="56"/>
  <c r="W76" i="56" s="1"/>
  <c r="U77" i="56"/>
  <c r="W77" i="56" s="1"/>
  <c r="X58" i="56"/>
  <c r="AH58" i="56" s="1"/>
  <c r="AG58" i="56" s="1"/>
  <c r="AJ58" i="56" s="1" a="1"/>
  <c r="AJ58" i="56" s="1"/>
  <c r="V58" i="56"/>
  <c r="Y58" i="56" s="1"/>
  <c r="U276" i="56"/>
  <c r="W276" i="56" s="1"/>
  <c r="U277" i="56"/>
  <c r="W277" i="56" s="1"/>
  <c r="U278" i="56"/>
  <c r="W278" i="56" s="1"/>
  <c r="V424" i="56"/>
  <c r="Y424" i="56" s="1"/>
  <c r="X424" i="56"/>
  <c r="AH424" i="56" s="1"/>
  <c r="AG424" i="56" s="1"/>
  <c r="AJ424" i="56" s="1" a="1"/>
  <c r="AJ424" i="56" s="1"/>
  <c r="Y33" i="57"/>
  <c r="AK33" i="57"/>
  <c r="AL33" i="57"/>
  <c r="U67" i="56"/>
  <c r="W67" i="56" s="1"/>
  <c r="U68" i="56"/>
  <c r="W68" i="56" s="1"/>
  <c r="U66" i="56"/>
  <c r="W66" i="56" s="1"/>
  <c r="U510" i="56"/>
  <c r="W510" i="56" s="1"/>
  <c r="U511" i="56"/>
  <c r="W511" i="56" s="1"/>
  <c r="U512" i="56"/>
  <c r="W512" i="56" s="1"/>
  <c r="X40" i="56"/>
  <c r="AH40" i="56" s="1"/>
  <c r="AG40" i="56" s="1"/>
  <c r="AJ40" i="56" s="1" a="1"/>
  <c r="AJ40" i="56" s="1"/>
  <c r="V40" i="56"/>
  <c r="Y40" i="56" s="1"/>
  <c r="X318" i="56"/>
  <c r="AH318" i="56" s="1"/>
  <c r="AG318" i="56" s="1"/>
  <c r="AJ318" i="56" s="1" a="1"/>
  <c r="AJ318" i="56" s="1"/>
  <c r="V318" i="56"/>
  <c r="Y318" i="56" s="1"/>
  <c r="V294" i="56"/>
  <c r="Y294" i="56" s="1"/>
  <c r="X294" i="56"/>
  <c r="AH294" i="56" s="1"/>
  <c r="AG294" i="56" s="1"/>
  <c r="AJ294" i="56" s="1" a="1"/>
  <c r="AJ294" i="56" s="1"/>
  <c r="U129" i="56"/>
  <c r="W129" i="56" s="1"/>
  <c r="U130" i="56"/>
  <c r="W130" i="56" s="1"/>
  <c r="U131" i="56"/>
  <c r="W131" i="56" s="1"/>
  <c r="U313" i="56"/>
  <c r="W313" i="56" s="1"/>
  <c r="U314" i="56"/>
  <c r="W314" i="56" s="1"/>
  <c r="U312" i="56"/>
  <c r="W312" i="56" s="1"/>
  <c r="X258" i="56"/>
  <c r="AH258" i="56" s="1"/>
  <c r="AG258" i="56" s="1"/>
  <c r="AJ258" i="56" s="1" a="1"/>
  <c r="AJ258" i="56" s="1"/>
  <c r="V258" i="56"/>
  <c r="Y258" i="56" s="1"/>
  <c r="X428" i="56"/>
  <c r="AH428" i="56" s="1"/>
  <c r="AG428" i="56" s="1"/>
  <c r="AJ428" i="56" s="1" a="1"/>
  <c r="AJ428" i="56" s="1"/>
  <c r="V428" i="56"/>
  <c r="Y428" i="56" s="1"/>
  <c r="U323" i="56"/>
  <c r="W323" i="56" s="1"/>
  <c r="U322" i="56"/>
  <c r="W322" i="56" s="1"/>
  <c r="U321" i="56"/>
  <c r="W321" i="56" s="1"/>
  <c r="Y170" i="57"/>
  <c r="AL170" i="57"/>
  <c r="AK170" i="57"/>
  <c r="U132" i="56"/>
  <c r="W132" i="56" s="1"/>
  <c r="U133" i="56"/>
  <c r="W133" i="56" s="1"/>
  <c r="U134" i="56"/>
  <c r="W134" i="56" s="1"/>
  <c r="X143" i="56"/>
  <c r="AH143" i="56" s="1"/>
  <c r="AG143" i="56" s="1"/>
  <c r="AJ143" i="56" s="1" a="1"/>
  <c r="AJ143" i="56" s="1"/>
  <c r="V143" i="56"/>
  <c r="Y143" i="56" s="1"/>
  <c r="Y106" i="57"/>
  <c r="AK106" i="57"/>
  <c r="AL106" i="57"/>
  <c r="X63" i="56"/>
  <c r="AH63" i="56" s="1"/>
  <c r="AG63" i="56" s="1"/>
  <c r="AJ63" i="56" s="1" a="1"/>
  <c r="AJ63" i="56" s="1"/>
  <c r="V63" i="56"/>
  <c r="Y63" i="56" s="1"/>
  <c r="AL104" i="57"/>
  <c r="Y104" i="57"/>
  <c r="AK104" i="57"/>
  <c r="X104" i="57"/>
  <c r="AA104" i="57" s="1"/>
  <c r="AL139" i="57"/>
  <c r="AK139" i="57"/>
  <c r="Y139" i="57"/>
  <c r="U194" i="56"/>
  <c r="W194" i="56" s="1"/>
  <c r="U192" i="56"/>
  <c r="W192" i="56" s="1"/>
  <c r="U193" i="56"/>
  <c r="W193" i="56" s="1"/>
  <c r="X495" i="56"/>
  <c r="AH495" i="56" s="1"/>
  <c r="AG495" i="56" s="1"/>
  <c r="AJ495" i="56" s="1" a="1"/>
  <c r="AJ495" i="56" s="1"/>
  <c r="V495" i="56"/>
  <c r="Y495" i="56" s="1"/>
  <c r="AK114" i="57"/>
  <c r="AL114" i="57"/>
  <c r="Y114" i="57"/>
  <c r="X114" i="57"/>
  <c r="AA114" i="57" s="1"/>
  <c r="U86" i="56"/>
  <c r="W86" i="56" s="1"/>
  <c r="U84" i="56"/>
  <c r="W84" i="56" s="1"/>
  <c r="U85" i="56"/>
  <c r="W85" i="56" s="1"/>
  <c r="Y20" i="57"/>
  <c r="AK20" i="57"/>
  <c r="AL20" i="57"/>
  <c r="X525" i="56"/>
  <c r="AH525" i="56" s="1"/>
  <c r="AG525" i="56" s="1"/>
  <c r="AJ525" i="56" s="1" a="1"/>
  <c r="AJ525" i="56" s="1"/>
  <c r="V525" i="56"/>
  <c r="Y525" i="56" s="1"/>
  <c r="X89" i="56"/>
  <c r="AH89" i="56" s="1"/>
  <c r="AG89" i="56" s="1"/>
  <c r="AJ89" i="56" s="1" a="1"/>
  <c r="AJ89" i="56" s="1"/>
  <c r="V89" i="56"/>
  <c r="Y89" i="56" s="1"/>
  <c r="X505" i="56"/>
  <c r="AH505" i="56" s="1"/>
  <c r="AG505" i="56" s="1"/>
  <c r="AJ505" i="56" s="1" a="1"/>
  <c r="AJ505" i="56" s="1"/>
  <c r="V505" i="56"/>
  <c r="Y505" i="56" s="1"/>
  <c r="V261" i="56"/>
  <c r="Y261" i="56" s="1"/>
  <c r="X261" i="56"/>
  <c r="AH261" i="56" s="1"/>
  <c r="AG261" i="56" s="1"/>
  <c r="AJ261" i="56" s="1" a="1"/>
  <c r="AJ261" i="56" s="1"/>
  <c r="X88" i="56"/>
  <c r="AH88" i="56" s="1"/>
  <c r="AG88" i="56" s="1"/>
  <c r="AJ88" i="56" s="1" a="1"/>
  <c r="AJ88" i="56" s="1"/>
  <c r="V88" i="56"/>
  <c r="Y88" i="56" s="1"/>
  <c r="U261" i="56"/>
  <c r="W261" i="56" s="1"/>
  <c r="U262" i="56"/>
  <c r="W262" i="56" s="1"/>
  <c r="U263" i="56"/>
  <c r="W263" i="56" s="1"/>
  <c r="Y176" i="57"/>
  <c r="AK176" i="57"/>
  <c r="AL176" i="57"/>
  <c r="V521" i="56"/>
  <c r="Y521" i="56" s="1"/>
  <c r="X521" i="56"/>
  <c r="AH521" i="56" s="1"/>
  <c r="AG521" i="56" s="1"/>
  <c r="AJ521" i="56" s="1" a="1"/>
  <c r="AJ521" i="56" s="1"/>
  <c r="Y49" i="57"/>
  <c r="AL49" i="57"/>
  <c r="AK49" i="57"/>
  <c r="AO27" i="32"/>
  <c r="AK27" i="32"/>
  <c r="AK77" i="9"/>
  <c r="AL79" i="9" s="1"/>
  <c r="AL82" i="9" s="1"/>
  <c r="AL66" i="9"/>
  <c r="AL70" i="9" s="1"/>
  <c r="AP66" i="9"/>
  <c r="AP70" i="9" s="1"/>
  <c r="AP69" i="9"/>
  <c r="AP79" i="9"/>
  <c r="AP82" i="9" s="1"/>
  <c r="AP78" i="9"/>
  <c r="AH16" i="32" l="1"/>
  <c r="AH17" i="32" s="1"/>
  <c r="AH19" i="32"/>
  <c r="AH29" i="32"/>
  <c r="AH32" i="32" s="1"/>
  <c r="AH28" i="32"/>
  <c r="AH46" i="32" s="1"/>
  <c r="AB204" i="56"/>
  <c r="AB146" i="56"/>
  <c r="AB264" i="56"/>
  <c r="AB265" i="56"/>
  <c r="AB84" i="56"/>
  <c r="AB295" i="56"/>
  <c r="AB505" i="56"/>
  <c r="AB534" i="56"/>
  <c r="AB144" i="56"/>
  <c r="AB416" i="56"/>
  <c r="AB444" i="56"/>
  <c r="AB504" i="56"/>
  <c r="AB145" i="56"/>
  <c r="AB296" i="56"/>
  <c r="AB86" i="56"/>
  <c r="AB294" i="56"/>
  <c r="AB325" i="56"/>
  <c r="AB55" i="56"/>
  <c r="AB54" i="56"/>
  <c r="AB506" i="56"/>
  <c r="AB206" i="56"/>
  <c r="AB535" i="56"/>
  <c r="AB446" i="56"/>
  <c r="AB415" i="56"/>
  <c r="AB205" i="56"/>
  <c r="AB85" i="56"/>
  <c r="AB266" i="56"/>
  <c r="AB536" i="56"/>
  <c r="AB445" i="56"/>
  <c r="AB324" i="56"/>
  <c r="AB56" i="56"/>
  <c r="AB414" i="56"/>
  <c r="AB326" i="56"/>
  <c r="AB131" i="56"/>
  <c r="AB78" i="56"/>
  <c r="AB70" i="56"/>
  <c r="AB292" i="56"/>
  <c r="AB284" i="56"/>
  <c r="AB421" i="56"/>
  <c r="AB436" i="56"/>
  <c r="AM315" i="56"/>
  <c r="AB315" i="56"/>
  <c r="AB51" i="56"/>
  <c r="AB537" i="56"/>
  <c r="AB192" i="56"/>
  <c r="AB252" i="56"/>
  <c r="AB141" i="56"/>
  <c r="AB77" i="56"/>
  <c r="AM248" i="56"/>
  <c r="AB248" i="56"/>
  <c r="AB286" i="56"/>
  <c r="AB200" i="56"/>
  <c r="AB152" i="56"/>
  <c r="AB435" i="56"/>
  <c r="AB418" i="56"/>
  <c r="AB540" i="56"/>
  <c r="AB201" i="56"/>
  <c r="AB60" i="56"/>
  <c r="AB428" i="56"/>
  <c r="AB142" i="56"/>
  <c r="AB320" i="56"/>
  <c r="AB61" i="56"/>
  <c r="AB538" i="56"/>
  <c r="AB519" i="56"/>
  <c r="AB45" i="56"/>
  <c r="AB319" i="56"/>
  <c r="AB429" i="56"/>
  <c r="AB417" i="56"/>
  <c r="AB139" i="56"/>
  <c r="AB203" i="56"/>
  <c r="AB147" i="56"/>
  <c r="AB267" i="56"/>
  <c r="AB443" i="56"/>
  <c r="AB280" i="56"/>
  <c r="AB310" i="56"/>
  <c r="AB44" i="56"/>
  <c r="AB155" i="56"/>
  <c r="AB450" i="56"/>
  <c r="AB487" i="56"/>
  <c r="AB134" i="56"/>
  <c r="AB317" i="56"/>
  <c r="AB405" i="56"/>
  <c r="AB425" i="56"/>
  <c r="AB507" i="56"/>
  <c r="AB430" i="56"/>
  <c r="AB270" i="56"/>
  <c r="AB154" i="56"/>
  <c r="AB187" i="56"/>
  <c r="AB288" i="56"/>
  <c r="AB191" i="56"/>
  <c r="AB524" i="56"/>
  <c r="AB526" i="56"/>
  <c r="AB255" i="56"/>
  <c r="AB68" i="56"/>
  <c r="AB453" i="56"/>
  <c r="AB89" i="56"/>
  <c r="AB258" i="56"/>
  <c r="AB424" i="56"/>
  <c r="AB263" i="56"/>
  <c r="AB542" i="56"/>
  <c r="AB39" i="56"/>
  <c r="AB300" i="56"/>
  <c r="AB503" i="56"/>
  <c r="AB455" i="56"/>
  <c r="AB52" i="56"/>
  <c r="AB268" i="56"/>
  <c r="AB273" i="56"/>
  <c r="AM486" i="56"/>
  <c r="AB486" i="56"/>
  <c r="AB327" i="56"/>
  <c r="AB186" i="56"/>
  <c r="AB215" i="56"/>
  <c r="AB43" i="56"/>
  <c r="AB199" i="56"/>
  <c r="AM197" i="56"/>
  <c r="AB197" i="56"/>
  <c r="AB59" i="56"/>
  <c r="AB401" i="56"/>
  <c r="AB209" i="56"/>
  <c r="AB72" i="56"/>
  <c r="AB309" i="56"/>
  <c r="AB493" i="56"/>
  <c r="AB71" i="56"/>
  <c r="AB512" i="56"/>
  <c r="AB195" i="56"/>
  <c r="AB198" i="56"/>
  <c r="AB527" i="56"/>
  <c r="AB516" i="56"/>
  <c r="AB261" i="56"/>
  <c r="AB138" i="56"/>
  <c r="AB398" i="56"/>
  <c r="AB490" i="56"/>
  <c r="AB397" i="56"/>
  <c r="AB498" i="56"/>
  <c r="AB411" i="56"/>
  <c r="AB329" i="56"/>
  <c r="AB151" i="56"/>
  <c r="AB489" i="56"/>
  <c r="AB333" i="56"/>
  <c r="AB410" i="56"/>
  <c r="AB525" i="56"/>
  <c r="AB67" i="56"/>
  <c r="AB64" i="56"/>
  <c r="AB271" i="56"/>
  <c r="AB260" i="56"/>
  <c r="AB407" i="56"/>
  <c r="AB79" i="56"/>
  <c r="AB277" i="56"/>
  <c r="AB50" i="56"/>
  <c r="AM437" i="56"/>
  <c r="AB437" i="56"/>
  <c r="AB90" i="56"/>
  <c r="AB41" i="56"/>
  <c r="AB278" i="56"/>
  <c r="AB491" i="56"/>
  <c r="AB440" i="56"/>
  <c r="AB513" i="56"/>
  <c r="AB254" i="56"/>
  <c r="AB541" i="56"/>
  <c r="AB53" i="56"/>
  <c r="AB137" i="56"/>
  <c r="AB132" i="56"/>
  <c r="AB95" i="56"/>
  <c r="AM38" i="56"/>
  <c r="AB38" i="56"/>
  <c r="AB441" i="56"/>
  <c r="AB279" i="56"/>
  <c r="AB306" i="56"/>
  <c r="AB532" i="56"/>
  <c r="AB409" i="56"/>
  <c r="AB214" i="56"/>
  <c r="AB426" i="56"/>
  <c r="AB531" i="56"/>
  <c r="AB314" i="56"/>
  <c r="AB63" i="56"/>
  <c r="AB423" i="56"/>
  <c r="AB130" i="56"/>
  <c r="AB253" i="56"/>
  <c r="AB402" i="56"/>
  <c r="AB272" i="56"/>
  <c r="AB544" i="56"/>
  <c r="AB522" i="56"/>
  <c r="AB283" i="56"/>
  <c r="AB335" i="56"/>
  <c r="AB427" i="56"/>
  <c r="AB256" i="56"/>
  <c r="AB149" i="56"/>
  <c r="AB400" i="56"/>
  <c r="AB298" i="56"/>
  <c r="AB291" i="56"/>
  <c r="AB212" i="56"/>
  <c r="AB135" i="56"/>
  <c r="AB439" i="56"/>
  <c r="AB454" i="56"/>
  <c r="AB127" i="56"/>
  <c r="AB69" i="56"/>
  <c r="AB499" i="56"/>
  <c r="AB332" i="56"/>
  <c r="AM518" i="56"/>
  <c r="AB518" i="56"/>
  <c r="AB62" i="56"/>
  <c r="AB530" i="56"/>
  <c r="AB447" i="56"/>
  <c r="AB289" i="56"/>
  <c r="AB434" i="56"/>
  <c r="AB262" i="56"/>
  <c r="AB501" i="56"/>
  <c r="AB305" i="56"/>
  <c r="AB36" i="56"/>
  <c r="AB419" i="56"/>
  <c r="AB251" i="56"/>
  <c r="AB307" i="56"/>
  <c r="AB533" i="56"/>
  <c r="AB406" i="56"/>
  <c r="AB196" i="56"/>
  <c r="AB299" i="56"/>
  <c r="AB529" i="56"/>
  <c r="AB322" i="56"/>
  <c r="AB58" i="56"/>
  <c r="AB521" i="56"/>
  <c r="AB87" i="56"/>
  <c r="AB312" i="56"/>
  <c r="AB508" i="56"/>
  <c r="AB48" i="56"/>
  <c r="AB274" i="56"/>
  <c r="AB276" i="56"/>
  <c r="AB153" i="56"/>
  <c r="AB208" i="56"/>
  <c r="AB494" i="56"/>
  <c r="AB88" i="56"/>
  <c r="AM396" i="56"/>
  <c r="AB396" i="56"/>
  <c r="AB143" i="56"/>
  <c r="AB500" i="56"/>
  <c r="AB330" i="56"/>
  <c r="AB129" i="56"/>
  <c r="AB404" i="56"/>
  <c r="AB432" i="56"/>
  <c r="AB94" i="56"/>
  <c r="AB509" i="56"/>
  <c r="AB249" i="56"/>
  <c r="AB403" i="56"/>
  <c r="AB328" i="56"/>
  <c r="AB438" i="56"/>
  <c r="AB189" i="56"/>
  <c r="AB297" i="56"/>
  <c r="AB492" i="56"/>
  <c r="AB303" i="56"/>
  <c r="AB412" i="56"/>
  <c r="AB311" i="56"/>
  <c r="AB523" i="56"/>
  <c r="AB190" i="56"/>
  <c r="AB133" i="56"/>
  <c r="AB408" i="56"/>
  <c r="AB82" i="56"/>
  <c r="AB323" i="56"/>
  <c r="AB211" i="56"/>
  <c r="AB80" i="56"/>
  <c r="AB75" i="56"/>
  <c r="AB76" i="56"/>
  <c r="AB140" i="56"/>
  <c r="AB46" i="56"/>
  <c r="AB334" i="56"/>
  <c r="AB148" i="56"/>
  <c r="AB47" i="56"/>
  <c r="AB514" i="56"/>
  <c r="AB128" i="56"/>
  <c r="AB66" i="56"/>
  <c r="AB433" i="56"/>
  <c r="AB449" i="56"/>
  <c r="AB259" i="56"/>
  <c r="AB40" i="56"/>
  <c r="AB202" i="56"/>
  <c r="AB93" i="56"/>
  <c r="AB73" i="56"/>
  <c r="AB316" i="56"/>
  <c r="AB308" i="56"/>
  <c r="AB57" i="56"/>
  <c r="AB420" i="56"/>
  <c r="AB74" i="56"/>
  <c r="AB304" i="56"/>
  <c r="AB413" i="56"/>
  <c r="AB92" i="56"/>
  <c r="AB42" i="56"/>
  <c r="AB269" i="56"/>
  <c r="AB282" i="56"/>
  <c r="AB318" i="56"/>
  <c r="AB194" i="56"/>
  <c r="AB91" i="56"/>
  <c r="AB250" i="56"/>
  <c r="AB502" i="56"/>
  <c r="AB539" i="56"/>
  <c r="AB49" i="56"/>
  <c r="AB431" i="56"/>
  <c r="AB275" i="56"/>
  <c r="AB293" i="56"/>
  <c r="AB448" i="56"/>
  <c r="AB247" i="56"/>
  <c r="AB442" i="56"/>
  <c r="AB287" i="56"/>
  <c r="AB246" i="56"/>
  <c r="AB422" i="56"/>
  <c r="AB517" i="56"/>
  <c r="AB545" i="56"/>
  <c r="AB290" i="56"/>
  <c r="AB488" i="56"/>
  <c r="AB81" i="56"/>
  <c r="AB302" i="56"/>
  <c r="AB511" i="56"/>
  <c r="AB126" i="56"/>
  <c r="AB285" i="56"/>
  <c r="AB207" i="56"/>
  <c r="AB452" i="56"/>
  <c r="AB496" i="56"/>
  <c r="AB497" i="56"/>
  <c r="AB495" i="56"/>
  <c r="AB193" i="56"/>
  <c r="AB313" i="56"/>
  <c r="AB301" i="56"/>
  <c r="AB510" i="56"/>
  <c r="AB83" i="56"/>
  <c r="AB321" i="56"/>
  <c r="AB515" i="56"/>
  <c r="AB37" i="56"/>
  <c r="AB257" i="56"/>
  <c r="AB281" i="56"/>
  <c r="AB331" i="56"/>
  <c r="AB213" i="56"/>
  <c r="AB188" i="56"/>
  <c r="AB136" i="56"/>
  <c r="AM210" i="56"/>
  <c r="AB210" i="56"/>
  <c r="AB528" i="56"/>
  <c r="AB399" i="56"/>
  <c r="AB150" i="56"/>
  <c r="AB520" i="56"/>
  <c r="AB451" i="56"/>
  <c r="AB543" i="56"/>
  <c r="AB65" i="56"/>
  <c r="AP16" i="32"/>
  <c r="AP20" i="32" s="1"/>
  <c r="AL16" i="32"/>
  <c r="AL20" i="32" s="1"/>
  <c r="AL19" i="32"/>
  <c r="AP19" i="32"/>
  <c r="AL67" i="9"/>
  <c r="AL78" i="9"/>
  <c r="AL97" i="9" s="1"/>
  <c r="AL66" i="32"/>
  <c r="AL78" i="32" s="1"/>
  <c r="AM72" i="32"/>
  <c r="AH66" i="32"/>
  <c r="AI72" i="32"/>
  <c r="AP66" i="32"/>
  <c r="AQ72" i="32"/>
  <c r="AP67" i="9"/>
  <c r="AL28" i="32"/>
  <c r="AL46" i="32" s="1"/>
  <c r="AL29" i="32"/>
  <c r="AL32" i="32" s="1"/>
  <c r="AP28" i="32"/>
  <c r="AP46" i="32" s="1"/>
  <c r="AP29" i="32"/>
  <c r="AP32" i="32" s="1"/>
  <c r="AP97" i="9"/>
  <c r="AP81" i="9"/>
  <c r="AP83" i="9" s="1"/>
  <c r="AP85" i="9" s="1" a="1"/>
  <c r="AP85" i="9" s="1"/>
  <c r="AP80" i="9"/>
  <c r="AP84" i="9" s="1" a="1"/>
  <c r="AP84" i="9" s="1"/>
  <c r="AH30" i="32" l="1"/>
  <c r="AH34" i="32" s="1" a="1"/>
  <c r="AH34" i="32" s="1"/>
  <c r="AH31" i="32"/>
  <c r="AH33" i="32" s="1"/>
  <c r="AH35" i="32" s="1" a="1"/>
  <c r="AH35" i="32" s="1"/>
  <c r="AH47" i="32"/>
  <c r="AH20" i="32"/>
  <c r="AM55" i="56"/>
  <c r="AM445" i="56"/>
  <c r="AM505" i="56"/>
  <c r="AC326" i="56"/>
  <c r="AD326" i="56"/>
  <c r="AE326" i="56" s="1"/>
  <c r="AK326" i="56"/>
  <c r="AC414" i="56"/>
  <c r="AK414" i="56"/>
  <c r="AD414" i="56"/>
  <c r="AE414" i="56" s="1"/>
  <c r="AD206" i="56"/>
  <c r="AE206" i="56" s="1"/>
  <c r="AC206" i="56"/>
  <c r="AK206" i="56"/>
  <c r="AD416" i="56"/>
  <c r="AE416" i="56" s="1"/>
  <c r="AC416" i="56"/>
  <c r="AK416" i="56"/>
  <c r="AM414" i="56"/>
  <c r="AM206" i="56"/>
  <c r="AM416" i="56"/>
  <c r="AD444" i="56"/>
  <c r="AE444" i="56" s="1"/>
  <c r="AC444" i="56"/>
  <c r="AK444" i="56"/>
  <c r="AM326" i="56"/>
  <c r="AK506" i="56"/>
  <c r="AD506" i="56"/>
  <c r="AE506" i="56" s="1"/>
  <c r="AC506" i="56"/>
  <c r="AM56" i="56"/>
  <c r="AK324" i="56"/>
  <c r="AC324" i="56"/>
  <c r="AD324" i="56"/>
  <c r="AE324" i="56" s="1"/>
  <c r="AD54" i="56"/>
  <c r="AE54" i="56" s="1"/>
  <c r="AK54" i="56"/>
  <c r="AC54" i="56"/>
  <c r="AC534" i="56"/>
  <c r="AD534" i="56"/>
  <c r="AE534" i="56" s="1"/>
  <c r="AK534" i="56"/>
  <c r="AM324" i="56"/>
  <c r="AM54" i="56"/>
  <c r="AM534" i="56"/>
  <c r="AK445" i="56"/>
  <c r="AC445" i="56"/>
  <c r="AD445" i="56"/>
  <c r="AE445" i="56" s="1"/>
  <c r="AK55" i="56"/>
  <c r="AC55" i="56"/>
  <c r="AD55" i="56"/>
  <c r="AE55" i="56" s="1"/>
  <c r="AK505" i="56"/>
  <c r="AD505" i="56"/>
  <c r="AE505" i="56" s="1"/>
  <c r="AC505" i="56"/>
  <c r="AK295" i="56"/>
  <c r="AC295" i="56"/>
  <c r="AD295" i="56"/>
  <c r="AE295" i="56" s="1"/>
  <c r="AM536" i="56"/>
  <c r="AM325" i="56"/>
  <c r="AM295" i="56"/>
  <c r="AM266" i="56"/>
  <c r="AM294" i="56"/>
  <c r="AM84" i="56"/>
  <c r="AM144" i="56"/>
  <c r="AD266" i="56"/>
  <c r="AE266" i="56" s="1"/>
  <c r="AC266" i="56"/>
  <c r="AK266" i="56"/>
  <c r="AK85" i="56"/>
  <c r="AC85" i="56"/>
  <c r="AD85" i="56"/>
  <c r="AE85" i="56" s="1"/>
  <c r="AD86" i="56"/>
  <c r="AE86" i="56" s="1"/>
  <c r="AK86" i="56"/>
  <c r="AC86" i="56"/>
  <c r="AK265" i="56"/>
  <c r="AD265" i="56"/>
  <c r="AE265" i="56" s="1"/>
  <c r="AC265" i="56"/>
  <c r="AM444" i="56"/>
  <c r="AM85" i="56"/>
  <c r="AM86" i="56"/>
  <c r="AM265" i="56"/>
  <c r="AD294" i="56"/>
  <c r="AE294" i="56" s="1"/>
  <c r="AC294" i="56"/>
  <c r="AK294" i="56"/>
  <c r="AK205" i="56"/>
  <c r="AC205" i="56"/>
  <c r="AD205" i="56"/>
  <c r="AE205" i="56" s="1"/>
  <c r="AC296" i="56"/>
  <c r="AD296" i="56"/>
  <c r="AE296" i="56" s="1"/>
  <c r="AK296" i="56"/>
  <c r="AC264" i="56"/>
  <c r="AK264" i="56"/>
  <c r="AD264" i="56"/>
  <c r="AE264" i="56" s="1"/>
  <c r="AK84" i="56"/>
  <c r="AD84" i="56"/>
  <c r="AE84" i="56" s="1"/>
  <c r="AC84" i="56"/>
  <c r="AM205" i="56"/>
  <c r="AM296" i="56"/>
  <c r="AM264" i="56"/>
  <c r="AM535" i="56"/>
  <c r="AC144" i="56"/>
  <c r="AK144" i="56"/>
  <c r="AD144" i="56"/>
  <c r="AE144" i="56" s="1"/>
  <c r="AD415" i="56"/>
  <c r="AE415" i="56" s="1"/>
  <c r="AC415" i="56"/>
  <c r="AK415" i="56"/>
  <c r="AC145" i="56"/>
  <c r="AD145" i="56"/>
  <c r="AE145" i="56" s="1"/>
  <c r="AK145" i="56"/>
  <c r="AC146" i="56"/>
  <c r="AD146" i="56"/>
  <c r="AE146" i="56" s="1"/>
  <c r="AK146" i="56"/>
  <c r="AK535" i="56"/>
  <c r="AD535" i="56"/>
  <c r="AE535" i="56" s="1"/>
  <c r="AC535" i="56"/>
  <c r="AD56" i="56"/>
  <c r="AE56" i="56" s="1"/>
  <c r="AK56" i="56"/>
  <c r="AC56" i="56"/>
  <c r="AM506" i="56"/>
  <c r="AC536" i="56"/>
  <c r="AD536" i="56"/>
  <c r="AE536" i="56" s="1"/>
  <c r="AK536" i="56"/>
  <c r="AM415" i="56"/>
  <c r="AM145" i="56"/>
  <c r="AM146" i="56"/>
  <c r="AK446" i="56"/>
  <c r="AD446" i="56"/>
  <c r="AE446" i="56" s="1"/>
  <c r="AC446" i="56"/>
  <c r="AC504" i="56"/>
  <c r="AK504" i="56"/>
  <c r="AD504" i="56"/>
  <c r="AE504" i="56" s="1"/>
  <c r="AC204" i="56"/>
  <c r="AK204" i="56"/>
  <c r="AD204" i="56"/>
  <c r="AE204" i="56" s="1"/>
  <c r="AK325" i="56"/>
  <c r="AD325" i="56"/>
  <c r="AE325" i="56" s="1"/>
  <c r="AC325" i="56"/>
  <c r="AM446" i="56"/>
  <c r="AM504" i="56"/>
  <c r="AM204" i="56"/>
  <c r="AM417" i="56"/>
  <c r="AM141" i="56"/>
  <c r="AM411" i="56"/>
  <c r="AM299" i="56"/>
  <c r="AM431" i="56"/>
  <c r="AM254" i="56"/>
  <c r="AM215" i="56"/>
  <c r="AM495" i="56"/>
  <c r="AM135" i="56"/>
  <c r="AM288" i="56"/>
  <c r="AM497" i="56"/>
  <c r="AM311" i="56"/>
  <c r="AM79" i="56"/>
  <c r="AM192" i="56"/>
  <c r="AM289" i="56"/>
  <c r="AM281" i="56"/>
  <c r="AM522" i="56"/>
  <c r="AM39" i="56"/>
  <c r="AM544" i="56"/>
  <c r="AM487" i="56"/>
  <c r="AM428" i="56"/>
  <c r="AM545" i="56"/>
  <c r="AM76" i="56"/>
  <c r="AM43" i="56"/>
  <c r="AM40" i="56"/>
  <c r="AM331" i="56"/>
  <c r="AM541" i="56"/>
  <c r="AM259" i="56"/>
  <c r="AM196" i="56"/>
  <c r="AM429" i="56"/>
  <c r="AM290" i="56"/>
  <c r="AM439" i="56"/>
  <c r="AM542" i="56"/>
  <c r="AM317" i="56"/>
  <c r="AM412" i="56"/>
  <c r="AM329" i="56"/>
  <c r="AM65" i="56"/>
  <c r="AM92" i="56"/>
  <c r="AM153" i="56"/>
  <c r="AM214" i="56"/>
  <c r="AM537" i="56"/>
  <c r="AM450" i="56"/>
  <c r="AM413" i="56"/>
  <c r="AM276" i="56"/>
  <c r="AM409" i="56"/>
  <c r="AM543" i="56"/>
  <c r="AM140" i="56"/>
  <c r="AM434" i="56"/>
  <c r="AM201" i="56"/>
  <c r="AM191" i="56"/>
  <c r="AM540" i="56"/>
  <c r="AM94" i="56"/>
  <c r="AM407" i="56"/>
  <c r="AM432" i="56"/>
  <c r="AM195" i="56"/>
  <c r="AM203" i="56"/>
  <c r="AM78" i="56"/>
  <c r="AM49" i="56"/>
  <c r="AM512" i="56"/>
  <c r="AK153" i="56"/>
  <c r="AC153" i="56"/>
  <c r="AD153" i="56"/>
  <c r="AE153" i="56" s="1"/>
  <c r="AK429" i="56"/>
  <c r="AD429" i="56"/>
  <c r="AE429" i="56" s="1"/>
  <c r="AC429" i="56"/>
  <c r="AD434" i="56"/>
  <c r="AE434" i="56" s="1"/>
  <c r="AC434" i="56"/>
  <c r="AK434" i="56"/>
  <c r="AK544" i="56"/>
  <c r="AC544" i="56"/>
  <c r="AD544" i="56"/>
  <c r="AE544" i="56" s="1"/>
  <c r="AC288" i="56"/>
  <c r="AK288" i="56"/>
  <c r="AD288" i="56"/>
  <c r="AE288" i="56" s="1"/>
  <c r="AD450" i="56"/>
  <c r="AE450" i="56" s="1"/>
  <c r="AC450" i="56"/>
  <c r="AK450" i="56"/>
  <c r="AC540" i="56"/>
  <c r="AD540" i="56"/>
  <c r="AE540" i="56" s="1"/>
  <c r="AK540" i="56"/>
  <c r="AD537" i="56"/>
  <c r="AE537" i="56" s="1"/>
  <c r="AK537" i="56"/>
  <c r="AC537" i="56"/>
  <c r="AM451" i="56"/>
  <c r="AM257" i="56"/>
  <c r="AM496" i="56"/>
  <c r="AM517" i="56"/>
  <c r="AM539" i="56"/>
  <c r="AM304" i="56"/>
  <c r="AM449" i="56"/>
  <c r="AM75" i="56"/>
  <c r="AM303" i="56"/>
  <c r="AM404" i="56"/>
  <c r="AM274" i="56"/>
  <c r="AM406" i="56"/>
  <c r="AM447" i="56"/>
  <c r="AM212" i="56"/>
  <c r="AM272" i="56"/>
  <c r="AM532" i="56"/>
  <c r="AM513" i="56"/>
  <c r="AM260" i="56"/>
  <c r="AM498" i="56"/>
  <c r="AM71" i="56"/>
  <c r="AM186" i="56"/>
  <c r="AM263" i="56"/>
  <c r="AM187" i="56"/>
  <c r="AM155" i="56"/>
  <c r="AM319" i="56"/>
  <c r="AM418" i="56"/>
  <c r="AM51" i="56"/>
  <c r="AK522" i="56"/>
  <c r="AC522" i="56"/>
  <c r="AD522" i="56"/>
  <c r="AE522" i="56" s="1"/>
  <c r="AK413" i="56"/>
  <c r="AD413" i="56"/>
  <c r="AE413" i="56" s="1"/>
  <c r="AC413" i="56"/>
  <c r="AD304" i="56"/>
  <c r="AE304" i="56" s="1"/>
  <c r="AC304" i="56"/>
  <c r="AK304" i="56"/>
  <c r="AK75" i="56"/>
  <c r="AC75" i="56"/>
  <c r="AD75" i="56"/>
  <c r="AE75" i="56" s="1"/>
  <c r="AD404" i="56"/>
  <c r="AE404" i="56" s="1"/>
  <c r="AK404" i="56"/>
  <c r="AC404" i="56"/>
  <c r="AC406" i="56"/>
  <c r="AD406" i="56"/>
  <c r="AE406" i="56" s="1"/>
  <c r="AK406" i="56"/>
  <c r="AD212" i="56"/>
  <c r="AE212" i="56" s="1"/>
  <c r="AK212" i="56"/>
  <c r="AC212" i="56"/>
  <c r="AD532" i="56"/>
  <c r="AE532" i="56" s="1"/>
  <c r="AK532" i="56"/>
  <c r="AC532" i="56"/>
  <c r="AD498" i="56"/>
  <c r="AE498" i="56" s="1"/>
  <c r="AK498" i="56"/>
  <c r="AC498" i="56"/>
  <c r="AC186" i="56"/>
  <c r="AD186" i="56"/>
  <c r="AE186" i="56" s="1"/>
  <c r="AK186" i="56"/>
  <c r="AD187" i="56"/>
  <c r="AE187" i="56" s="1"/>
  <c r="AC187" i="56"/>
  <c r="AK187" i="56"/>
  <c r="AK155" i="56"/>
  <c r="AD155" i="56"/>
  <c r="AE155" i="56" s="1"/>
  <c r="AC155" i="56"/>
  <c r="AK418" i="56"/>
  <c r="AD418" i="56"/>
  <c r="AE418" i="56" s="1"/>
  <c r="AC418" i="56"/>
  <c r="AD51" i="56"/>
  <c r="AE51" i="56" s="1"/>
  <c r="AK51" i="56"/>
  <c r="AC51" i="56"/>
  <c r="AD331" i="56"/>
  <c r="AE331" i="56" s="1"/>
  <c r="AC331" i="56"/>
  <c r="AK331" i="56"/>
  <c r="AC192" i="56"/>
  <c r="AK192" i="56"/>
  <c r="AD192" i="56"/>
  <c r="AE192" i="56" s="1"/>
  <c r="AD545" i="56"/>
  <c r="AE545" i="56" s="1"/>
  <c r="AK545" i="56"/>
  <c r="AC545" i="56"/>
  <c r="AD407" i="56"/>
  <c r="AE407" i="56" s="1"/>
  <c r="AK407" i="56"/>
  <c r="AC407" i="56"/>
  <c r="AD449" i="56"/>
  <c r="AE449" i="56" s="1"/>
  <c r="AC449" i="56"/>
  <c r="AK449" i="56"/>
  <c r="AD303" i="56"/>
  <c r="AE303" i="56" s="1"/>
  <c r="AC303" i="56"/>
  <c r="AK303" i="56"/>
  <c r="AC274" i="56"/>
  <c r="AD274" i="56"/>
  <c r="AE274" i="56" s="1"/>
  <c r="AK274" i="56"/>
  <c r="AK447" i="56"/>
  <c r="AC447" i="56"/>
  <c r="AD447" i="56"/>
  <c r="AE447" i="56" s="1"/>
  <c r="AK272" i="56"/>
  <c r="AD272" i="56"/>
  <c r="AE272" i="56" s="1"/>
  <c r="AC272" i="56"/>
  <c r="AK513" i="56"/>
  <c r="AD513" i="56"/>
  <c r="AE513" i="56" s="1"/>
  <c r="AC513" i="56"/>
  <c r="AK260" i="56"/>
  <c r="AD260" i="56"/>
  <c r="AE260" i="56" s="1"/>
  <c r="AC260" i="56"/>
  <c r="AC71" i="56"/>
  <c r="AD71" i="56"/>
  <c r="AE71" i="56" s="1"/>
  <c r="AK71" i="56"/>
  <c r="AC263" i="56"/>
  <c r="AK263" i="56"/>
  <c r="AD263" i="56"/>
  <c r="AE263" i="56" s="1"/>
  <c r="AC319" i="56"/>
  <c r="AK319" i="56"/>
  <c r="AD319" i="56"/>
  <c r="AE319" i="56" s="1"/>
  <c r="AM520" i="56"/>
  <c r="AM37" i="56"/>
  <c r="AM452" i="56"/>
  <c r="AM422" i="56"/>
  <c r="AM502" i="56"/>
  <c r="AM74" i="56"/>
  <c r="AM433" i="56"/>
  <c r="AM80" i="56"/>
  <c r="AM492" i="56"/>
  <c r="AM129" i="56"/>
  <c r="AM48" i="56"/>
  <c r="AM533" i="56"/>
  <c r="AM530" i="56"/>
  <c r="AM291" i="56"/>
  <c r="AM402" i="56"/>
  <c r="AM306" i="56"/>
  <c r="AM440" i="56"/>
  <c r="AM271" i="56"/>
  <c r="AM397" i="56"/>
  <c r="AM493" i="56"/>
  <c r="AM327" i="56"/>
  <c r="AM424" i="56"/>
  <c r="AM154" i="56"/>
  <c r="AM44" i="56"/>
  <c r="AM45" i="56"/>
  <c r="AM435" i="56"/>
  <c r="AC315" i="56"/>
  <c r="AD315" i="56"/>
  <c r="AE315" i="56" s="1"/>
  <c r="AK315" i="56"/>
  <c r="AC439" i="56"/>
  <c r="AD439" i="56"/>
  <c r="AE439" i="56" s="1"/>
  <c r="AK439" i="56"/>
  <c r="AK196" i="56"/>
  <c r="AD196" i="56"/>
  <c r="AE196" i="56" s="1"/>
  <c r="AC196" i="56"/>
  <c r="AK37" i="56"/>
  <c r="AC37" i="56"/>
  <c r="AD37" i="56"/>
  <c r="AE37" i="56" s="1"/>
  <c r="AC433" i="56"/>
  <c r="AK433" i="56"/>
  <c r="AD433" i="56"/>
  <c r="AE433" i="56" s="1"/>
  <c r="AD129" i="56"/>
  <c r="AE129" i="56" s="1"/>
  <c r="AC129" i="56"/>
  <c r="AK129" i="56"/>
  <c r="AD530" i="56"/>
  <c r="AE530" i="56" s="1"/>
  <c r="AK530" i="56"/>
  <c r="AC530" i="56"/>
  <c r="AK402" i="56"/>
  <c r="AC402" i="56"/>
  <c r="AD402" i="56"/>
  <c r="AE402" i="56" s="1"/>
  <c r="AD440" i="56"/>
  <c r="AE440" i="56" s="1"/>
  <c r="AK440" i="56"/>
  <c r="AC440" i="56"/>
  <c r="AK397" i="56"/>
  <c r="AD397" i="56"/>
  <c r="AE397" i="56" s="1"/>
  <c r="AC397" i="56"/>
  <c r="AK327" i="56"/>
  <c r="AC327" i="56"/>
  <c r="AD327" i="56"/>
  <c r="AE327" i="56" s="1"/>
  <c r="AD154" i="56"/>
  <c r="AE154" i="56" s="1"/>
  <c r="AK154" i="56"/>
  <c r="AC154" i="56"/>
  <c r="AC44" i="56"/>
  <c r="AK44" i="56"/>
  <c r="AD44" i="56"/>
  <c r="AE44" i="56" s="1"/>
  <c r="AD435" i="56"/>
  <c r="AE435" i="56" s="1"/>
  <c r="AK435" i="56"/>
  <c r="AC435" i="56"/>
  <c r="AC417" i="56"/>
  <c r="AK417" i="56"/>
  <c r="AD417" i="56"/>
  <c r="AE417" i="56" s="1"/>
  <c r="AD281" i="56"/>
  <c r="AE281" i="56" s="1"/>
  <c r="AC281" i="56"/>
  <c r="AK281" i="56"/>
  <c r="AK215" i="56"/>
  <c r="AD215" i="56"/>
  <c r="AE215" i="56" s="1"/>
  <c r="AC215" i="56"/>
  <c r="AC422" i="56"/>
  <c r="AK422" i="56"/>
  <c r="AD422" i="56"/>
  <c r="AE422" i="56" s="1"/>
  <c r="AD492" i="56"/>
  <c r="AE492" i="56" s="1"/>
  <c r="AC492" i="56"/>
  <c r="AK492" i="56"/>
  <c r="AD48" i="56"/>
  <c r="AE48" i="56" s="1"/>
  <c r="AC48" i="56"/>
  <c r="AK48" i="56"/>
  <c r="AK533" i="56"/>
  <c r="AC533" i="56"/>
  <c r="AD533" i="56"/>
  <c r="AE533" i="56" s="1"/>
  <c r="AC291" i="56"/>
  <c r="AD291" i="56"/>
  <c r="AE291" i="56" s="1"/>
  <c r="AK291" i="56"/>
  <c r="AD306" i="56"/>
  <c r="AE306" i="56" s="1"/>
  <c r="AK306" i="56"/>
  <c r="AC306" i="56"/>
  <c r="AD271" i="56"/>
  <c r="AE271" i="56" s="1"/>
  <c r="AK271" i="56"/>
  <c r="AC271" i="56"/>
  <c r="AK493" i="56"/>
  <c r="AD493" i="56"/>
  <c r="AE493" i="56" s="1"/>
  <c r="AC493" i="56"/>
  <c r="AC424" i="56"/>
  <c r="AK424" i="56"/>
  <c r="AD424" i="56"/>
  <c r="AE424" i="56" s="1"/>
  <c r="AC45" i="56"/>
  <c r="AK45" i="56"/>
  <c r="AD45" i="56"/>
  <c r="AE45" i="56" s="1"/>
  <c r="AM150" i="56"/>
  <c r="AM515" i="56"/>
  <c r="AM207" i="56"/>
  <c r="AM246" i="56"/>
  <c r="AM250" i="56"/>
  <c r="AM420" i="56"/>
  <c r="AM66" i="56"/>
  <c r="AM211" i="56"/>
  <c r="AM297" i="56"/>
  <c r="AM330" i="56"/>
  <c r="AM508" i="56"/>
  <c r="AM307" i="56"/>
  <c r="AM62" i="56"/>
  <c r="AM298" i="56"/>
  <c r="AM253" i="56"/>
  <c r="AM279" i="56"/>
  <c r="AM491" i="56"/>
  <c r="AM64" i="56"/>
  <c r="AM490" i="56"/>
  <c r="AM309" i="56"/>
  <c r="AC486" i="56"/>
  <c r="AK486" i="56"/>
  <c r="AD486" i="56"/>
  <c r="AE486" i="56" s="1"/>
  <c r="AM258" i="56"/>
  <c r="AM270" i="56"/>
  <c r="AM310" i="56"/>
  <c r="AM519" i="56"/>
  <c r="AM152" i="56"/>
  <c r="AM436" i="56"/>
  <c r="AK290" i="56"/>
  <c r="AC290" i="56"/>
  <c r="AD290" i="56"/>
  <c r="AE290" i="56" s="1"/>
  <c r="AC541" i="56"/>
  <c r="AK541" i="56"/>
  <c r="AD541" i="56"/>
  <c r="AE541" i="56" s="1"/>
  <c r="AC276" i="56"/>
  <c r="AD276" i="56"/>
  <c r="AE276" i="56" s="1"/>
  <c r="AK276" i="56"/>
  <c r="AC496" i="56"/>
  <c r="AK496" i="56"/>
  <c r="AD496" i="56"/>
  <c r="AE496" i="56" s="1"/>
  <c r="AD452" i="56"/>
  <c r="AE452" i="56" s="1"/>
  <c r="AK452" i="56"/>
  <c r="AC452" i="56"/>
  <c r="AK74" i="56"/>
  <c r="AC74" i="56"/>
  <c r="AD74" i="56"/>
  <c r="AE74" i="56" s="1"/>
  <c r="AD150" i="56"/>
  <c r="AE150" i="56" s="1"/>
  <c r="AC150" i="56"/>
  <c r="AK150" i="56"/>
  <c r="AC207" i="56"/>
  <c r="AD207" i="56"/>
  <c r="AE207" i="56" s="1"/>
  <c r="AK207" i="56"/>
  <c r="AD250" i="56"/>
  <c r="AE250" i="56" s="1"/>
  <c r="AK250" i="56"/>
  <c r="AC250" i="56"/>
  <c r="AC211" i="56"/>
  <c r="AD211" i="56"/>
  <c r="AE211" i="56" s="1"/>
  <c r="AK211" i="56"/>
  <c r="AD330" i="56"/>
  <c r="AE330" i="56" s="1"/>
  <c r="AK330" i="56"/>
  <c r="AC330" i="56"/>
  <c r="AC307" i="56"/>
  <c r="AK307" i="56"/>
  <c r="AD307" i="56"/>
  <c r="AE307" i="56" s="1"/>
  <c r="AK298" i="56"/>
  <c r="AD298" i="56"/>
  <c r="AE298" i="56" s="1"/>
  <c r="AC298" i="56"/>
  <c r="AK279" i="56"/>
  <c r="AC279" i="56"/>
  <c r="AD279" i="56"/>
  <c r="AE279" i="56" s="1"/>
  <c r="AK64" i="56"/>
  <c r="AC64" i="56"/>
  <c r="AD64" i="56"/>
  <c r="AE64" i="56" s="1"/>
  <c r="AK309" i="56"/>
  <c r="AC309" i="56"/>
  <c r="AD309" i="56"/>
  <c r="AE309" i="56" s="1"/>
  <c r="AC270" i="56"/>
  <c r="AD270" i="56"/>
  <c r="AE270" i="56" s="1"/>
  <c r="AK270" i="56"/>
  <c r="AC310" i="56"/>
  <c r="AK310" i="56"/>
  <c r="AD310" i="56"/>
  <c r="AE310" i="56" s="1"/>
  <c r="AK519" i="56"/>
  <c r="AC519" i="56"/>
  <c r="AD519" i="56"/>
  <c r="AE519" i="56" s="1"/>
  <c r="AC152" i="56"/>
  <c r="AK152" i="56"/>
  <c r="AD152" i="56"/>
  <c r="AE152" i="56" s="1"/>
  <c r="AD436" i="56"/>
  <c r="AE436" i="56" s="1"/>
  <c r="AC436" i="56"/>
  <c r="AK436" i="56"/>
  <c r="AC431" i="56"/>
  <c r="AK431" i="56"/>
  <c r="AD431" i="56"/>
  <c r="AE431" i="56" s="1"/>
  <c r="AD201" i="56"/>
  <c r="AE201" i="56" s="1"/>
  <c r="AK201" i="56"/>
  <c r="AC201" i="56"/>
  <c r="AD49" i="56"/>
  <c r="AE49" i="56" s="1"/>
  <c r="AC49" i="56"/>
  <c r="AK49" i="56"/>
  <c r="AD254" i="56"/>
  <c r="AE254" i="56" s="1"/>
  <c r="AK254" i="56"/>
  <c r="AC254" i="56"/>
  <c r="AC520" i="56"/>
  <c r="AK520" i="56"/>
  <c r="AD520" i="56"/>
  <c r="AE520" i="56" s="1"/>
  <c r="AC502" i="56"/>
  <c r="AD502" i="56"/>
  <c r="AE502" i="56" s="1"/>
  <c r="AK502" i="56"/>
  <c r="AC80" i="56"/>
  <c r="AD80" i="56"/>
  <c r="AE80" i="56" s="1"/>
  <c r="AK80" i="56"/>
  <c r="AD515" i="56"/>
  <c r="AE515" i="56" s="1"/>
  <c r="AC515" i="56"/>
  <c r="AK515" i="56"/>
  <c r="AC246" i="56"/>
  <c r="AK246" i="56"/>
  <c r="AD246" i="56"/>
  <c r="AE246" i="56" s="1"/>
  <c r="AD420" i="56"/>
  <c r="AE420" i="56" s="1"/>
  <c r="AC420" i="56"/>
  <c r="AK420" i="56"/>
  <c r="AK66" i="56"/>
  <c r="AD66" i="56"/>
  <c r="AE66" i="56" s="1"/>
  <c r="AC66" i="56"/>
  <c r="AD297" i="56"/>
  <c r="AE297" i="56" s="1"/>
  <c r="AK297" i="56"/>
  <c r="AC297" i="56"/>
  <c r="AD508" i="56"/>
  <c r="AE508" i="56" s="1"/>
  <c r="AC508" i="56"/>
  <c r="AK508" i="56"/>
  <c r="AK62" i="56"/>
  <c r="AD62" i="56"/>
  <c r="AE62" i="56" s="1"/>
  <c r="AC62" i="56"/>
  <c r="AC253" i="56"/>
  <c r="AD253" i="56"/>
  <c r="AE253" i="56" s="1"/>
  <c r="AK253" i="56"/>
  <c r="AC491" i="56"/>
  <c r="AD491" i="56"/>
  <c r="AE491" i="56" s="1"/>
  <c r="AK491" i="56"/>
  <c r="AD490" i="56"/>
  <c r="AE490" i="56" s="1"/>
  <c r="AK490" i="56"/>
  <c r="AC490" i="56"/>
  <c r="AC258" i="56"/>
  <c r="AD258" i="56"/>
  <c r="AE258" i="56" s="1"/>
  <c r="AK258" i="56"/>
  <c r="AM399" i="56"/>
  <c r="AM321" i="56"/>
  <c r="AM285" i="56"/>
  <c r="AM287" i="56"/>
  <c r="AM91" i="56"/>
  <c r="AM57" i="56"/>
  <c r="AM128" i="56"/>
  <c r="AM323" i="56"/>
  <c r="AM189" i="56"/>
  <c r="AM500" i="56"/>
  <c r="AM312" i="56"/>
  <c r="AM251" i="56"/>
  <c r="AK518" i="56"/>
  <c r="AC518" i="56"/>
  <c r="AD518" i="56"/>
  <c r="AE518" i="56" s="1"/>
  <c r="AM400" i="56"/>
  <c r="AM130" i="56"/>
  <c r="AM441" i="56"/>
  <c r="AM278" i="56"/>
  <c r="AM67" i="56"/>
  <c r="AM398" i="56"/>
  <c r="AM72" i="56"/>
  <c r="AM273" i="56"/>
  <c r="AM89" i="56"/>
  <c r="AM430" i="56"/>
  <c r="AM280" i="56"/>
  <c r="AM538" i="56"/>
  <c r="AM200" i="56"/>
  <c r="AM421" i="56"/>
  <c r="AD94" i="56"/>
  <c r="AE94" i="56" s="1"/>
  <c r="AC94" i="56"/>
  <c r="AK94" i="56"/>
  <c r="AC135" i="56"/>
  <c r="AK135" i="56"/>
  <c r="AD135" i="56"/>
  <c r="AE135" i="56" s="1"/>
  <c r="AD251" i="56"/>
  <c r="AE251" i="56" s="1"/>
  <c r="AC251" i="56"/>
  <c r="AK251" i="56"/>
  <c r="AK130" i="56"/>
  <c r="AC130" i="56"/>
  <c r="AD130" i="56"/>
  <c r="AE130" i="56" s="1"/>
  <c r="AD67" i="56"/>
  <c r="AE67" i="56" s="1"/>
  <c r="AK67" i="56"/>
  <c r="AC67" i="56"/>
  <c r="AD273" i="56"/>
  <c r="AE273" i="56" s="1"/>
  <c r="AC273" i="56"/>
  <c r="AK273" i="56"/>
  <c r="AC430" i="56"/>
  <c r="AK430" i="56"/>
  <c r="AD430" i="56"/>
  <c r="AE430" i="56" s="1"/>
  <c r="AK280" i="56"/>
  <c r="AC280" i="56"/>
  <c r="AD280" i="56"/>
  <c r="AE280" i="56" s="1"/>
  <c r="AK200" i="56"/>
  <c r="AC200" i="56"/>
  <c r="AD200" i="56"/>
  <c r="AE200" i="56" s="1"/>
  <c r="AD421" i="56"/>
  <c r="AE421" i="56" s="1"/>
  <c r="AK421" i="56"/>
  <c r="AC421" i="56"/>
  <c r="AK39" i="56"/>
  <c r="AD39" i="56"/>
  <c r="AE39" i="56" s="1"/>
  <c r="AC39" i="56"/>
  <c r="AK512" i="56"/>
  <c r="AD512" i="56"/>
  <c r="AE512" i="56" s="1"/>
  <c r="AC512" i="56"/>
  <c r="AD312" i="56"/>
  <c r="AE312" i="56" s="1"/>
  <c r="AK312" i="56"/>
  <c r="AC312" i="56"/>
  <c r="AC400" i="56"/>
  <c r="AD400" i="56"/>
  <c r="AE400" i="56" s="1"/>
  <c r="AK400" i="56"/>
  <c r="AD441" i="56"/>
  <c r="AE441" i="56" s="1"/>
  <c r="AC441" i="56"/>
  <c r="AK441" i="56"/>
  <c r="AC278" i="56"/>
  <c r="AK278" i="56"/>
  <c r="AD278" i="56"/>
  <c r="AE278" i="56" s="1"/>
  <c r="AC398" i="56"/>
  <c r="AK398" i="56"/>
  <c r="AD398" i="56"/>
  <c r="AE398" i="56" s="1"/>
  <c r="AK72" i="56"/>
  <c r="AC72" i="56"/>
  <c r="AD72" i="56"/>
  <c r="AE72" i="56" s="1"/>
  <c r="AD89" i="56"/>
  <c r="AE89" i="56" s="1"/>
  <c r="AC89" i="56"/>
  <c r="AK89" i="56"/>
  <c r="AK538" i="56"/>
  <c r="AC538" i="56"/>
  <c r="AD538" i="56"/>
  <c r="AE538" i="56" s="1"/>
  <c r="AM528" i="56"/>
  <c r="AM83" i="56"/>
  <c r="AM126" i="56"/>
  <c r="AM442" i="56"/>
  <c r="AM194" i="56"/>
  <c r="AM308" i="56"/>
  <c r="AM514" i="56"/>
  <c r="AM82" i="56"/>
  <c r="AM438" i="56"/>
  <c r="AM143" i="56"/>
  <c r="AM87" i="56"/>
  <c r="AM419" i="56"/>
  <c r="AM332" i="56"/>
  <c r="AM149" i="56"/>
  <c r="AM423" i="56"/>
  <c r="AD38" i="56"/>
  <c r="AE38" i="56" s="1"/>
  <c r="AK38" i="56"/>
  <c r="AC38" i="56"/>
  <c r="AM41" i="56"/>
  <c r="AM525" i="56"/>
  <c r="AM138" i="56"/>
  <c r="AM209" i="56"/>
  <c r="AM268" i="56"/>
  <c r="AM453" i="56"/>
  <c r="AM507" i="56"/>
  <c r="AM443" i="56"/>
  <c r="AM61" i="56"/>
  <c r="AM286" i="56"/>
  <c r="AM284" i="56"/>
  <c r="AK65" i="56"/>
  <c r="AC65" i="56"/>
  <c r="AD65" i="56"/>
  <c r="AE65" i="56" s="1"/>
  <c r="AC329" i="56"/>
  <c r="AK329" i="56"/>
  <c r="AD329" i="56"/>
  <c r="AE329" i="56" s="1"/>
  <c r="AK259" i="56"/>
  <c r="AC259" i="56"/>
  <c r="AD259" i="56"/>
  <c r="AE259" i="56" s="1"/>
  <c r="AK517" i="56"/>
  <c r="AC517" i="56"/>
  <c r="AD517" i="56"/>
  <c r="AE517" i="56" s="1"/>
  <c r="AD287" i="56"/>
  <c r="AE287" i="56" s="1"/>
  <c r="AK287" i="56"/>
  <c r="AC287" i="56"/>
  <c r="AK194" i="56"/>
  <c r="AC194" i="56"/>
  <c r="AD194" i="56"/>
  <c r="AE194" i="56" s="1"/>
  <c r="AC438" i="56"/>
  <c r="AD438" i="56"/>
  <c r="AE438" i="56" s="1"/>
  <c r="AK438" i="56"/>
  <c r="AC87" i="56"/>
  <c r="AD87" i="56"/>
  <c r="AE87" i="56" s="1"/>
  <c r="AK87" i="56"/>
  <c r="AD332" i="56"/>
  <c r="AE332" i="56" s="1"/>
  <c r="AC332" i="56"/>
  <c r="AK332" i="56"/>
  <c r="AK525" i="56"/>
  <c r="AC525" i="56"/>
  <c r="AD525" i="56"/>
  <c r="AE525" i="56" s="1"/>
  <c r="AD138" i="56"/>
  <c r="AE138" i="56" s="1"/>
  <c r="AK138" i="56"/>
  <c r="AC138" i="56"/>
  <c r="AD209" i="56"/>
  <c r="AE209" i="56" s="1"/>
  <c r="AK209" i="56"/>
  <c r="AC209" i="56"/>
  <c r="AC453" i="56"/>
  <c r="AD453" i="56"/>
  <c r="AE453" i="56" s="1"/>
  <c r="AK453" i="56"/>
  <c r="AC507" i="56"/>
  <c r="AK507" i="56"/>
  <c r="AD507" i="56"/>
  <c r="AE507" i="56" s="1"/>
  <c r="AK443" i="56"/>
  <c r="AC443" i="56"/>
  <c r="AD443" i="56"/>
  <c r="AE443" i="56" s="1"/>
  <c r="AC61" i="56"/>
  <c r="AD61" i="56"/>
  <c r="AE61" i="56" s="1"/>
  <c r="AK61" i="56"/>
  <c r="AC286" i="56"/>
  <c r="AK286" i="56"/>
  <c r="AD286" i="56"/>
  <c r="AE286" i="56" s="1"/>
  <c r="AK284" i="56"/>
  <c r="AC284" i="56"/>
  <c r="AD284" i="56"/>
  <c r="AE284" i="56" s="1"/>
  <c r="AK299" i="56"/>
  <c r="AC299" i="56"/>
  <c r="AD299" i="56"/>
  <c r="AE299" i="56" s="1"/>
  <c r="AD412" i="56"/>
  <c r="AE412" i="56" s="1"/>
  <c r="AK412" i="56"/>
  <c r="AC412" i="56"/>
  <c r="AD451" i="56"/>
  <c r="AE451" i="56" s="1"/>
  <c r="AC451" i="56"/>
  <c r="AK451" i="56"/>
  <c r="AD91" i="56"/>
  <c r="AE91" i="56" s="1"/>
  <c r="AK91" i="56"/>
  <c r="AC91" i="56"/>
  <c r="AC442" i="56"/>
  <c r="AD442" i="56"/>
  <c r="AE442" i="56" s="1"/>
  <c r="AK442" i="56"/>
  <c r="AC82" i="56"/>
  <c r="AD82" i="56"/>
  <c r="AE82" i="56" s="1"/>
  <c r="AK82" i="56"/>
  <c r="AD143" i="56"/>
  <c r="AE143" i="56" s="1"/>
  <c r="AK143" i="56"/>
  <c r="AC143" i="56"/>
  <c r="AC419" i="56"/>
  <c r="AD419" i="56"/>
  <c r="AE419" i="56" s="1"/>
  <c r="AK419" i="56"/>
  <c r="AD149" i="56"/>
  <c r="AE149" i="56" s="1"/>
  <c r="AC149" i="56"/>
  <c r="AK149" i="56"/>
  <c r="AD423" i="56"/>
  <c r="AE423" i="56" s="1"/>
  <c r="AC423" i="56"/>
  <c r="AK423" i="56"/>
  <c r="AD41" i="56"/>
  <c r="AE41" i="56" s="1"/>
  <c r="AC41" i="56"/>
  <c r="AK41" i="56"/>
  <c r="AC268" i="56"/>
  <c r="AD268" i="56"/>
  <c r="AE268" i="56" s="1"/>
  <c r="AK268" i="56"/>
  <c r="AD210" i="56"/>
  <c r="AE210" i="56" s="1"/>
  <c r="AC210" i="56"/>
  <c r="AK210" i="56"/>
  <c r="AM510" i="56"/>
  <c r="AM511" i="56"/>
  <c r="AM247" i="56"/>
  <c r="AM318" i="56"/>
  <c r="AM316" i="56"/>
  <c r="AM47" i="56"/>
  <c r="AM408" i="56"/>
  <c r="AM328" i="56"/>
  <c r="AD396" i="56"/>
  <c r="AE396" i="56" s="1"/>
  <c r="AK396" i="56"/>
  <c r="AC396" i="56"/>
  <c r="AM521" i="56"/>
  <c r="AM36" i="56"/>
  <c r="AM499" i="56"/>
  <c r="AM256" i="56"/>
  <c r="AM63" i="56"/>
  <c r="AM95" i="56"/>
  <c r="AM90" i="56"/>
  <c r="AM410" i="56"/>
  <c r="AM261" i="56"/>
  <c r="AM401" i="56"/>
  <c r="AM52" i="56"/>
  <c r="AM68" i="56"/>
  <c r="AM425" i="56"/>
  <c r="AM267" i="56"/>
  <c r="AM320" i="56"/>
  <c r="AK248" i="56"/>
  <c r="AD248" i="56"/>
  <c r="AE248" i="56" s="1"/>
  <c r="AC248" i="56"/>
  <c r="AM292" i="56"/>
  <c r="AD79" i="56"/>
  <c r="AE79" i="56" s="1"/>
  <c r="AK79" i="56"/>
  <c r="AC79" i="56"/>
  <c r="AC411" i="56"/>
  <c r="AD411" i="56"/>
  <c r="AE411" i="56" s="1"/>
  <c r="AK411" i="56"/>
  <c r="AK285" i="56"/>
  <c r="AD285" i="56"/>
  <c r="AE285" i="56" s="1"/>
  <c r="AC285" i="56"/>
  <c r="AD528" i="56"/>
  <c r="AE528" i="56" s="1"/>
  <c r="AC528" i="56"/>
  <c r="AK528" i="56"/>
  <c r="AK511" i="56"/>
  <c r="AD511" i="56"/>
  <c r="AE511" i="56" s="1"/>
  <c r="AC511" i="56"/>
  <c r="AD318" i="56"/>
  <c r="AE318" i="56" s="1"/>
  <c r="AC318" i="56"/>
  <c r="AK318" i="56"/>
  <c r="AC47" i="56"/>
  <c r="AD47" i="56"/>
  <c r="AE47" i="56" s="1"/>
  <c r="AK47" i="56"/>
  <c r="AC328" i="56"/>
  <c r="AD328" i="56"/>
  <c r="AE328" i="56" s="1"/>
  <c r="AK328" i="56"/>
  <c r="AC36" i="56"/>
  <c r="AK36" i="56"/>
  <c r="AD36" i="56"/>
  <c r="AE36" i="56" s="1"/>
  <c r="AK256" i="56"/>
  <c r="AD256" i="56"/>
  <c r="AE256" i="56" s="1"/>
  <c r="AC256" i="56"/>
  <c r="AK95" i="56"/>
  <c r="AC95" i="56"/>
  <c r="AD95" i="56"/>
  <c r="AE95" i="56" s="1"/>
  <c r="AD410" i="56"/>
  <c r="AE410" i="56" s="1"/>
  <c r="AC410" i="56"/>
  <c r="AK410" i="56"/>
  <c r="AD401" i="56"/>
  <c r="AE401" i="56" s="1"/>
  <c r="AC401" i="56"/>
  <c r="AK401" i="56"/>
  <c r="AC52" i="56"/>
  <c r="AK52" i="56"/>
  <c r="AD52" i="56"/>
  <c r="AE52" i="56" s="1"/>
  <c r="AK68" i="56"/>
  <c r="AC68" i="56"/>
  <c r="AD68" i="56"/>
  <c r="AE68" i="56" s="1"/>
  <c r="AC267" i="56"/>
  <c r="AK267" i="56"/>
  <c r="AD267" i="56"/>
  <c r="AE267" i="56" s="1"/>
  <c r="AK320" i="56"/>
  <c r="AC320" i="56"/>
  <c r="AD320" i="56"/>
  <c r="AE320" i="56" s="1"/>
  <c r="AC292" i="56"/>
  <c r="AD292" i="56"/>
  <c r="AE292" i="56" s="1"/>
  <c r="AK292" i="56"/>
  <c r="AC92" i="56"/>
  <c r="AK92" i="56"/>
  <c r="AD92" i="56"/>
  <c r="AE92" i="56" s="1"/>
  <c r="AC195" i="56"/>
  <c r="AK195" i="56"/>
  <c r="AD195" i="56"/>
  <c r="AE195" i="56" s="1"/>
  <c r="AC497" i="56"/>
  <c r="AD497" i="56"/>
  <c r="AE497" i="56" s="1"/>
  <c r="AK497" i="56"/>
  <c r="AD57" i="56"/>
  <c r="AE57" i="56" s="1"/>
  <c r="AK57" i="56"/>
  <c r="AC57" i="56"/>
  <c r="AC126" i="56"/>
  <c r="AD126" i="56"/>
  <c r="AE126" i="56" s="1"/>
  <c r="AK126" i="56"/>
  <c r="AD247" i="56"/>
  <c r="AE247" i="56" s="1"/>
  <c r="AK247" i="56"/>
  <c r="AC247" i="56"/>
  <c r="AC316" i="56"/>
  <c r="AK316" i="56"/>
  <c r="AD316" i="56"/>
  <c r="AE316" i="56" s="1"/>
  <c r="AC408" i="56"/>
  <c r="AD408" i="56"/>
  <c r="AE408" i="56" s="1"/>
  <c r="AK408" i="56"/>
  <c r="AC521" i="56"/>
  <c r="AK521" i="56"/>
  <c r="AD521" i="56"/>
  <c r="AE521" i="56" s="1"/>
  <c r="AK499" i="56"/>
  <c r="AC499" i="56"/>
  <c r="AD499" i="56"/>
  <c r="AE499" i="56" s="1"/>
  <c r="AD63" i="56"/>
  <c r="AE63" i="56" s="1"/>
  <c r="AK63" i="56"/>
  <c r="AC63" i="56"/>
  <c r="AD90" i="56"/>
  <c r="AE90" i="56" s="1"/>
  <c r="AC90" i="56"/>
  <c r="AK90" i="56"/>
  <c r="AK261" i="56"/>
  <c r="AD261" i="56"/>
  <c r="AE261" i="56" s="1"/>
  <c r="AC261" i="56"/>
  <c r="AD425" i="56"/>
  <c r="AE425" i="56" s="1"/>
  <c r="AK425" i="56"/>
  <c r="AC425" i="56"/>
  <c r="AM136" i="56"/>
  <c r="AM301" i="56"/>
  <c r="AM302" i="56"/>
  <c r="AM448" i="56"/>
  <c r="AM282" i="56"/>
  <c r="AM73" i="56"/>
  <c r="AM148" i="56"/>
  <c r="AM133" i="56"/>
  <c r="AM403" i="56"/>
  <c r="AM88" i="56"/>
  <c r="AM58" i="56"/>
  <c r="AM305" i="56"/>
  <c r="AM69" i="56"/>
  <c r="AM427" i="56"/>
  <c r="AM314" i="56"/>
  <c r="AM132" i="56"/>
  <c r="AD437" i="56"/>
  <c r="AE437" i="56" s="1"/>
  <c r="AC437" i="56"/>
  <c r="AK437" i="56"/>
  <c r="AM333" i="56"/>
  <c r="AM516" i="56"/>
  <c r="AM59" i="56"/>
  <c r="AM455" i="56"/>
  <c r="AM255" i="56"/>
  <c r="AM405" i="56"/>
  <c r="AM147" i="56"/>
  <c r="AM142" i="56"/>
  <c r="AM77" i="56"/>
  <c r="AM70" i="56"/>
  <c r="AC311" i="56"/>
  <c r="AK311" i="56"/>
  <c r="AD311" i="56"/>
  <c r="AE311" i="56" s="1"/>
  <c r="AD432" i="56"/>
  <c r="AE432" i="56" s="1"/>
  <c r="AC432" i="56"/>
  <c r="AK432" i="56"/>
  <c r="AD321" i="56"/>
  <c r="AE321" i="56" s="1"/>
  <c r="AC321" i="56"/>
  <c r="AK321" i="56"/>
  <c r="AK136" i="56"/>
  <c r="AD136" i="56"/>
  <c r="AE136" i="56" s="1"/>
  <c r="AC136" i="56"/>
  <c r="AK133" i="56"/>
  <c r="AD133" i="56"/>
  <c r="AE133" i="56" s="1"/>
  <c r="AC133" i="56"/>
  <c r="AC69" i="56"/>
  <c r="AK69" i="56"/>
  <c r="AD69" i="56"/>
  <c r="AE69" i="56" s="1"/>
  <c r="AC314" i="56"/>
  <c r="AD314" i="56"/>
  <c r="AE314" i="56" s="1"/>
  <c r="AK314" i="56"/>
  <c r="AC333" i="56"/>
  <c r="AD333" i="56"/>
  <c r="AE333" i="56" s="1"/>
  <c r="AK333" i="56"/>
  <c r="AC59" i="56"/>
  <c r="AK59" i="56"/>
  <c r="AD59" i="56"/>
  <c r="AE59" i="56" s="1"/>
  <c r="AD255" i="56"/>
  <c r="AE255" i="56" s="1"/>
  <c r="AK255" i="56"/>
  <c r="AC255" i="56"/>
  <c r="AC405" i="56"/>
  <c r="AD405" i="56"/>
  <c r="AE405" i="56" s="1"/>
  <c r="AK405" i="56"/>
  <c r="AK147" i="56"/>
  <c r="AD147" i="56"/>
  <c r="AE147" i="56" s="1"/>
  <c r="AC147" i="56"/>
  <c r="AD142" i="56"/>
  <c r="AE142" i="56" s="1"/>
  <c r="AK142" i="56"/>
  <c r="AC142" i="56"/>
  <c r="AK77" i="56"/>
  <c r="AC77" i="56"/>
  <c r="AD77" i="56"/>
  <c r="AE77" i="56" s="1"/>
  <c r="AK70" i="56"/>
  <c r="AC70" i="56"/>
  <c r="AD70" i="56"/>
  <c r="AE70" i="56" s="1"/>
  <c r="AK214" i="56"/>
  <c r="AC214" i="56"/>
  <c r="AD214" i="56"/>
  <c r="AE214" i="56" s="1"/>
  <c r="AC76" i="56"/>
  <c r="AK76" i="56"/>
  <c r="AD76" i="56"/>
  <c r="AE76" i="56" s="1"/>
  <c r="AK257" i="56"/>
  <c r="AD257" i="56"/>
  <c r="AE257" i="56" s="1"/>
  <c r="AC257" i="56"/>
  <c r="AK323" i="56"/>
  <c r="AD323" i="56"/>
  <c r="AE323" i="56" s="1"/>
  <c r="AC323" i="56"/>
  <c r="AD514" i="56"/>
  <c r="AE514" i="56" s="1"/>
  <c r="AC514" i="56"/>
  <c r="AK514" i="56"/>
  <c r="AK302" i="56"/>
  <c r="AC302" i="56"/>
  <c r="AD302" i="56"/>
  <c r="AE302" i="56" s="1"/>
  <c r="AC148" i="56"/>
  <c r="AD148" i="56"/>
  <c r="AE148" i="56" s="1"/>
  <c r="AK148" i="56"/>
  <c r="AC58" i="56"/>
  <c r="AD58" i="56"/>
  <c r="AE58" i="56" s="1"/>
  <c r="AK58" i="56"/>
  <c r="AC305" i="56"/>
  <c r="AD305" i="56"/>
  <c r="AE305" i="56" s="1"/>
  <c r="AK305" i="56"/>
  <c r="AC427" i="56"/>
  <c r="AD427" i="56"/>
  <c r="AE427" i="56" s="1"/>
  <c r="AK427" i="56"/>
  <c r="AC132" i="56"/>
  <c r="AD132" i="56"/>
  <c r="AE132" i="56" s="1"/>
  <c r="AK132" i="56"/>
  <c r="AK516" i="56"/>
  <c r="AC516" i="56"/>
  <c r="AD516" i="56"/>
  <c r="AE516" i="56" s="1"/>
  <c r="AD455" i="56"/>
  <c r="AE455" i="56" s="1"/>
  <c r="AC455" i="56"/>
  <c r="AK455" i="56"/>
  <c r="AM188" i="56"/>
  <c r="AM313" i="56"/>
  <c r="AM81" i="56"/>
  <c r="AM293" i="56"/>
  <c r="AM269" i="56"/>
  <c r="AM93" i="56"/>
  <c r="AM334" i="56"/>
  <c r="AM190" i="56"/>
  <c r="AM249" i="56"/>
  <c r="AM494" i="56"/>
  <c r="AM322" i="56"/>
  <c r="AM501" i="56"/>
  <c r="AM127" i="56"/>
  <c r="AM335" i="56"/>
  <c r="AM531" i="56"/>
  <c r="AM137" i="56"/>
  <c r="AM50" i="56"/>
  <c r="AM489" i="56"/>
  <c r="AM527" i="56"/>
  <c r="AC197" i="56"/>
  <c r="AK197" i="56"/>
  <c r="AD197" i="56"/>
  <c r="AM503" i="56"/>
  <c r="AM526" i="56"/>
  <c r="AK40" i="56"/>
  <c r="AD40" i="56"/>
  <c r="AE40" i="56" s="1"/>
  <c r="AC40" i="56"/>
  <c r="AC191" i="56"/>
  <c r="AD191" i="56"/>
  <c r="AE191" i="56" s="1"/>
  <c r="AK191" i="56"/>
  <c r="AK289" i="56"/>
  <c r="AD289" i="56"/>
  <c r="AE289" i="56" s="1"/>
  <c r="AC289" i="56"/>
  <c r="AK539" i="56"/>
  <c r="AC539" i="56"/>
  <c r="AD539" i="56"/>
  <c r="AE539" i="56" s="1"/>
  <c r="AK128" i="56"/>
  <c r="AC128" i="56"/>
  <c r="AD128" i="56"/>
  <c r="AE128" i="56" s="1"/>
  <c r="AC308" i="56"/>
  <c r="AK308" i="56"/>
  <c r="AD308" i="56"/>
  <c r="AE308" i="56" s="1"/>
  <c r="AK448" i="56"/>
  <c r="AD448" i="56"/>
  <c r="AE448" i="56" s="1"/>
  <c r="AC448" i="56"/>
  <c r="AD73" i="56"/>
  <c r="AE73" i="56" s="1"/>
  <c r="AK73" i="56"/>
  <c r="AC73" i="56"/>
  <c r="AC403" i="56"/>
  <c r="AK403" i="56"/>
  <c r="AD403" i="56"/>
  <c r="AE403" i="56" s="1"/>
  <c r="AC313" i="56"/>
  <c r="AD313" i="56"/>
  <c r="AE313" i="56" s="1"/>
  <c r="AK313" i="56"/>
  <c r="AK293" i="56"/>
  <c r="AD293" i="56"/>
  <c r="AE293" i="56" s="1"/>
  <c r="AC293" i="56"/>
  <c r="AC93" i="56"/>
  <c r="AD93" i="56"/>
  <c r="AE93" i="56" s="1"/>
  <c r="AK93" i="56"/>
  <c r="AC190" i="56"/>
  <c r="AD190" i="56"/>
  <c r="AE190" i="56" s="1"/>
  <c r="AK190" i="56"/>
  <c r="AD494" i="56"/>
  <c r="AE494" i="56" s="1"/>
  <c r="AC494" i="56"/>
  <c r="AK494" i="56"/>
  <c r="AC322" i="56"/>
  <c r="AD322" i="56"/>
  <c r="AE322" i="56" s="1"/>
  <c r="AK322" i="56"/>
  <c r="AC127" i="56"/>
  <c r="AD127" i="56"/>
  <c r="AE127" i="56" s="1"/>
  <c r="AK127" i="56"/>
  <c r="AD335" i="56"/>
  <c r="AE335" i="56" s="1"/>
  <c r="AC335" i="56"/>
  <c r="AK335" i="56"/>
  <c r="AK531" i="56"/>
  <c r="AD531" i="56"/>
  <c r="AE531" i="56" s="1"/>
  <c r="AC531" i="56"/>
  <c r="AK137" i="56"/>
  <c r="AC137" i="56"/>
  <c r="AD137" i="56"/>
  <c r="AE137" i="56" s="1"/>
  <c r="AC50" i="56"/>
  <c r="AD50" i="56"/>
  <c r="AE50" i="56" s="1"/>
  <c r="AK50" i="56"/>
  <c r="AD489" i="56"/>
  <c r="AE489" i="56" s="1"/>
  <c r="AC489" i="56"/>
  <c r="AK489" i="56"/>
  <c r="AD527" i="56"/>
  <c r="AE527" i="56" s="1"/>
  <c r="AK527" i="56"/>
  <c r="AC527" i="56"/>
  <c r="AK503" i="56"/>
  <c r="AC503" i="56"/>
  <c r="AD503" i="56"/>
  <c r="AE503" i="56" s="1"/>
  <c r="AK526" i="56"/>
  <c r="AD526" i="56"/>
  <c r="AE526" i="56" s="1"/>
  <c r="AC526" i="56"/>
  <c r="AD317" i="56"/>
  <c r="AE317" i="56" s="1"/>
  <c r="AK317" i="56"/>
  <c r="AC317" i="56"/>
  <c r="AC203" i="56"/>
  <c r="AD203" i="56"/>
  <c r="AE203" i="56" s="1"/>
  <c r="AK203" i="56"/>
  <c r="AC428" i="56"/>
  <c r="AK428" i="56"/>
  <c r="AD428" i="56"/>
  <c r="AE428" i="56" s="1"/>
  <c r="AC141" i="56"/>
  <c r="AD141" i="56"/>
  <c r="AE141" i="56" s="1"/>
  <c r="AK141" i="56"/>
  <c r="AK78" i="56"/>
  <c r="AC78" i="56"/>
  <c r="AD78" i="56"/>
  <c r="AE78" i="56" s="1"/>
  <c r="AD140" i="56"/>
  <c r="AE140" i="56" s="1"/>
  <c r="AC140" i="56"/>
  <c r="AK140" i="56"/>
  <c r="AK43" i="56"/>
  <c r="AC43" i="56"/>
  <c r="AD43" i="56"/>
  <c r="AE43" i="56" s="1"/>
  <c r="AK409" i="56"/>
  <c r="AD409" i="56"/>
  <c r="AE409" i="56" s="1"/>
  <c r="AC409" i="56"/>
  <c r="AD399" i="56"/>
  <c r="AE399" i="56" s="1"/>
  <c r="AK399" i="56"/>
  <c r="AC399" i="56"/>
  <c r="AC189" i="56"/>
  <c r="AD189" i="56"/>
  <c r="AE189" i="56" s="1"/>
  <c r="AK189" i="56"/>
  <c r="AK83" i="56"/>
  <c r="AC83" i="56"/>
  <c r="AD83" i="56"/>
  <c r="AE83" i="56" s="1"/>
  <c r="AK510" i="56"/>
  <c r="AC510" i="56"/>
  <c r="AD510" i="56"/>
  <c r="AE510" i="56" s="1"/>
  <c r="AC301" i="56"/>
  <c r="AD301" i="56"/>
  <c r="AE301" i="56" s="1"/>
  <c r="AK301" i="56"/>
  <c r="AD282" i="56"/>
  <c r="AE282" i="56" s="1"/>
  <c r="AK282" i="56"/>
  <c r="AC282" i="56"/>
  <c r="AC88" i="56"/>
  <c r="AK88" i="56"/>
  <c r="AD88" i="56"/>
  <c r="AE88" i="56" s="1"/>
  <c r="AK188" i="56"/>
  <c r="AC188" i="56"/>
  <c r="AD188" i="56"/>
  <c r="AE188" i="56" s="1"/>
  <c r="AC81" i="56"/>
  <c r="AK81" i="56"/>
  <c r="AD81" i="56"/>
  <c r="AE81" i="56" s="1"/>
  <c r="AK269" i="56"/>
  <c r="AC269" i="56"/>
  <c r="AD269" i="56"/>
  <c r="AE269" i="56" s="1"/>
  <c r="AD334" i="56"/>
  <c r="AE334" i="56" s="1"/>
  <c r="AK334" i="56"/>
  <c r="AC334" i="56"/>
  <c r="AC249" i="56"/>
  <c r="AK249" i="56"/>
  <c r="AD249" i="56"/>
  <c r="AE249" i="56" s="1"/>
  <c r="AC501" i="56"/>
  <c r="AD501" i="56"/>
  <c r="AE501" i="56" s="1"/>
  <c r="AK501" i="56"/>
  <c r="AM213" i="56"/>
  <c r="AM193" i="56"/>
  <c r="AM488" i="56"/>
  <c r="AM275" i="56"/>
  <c r="AM42" i="56"/>
  <c r="AM202" i="56"/>
  <c r="AM46" i="56"/>
  <c r="AM523" i="56"/>
  <c r="AM509" i="56"/>
  <c r="AM208" i="56"/>
  <c r="AM529" i="56"/>
  <c r="AM262" i="56"/>
  <c r="AM454" i="56"/>
  <c r="AM283" i="56"/>
  <c r="AM426" i="56"/>
  <c r="AM53" i="56"/>
  <c r="AM277" i="56"/>
  <c r="AM151" i="56"/>
  <c r="AM198" i="56"/>
  <c r="AM199" i="56"/>
  <c r="AM300" i="56"/>
  <c r="AM524" i="56"/>
  <c r="AM134" i="56"/>
  <c r="AM139" i="56"/>
  <c r="AM60" i="56"/>
  <c r="AM252" i="56"/>
  <c r="AM131" i="56"/>
  <c r="AC495" i="56"/>
  <c r="AK495" i="56"/>
  <c r="AD495" i="56"/>
  <c r="AE495" i="56" s="1"/>
  <c r="AK487" i="56"/>
  <c r="AC487" i="56"/>
  <c r="AD487" i="56"/>
  <c r="AE487" i="56" s="1"/>
  <c r="AC543" i="56"/>
  <c r="AD543" i="56"/>
  <c r="AE543" i="56" s="1"/>
  <c r="AK543" i="56"/>
  <c r="AK542" i="56"/>
  <c r="AD542" i="56"/>
  <c r="AE542" i="56" s="1"/>
  <c r="AC542" i="56"/>
  <c r="AK500" i="56"/>
  <c r="AC500" i="56"/>
  <c r="AD500" i="56"/>
  <c r="AE500" i="56" s="1"/>
  <c r="AD213" i="56"/>
  <c r="AE213" i="56" s="1"/>
  <c r="AC213" i="56"/>
  <c r="AK213" i="56"/>
  <c r="AC193" i="56"/>
  <c r="AD193" i="56"/>
  <c r="AE193" i="56" s="1"/>
  <c r="AK193" i="56"/>
  <c r="AK488" i="56"/>
  <c r="AD488" i="56"/>
  <c r="AE488" i="56" s="1"/>
  <c r="AC488" i="56"/>
  <c r="AK275" i="56"/>
  <c r="AD275" i="56"/>
  <c r="AE275" i="56" s="1"/>
  <c r="AC275" i="56"/>
  <c r="AC42" i="56"/>
  <c r="AK42" i="56"/>
  <c r="AD42" i="56"/>
  <c r="AE42" i="56" s="1"/>
  <c r="AC202" i="56"/>
  <c r="AK202" i="56"/>
  <c r="AD202" i="56"/>
  <c r="AE202" i="56" s="1"/>
  <c r="AC46" i="56"/>
  <c r="AK46" i="56"/>
  <c r="AD46" i="56"/>
  <c r="AE46" i="56" s="1"/>
  <c r="AK523" i="56"/>
  <c r="AC523" i="56"/>
  <c r="AD523" i="56"/>
  <c r="AE523" i="56" s="1"/>
  <c r="AC509" i="56"/>
  <c r="AD509" i="56"/>
  <c r="AE509" i="56" s="1"/>
  <c r="AK509" i="56"/>
  <c r="AD208" i="56"/>
  <c r="AE208" i="56" s="1"/>
  <c r="AK208" i="56"/>
  <c r="AC208" i="56"/>
  <c r="AC529" i="56"/>
  <c r="AD529" i="56"/>
  <c r="AE529" i="56" s="1"/>
  <c r="AK529" i="56"/>
  <c r="AD262" i="56"/>
  <c r="AE262" i="56" s="1"/>
  <c r="AC262" i="56"/>
  <c r="AK262" i="56"/>
  <c r="AK454" i="56"/>
  <c r="AD454" i="56"/>
  <c r="AE454" i="56" s="1"/>
  <c r="AC454" i="56"/>
  <c r="AK283" i="56"/>
  <c r="AD283" i="56"/>
  <c r="AE283" i="56" s="1"/>
  <c r="AC283" i="56"/>
  <c r="AC426" i="56"/>
  <c r="AK426" i="56"/>
  <c r="AD426" i="56"/>
  <c r="AE426" i="56" s="1"/>
  <c r="AK53" i="56"/>
  <c r="AD53" i="56"/>
  <c r="AE53" i="56" s="1"/>
  <c r="AC53" i="56"/>
  <c r="AK277" i="56"/>
  <c r="AD277" i="56"/>
  <c r="AE277" i="56" s="1"/>
  <c r="AC277" i="56"/>
  <c r="AK151" i="56"/>
  <c r="AD151" i="56"/>
  <c r="AE151" i="56" s="1"/>
  <c r="AC151" i="56"/>
  <c r="AD198" i="56"/>
  <c r="AE198" i="56" s="1"/>
  <c r="AK198" i="56"/>
  <c r="AC198" i="56"/>
  <c r="AC199" i="56"/>
  <c r="AK199" i="56"/>
  <c r="AD199" i="56"/>
  <c r="AE199" i="56" s="1"/>
  <c r="AD300" i="56"/>
  <c r="AE300" i="56" s="1"/>
  <c r="AK300" i="56"/>
  <c r="AC300" i="56"/>
  <c r="AD524" i="56"/>
  <c r="AE524" i="56" s="1"/>
  <c r="AC524" i="56"/>
  <c r="AK524" i="56"/>
  <c r="AC134" i="56"/>
  <c r="AD134" i="56"/>
  <c r="AE134" i="56" s="1"/>
  <c r="AK134" i="56"/>
  <c r="AD139" i="56"/>
  <c r="AE139" i="56" s="1"/>
  <c r="AK139" i="56"/>
  <c r="AC139" i="56"/>
  <c r="AD60" i="56"/>
  <c r="AE60" i="56" s="1"/>
  <c r="AK60" i="56"/>
  <c r="AC60" i="56"/>
  <c r="AC252" i="56"/>
  <c r="AD252" i="56"/>
  <c r="AE252" i="56" s="1"/>
  <c r="AK252" i="56"/>
  <c r="AK131" i="56"/>
  <c r="AD131" i="56"/>
  <c r="AE131" i="56" s="1"/>
  <c r="AC131" i="56"/>
  <c r="AP17" i="32"/>
  <c r="AH67" i="32"/>
  <c r="AH78" i="32"/>
  <c r="AP68" i="32"/>
  <c r="AP69" i="32" s="1"/>
  <c r="AP78" i="32"/>
  <c r="AL17" i="32"/>
  <c r="AL80" i="9"/>
  <c r="AL84" i="9" s="1" a="1"/>
  <c r="AL84" i="9" s="1"/>
  <c r="AL81" i="9"/>
  <c r="AL83" i="9" s="1"/>
  <c r="AL85" i="9" s="1" a="1"/>
  <c r="AL85" i="9" s="1"/>
  <c r="AH68" i="32"/>
  <c r="AH69" i="32" s="1"/>
  <c r="AP67" i="32"/>
  <c r="AL68" i="32"/>
  <c r="AL69" i="32" s="1"/>
  <c r="AL67" i="32"/>
  <c r="AP47" i="32"/>
  <c r="AP31" i="32"/>
  <c r="AP30" i="32"/>
  <c r="AP34" i="32" s="1" a="1"/>
  <c r="AP34" i="32" s="1"/>
  <c r="AL47" i="32"/>
  <c r="AL31" i="32"/>
  <c r="AL30" i="32"/>
  <c r="AL34" i="32" s="1" a="1"/>
  <c r="AL34" i="32" s="1"/>
  <c r="AI46" i="32" l="1"/>
  <c r="AL326" i="56"/>
  <c r="AL265" i="56"/>
  <c r="AL446" i="56"/>
  <c r="AL414" i="56"/>
  <c r="AL324" i="56"/>
  <c r="AL54" i="56"/>
  <c r="AL63" i="56"/>
  <c r="AL144" i="56"/>
  <c r="AL294" i="56"/>
  <c r="AL295" i="56"/>
  <c r="AL536" i="56"/>
  <c r="AL534" i="56"/>
  <c r="AL416" i="56"/>
  <c r="AL204" i="56"/>
  <c r="AL504" i="56"/>
  <c r="AL206" i="56"/>
  <c r="AL138" i="56"/>
  <c r="AL415" i="56"/>
  <c r="AL84" i="56"/>
  <c r="AL266" i="56"/>
  <c r="AL55" i="56"/>
  <c r="AL146" i="56"/>
  <c r="AL505" i="56"/>
  <c r="AL145" i="56"/>
  <c r="AL325" i="56"/>
  <c r="AL86" i="56"/>
  <c r="AL535" i="56"/>
  <c r="AL85" i="56"/>
  <c r="AL264" i="56"/>
  <c r="AL444" i="56"/>
  <c r="AL296" i="56"/>
  <c r="AL506" i="56"/>
  <c r="AL205" i="56"/>
  <c r="AL445" i="56"/>
  <c r="AL56" i="56"/>
  <c r="AL37" i="56"/>
  <c r="AL496" i="56"/>
  <c r="AL127" i="56"/>
  <c r="AL248" i="56"/>
  <c r="AL210" i="56"/>
  <c r="AL487" i="56"/>
  <c r="AL418" i="56"/>
  <c r="AL251" i="56"/>
  <c r="AL297" i="56"/>
  <c r="AL502" i="56"/>
  <c r="AL520" i="56"/>
  <c r="AL454" i="56"/>
  <c r="AL314" i="56"/>
  <c r="AL334" i="56"/>
  <c r="AL318" i="56"/>
  <c r="AL409" i="56"/>
  <c r="AL65" i="56"/>
  <c r="AL59" i="56"/>
  <c r="AL432" i="56"/>
  <c r="AL453" i="56"/>
  <c r="AL440" i="56"/>
  <c r="AL190" i="56"/>
  <c r="AL64" i="56"/>
  <c r="AL189" i="56"/>
  <c r="AL299" i="56"/>
  <c r="AL198" i="56"/>
  <c r="AL273" i="56"/>
  <c r="AL317" i="56"/>
  <c r="AL141" i="56"/>
  <c r="AL282" i="56"/>
  <c r="AL195" i="56"/>
  <c r="AL316" i="56"/>
  <c r="AL490" i="56"/>
  <c r="AL424" i="56"/>
  <c r="AL403" i="56"/>
  <c r="AL512" i="56"/>
  <c r="AL526" i="56"/>
  <c r="AL495" i="56"/>
  <c r="AL491" i="56"/>
  <c r="AL279" i="56"/>
  <c r="AL514" i="56"/>
  <c r="AL92" i="56"/>
  <c r="AL67" i="56"/>
  <c r="AL291" i="56"/>
  <c r="AL298" i="56"/>
  <c r="AL62" i="56"/>
  <c r="AL149" i="56"/>
  <c r="AL400" i="56"/>
  <c r="AL508" i="56"/>
  <c r="AL288" i="56"/>
  <c r="AL131" i="56"/>
  <c r="AL43" i="56"/>
  <c r="AL335" i="56"/>
  <c r="AL540" i="56"/>
  <c r="AL196" i="56"/>
  <c r="AL256" i="56"/>
  <c r="AL436" i="56"/>
  <c r="AL417" i="56"/>
  <c r="AL74" i="56"/>
  <c r="AL522" i="56"/>
  <c r="AL303" i="56"/>
  <c r="AL544" i="56"/>
  <c r="AL259" i="56"/>
  <c r="AL53" i="56"/>
  <c r="AL40" i="56"/>
  <c r="AL39" i="56"/>
  <c r="AL509" i="56"/>
  <c r="AL93" i="56"/>
  <c r="AL329" i="56"/>
  <c r="AL36" i="56"/>
  <c r="AL523" i="56"/>
  <c r="AL308" i="56"/>
  <c r="AL68" i="56"/>
  <c r="AL507" i="56"/>
  <c r="AL154" i="56"/>
  <c r="AL134" i="56"/>
  <c r="AL213" i="56"/>
  <c r="AL518" i="56"/>
  <c r="AL81" i="56"/>
  <c r="AL193" i="56"/>
  <c r="AL501" i="56"/>
  <c r="AL135" i="56"/>
  <c r="AL263" i="56"/>
  <c r="AL527" i="56"/>
  <c r="AL302" i="56"/>
  <c r="AL215" i="56"/>
  <c r="AL249" i="56"/>
  <c r="AL539" i="56"/>
  <c r="AL255" i="56"/>
  <c r="AL312" i="56"/>
  <c r="AL143" i="56"/>
  <c r="AL503" i="56"/>
  <c r="AL405" i="56"/>
  <c r="AL421" i="56"/>
  <c r="AL300" i="56"/>
  <c r="AL140" i="56"/>
  <c r="AL200" i="56"/>
  <c r="AL420" i="56"/>
  <c r="AL212" i="56"/>
  <c r="AL129" i="56"/>
  <c r="AL262" i="56"/>
  <c r="AL280" i="56"/>
  <c r="AL406" i="56"/>
  <c r="AL139" i="56"/>
  <c r="AL247" i="56"/>
  <c r="AL270" i="56"/>
  <c r="AL274" i="56"/>
  <c r="AL90" i="56"/>
  <c r="AL533" i="56"/>
  <c r="AL399" i="56"/>
  <c r="AL73" i="56"/>
  <c r="AL252" i="56"/>
  <c r="AL428" i="56"/>
  <c r="AL305" i="56"/>
  <c r="AL147" i="56"/>
  <c r="AL328" i="56"/>
  <c r="AL38" i="56"/>
  <c r="AL89" i="56"/>
  <c r="AL500" i="56"/>
  <c r="AL201" i="56"/>
  <c r="AL309" i="56"/>
  <c r="AL276" i="56"/>
  <c r="AL513" i="56"/>
  <c r="AL429" i="56"/>
  <c r="AL48" i="56"/>
  <c r="AL537" i="56"/>
  <c r="AL88" i="56"/>
  <c r="AL257" i="56"/>
  <c r="AL315" i="56"/>
  <c r="AL80" i="56"/>
  <c r="AL545" i="56"/>
  <c r="AL542" i="56"/>
  <c r="AL269" i="56"/>
  <c r="AL58" i="56"/>
  <c r="AL425" i="56"/>
  <c r="AL451" i="56"/>
  <c r="AL423" i="56"/>
  <c r="AL72" i="56"/>
  <c r="AL541" i="56"/>
  <c r="AL272" i="56"/>
  <c r="AL153" i="56"/>
  <c r="AL396" i="56"/>
  <c r="AL492" i="56"/>
  <c r="AL42" i="56"/>
  <c r="AL293" i="56"/>
  <c r="AL76" i="56"/>
  <c r="AL87" i="56"/>
  <c r="AL435" i="56"/>
  <c r="AL422" i="56"/>
  <c r="AL186" i="56"/>
  <c r="AL277" i="56"/>
  <c r="AL148" i="56"/>
  <c r="AL408" i="56"/>
  <c r="AL412" i="56"/>
  <c r="AL447" i="56"/>
  <c r="AL543" i="56"/>
  <c r="AL208" i="56"/>
  <c r="AL275" i="56"/>
  <c r="AL455" i="56"/>
  <c r="AL306" i="56"/>
  <c r="AL327" i="56"/>
  <c r="AL211" i="56"/>
  <c r="AL66" i="56"/>
  <c r="AL152" i="56"/>
  <c r="AL69" i="56"/>
  <c r="AL250" i="56"/>
  <c r="AL75" i="56"/>
  <c r="AL426" i="56"/>
  <c r="AL50" i="56"/>
  <c r="AL126" i="56"/>
  <c r="AL320" i="56"/>
  <c r="AL52" i="56"/>
  <c r="AL130" i="56"/>
  <c r="AL452" i="56"/>
  <c r="AL311" i="56"/>
  <c r="AL207" i="56"/>
  <c r="AL304" i="56"/>
  <c r="AL44" i="56"/>
  <c r="AL51" i="56"/>
  <c r="AL410" i="56"/>
  <c r="AL517" i="56"/>
  <c r="AL46" i="56"/>
  <c r="AL142" i="56"/>
  <c r="AL57" i="56"/>
  <c r="AL49" i="56"/>
  <c r="AL449" i="56"/>
  <c r="AL434" i="56"/>
  <c r="AL202" i="56"/>
  <c r="AL95" i="56"/>
  <c r="AL268" i="56"/>
  <c r="AL439" i="56"/>
  <c r="AL191" i="56"/>
  <c r="AL411" i="56"/>
  <c r="AL94" i="56"/>
  <c r="AL402" i="56"/>
  <c r="AL155" i="56"/>
  <c r="AL199" i="56"/>
  <c r="AL128" i="56"/>
  <c r="AL401" i="56"/>
  <c r="AL430" i="56"/>
  <c r="AL486" i="56"/>
  <c r="AL281" i="56"/>
  <c r="AL433" i="56"/>
  <c r="AL197" i="56"/>
  <c r="AE197" i="56"/>
  <c r="AL82" i="56"/>
  <c r="AL438" i="56"/>
  <c r="AL60" i="56"/>
  <c r="AL283" i="56"/>
  <c r="AL488" i="56"/>
  <c r="AL489" i="56"/>
  <c r="AL313" i="56"/>
  <c r="AL292" i="56"/>
  <c r="AL47" i="56"/>
  <c r="AL284" i="56"/>
  <c r="AL45" i="56"/>
  <c r="AL397" i="56"/>
  <c r="AL319" i="56"/>
  <c r="AL41" i="56"/>
  <c r="AL209" i="56"/>
  <c r="AL254" i="56"/>
  <c r="AL404" i="56"/>
  <c r="AL322" i="56"/>
  <c r="AL253" i="56"/>
  <c r="AL79" i="56"/>
  <c r="AL301" i="56"/>
  <c r="AL203" i="56"/>
  <c r="AL516" i="56"/>
  <c r="AL214" i="56"/>
  <c r="AL133" i="56"/>
  <c r="AL499" i="56"/>
  <c r="AL442" i="56"/>
  <c r="AL194" i="56"/>
  <c r="AL398" i="56"/>
  <c r="AL246" i="56"/>
  <c r="AL519" i="56"/>
  <c r="AL192" i="56"/>
  <c r="AL187" i="56"/>
  <c r="AL271" i="56"/>
  <c r="AL286" i="56"/>
  <c r="AL151" i="56"/>
  <c r="AL494" i="56"/>
  <c r="AL289" i="56"/>
  <c r="AL510" i="56"/>
  <c r="AL132" i="56"/>
  <c r="AL70" i="56"/>
  <c r="AL136" i="56"/>
  <c r="AL521" i="56"/>
  <c r="AL61" i="56"/>
  <c r="AL278" i="56"/>
  <c r="AL91" i="56"/>
  <c r="AL515" i="56"/>
  <c r="AL310" i="56"/>
  <c r="AL150" i="56"/>
  <c r="AL498" i="56"/>
  <c r="AL137" i="56"/>
  <c r="AL267" i="56"/>
  <c r="AL511" i="56"/>
  <c r="AL287" i="56"/>
  <c r="AL493" i="56"/>
  <c r="AL71" i="56"/>
  <c r="AL525" i="56"/>
  <c r="AL285" i="56"/>
  <c r="AL307" i="56"/>
  <c r="AL290" i="56"/>
  <c r="AL83" i="56"/>
  <c r="AL427" i="56"/>
  <c r="AL77" i="56"/>
  <c r="AL321" i="56"/>
  <c r="AL443" i="56"/>
  <c r="AL441" i="56"/>
  <c r="AL532" i="56"/>
  <c r="AL524" i="56"/>
  <c r="AL529" i="56"/>
  <c r="AL531" i="56"/>
  <c r="AL448" i="56"/>
  <c r="AL407" i="56"/>
  <c r="AL528" i="56"/>
  <c r="AL258" i="56"/>
  <c r="AL530" i="56"/>
  <c r="AL260" i="56"/>
  <c r="AL450" i="56"/>
  <c r="AL188" i="56"/>
  <c r="AL78" i="56"/>
  <c r="AL323" i="56"/>
  <c r="AL333" i="56"/>
  <c r="AL437" i="56"/>
  <c r="AL261" i="56"/>
  <c r="AL497" i="56"/>
  <c r="AL419" i="56"/>
  <c r="AL332" i="56"/>
  <c r="AL538" i="56"/>
  <c r="AL431" i="56"/>
  <c r="AL330" i="56"/>
  <c r="AL331" i="56"/>
  <c r="AL413" i="56"/>
  <c r="AL33" i="32"/>
  <c r="AL35" i="32" s="1" a="1"/>
  <c r="AL35" i="32" s="1"/>
  <c r="AM46" i="32"/>
  <c r="AP33" i="32"/>
  <c r="AP35" i="32" s="1" a="1"/>
  <c r="AP35" i="32" s="1"/>
  <c r="AQ46" i="32"/>
  <c r="G51" i="9" l="1"/>
  <c r="U51" i="9" l="1" a="1"/>
  <c r="U51" i="9" s="1"/>
  <c r="R51" i="9" a="1"/>
  <c r="R51" i="9" s="1"/>
  <c r="AH74" i="9" s="1" a="1"/>
  <c r="AH74" i="9" s="1"/>
  <c r="L5" i="49"/>
  <c r="V51" i="9"/>
  <c r="AH65" i="9" a="1"/>
  <c r="AH65" i="9" s="1"/>
  <c r="AH95" i="9" s="1"/>
  <c r="Y51" i="9" l="1"/>
  <c r="AH75" i="9" a="1"/>
  <c r="AH75" i="9" s="1"/>
  <c r="AH68" i="9" s="1" a="1"/>
  <c r="AH68" i="9" s="1"/>
  <c r="AH66" i="9" l="1"/>
  <c r="AH70" i="9" l="1"/>
  <c r="AH67" i="9"/>
  <c r="AG77" i="9"/>
  <c r="AH79" i="9" s="1"/>
  <c r="AH82" i="9" s="1"/>
  <c r="AH69" i="9"/>
  <c r="AH78" i="9" l="1"/>
  <c r="AH81" i="9" s="1"/>
  <c r="AH83" i="9" s="1"/>
  <c r="AH85" i="9" s="1" a="1"/>
  <c r="AH85" i="9" s="1"/>
  <c r="AH80" i="9" l="1"/>
  <c r="AH84" i="9" s="1" a="1"/>
  <c r="AH84" i="9" s="1"/>
  <c r="AH97" i="9"/>
  <c r="AL39" i="9" l="1"/>
  <c r="G9" i="9"/>
  <c r="V9" i="9" s="1"/>
  <c r="T9" i="9"/>
  <c r="AL44" i="9"/>
  <c r="W9" i="9" s="1"/>
  <c r="U9" i="9" l="1" a="1"/>
  <c r="U9" i="9" s="1"/>
  <c r="R9" i="9" a="1"/>
  <c r="R9" i="9" s="1"/>
  <c r="AL26" i="9" s="1" a="1"/>
  <c r="AL26" i="9" s="1"/>
  <c r="AL19" i="9" s="1" a="1"/>
  <c r="AL19" i="9" s="1"/>
  <c r="L3" i="49"/>
  <c r="Y9" i="9" l="1"/>
  <c r="AL25" i="9" a="1"/>
  <c r="AL25" i="9" s="1"/>
  <c r="AK28" i="9"/>
  <c r="AL29" i="9" l="1"/>
  <c r="AL48" i="9" s="1"/>
  <c r="AL30" i="9"/>
  <c r="AL33" i="9" s="1"/>
  <c r="AL17" i="9"/>
  <c r="AL21" i="9" s="1"/>
  <c r="AL20" i="9"/>
  <c r="AL31" i="9" l="1"/>
  <c r="AL35" i="9" s="1" a="1"/>
  <c r="AL35" i="9" s="1"/>
  <c r="AL32" i="9"/>
  <c r="AM47" i="9" s="1"/>
  <c r="AL47" i="9"/>
  <c r="AL18" i="9"/>
  <c r="AL34" i="9" l="1"/>
  <c r="AL36" i="9" s="1" a="1"/>
  <c r="AL36" i="9" s="1"/>
  <c r="AP39" i="9" l="1"/>
  <c r="G15" i="9" l="1"/>
  <c r="AP44" i="9"/>
  <c r="W15" i="9" s="1"/>
  <c r="S15" i="9" l="1" a="1"/>
  <c r="S15" i="9" s="1"/>
  <c r="T15" i="9" s="1"/>
  <c r="V15" i="9"/>
  <c r="U15" i="9" a="1"/>
  <c r="U15" i="9" s="1"/>
  <c r="R15" i="9" a="1"/>
  <c r="R15" i="9" s="1"/>
  <c r="L4" i="49"/>
  <c r="Y15" i="9" l="1"/>
  <c r="AP25" i="9" a="1"/>
  <c r="AP25" i="9" s="1"/>
  <c r="AP26" i="9" a="1"/>
  <c r="AP26" i="9" s="1"/>
  <c r="AP19" i="9" s="1" a="1"/>
  <c r="AP19" i="9" s="1"/>
  <c r="AP20" i="9" l="1"/>
  <c r="AO28" i="9"/>
  <c r="AP17" i="9"/>
  <c r="AP18" i="9" l="1"/>
  <c r="AP21" i="9"/>
  <c r="AP30" i="9"/>
  <c r="AP33" i="9" s="1"/>
  <c r="AP29" i="9"/>
  <c r="AP32" i="9" l="1"/>
  <c r="AP47" i="9"/>
  <c r="AP48" i="9"/>
  <c r="AP31" i="9"/>
  <c r="AP35" i="9" s="1" a="1"/>
  <c r="AP35" i="9" s="1"/>
  <c r="AP34" i="9" l="1"/>
  <c r="AP36" i="9" s="1" a="1"/>
  <c r="AP36" i="9" s="1"/>
  <c r="AQ47" i="9"/>
  <c r="T3" i="9"/>
  <c r="AH39" i="9"/>
  <c r="AH44" i="9" s="1"/>
  <c r="W3" i="9" s="1"/>
  <c r="G3" i="9" l="1"/>
  <c r="Q12" i="16" l="1"/>
  <c r="X7" i="16"/>
  <c r="P11" i="16"/>
  <c r="S10" i="16"/>
  <c r="R17" i="16"/>
  <c r="S14" i="16"/>
  <c r="W14" i="16"/>
  <c r="T4" i="16"/>
  <c r="T22" i="16"/>
  <c r="X20" i="16"/>
  <c r="U8" i="16"/>
  <c r="W15" i="16"/>
  <c r="R14" i="16"/>
  <c r="O15" i="16"/>
  <c r="AD6" i="16"/>
  <c r="O18" i="16"/>
  <c r="W21" i="16"/>
  <c r="Z12" i="16"/>
  <c r="AB10" i="16"/>
  <c r="Q5" i="16"/>
  <c r="AC9" i="16"/>
  <c r="Z21" i="16"/>
  <c r="O13" i="16"/>
  <c r="Q14" i="16"/>
  <c r="Z13" i="16"/>
  <c r="V11" i="16"/>
  <c r="V16" i="16"/>
  <c r="S21" i="16"/>
  <c r="Z18" i="16"/>
  <c r="R19" i="16"/>
  <c r="S18" i="16"/>
  <c r="AB22" i="16"/>
  <c r="W7" i="16"/>
  <c r="Q18" i="16"/>
  <c r="O11" i="16"/>
  <c r="X22" i="16"/>
  <c r="U11" i="16"/>
  <c r="P20" i="16"/>
  <c r="W6" i="16"/>
  <c r="AB16" i="16"/>
  <c r="V22" i="16"/>
  <c r="O9" i="16"/>
  <c r="P21" i="16"/>
  <c r="Q15" i="16"/>
  <c r="T12" i="16"/>
  <c r="AD10" i="16"/>
  <c r="AC5" i="16"/>
  <c r="Q17" i="16"/>
  <c r="W3" i="16"/>
  <c r="S17" i="16"/>
  <c r="S22" i="16"/>
  <c r="S8" i="16"/>
  <c r="AA22" i="16"/>
  <c r="O4" i="16"/>
  <c r="V4" i="16"/>
  <c r="U22" i="16"/>
  <c r="V12" i="16"/>
  <c r="AC16" i="16"/>
  <c r="Y9" i="16"/>
  <c r="R16" i="16"/>
  <c r="Y14" i="16"/>
  <c r="S15" i="16"/>
  <c r="AD5" i="16"/>
  <c r="AC14" i="16"/>
  <c r="X15" i="16"/>
  <c r="Q6" i="16"/>
  <c r="R8" i="16"/>
  <c r="AA10" i="16"/>
  <c r="R12" i="16"/>
  <c r="Q22" i="16"/>
  <c r="AA12" i="16"/>
  <c r="O6" i="16"/>
  <c r="U5" i="16"/>
  <c r="Q4" i="16"/>
  <c r="P17" i="16"/>
  <c r="AB9" i="16"/>
  <c r="U14" i="16"/>
  <c r="AD22" i="16"/>
  <c r="AC22" i="16"/>
  <c r="R3" i="16"/>
  <c r="X6" i="16"/>
  <c r="W18" i="16"/>
  <c r="Y17" i="16"/>
  <c r="S7" i="16"/>
  <c r="Z15" i="16"/>
  <c r="W19" i="16"/>
  <c r="S3" i="16"/>
  <c r="U20" i="16"/>
  <c r="AC21" i="16"/>
  <c r="U6" i="16"/>
  <c r="S19" i="16"/>
  <c r="AB6" i="16"/>
  <c r="V18" i="16"/>
  <c r="AC17" i="16"/>
  <c r="Y3" i="16"/>
  <c r="P3" i="16"/>
  <c r="V7" i="16"/>
  <c r="AA20" i="16"/>
  <c r="AD8" i="16"/>
  <c r="Q16" i="16"/>
  <c r="V8" i="16"/>
  <c r="AA17" i="16"/>
  <c r="V9" i="16"/>
  <c r="O22" i="16"/>
  <c r="U7" i="16"/>
  <c r="AD19" i="16"/>
  <c r="AC7" i="16"/>
  <c r="AB5" i="16"/>
  <c r="O12" i="16"/>
  <c r="S20" i="16"/>
  <c r="AA5" i="16"/>
  <c r="AD14" i="16"/>
  <c r="AA9" i="16"/>
  <c r="AB13" i="16"/>
  <c r="W12" i="16"/>
  <c r="Z17" i="16"/>
  <c r="AD17" i="16"/>
  <c r="V5" i="16"/>
  <c r="V21" i="16"/>
  <c r="AA18" i="16"/>
  <c r="Q7" i="16"/>
  <c r="X3" i="16"/>
  <c r="Y6" i="16"/>
  <c r="P5" i="16"/>
  <c r="AD18" i="16"/>
  <c r="U16" i="16"/>
  <c r="P18" i="16"/>
  <c r="W13" i="16"/>
  <c r="W4" i="16"/>
  <c r="T6" i="16"/>
  <c r="AC3" i="16"/>
  <c r="P22" i="16"/>
  <c r="V10" i="16"/>
  <c r="AB19" i="16"/>
  <c r="W17" i="16"/>
  <c r="P8" i="16"/>
  <c r="Q13" i="16"/>
  <c r="Q8" i="16"/>
  <c r="P19" i="16"/>
  <c r="AA19" i="16"/>
  <c r="AC6" i="16"/>
  <c r="U4" i="16"/>
  <c r="W22" i="16"/>
  <c r="AC11" i="16"/>
  <c r="X21" i="16"/>
  <c r="T15" i="16"/>
  <c r="R18" i="16"/>
  <c r="Z19" i="16"/>
  <c r="P10" i="16"/>
  <c r="Z10" i="16"/>
  <c r="T9" i="16"/>
  <c r="Z9" i="16"/>
  <c r="T8" i="16"/>
  <c r="S13" i="16"/>
  <c r="Y5" i="16"/>
  <c r="AB17" i="16"/>
  <c r="U19" i="16"/>
  <c r="U10" i="16"/>
  <c r="AB20" i="16"/>
  <c r="W10" i="16"/>
  <c r="V13" i="16"/>
  <c r="AC15" i="16"/>
  <c r="Y21" i="16"/>
  <c r="T11" i="16"/>
  <c r="V6" i="16"/>
  <c r="R15" i="16"/>
  <c r="Z22" i="16"/>
  <c r="S5" i="16"/>
  <c r="AC12" i="16"/>
  <c r="U15" i="16"/>
  <c r="V17" i="16"/>
  <c r="S12" i="16"/>
  <c r="T14" i="16"/>
  <c r="W16" i="16"/>
  <c r="L2" i="49"/>
  <c r="V20" i="16"/>
  <c r="R7" i="16"/>
  <c r="X8" i="16"/>
  <c r="P16" i="16"/>
  <c r="Y15" i="16"/>
  <c r="Z3" i="16"/>
  <c r="Y18" i="16"/>
  <c r="U3" i="16"/>
  <c r="Q10" i="16"/>
  <c r="AB8" i="16"/>
  <c r="W5" i="16"/>
  <c r="R6" i="16"/>
  <c r="V3" i="16"/>
  <c r="AB18" i="16"/>
  <c r="AB7" i="16"/>
  <c r="Q11" i="16"/>
  <c r="Z4" i="16"/>
  <c r="W11" i="16"/>
  <c r="AA15" i="16"/>
  <c r="T17" i="16"/>
  <c r="Q20" i="16"/>
  <c r="O8" i="16"/>
  <c r="U18" i="16"/>
  <c r="V15" i="16"/>
  <c r="T19" i="16"/>
  <c r="W8" i="16"/>
  <c r="AD20" i="16"/>
  <c r="T10" i="16"/>
  <c r="T13" i="16"/>
  <c r="AA6" i="16"/>
  <c r="AC20" i="16"/>
  <c r="S11" i="16"/>
  <c r="AD13" i="16"/>
  <c r="Y7" i="16"/>
  <c r="O14" i="16"/>
  <c r="R10" i="16"/>
  <c r="AA7" i="16"/>
  <c r="X4" i="16"/>
  <c r="O5" i="16"/>
  <c r="R22" i="16"/>
  <c r="X5" i="16"/>
  <c r="AA14" i="16"/>
  <c r="Z5" i="16"/>
  <c r="O20" i="16"/>
  <c r="U13" i="16"/>
  <c r="U17" i="16"/>
  <c r="AC8" i="16"/>
  <c r="Y10" i="16"/>
  <c r="Y11" i="16"/>
  <c r="P15" i="16"/>
  <c r="AC13" i="16"/>
  <c r="S16" i="16"/>
  <c r="AB21" i="16"/>
  <c r="X16" i="16"/>
  <c r="P14" i="16"/>
  <c r="O16" i="16"/>
  <c r="P4" i="16"/>
  <c r="O3" i="16"/>
  <c r="P6" i="16"/>
  <c r="U9" i="16"/>
  <c r="T5" i="16"/>
  <c r="AB3" i="16"/>
  <c r="O21" i="16"/>
  <c r="T3" i="16"/>
  <c r="Y13" i="16"/>
  <c r="Z7" i="16"/>
  <c r="R20" i="16"/>
  <c r="S6" i="16"/>
  <c r="T21" i="16"/>
  <c r="AC19" i="16"/>
  <c r="AB15" i="16"/>
  <c r="T16" i="16"/>
  <c r="T7" i="16"/>
  <c r="R3" i="9" a="1"/>
  <c r="R3" i="9" s="1"/>
  <c r="AA3" i="16"/>
  <c r="AD9" i="16"/>
  <c r="U12" i="16"/>
  <c r="Z8" i="16"/>
  <c r="Q3" i="16"/>
  <c r="AC10" i="16"/>
  <c r="AA16" i="16"/>
  <c r="Y12" i="16"/>
  <c r="AB4" i="16"/>
  <c r="X10" i="16"/>
  <c r="AD7" i="16"/>
  <c r="U21" i="16"/>
  <c r="AD16" i="16"/>
  <c r="Q19" i="16"/>
  <c r="P9" i="16"/>
  <c r="Q9" i="16"/>
  <c r="O10" i="16"/>
  <c r="W9" i="16"/>
  <c r="AD3" i="16"/>
  <c r="S4" i="16"/>
  <c r="AB14" i="16"/>
  <c r="X18" i="16"/>
  <c r="W20" i="16"/>
  <c r="Z16" i="16"/>
  <c r="Y22" i="16"/>
  <c r="R9" i="16"/>
  <c r="AA4" i="16"/>
  <c r="AA8" i="16"/>
  <c r="AD11" i="16"/>
  <c r="Z6" i="16"/>
  <c r="O19" i="16"/>
  <c r="R21" i="16"/>
  <c r="AA11" i="16"/>
  <c r="AB11" i="16"/>
  <c r="R13" i="16"/>
  <c r="U3" i="9" a="1"/>
  <c r="U3" i="9" s="1"/>
  <c r="X11" i="16"/>
  <c r="X9" i="16"/>
  <c r="P12" i="16"/>
  <c r="X19" i="16"/>
  <c r="V19" i="16"/>
  <c r="T18" i="16"/>
  <c r="S9" i="16"/>
  <c r="AB12" i="16"/>
  <c r="AC18" i="16"/>
  <c r="AA21" i="16"/>
  <c r="Q21" i="16"/>
  <c r="AD21" i="16"/>
  <c r="Y20" i="16"/>
  <c r="R5" i="16"/>
  <c r="AA13" i="16"/>
  <c r="Y16" i="16"/>
  <c r="Z14" i="16"/>
  <c r="AD15" i="16"/>
  <c r="AD12" i="16"/>
  <c r="Y8" i="16"/>
  <c r="T20" i="16"/>
  <c r="Z20" i="16"/>
  <c r="Y4" i="16"/>
  <c r="X13" i="16"/>
  <c r="AD4" i="16"/>
  <c r="R11" i="16"/>
  <c r="O17" i="16"/>
  <c r="Y19" i="16"/>
  <c r="P7" i="16"/>
  <c r="O7" i="16"/>
  <c r="X14" i="16"/>
  <c r="V3" i="9"/>
  <c r="X12" i="16"/>
  <c r="P13" i="16"/>
  <c r="V14" i="16"/>
  <c r="AC4" i="16"/>
  <c r="R4" i="16"/>
  <c r="Z11" i="16"/>
  <c r="X17" i="16"/>
  <c r="AH25" i="9" l="1" a="1"/>
  <c r="AH25" i="9" s="1"/>
  <c r="Y3" i="9"/>
  <c r="AH26" i="9" a="1"/>
  <c r="AH26" i="9" s="1"/>
  <c r="AH19" i="9" s="1" a="1"/>
  <c r="AH19" i="9" s="1"/>
  <c r="AH20" i="9" l="1"/>
  <c r="AG28" i="9"/>
  <c r="AH17" i="9"/>
  <c r="AH18" i="9" l="1"/>
  <c r="AH21" i="9"/>
  <c r="AH30" i="9"/>
  <c r="AH33" i="9" s="1"/>
  <c r="AH29" i="9"/>
  <c r="AH32" i="9" l="1"/>
  <c r="AH48" i="9"/>
  <c r="AH47" i="9"/>
  <c r="AH31" i="9"/>
  <c r="AH35" i="9" s="1" a="1"/>
  <c r="AH35" i="9" s="1"/>
  <c r="AI47" i="9" l="1"/>
  <c r="AH34" i="9"/>
  <c r="AH36" i="9" s="1" a="1"/>
  <c r="AH3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Shay Nahum</author>
  </authors>
  <commentList>
    <comment ref="F2" authorId="0" shapeId="0" xr:uid="{35D102F4-6CD3-4C88-87E4-F173361D8F55}">
      <text>
        <r>
          <rPr>
            <b/>
            <sz val="9"/>
            <color indexed="81"/>
            <rFont val="Tahoma"/>
            <family val="2"/>
          </rPr>
          <t>user:</t>
        </r>
        <r>
          <rPr>
            <sz val="9"/>
            <color indexed="81"/>
            <rFont val="Tahoma"/>
            <family val="2"/>
          </rPr>
          <t xml:space="preserve">
הפסיעה/רוחב של השקית בתוך היריעה</t>
        </r>
      </text>
    </comment>
    <comment ref="E3" authorId="0" shapeId="0" xr:uid="{321F2E82-03A7-49CC-8911-3D9167689FDF}">
      <text>
        <r>
          <rPr>
            <b/>
            <sz val="9"/>
            <color indexed="81"/>
            <rFont val="Tahoma"/>
            <family val="2"/>
          </rPr>
          <t>user:</t>
        </r>
        <r>
          <rPr>
            <sz val="9"/>
            <color indexed="81"/>
            <rFont val="Tahoma"/>
            <family val="2"/>
          </rPr>
          <t xml:space="preserve">
רוחב היריעה שהלקוח מבקש. אם יש תמחור של Impression אז יש לרשום כאן את הרוחב של הריעיה שנשתמש</t>
        </r>
      </text>
    </comment>
    <comment ref="X3" authorId="0" shapeId="0" xr:uid="{C2857044-2815-48DC-A9A3-AE943DB06A9B}">
      <text>
        <r>
          <rPr>
            <b/>
            <sz val="9"/>
            <color indexed="81"/>
            <rFont val="Tahoma"/>
            <family val="2"/>
          </rPr>
          <t>user:</t>
        </r>
        <r>
          <rPr>
            <sz val="9"/>
            <color indexed="81"/>
            <rFont val="Tahoma"/>
            <family val="2"/>
          </rPr>
          <t xml:space="preserve">
להבין</t>
        </r>
      </text>
    </comment>
    <comment ref="Q17" authorId="1" shapeId="0" xr:uid="{A4B0467F-C17B-4375-A1D1-4684AA234F8D}">
      <text>
        <r>
          <rPr>
            <b/>
            <sz val="9"/>
            <color indexed="81"/>
            <rFont val="Tahoma"/>
            <family val="2"/>
          </rPr>
          <t>Shay Nahum:</t>
        </r>
        <r>
          <rPr>
            <sz val="9"/>
            <color indexed="81"/>
            <rFont val="Tahoma"/>
            <family val="2"/>
          </rPr>
          <t xml:space="preserve">
Talk to Oren and Verify 608 Waste paramaters</t>
        </r>
      </text>
    </comment>
    <comment ref="Q22" authorId="0" shapeId="0" xr:uid="{1CF6B50D-AFD4-404E-9C51-2BE2EC07579A}">
      <text>
        <r>
          <rPr>
            <b/>
            <sz val="9"/>
            <color indexed="81"/>
            <rFont val="Tahoma"/>
            <family val="2"/>
          </rPr>
          <t>user:</t>
        </r>
        <r>
          <rPr>
            <sz val="9"/>
            <color indexed="81"/>
            <rFont val="Tahoma"/>
            <family val="2"/>
          </rPr>
          <t xml:space="preserve">
רוחב היריעה המבוקש מחולק ברוחב הפוטמורה
אורך היריעה מחולק ב1000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tc={FFC01D9C-2636-44F1-B5DD-7DEB63CA12E2}</author>
    <author>tc={B545A99D-9EF4-4948-93F0-BFBF32BC3B17}</author>
    <author>tc={2A87582D-5128-42E6-B4C5-FC297492FF90}</author>
    <author>tc={BA401F1F-68A0-4393-8437-301AF5E0C834}</author>
    <author>tc={6A8F4E62-01CB-4D92-AB8C-70D2F01F6B7B}</author>
  </authors>
  <commentList>
    <comment ref="D203" authorId="0" shapeId="0" xr:uid="{FFC01D9C-2636-44F1-B5DD-7DEB63CA12E2}">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03" authorId="1" shapeId="0" xr:uid="{B545A99D-9EF4-4948-93F0-BFBF32BC3B17}">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22" authorId="2" shapeId="0" xr:uid="{2A87582D-5128-42E6-B4C5-FC297492FF90}">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33" authorId="3" shapeId="0" xr:uid="{BA401F1F-68A0-4393-8437-301AF5E0C834}">
      <text>
        <t>[Threaded comment]
Your version of Excel allows you to read this threaded comment; however, any edits to it will get removed if the file is opened in a newer version of Excel. Learn more: https://go.microsoft.com/fwlink/?linkid=870924
Comment:
    Need to be checked</t>
      </text>
    </comment>
    <comment ref="F252" authorId="4" shapeId="0" xr:uid="{6A8F4E62-01CB-4D92-AB8C-70D2F01F6B7B}">
      <text>
        <t>[Threaded comment]
Your version of Excel allows you to read this threaded comment; however, any edits to it will get removed if the file is opened in a newer version of Excel. Learn more: https://go.microsoft.com/fwlink/?linkid=870924
Comment:
    Need to be checked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tc={EC3C1FEA-B000-4BF3-AE1B-DE9D2B4F3690}</author>
    <author>tc={6C98EA5A-6121-4E6D-A12F-448489E9AFCD}</author>
    <author>tc={E397393A-1B10-47DE-BA20-D8710494DD9E}</author>
    <author>tc={57325D53-599C-491F-8612-EB896BC5C3AE}</author>
    <author>tc={B5F3B07B-4972-4A8F-B8D2-99164E5F2BA9}</author>
    <author>tc={B477846D-B622-43A6-B28C-9455B044EC25}</author>
    <author>tc={0B816592-CB23-4BAF-AEB0-AD5D66D28F9D}</author>
  </authors>
  <commentList>
    <comment ref="DQ1" authorId="0" shapeId="0" xr:uid="{EC3C1FEA-B000-4BF3-AE1B-DE9D2B4F3690}">
      <text>
        <t>[Threaded comment]
Your version of Excel allows you to read this threaded comment; however, any edits to it will get removed if the file is opened in a newer version of Excel. Learn more: https://go.microsoft.com/fwlink/?linkid=870924
Comment:
    This is Bastin price.</t>
      </text>
    </comment>
    <comment ref="E4" authorId="1" shapeId="0" xr:uid="{6C98EA5A-6121-4E6D-A12F-448489E9AFCD}">
      <text>
        <t>[Threaded comment]
Your version of Excel allows you to read this threaded comment; however, any edits to it will get removed if the file is opened in a newer version of Excel. Learn more: https://go.microsoft.com/fwlink/?linkid=870924
Comment:
    Tune Price</t>
      </text>
    </comment>
    <comment ref="E25" authorId="2" shapeId="0" xr:uid="{E397393A-1B10-47DE-BA20-D8710494DD9E}">
      <text>
        <t>[Threaded comment]
Your version of Excel allows you to read this threaded comment; however, any edits to it will get removed if the file is opened in a newer version of Excel. Learn more: https://go.microsoft.com/fwlink/?linkid=870924
Comment:
    User-provided Nuvita price; compound - new group.</t>
      </text>
    </comment>
    <comment ref="E26" authorId="3" shapeId="0" xr:uid="{57325D53-599C-491F-8612-EB896BC5C3AE}">
      <text>
        <t>[Threaded comment]
Your version of Excel allows you to read this threaded comment; however, any edits to it will get removed if the file is opened in a newer version of Excel. Learn more: https://go.microsoft.com/fwlink/?linkid=870924
Comment:
    User-provided NVS price; same family as NK.</t>
      </text>
    </comment>
    <comment ref="E27" authorId="4" shapeId="0" xr:uid="{B5F3B07B-4972-4A8F-B8D2-99164E5F2BA9}">
      <text>
        <t>[Threaded comment]
Your version of Excel allows you to read this threaded comment; however, any edits to it will get removed if the file is opened in a newer version of Excel. Learn more: https://go.microsoft.com/fwlink/?linkid=870924
Comment:
    User-provided Samtack price; adhesive like Epotal.</t>
      </text>
    </comment>
    <comment ref="AV116" authorId="5" shapeId="0" xr:uid="{B477846D-B622-43A6-B28C-9455B044EC25}">
      <text>
        <t>[Threaded comment]
Your version of Excel allows you to read this threaded comment; however, any edits to it will get removed if the file is opened in a newer version of Excel. Learn more: https://go.microsoft.com/fwlink/?linkid=870924
Comment:
    Physical structure: TIPA 306M 30 µm | Samtack 2.5 gsm | ALU 6.35 µm | Nuvita coating 4 gsm | Samtack 2.5 gsm | NVS 23 µm. The two Samtack passes are combined into one 5 gsm costing line because the laminate calculator supports five costing lines plus a total row.</t>
      </text>
    </comment>
    <comment ref="AY119" authorId="6" shapeId="0" xr:uid="{0B816592-CB23-4BAF-AEB0-AD5D66D28F9D}">
      <text>
        <t>[Threaded comment]
Your version of Excel allows you to read this threaded comment; however, any edits to it will get removed if the file is opened in a newer version of Excel. Learn more: https://go.microsoft.com/fwlink/?linkid=870924
Comment:
    Nuvita supplied as 4 gsm. Converted using assumed density 1.00 g/cm³, so layer thickness is 4.00 µm.</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<sst xmlns="http://schemas.openxmlformats.org/spreadsheetml/2006/main" count="11355" uniqueCount="2398">
  <si>
    <t>TIPA 302FG</t>
  </si>
  <si>
    <t>Film</t>
  </si>
  <si>
    <t>Ext</t>
  </si>
  <si>
    <t>Material</t>
  </si>
  <si>
    <t>Thickness (µ)</t>
  </si>
  <si>
    <t>Ext. A (Out - Chillroll)</t>
  </si>
  <si>
    <t xml:space="preserve">Ext. B </t>
  </si>
  <si>
    <t>Ext. C (In)</t>
  </si>
  <si>
    <t>FD92PM</t>
  </si>
  <si>
    <t>KAB59A</t>
  </si>
  <si>
    <t>S723</t>
  </si>
  <si>
    <t>S724</t>
  </si>
  <si>
    <t>PBSA</t>
  </si>
  <si>
    <t>PLA</t>
  </si>
  <si>
    <t>PBAT</t>
  </si>
  <si>
    <t>PCL</t>
  </si>
  <si>
    <t>AO-PBS</t>
  </si>
  <si>
    <t>SLAB-PBSA</t>
  </si>
  <si>
    <t>AB-PLA</t>
  </si>
  <si>
    <t>PVOH</t>
  </si>
  <si>
    <t>PBS</t>
  </si>
  <si>
    <t>Resin</t>
  </si>
  <si>
    <t>Grade</t>
  </si>
  <si>
    <t>B12</t>
  </si>
  <si>
    <t>P65D</t>
  </si>
  <si>
    <t>TH801T</t>
  </si>
  <si>
    <t>RM WHITE BIO8153</t>
  </si>
  <si>
    <t>Jin-Eco</t>
  </si>
  <si>
    <t>N43</t>
  </si>
  <si>
    <t>A200</t>
  </si>
  <si>
    <t>BVE8049P</t>
  </si>
  <si>
    <r>
      <t>Price (</t>
    </r>
    <r>
      <rPr>
        <sz val="11"/>
        <color theme="1"/>
        <rFont val="Calibri"/>
        <family val="2"/>
      </rPr>
      <t>€</t>
    </r>
    <r>
      <rPr>
        <sz val="11"/>
        <color theme="1"/>
        <rFont val="Arial"/>
        <family val="2"/>
      </rPr>
      <t>/kg)</t>
    </r>
  </si>
  <si>
    <t>Resin 2C</t>
  </si>
  <si>
    <t>Resin 1A</t>
  </si>
  <si>
    <t>Resin 1B</t>
  </si>
  <si>
    <t>Resin 2A</t>
  </si>
  <si>
    <t>Resin 2B</t>
  </si>
  <si>
    <t>Resin 4A</t>
  </si>
  <si>
    <t>Resin 6</t>
  </si>
  <si>
    <t>Resin 7</t>
  </si>
  <si>
    <t>Resin 8</t>
  </si>
  <si>
    <t>ECOMP WHITE</t>
  </si>
  <si>
    <t>Resin 9C</t>
  </si>
  <si>
    <t>TIPA 302FG W</t>
  </si>
  <si>
    <t>TIPA 306M</t>
  </si>
  <si>
    <t>TIPA 306W</t>
  </si>
  <si>
    <t>PL202.1</t>
  </si>
  <si>
    <t>PL202.2</t>
  </si>
  <si>
    <t>PL202.3</t>
  </si>
  <si>
    <t>Percentage of the price related to thickness</t>
  </si>
  <si>
    <t>QTY</t>
  </si>
  <si>
    <t>TIPA 312MFGW</t>
  </si>
  <si>
    <t>Price Calculated(€) Thickness &amp; QTY related</t>
  </si>
  <si>
    <t>Resin 13B</t>
  </si>
  <si>
    <t>Film Type</t>
  </si>
  <si>
    <t>Width (mm)</t>
  </si>
  <si>
    <t>Length (Mr)</t>
  </si>
  <si>
    <t>Density</t>
  </si>
  <si>
    <t>Total KG in one Meter</t>
  </si>
  <si>
    <t>Total Kg Produced</t>
  </si>
  <si>
    <t>Hourly rate</t>
  </si>
  <si>
    <t>1Kg production cost</t>
  </si>
  <si>
    <t>RM cost in 1 Kg</t>
  </si>
  <si>
    <t>Total RM and Production</t>
  </si>
  <si>
    <t>Depreciation</t>
  </si>
  <si>
    <t>Total Cost and depreciation</t>
  </si>
  <si>
    <t>Other costs</t>
  </si>
  <si>
    <t>Setup</t>
  </si>
  <si>
    <t>Total Cost</t>
  </si>
  <si>
    <t>Dropdown</t>
  </si>
  <si>
    <t>Manual</t>
  </si>
  <si>
    <t>Weight Override</t>
  </si>
  <si>
    <t>Serial Number</t>
  </si>
  <si>
    <t>LX175</t>
  </si>
  <si>
    <t>RMLX175</t>
  </si>
  <si>
    <t>RMN43</t>
  </si>
  <si>
    <t>RMB12</t>
  </si>
  <si>
    <t>RM ECO</t>
  </si>
  <si>
    <t>RMT801</t>
  </si>
  <si>
    <t>RMP65D</t>
  </si>
  <si>
    <t>RM TA45-08 S723</t>
  </si>
  <si>
    <t>RM TA45-08 S724</t>
  </si>
  <si>
    <t>RM A KAB59A</t>
  </si>
  <si>
    <t>RMPM2</t>
  </si>
  <si>
    <t>TBD</t>
  </si>
  <si>
    <t>RMA200</t>
  </si>
  <si>
    <r>
      <t>Price (</t>
    </r>
    <r>
      <rPr>
        <sz val="11"/>
        <color theme="1"/>
        <rFont val="Calibri"/>
        <family val="2"/>
      </rPr>
      <t>€</t>
    </r>
    <r>
      <rPr>
        <sz val="11"/>
        <color theme="1"/>
        <rFont val="Arial"/>
        <family val="2"/>
      </rPr>
      <t>/kg)</t>
    </r>
    <r>
      <rPr>
        <b/>
        <sz val="11"/>
        <color rgb="FF000000"/>
        <rFont val="Calibri"/>
        <family val="2"/>
      </rPr>
      <t xml:space="preserve"> as I have today</t>
    </r>
  </si>
  <si>
    <t>Buying price</t>
  </si>
  <si>
    <t>Duty Costs</t>
  </si>
  <si>
    <t>Currency</t>
  </si>
  <si>
    <t>Remarks</t>
  </si>
  <si>
    <t>Price (€/kg)</t>
  </si>
  <si>
    <t>CHANGE LOG</t>
  </si>
  <si>
    <t>Structure Changes Made:</t>
  </si>
  <si>
    <t>1. HELPER: Moved Serial Number column to position C</t>
  </si>
  <si>
    <t>2. BOM: Added Serial Number column E</t>
  </si>
  <si>
    <t>3. BOM: Added XLOOKUP formulas for Serial Number and Resin</t>
  </si>
  <si>
    <t>4. BOM: Fixed second table headers</t>
  </si>
  <si>
    <t>5. BOM: Price Calculated uses Serial Number</t>
  </si>
  <si>
    <t>Price Verification - NO CHANGES in values</t>
  </si>
  <si>
    <t>All Film prices match original values</t>
  </si>
  <si>
    <t>Weight (Kg)</t>
  </si>
  <si>
    <t>Film Pricing</t>
  </si>
  <si>
    <t>the way you built option there is no impact from density and thickness and need to be. fix</t>
  </si>
  <si>
    <t>Bom</t>
  </si>
  <si>
    <t xml:space="preserve">if there are additional lines in the BOM SHEET in Column A - new Film, please add it also to column L and Q and proceed with relevant calculation, </t>
  </si>
  <si>
    <t>the data that already there in columns L &amp; Q make linked to A in case of addition or change.</t>
  </si>
  <si>
    <t>Wicketed bag</t>
  </si>
  <si>
    <t>µ</t>
  </si>
  <si>
    <t>Bag Type</t>
  </si>
  <si>
    <t>Cast/ Blown</t>
  </si>
  <si>
    <t>PR/ Non PR</t>
  </si>
  <si>
    <t>Number of colors</t>
  </si>
  <si>
    <t>Shipment costs</t>
  </si>
  <si>
    <t>Zipper</t>
  </si>
  <si>
    <t>Profit</t>
  </si>
  <si>
    <t>Zipper bag</t>
  </si>
  <si>
    <t>Open Bag</t>
  </si>
  <si>
    <t>Resealable bag</t>
  </si>
  <si>
    <t>Garment Bag</t>
  </si>
  <si>
    <t>Cast</t>
  </si>
  <si>
    <t>Blown</t>
  </si>
  <si>
    <t>3-4</t>
  </si>
  <si>
    <t>Printed</t>
  </si>
  <si>
    <t>Not Printed</t>
  </si>
  <si>
    <t>Calculation</t>
  </si>
  <si>
    <t>Set up (part of waste)</t>
  </si>
  <si>
    <t>Print waste</t>
  </si>
  <si>
    <t>Shipment Destination</t>
  </si>
  <si>
    <t>Shipping Expenses</t>
  </si>
  <si>
    <t>STEP 1</t>
  </si>
  <si>
    <t>STEP 2</t>
  </si>
  <si>
    <t>STEP 3</t>
  </si>
  <si>
    <t>STEP 4</t>
  </si>
  <si>
    <t>Step</t>
  </si>
  <si>
    <t>Action</t>
  </si>
  <si>
    <t>1️⃣</t>
  </si>
  <si>
    <t>2️⃣</t>
  </si>
  <si>
    <t>3️⃣</t>
  </si>
  <si>
    <t>4️⃣</t>
  </si>
  <si>
    <t>5️⃣</t>
  </si>
  <si>
    <t>6️⃣</t>
  </si>
  <si>
    <t>7️⃣</t>
  </si>
  <si>
    <t>3.6.2026</t>
  </si>
  <si>
    <t>pricing model continue: 1. BOM sheet: a. connect between column A , column L &amp; column Q. if there willbe new Film in column A, need to be updated in column L &amp; column Q as well accordingly. all the calculations need to be updated also, need to be dynamic. 2. Film Pricing sheet: Film type in the tables line 3 to 17 &amp; line 23 to 37 need to be linked to BOM SHEET - table column Q to R: a. lines 1-17 : films that need to go there are those that starts with TIPA. all the prices need to be part of the table in a calculation on column L - RM cost in 1 Kg, according to column A. at this point not all lines are filled , leave them empty with working formulas for future. need to be dynamic. a. lines 23-37 : films that need to go there are those that not starts with TIPA. all the prices need to be part of the table in a calculation on column L - RM cost in 1 Kg, according to column A. at this point not all lines are filled , leave them empty with working formulas for future.need to be dynamic. all need to be with formulas and not values. diagram and steps. in additional sheet named Diagram and steps- create diagram and step by step process how to use the data in all sheets - make very looking friendly. add an example in the below table in the sheet Diagram and steps please add a improvement suggestions like comparisons between films, with benefits and less good things. add an example. go</t>
  </si>
  <si>
    <t>USD</t>
  </si>
  <si>
    <t>Exchange rate</t>
  </si>
  <si>
    <t>EURO</t>
  </si>
  <si>
    <t>Price ($/kg)</t>
  </si>
  <si>
    <t>Dropdown list</t>
  </si>
  <si>
    <t>4.6.2026</t>
  </si>
  <si>
    <t>continuing pricing model: Film Pricing sheet: in the depreciation column (column N in both tables- from row 3 to 17 and from row 23 to 37 create a formula as following : take the weight from column I, and check what is the Total Kg Produced calculated there. then go to the HELPER sheet- in the HELPER sheet , there is a table- column AL- AM. write the depreciation according to this. example: if the Total Kg Produced is 500KG or less - depreciation is 25%, if more than 500 but equal or less than 1000kg- depreciation is, 20%, and so goes on. second thing: go to BOM sheet column H. under each extruder listed in column B there is a quantity written manually in column H. do a conditional formatting there: if total percentage is more then 0% but less 100%, mark the cell bright red. if equal to 100%- mark bright green. if nothing filled in- equal to 0 - leave without any formatting.</t>
  </si>
  <si>
    <t>Order Quantity</t>
  </si>
  <si>
    <t>Multiplier</t>
  </si>
  <si>
    <t>Column</t>
  </si>
  <si>
    <t>W</t>
  </si>
  <si>
    <t>Y</t>
  </si>
  <si>
    <t>Volume Discount Tiers</t>
  </si>
  <si>
    <t>Laminate</t>
  </si>
  <si>
    <t>Laminate structure</t>
  </si>
  <si>
    <t>Width Used</t>
  </si>
  <si>
    <t>Laminate length (m) width asked</t>
  </si>
  <si>
    <t>PR/ NonPR</t>
  </si>
  <si>
    <t>Lemination Width (mm)</t>
  </si>
  <si>
    <r>
      <t>Thickness (</t>
    </r>
    <r>
      <rPr>
        <b/>
        <sz val="12"/>
        <color theme="1"/>
        <rFont val="Calibri"/>
        <family val="2"/>
      </rPr>
      <t>µ</t>
    </r>
    <r>
      <rPr>
        <b/>
        <sz val="12"/>
        <color theme="1"/>
        <rFont val="Arial"/>
        <family val="2"/>
      </rPr>
      <t>)</t>
    </r>
  </si>
  <si>
    <t>Weight (kg)</t>
  </si>
  <si>
    <t>Raw material Cost</t>
  </si>
  <si>
    <t>Cost (€)</t>
  </si>
  <si>
    <t>NK</t>
  </si>
  <si>
    <t>Resin 2N</t>
  </si>
  <si>
    <t>RM Mbi-EX52A0</t>
  </si>
  <si>
    <t>EX52A0</t>
  </si>
  <si>
    <t>Epotal 3702</t>
  </si>
  <si>
    <t>RM G Epotal Eco 3702</t>
  </si>
  <si>
    <t>RM G Basonat HW 2270</t>
  </si>
  <si>
    <t>Basonat</t>
  </si>
  <si>
    <t>Epotal 3675</t>
  </si>
  <si>
    <t>RM G Epotal ECO 3675</t>
  </si>
  <si>
    <t>Adhesive</t>
  </si>
  <si>
    <t>TIPA 312 MFG</t>
  </si>
  <si>
    <t>TIPA 312 MET</t>
  </si>
  <si>
    <t>Billerud Kraft White Paper</t>
  </si>
  <si>
    <t>Paper</t>
  </si>
  <si>
    <t>under check</t>
  </si>
  <si>
    <t xml:space="preserve">Pricing mdel continue: </t>
  </si>
  <si>
    <t xml:space="preserve">Laminates sheet: </t>
  </si>
  <si>
    <t xml:space="preserve">1.column G need to be dependent on column F. If I choose not printed in column F from dropdown list, result in column G- number of paints - need to be 0. If I choose printed in column F from dropdown list, result in column G- can be chosen manualy. </t>
  </si>
  <si>
    <t xml:space="preserve">2. Column L- row material cost- need to be linked to fim pricing sheet relevant data &amp; helper sheet as well , eventualy the cost for row material based on films that appear in the Film Pricing &amp; materials that appear in the HELPER sheet price. </t>
  </si>
  <si>
    <t>3.HELPER sheet- I added additional column AP , so all columns moved, checked please that everting is works properly and accordingly.</t>
  </si>
  <si>
    <t>4. Laminates sheet column J- please fill according to the name of the appearing in the laminate structure in column B , while tthe density measure in the HELPER sheet column AO &amp; AP. the missing ones measure will appear later, but names need to be linked as well.</t>
  </si>
  <si>
    <t>5. check all the formaulas that work fine.</t>
  </si>
  <si>
    <t xml:space="preserve">6. Laminates sheet- Lemination Width (mm) column H need to be added 50mm to the appear in the column C but only for Laminates- the name of films that appear in column B. the list of the films can be seen in the HELPER sheet in column AO. </t>
  </si>
  <si>
    <t>7. Laminates sheet column B- as you can see there is a dropdown list of films/ adhesives that depends on name of laminate that appear in column A. in each one there are blank lines - in case that the ingredients of laminate will change. please built a conditional formating for the rows that at this pont remain blank. for example: for 918 laminatethere are 4 ingredients in column B - appear in rows 3-6 . and to blanks- 7-8, so please do a conditional formating- collored bright grey. if I will change to another laminate, another lines will be blank, and need to be changed accordingly. if there is no filled name of the laminate , in column A- the conditional formating in B need to remain blank untill Laminate will be filled.</t>
  </si>
  <si>
    <t>check all the formulas, add the steps that missing from the diagram and steps sheet including exapmpes and explanations as before.</t>
  </si>
  <si>
    <t>A</t>
  </si>
  <si>
    <t>B</t>
  </si>
  <si>
    <t>Enter Width</t>
  </si>
  <si>
    <t>C</t>
  </si>
  <si>
    <t>F</t>
  </si>
  <si>
    <t>8️⃣</t>
  </si>
  <si>
    <t>Formula Logic</t>
  </si>
  <si>
    <t>Notes</t>
  </si>
  <si>
    <t>Width of reel</t>
  </si>
  <si>
    <t>Kg</t>
  </si>
  <si>
    <t>Width</t>
  </si>
  <si>
    <t>Amount</t>
  </si>
  <si>
    <t>Laminates sheet-</t>
  </si>
  <si>
    <t>1. looks like conditional formating in column B doesnt work- there is a name of the laminate in column A, laminate structure is filled by films rows 3-7, but the blanc line number 8 isnt bright rey as needed. please check for all lines tha need to work according to this logic in previous prompt.</t>
  </si>
  <si>
    <t xml:space="preserve">2. in this laminate please move the table two columns Right so Laminate column need to be in column c instead of A and so on. </t>
  </si>
  <si>
    <t xml:space="preserve">in column A add a dropdown list that you can see in helper sheet column BC. for each laminate I need to choose from dropdown list which measure to use, in column A add the column with header amount where manually I will write the ammount needed. </t>
  </si>
  <si>
    <t xml:space="preserve">check that all formiulas werent messed up during to those columns movements. </t>
  </si>
  <si>
    <t>see the logic of calculation for in sheet Laminate for reels - Sales for Laminate length (m) width asked. use same logic for calculation for Laminate length (m) width asked in sheet Laminates. dont use any data from sheet Laminate for reels - Sales, only understand the strategy.</t>
  </si>
  <si>
    <t>the number that filled in H1 CELL IN THE SHEET Laminate for reels - Sales is the number that will be filled in sheet Laminates- column B with header amount.</t>
  </si>
  <si>
    <t>go</t>
  </si>
  <si>
    <t>7.60.2026-1</t>
  </si>
  <si>
    <t>7.60.2026-2</t>
  </si>
  <si>
    <t>Measurement</t>
  </si>
  <si>
    <t>Length of impression</t>
  </si>
  <si>
    <t>Shipment costs -EU</t>
  </si>
  <si>
    <t>Margin</t>
  </si>
  <si>
    <t>Not relevant</t>
  </si>
  <si>
    <t>0</t>
  </si>
  <si>
    <t>Supplier</t>
  </si>
  <si>
    <t>Per film cost costs:</t>
  </si>
  <si>
    <t>up to 3k Meters (*) ( **)</t>
  </si>
  <si>
    <t>3-10k</t>
  </si>
  <si>
    <t>10-25k</t>
  </si>
  <si>
    <t>25k-50k</t>
  </si>
  <si>
    <t>50-100k</t>
  </si>
  <si>
    <t>100-250k</t>
  </si>
  <si>
    <t>250-500k</t>
  </si>
  <si>
    <t>500k+</t>
  </si>
  <si>
    <t>Important notes</t>
  </si>
  <si>
    <t>Bastin prices are 30% higher than Marma for lamination</t>
  </si>
  <si>
    <t>Lamination First pass (120 m/m)</t>
  </si>
  <si>
    <t>Bastin prices are 50% higher than Marma for printing</t>
  </si>
  <si>
    <t>Printing (1-2 colors)***</t>
  </si>
  <si>
    <t>Printing (3-4 colors)***</t>
  </si>
  <si>
    <t>Printing (5-8 colors)***</t>
  </si>
  <si>
    <t xml:space="preserve">Slitting </t>
  </si>
  <si>
    <t>Bastin</t>
  </si>
  <si>
    <t>Converting costs</t>
  </si>
  <si>
    <t>25K pouches</t>
  </si>
  <si>
    <t>25-50K</t>
  </si>
  <si>
    <t>50-100K</t>
  </si>
  <si>
    <t>100-250K</t>
  </si>
  <si>
    <t>250-500K</t>
  </si>
  <si>
    <t>500-1,000K</t>
  </si>
  <si>
    <t>1,000K+</t>
  </si>
  <si>
    <t>Converting costs include the packing costs  -  pallets , carton boxes , and does not include the zipper.</t>
  </si>
  <si>
    <t>Marma</t>
  </si>
  <si>
    <t>SUP with zipper</t>
  </si>
  <si>
    <t>100 MM width</t>
  </si>
  <si>
    <t>*Price per 1000 pouch - EUR *</t>
  </si>
  <si>
    <t>150 MM width</t>
  </si>
  <si>
    <t>600 &amp; 700 mm width- too wide, can't be done</t>
  </si>
  <si>
    <t>200 MM width</t>
  </si>
  <si>
    <t>Bastin is highger than Marma by 30%- Shay's directive</t>
  </si>
  <si>
    <t>300 MM width</t>
  </si>
  <si>
    <t>400 MM width</t>
  </si>
  <si>
    <t>500 MM width</t>
  </si>
  <si>
    <t>Zipper pouch</t>
  </si>
  <si>
    <t>Open pouch</t>
  </si>
  <si>
    <t xml:space="preserve">MET LUX </t>
  </si>
  <si>
    <t>need to be added to TIPA 312 MFG, check the pricelist</t>
  </si>
  <si>
    <t>Grand Total</t>
  </si>
  <si>
    <t>Sum of Price Calculated(€) Thickness &amp; QTY related</t>
  </si>
  <si>
    <t>FILM</t>
  </si>
  <si>
    <t>% from Total</t>
  </si>
  <si>
    <t>Lamination</t>
  </si>
  <si>
    <t>$</t>
  </si>
  <si>
    <t>Printing</t>
  </si>
  <si>
    <t>Waste</t>
  </si>
  <si>
    <t>if Laminate length (m) width asked in Laminate sheet is between the numbers that appear in the Lmntn &amp; Prntng- Marma &amp; Bastin sheet table in header line, you choose accordingly. for example if 6590, you take from column E:3K-10K, and so on.</t>
  </si>
  <si>
    <t>affocarse pay attention to all parameters I wrote before rgarding rows.</t>
  </si>
  <si>
    <t>linear meters (760 width)- EUR/m</t>
  </si>
  <si>
    <t>linear meters (1220 width)- EUR/m</t>
  </si>
  <si>
    <t>Products structures</t>
  </si>
  <si>
    <t>B4P name/structure</t>
  </si>
  <si>
    <t>TIPA name |Final Structure</t>
  </si>
  <si>
    <t>Glue</t>
  </si>
  <si>
    <t>Industrial Certificate</t>
  </si>
  <si>
    <t>Home Certificate</t>
  </si>
  <si>
    <t>BTI - PLA|NK</t>
  </si>
  <si>
    <t>B.LAM 902 ( PLA | NK )</t>
  </si>
  <si>
    <t>Morchem - Solvent based adhesive</t>
  </si>
  <si>
    <t>7P0466</t>
  </si>
  <si>
    <t>BUI - PLA- MET|NK</t>
  </si>
  <si>
    <t>B.LAM 903 ( PLA-MET | NK)</t>
  </si>
  <si>
    <t>BMI - PLA-PVOH|NK</t>
  </si>
  <si>
    <t>B.LAM 904 ( PLA-PVOH|NK)</t>
  </si>
  <si>
    <t>B.LAM 905 ( BIOPE | NK )</t>
  </si>
  <si>
    <t>B.LAM 906 ( BIOPE | OPE )</t>
  </si>
  <si>
    <t>BIP - NK|Paper (Paperwise)</t>
  </si>
  <si>
    <t>B.LAM 907 (NK or NK White| Paperwise)</t>
  </si>
  <si>
    <t>BFwF - NK white |NK</t>
  </si>
  <si>
    <t>B.LAM 908 (NK white|NK)</t>
  </si>
  <si>
    <t>BTpALXFFmt - Foil (biofilm) | glue (S base) | Foil (Cellulose) | glue (S base) | Foil (Cellulose) matt</t>
  </si>
  <si>
    <t>B.LAM 909 Foil (biofilm) | glue (S base) | Foil (Cellulose) | glue (S base) | Foil (Cellulose) matt</t>
  </si>
  <si>
    <t>NA</t>
  </si>
  <si>
    <t>Coffee capsule lid laminate - IC (Tea bag paper - NK |high heat PLA + PVOH)</t>
  </si>
  <si>
    <t>B.LAM 910 Coffee capsule lid laminate - IC (Tea bag paper - NK |high heat PLA + PVOH)</t>
  </si>
  <si>
    <t xml:space="preserve">BTIN-43 - Natureflex DNE- NATIVIA NTSS </t>
  </si>
  <si>
    <t xml:space="preserve">B.LAM 911 Natureflex DNE- NATIVIA NTSS </t>
  </si>
  <si>
    <t>B.LAM 912 ( NK | Paper Kraft white 32gr )</t>
  </si>
  <si>
    <t>B.LAM 913 ( BIOPE  30mic | NK  23mic | NK 23mic )</t>
  </si>
  <si>
    <t>?</t>
  </si>
  <si>
    <t>B.LAM 914 ( PLA | Paper Kraft White [50gr / 60µm] )</t>
  </si>
  <si>
    <t xml:space="preserve">Epotal 3675- water based adhesive </t>
  </si>
  <si>
    <t>BPP</t>
  </si>
  <si>
    <t xml:space="preserve">EcoBarrier Jass@heat </t>
  </si>
  <si>
    <t>Walki Plastiroll Oy</t>
  </si>
  <si>
    <t xml:space="preserve">BTpFmF – TIPA 302|NKME|NK </t>
  </si>
  <si>
    <t>T.LAM 106 ( TIPA 302|NKME|NK )</t>
  </si>
  <si>
    <t xml:space="preserve">7P0466 \ TA8011601644 </t>
  </si>
  <si>
    <t>T.LAM 228 ( TIPA 302 | TIPA 312 MET | Paperwise )</t>
  </si>
  <si>
    <t xml:space="preserve">Ex Lam </t>
  </si>
  <si>
    <t>BTpP - TIPA 302|Paper</t>
  </si>
  <si>
    <t>T.LAM 230 ( TIPA 302 | Paperwise )</t>
  </si>
  <si>
    <t>7P0466 \  TA8012105761</t>
  </si>
  <si>
    <t>T.LAM 231 ( TIPA 302 | Paper [Billerud/Sapi] )</t>
  </si>
  <si>
    <t>T.LAM 408 ( NK | TIPA 312 MET )</t>
  </si>
  <si>
    <t>T.LAM 418 ( NK 19 | TIPA 312 MET )</t>
  </si>
  <si>
    <t>T.LAM 428 ( NK | TIPA 312 MET |TIPA 312 MET )</t>
  </si>
  <si>
    <t>T.LAM 458 ( NK 30 |TIPA 312 MET )</t>
  </si>
  <si>
    <r>
      <t>T.LAM</t>
    </r>
    <r>
      <rPr>
        <b/>
        <sz val="11"/>
        <color rgb="FFFF0000"/>
        <rFont val="Aptos Narrow"/>
        <family val="2"/>
        <scheme val="minor"/>
      </rPr>
      <t xml:space="preserve"> </t>
    </r>
    <r>
      <rPr>
        <b/>
        <sz val="11"/>
        <rFont val="Aptos Narrow"/>
        <family val="2"/>
        <scheme val="minor"/>
      </rPr>
      <t xml:space="preserve">468 </t>
    </r>
    <r>
      <rPr>
        <b/>
        <sz val="11"/>
        <color theme="1"/>
        <rFont val="Aptos Narrow"/>
        <family val="2"/>
        <scheme val="minor"/>
      </rPr>
      <t>( NK | TIPA 312 MET | TIPA 312 MET )</t>
    </r>
  </si>
  <si>
    <t>BTpI – TIPA 302|NK</t>
  </si>
  <si>
    <t>T.LAM 607 ( NK | TIPA 302 )</t>
  </si>
  <si>
    <t>7P0466 \ TA8011601646</t>
  </si>
  <si>
    <t>T.LAM 608 ( NK | TIPA 302 )</t>
  </si>
  <si>
    <t>7P1587</t>
  </si>
  <si>
    <t>9P0152 \ TA8022105619</t>
  </si>
  <si>
    <t xml:space="preserve">Finish products </t>
  </si>
  <si>
    <t>T.LAM 618 ( NK | TIPA 302 )</t>
  </si>
  <si>
    <t>T.LAM 618 W ( NK | TIPA 302 W )</t>
  </si>
  <si>
    <t>BTpFmTp -(TIPA 302|NKME|TIPA 302)</t>
  </si>
  <si>
    <t>T.LAM 802 ( TIPA 302 | NKME | TIPA 302 )</t>
  </si>
  <si>
    <t>BTpTpF -TIPA 302|TIPA 302|NK</t>
  </si>
  <si>
    <t>T.LAM 803 ( TIPA 302 | TIPA 302 | NK )</t>
  </si>
  <si>
    <t>BTpMF -TIPA 302|PLA-PVOH|NK</t>
  </si>
  <si>
    <t>T.LAM 804 ( TIPA 302| PLA-PVOH | NK )</t>
  </si>
  <si>
    <t>BTpFmP – TIPA 302|NM|Paper (Paperwise)</t>
  </si>
  <si>
    <t>T.LAM 805  (TIPA 302 | NM | Paperwise )</t>
  </si>
  <si>
    <t xml:space="preserve">regulatory similar to T.LAM 200 </t>
  </si>
  <si>
    <r>
      <t xml:space="preserve">BTpFFmt - TIPA </t>
    </r>
    <r>
      <rPr>
        <b/>
        <sz val="11"/>
        <color theme="1"/>
        <rFont val="Aptos Narrow"/>
        <family val="2"/>
        <scheme val="minor"/>
      </rPr>
      <t>312</t>
    </r>
    <r>
      <rPr>
        <sz val="11"/>
        <color theme="1"/>
        <rFont val="Aptos Narrow"/>
        <family val="2"/>
        <scheme val="minor"/>
      </rPr>
      <t>|NK|NK matt</t>
    </r>
  </si>
  <si>
    <t>T.LAM 807M ( TIPA 312 | NK | NK matt )</t>
  </si>
  <si>
    <t>BTpwFmPkw - TIPA TIPA 302 white|NM |paper kraft white</t>
  </si>
  <si>
    <r>
      <t xml:space="preserve">T.LAM 808 ( TIPA 302 </t>
    </r>
    <r>
      <rPr>
        <b/>
        <sz val="11"/>
        <color theme="0"/>
        <rFont val="Aptos Narrow"/>
        <family val="2"/>
        <scheme val="minor"/>
      </rPr>
      <t xml:space="preserve">White </t>
    </r>
    <r>
      <rPr>
        <b/>
        <sz val="11"/>
        <color rgb="FF000000"/>
        <rFont val="Aptos Narrow"/>
        <family val="2"/>
        <scheme val="minor"/>
      </rPr>
      <t>| NM | Paperwise )</t>
    </r>
  </si>
  <si>
    <r>
      <t xml:space="preserve">BTpwmF - TIPA </t>
    </r>
    <r>
      <rPr>
        <b/>
        <sz val="11"/>
        <color theme="1"/>
        <rFont val="Aptos Narrow"/>
        <family val="2"/>
        <scheme val="minor"/>
      </rPr>
      <t>312</t>
    </r>
    <r>
      <rPr>
        <sz val="11"/>
        <color theme="1"/>
        <rFont val="Aptos Narrow"/>
        <family val="2"/>
        <scheme val="minor"/>
      </rPr>
      <t xml:space="preserve"> metalized white |NK</t>
    </r>
  </si>
  <si>
    <r>
      <t xml:space="preserve">T.LAM 809 ( TIPA 312 MET </t>
    </r>
    <r>
      <rPr>
        <b/>
        <sz val="11"/>
        <color theme="0"/>
        <rFont val="Aptos Narrow"/>
        <family val="2"/>
        <scheme val="minor"/>
      </rPr>
      <t xml:space="preserve">White  </t>
    </r>
    <r>
      <rPr>
        <b/>
        <sz val="11"/>
        <color rgb="FF000000"/>
        <rFont val="Aptos Narrow"/>
        <family val="2"/>
        <scheme val="minor"/>
      </rPr>
      <t>| NK )</t>
    </r>
  </si>
  <si>
    <r>
      <t xml:space="preserve">BTpwmPkw- TIPA </t>
    </r>
    <r>
      <rPr>
        <b/>
        <sz val="11"/>
        <color theme="1"/>
        <rFont val="Aptos Narrow"/>
        <family val="2"/>
        <scheme val="minor"/>
      </rPr>
      <t>312</t>
    </r>
    <r>
      <rPr>
        <sz val="11"/>
        <color theme="1"/>
        <rFont val="Aptos Narrow"/>
        <family val="2"/>
        <scheme val="minor"/>
      </rPr>
      <t xml:space="preserve"> metalized white with paper kraft white</t>
    </r>
  </si>
  <si>
    <r>
      <t xml:space="preserve">T.LAM 810 ( TIPA 312 MET </t>
    </r>
    <r>
      <rPr>
        <b/>
        <sz val="11"/>
        <color theme="0"/>
        <rFont val="Aptos Narrow"/>
        <family val="2"/>
        <scheme val="minor"/>
      </rPr>
      <t>White</t>
    </r>
    <r>
      <rPr>
        <b/>
        <sz val="11"/>
        <color rgb="FF000000"/>
        <rFont val="Aptos Narrow"/>
        <family val="2"/>
        <scheme val="minor"/>
      </rPr>
      <t xml:space="preserve">  |  Paperwise )</t>
    </r>
  </si>
  <si>
    <t xml:space="preserve">BTpFmF – TIPA 302|NM|NK </t>
  </si>
  <si>
    <t>T.LAM 811 ( TIPA 302 | NM | NK )</t>
  </si>
  <si>
    <t>regulatory similar to T.LAM 106</t>
  </si>
  <si>
    <t xml:space="preserve">BTpFmFmt - TIPA 302|NKME|NK matt </t>
  </si>
  <si>
    <t>T.LAM 811M ( TIPA 302 | NM | NK matt )</t>
  </si>
  <si>
    <t>regulatory similar to T.LAM 106M</t>
  </si>
  <si>
    <t>BTpFP – TIPA 302|NK|Paper</t>
  </si>
  <si>
    <t>T.LAM 812 ( TIPA 302 | NK | Paperwise )</t>
  </si>
  <si>
    <t xml:space="preserve">regulatory similar to T.LAM 202 </t>
  </si>
  <si>
    <t>BTpFF – TIPA 302|NK|NK</t>
  </si>
  <si>
    <t xml:space="preserve">T.LAM 813 ( TIPA 302 | NK | NK ) </t>
  </si>
  <si>
    <t xml:space="preserve"> regulatory similar to T.LAM 604 </t>
  </si>
  <si>
    <t>BTpFFmt- TIPA TIPA 302|NK|NK matt</t>
  </si>
  <si>
    <t xml:space="preserve">T.LAM 813M ( TIPA 302 | NK | NK matt ) </t>
  </si>
  <si>
    <t>regulatory similar to T.LAM 604M</t>
  </si>
  <si>
    <t>BTpFmFm -TIPA 302|NM|NM / TIPA 302|NKME|NKME</t>
  </si>
  <si>
    <t>T.LAM 814 ( TIPA 302 | NM | NM )</t>
  </si>
  <si>
    <t>regulatory similar to T.LAM 506</t>
  </si>
  <si>
    <t>Coffee capsule lid laminate - HC (paper |NK | 312 ALX)</t>
  </si>
  <si>
    <t>T.LAM 815 - Coffee capsule lid laminate - HC (paper |NK | 312 ALX)</t>
  </si>
  <si>
    <t>BTpFmt - TIPA 302|NK matt</t>
  </si>
  <si>
    <t>T.LAM 816M ( TIPA 302 | NK matt )</t>
  </si>
  <si>
    <t>regulatory similar to T.LAM 607M - not a TIPA product anymore</t>
  </si>
  <si>
    <t>BTpFmPk 115 - TIPA TIPA 302|NM|Kraft Brown Paper  </t>
  </si>
  <si>
    <r>
      <t xml:space="preserve">T.LAM 817 ( TIPA 302 | NM | Billerud Kraft </t>
    </r>
    <r>
      <rPr>
        <b/>
        <sz val="11"/>
        <color theme="5" tint="-0.499984740745262"/>
        <rFont val="Aptos Narrow"/>
        <family val="2"/>
        <scheme val="minor"/>
      </rPr>
      <t>Brown</t>
    </r>
    <r>
      <rPr>
        <b/>
        <sz val="11"/>
        <color rgb="FF000000"/>
        <rFont val="Aptos Narrow"/>
        <family val="2"/>
        <scheme val="minor"/>
      </rPr>
      <t xml:space="preserve"> Paper )</t>
    </r>
  </si>
  <si>
    <t>Metalized Laminate</t>
  </si>
  <si>
    <t xml:space="preserve">BTpFmPkw 98 -  TIPA TIPA 302|NM|Kraft White Paper </t>
  </si>
  <si>
    <r>
      <t xml:space="preserve">T.LAM 818  ( TIPA 302 | NM | Billerud Kraft </t>
    </r>
    <r>
      <rPr>
        <b/>
        <sz val="11"/>
        <color theme="0"/>
        <rFont val="Aptos Narrow"/>
        <family val="2"/>
        <scheme val="minor"/>
      </rPr>
      <t xml:space="preserve">White </t>
    </r>
    <r>
      <rPr>
        <b/>
        <sz val="11"/>
        <color rgb="FF000000"/>
        <rFont val="Aptos Narrow"/>
        <family val="2"/>
        <scheme val="minor"/>
      </rPr>
      <t>Paper )</t>
    </r>
  </si>
  <si>
    <r>
      <t xml:space="preserve">T.LAM 818W  (TIPA 302 White| NM |Billerud Kraft </t>
    </r>
    <r>
      <rPr>
        <b/>
        <sz val="11"/>
        <color theme="0"/>
        <rFont val="Aptos Narrow"/>
        <family val="2"/>
        <scheme val="minor"/>
      </rPr>
      <t>White</t>
    </r>
    <r>
      <rPr>
        <b/>
        <sz val="11"/>
        <color rgb="FF000000"/>
        <rFont val="Aptos Narrow"/>
        <family val="2"/>
        <scheme val="minor"/>
      </rPr>
      <t xml:space="preserve"> Paper)</t>
    </r>
  </si>
  <si>
    <t xml:space="preserve">BTpFPkw - TIPA 302|NK|Kraft White Paper </t>
  </si>
  <si>
    <r>
      <t xml:space="preserve">T.LAM 819 ( TIPA 302 | NK | Billerud Kraft </t>
    </r>
    <r>
      <rPr>
        <b/>
        <sz val="11"/>
        <color theme="0"/>
        <rFont val="Aptos Narrow"/>
        <family val="2"/>
        <scheme val="minor"/>
      </rPr>
      <t>White</t>
    </r>
    <r>
      <rPr>
        <b/>
        <sz val="11"/>
        <color rgb="FF000000"/>
        <rFont val="Aptos Narrow"/>
        <family val="2"/>
        <scheme val="minor"/>
      </rPr>
      <t xml:space="preserve"> Paper)</t>
    </r>
  </si>
  <si>
    <t>9P0044 \ TA8021601768</t>
  </si>
  <si>
    <t>BTpFPk -  TIPA TIPA 302|NK|Kraft Brown Paper</t>
  </si>
  <si>
    <r>
      <t xml:space="preserve">T.LAM 820 ( TIPA 302 | NK | Billerud Kraft </t>
    </r>
    <r>
      <rPr>
        <b/>
        <sz val="11"/>
        <color theme="5" tint="-0.499984740745262"/>
        <rFont val="Aptos Narrow"/>
        <family val="2"/>
        <scheme val="minor"/>
      </rPr>
      <t>Brown</t>
    </r>
    <r>
      <rPr>
        <b/>
        <sz val="11"/>
        <color theme="1"/>
        <rFont val="Aptos Narrow"/>
        <family val="2"/>
        <scheme val="minor"/>
      </rPr>
      <t xml:space="preserve"> Paper )</t>
    </r>
  </si>
  <si>
    <t>T.LAM 821 ( TIPA 302 | NK | NK )</t>
  </si>
  <si>
    <t xml:space="preserve">9P0044 </t>
  </si>
  <si>
    <t>T.LAM 821M ( TIPA 302 | NK | NK Matt)</t>
  </si>
  <si>
    <t>T.LAM 822 ( TIPA 312 MET | NK | NK )</t>
  </si>
  <si>
    <t>T.LAM 822M ( TIPA 312 MET | NK | NK matt)</t>
  </si>
  <si>
    <r>
      <t xml:space="preserve">T.LAM 823 ( TIPA 312 MET | NK | Billerud </t>
    </r>
    <r>
      <rPr>
        <b/>
        <sz val="11"/>
        <color theme="0"/>
        <rFont val="Aptos Narrow"/>
        <family val="2"/>
        <scheme val="minor"/>
      </rPr>
      <t>White</t>
    </r>
    <r>
      <rPr>
        <b/>
        <sz val="11"/>
        <color rgb="FF000000"/>
        <rFont val="Aptos Narrow"/>
        <family val="2"/>
        <scheme val="minor"/>
      </rPr>
      <t xml:space="preserve"> paper )</t>
    </r>
  </si>
  <si>
    <r>
      <t xml:space="preserve">T.LAM 823W ( TIPA 312 MET </t>
    </r>
    <r>
      <rPr>
        <b/>
        <sz val="11"/>
        <color theme="0"/>
        <rFont val="Aptos Narrow"/>
        <family val="2"/>
        <scheme val="minor"/>
      </rPr>
      <t xml:space="preserve">White </t>
    </r>
    <r>
      <rPr>
        <b/>
        <sz val="11"/>
        <color rgb="FF000000"/>
        <rFont val="Aptos Narrow"/>
        <family val="2"/>
        <scheme val="minor"/>
      </rPr>
      <t xml:space="preserve">| NK or NKR | Billerud </t>
    </r>
    <r>
      <rPr>
        <b/>
        <sz val="11"/>
        <color theme="0"/>
        <rFont val="Aptos Narrow"/>
        <family val="2"/>
        <scheme val="minor"/>
      </rPr>
      <t>White</t>
    </r>
    <r>
      <rPr>
        <b/>
        <sz val="11"/>
        <color rgb="FF000000"/>
        <rFont val="Aptos Narrow"/>
        <family val="2"/>
        <scheme val="minor"/>
      </rPr>
      <t xml:space="preserve"> paper)</t>
    </r>
  </si>
  <si>
    <r>
      <t xml:space="preserve">T.LAM 824 ( TIPA 312 MET | NK or NKR | Billerud </t>
    </r>
    <r>
      <rPr>
        <b/>
        <sz val="11"/>
        <color theme="5" tint="-0.499984740745262"/>
        <rFont val="Aptos Narrow"/>
        <family val="2"/>
        <scheme val="minor"/>
      </rPr>
      <t>Brown</t>
    </r>
    <r>
      <rPr>
        <b/>
        <sz val="11"/>
        <color rgb="FF000000"/>
        <rFont val="Aptos Narrow"/>
        <family val="2"/>
        <scheme val="minor"/>
      </rPr>
      <t xml:space="preserve"> paper)</t>
    </r>
  </si>
  <si>
    <t xml:space="preserve">BTpmFmF </t>
  </si>
  <si>
    <t>T.LAM 825 ( TIPA 312 MET | NM | NK )</t>
  </si>
  <si>
    <t xml:space="preserve">BTpmFmFmt </t>
  </si>
  <si>
    <t>T.LAM 825M ( TIPA 312 MET | NM | NK matt )</t>
  </si>
  <si>
    <t>T.LAM 825W ( TIPA 312 MET White | NM | NK  )</t>
  </si>
  <si>
    <r>
      <t xml:space="preserve">T.LAM 826 ( TIPA 312 MET | NM | Billerud </t>
    </r>
    <r>
      <rPr>
        <b/>
        <sz val="11"/>
        <color theme="0"/>
        <rFont val="Aptos Narrow"/>
        <family val="2"/>
        <scheme val="minor"/>
      </rPr>
      <t>White</t>
    </r>
    <r>
      <rPr>
        <b/>
        <sz val="11"/>
        <color rgb="FF000000"/>
        <rFont val="Aptos Narrow"/>
        <family val="2"/>
        <scheme val="minor"/>
      </rPr>
      <t xml:space="preserve"> paper )</t>
    </r>
  </si>
  <si>
    <r>
      <t xml:space="preserve">T.LAM 827 ( TIPA 312 MET | NM | Billerud </t>
    </r>
    <r>
      <rPr>
        <b/>
        <sz val="11"/>
        <color theme="5" tint="-0.499984740745262"/>
        <rFont val="Aptos Narrow"/>
        <family val="2"/>
        <scheme val="minor"/>
      </rPr>
      <t>Brown</t>
    </r>
    <r>
      <rPr>
        <b/>
        <sz val="11"/>
        <color rgb="FF000000"/>
        <rFont val="Aptos Narrow"/>
        <family val="2"/>
        <scheme val="minor"/>
      </rPr>
      <t xml:space="preserve"> paper )</t>
    </r>
  </si>
  <si>
    <t>T.LAM 828 ( TIPA 312 ALX | NK | NK )</t>
  </si>
  <si>
    <t>T.LAM 828M ( TIPA 312 ALX | NK | NK matt )</t>
  </si>
  <si>
    <t>T.LAM 829 ( TIPA 312 ALX  | NK | Billerud White paper )</t>
  </si>
  <si>
    <t>T.LAM 830 ( TIPA 312 ALX  | NK  | Billerud Brown paper )</t>
  </si>
  <si>
    <t>T.LAM 831 ( TIPA 312 ALX  | NM | NK )</t>
  </si>
  <si>
    <t>T.LAM 831M ( TIPA 312 ALX  | NM | NK matt )</t>
  </si>
  <si>
    <r>
      <t xml:space="preserve">T.LAM 832 ( TIPA 312 ALX  | NM | Billerud Kraft </t>
    </r>
    <r>
      <rPr>
        <b/>
        <sz val="11"/>
        <color theme="0"/>
        <rFont val="Aptos Narrow"/>
        <family val="2"/>
        <scheme val="minor"/>
      </rPr>
      <t>White</t>
    </r>
    <r>
      <rPr>
        <b/>
        <sz val="11"/>
        <color rgb="FF000000"/>
        <rFont val="Aptos Narrow"/>
        <family val="2"/>
        <scheme val="minor"/>
      </rPr>
      <t xml:space="preserve"> paper )</t>
    </r>
  </si>
  <si>
    <r>
      <t xml:space="preserve">T.LAM 833 ( TIPA 312 ALX  | NM | Billerud Kraft </t>
    </r>
    <r>
      <rPr>
        <b/>
        <sz val="11"/>
        <color theme="5" tint="-0.499984740745262"/>
        <rFont val="Aptos Narrow"/>
        <family val="2"/>
        <scheme val="minor"/>
      </rPr>
      <t>Brown</t>
    </r>
    <r>
      <rPr>
        <b/>
        <sz val="11"/>
        <color rgb="FF000000"/>
        <rFont val="Aptos Narrow"/>
        <family val="2"/>
        <scheme val="minor"/>
      </rPr>
      <t xml:space="preserve"> paper )</t>
    </r>
  </si>
  <si>
    <t>BTpmPkw</t>
  </si>
  <si>
    <r>
      <t>T.LAM 834 ( TIPA</t>
    </r>
    <r>
      <rPr>
        <b/>
        <sz val="12"/>
        <rFont val="Aptos Narrow"/>
        <family val="2"/>
        <scheme val="minor"/>
      </rPr>
      <t xml:space="preserve"> 312 MET |  Billerud Kraft </t>
    </r>
    <r>
      <rPr>
        <b/>
        <sz val="12"/>
        <color theme="0"/>
        <rFont val="Aptos Narrow"/>
        <family val="2"/>
        <scheme val="minor"/>
      </rPr>
      <t>White</t>
    </r>
    <r>
      <rPr>
        <b/>
        <sz val="12"/>
        <rFont val="Aptos Narrow"/>
        <family val="2"/>
        <scheme val="minor"/>
      </rPr>
      <t xml:space="preserve"> paper </t>
    </r>
    <r>
      <rPr>
        <b/>
        <sz val="11"/>
        <rFont val="Aptos Narrow"/>
        <family val="2"/>
        <scheme val="minor"/>
      </rPr>
      <t>)</t>
    </r>
  </si>
  <si>
    <r>
      <t>B</t>
    </r>
    <r>
      <rPr>
        <sz val="12"/>
        <rFont val="Aptos Narrow"/>
        <family val="2"/>
        <scheme val="minor"/>
      </rPr>
      <t>TpmPk75</t>
    </r>
  </si>
  <si>
    <r>
      <t>T.LAM 835 ( TIPA</t>
    </r>
    <r>
      <rPr>
        <b/>
        <sz val="12"/>
        <color rgb="FF000000"/>
        <rFont val="Aptos Narrow"/>
        <family val="2"/>
        <scheme val="minor"/>
      </rPr>
      <t xml:space="preserve"> 312 MET | Billerud Kraft </t>
    </r>
    <r>
      <rPr>
        <b/>
        <sz val="12"/>
        <color theme="5" tint="-0.499984740745262"/>
        <rFont val="Aptos Narrow"/>
        <family val="2"/>
        <scheme val="minor"/>
      </rPr>
      <t>Brown</t>
    </r>
    <r>
      <rPr>
        <b/>
        <sz val="12"/>
        <color rgb="FF000000"/>
        <rFont val="Aptos Narrow"/>
        <family val="2"/>
        <scheme val="minor"/>
      </rPr>
      <t xml:space="preserve"> paper )</t>
    </r>
  </si>
  <si>
    <t>T.LAM 836 ( TIPA 302 | NM | NK )</t>
  </si>
  <si>
    <t>T.LAM 836M ( TIPA 302 | NM | NK matt )</t>
  </si>
  <si>
    <t>T.LAM 836W ( TIPA 302 W | NM |NK )</t>
  </si>
  <si>
    <t>T.LAM 837 ( TIPA 312 | NK | NK )</t>
  </si>
  <si>
    <t>T.LAM 837M ( TIPA 312 | NK | NK matt)</t>
  </si>
  <si>
    <r>
      <t xml:space="preserve">T.LAM 838 ( TIPA 312 | NK | </t>
    </r>
    <r>
      <rPr>
        <b/>
        <sz val="11"/>
        <rFont val="Aptos Narrow"/>
        <family val="2"/>
        <scheme val="minor"/>
      </rPr>
      <t xml:space="preserve">Billerud Kraft </t>
    </r>
    <r>
      <rPr>
        <b/>
        <sz val="11"/>
        <color theme="0"/>
        <rFont val="Aptos Narrow"/>
        <family val="2"/>
        <scheme val="minor"/>
      </rPr>
      <t>White</t>
    </r>
    <r>
      <rPr>
        <b/>
        <sz val="11"/>
        <rFont val="Aptos Narrow"/>
        <family val="2"/>
        <scheme val="minor"/>
      </rPr>
      <t xml:space="preserve"> paper</t>
    </r>
    <r>
      <rPr>
        <b/>
        <sz val="11"/>
        <color theme="0"/>
        <rFont val="Aptos Narrow"/>
        <family val="2"/>
        <scheme val="minor"/>
      </rPr>
      <t xml:space="preserve"> </t>
    </r>
    <r>
      <rPr>
        <b/>
        <sz val="11"/>
        <color rgb="FF000000"/>
        <rFont val="Aptos Narrow"/>
        <family val="2"/>
        <scheme val="minor"/>
      </rPr>
      <t>)</t>
    </r>
  </si>
  <si>
    <r>
      <t xml:space="preserve">T.LAM 839 ( TIPA 312 | NK | </t>
    </r>
    <r>
      <rPr>
        <b/>
        <sz val="11"/>
        <rFont val="Aptos Narrow"/>
        <family val="2"/>
        <scheme val="minor"/>
      </rPr>
      <t>Billerud Kraft</t>
    </r>
    <r>
      <rPr>
        <b/>
        <sz val="11"/>
        <color theme="5" tint="-0.499984740745262"/>
        <rFont val="Aptos Narrow"/>
        <family val="2"/>
        <scheme val="minor"/>
      </rPr>
      <t xml:space="preserve"> Brown </t>
    </r>
    <r>
      <rPr>
        <b/>
        <sz val="11"/>
        <rFont val="Aptos Narrow"/>
        <family val="2"/>
        <scheme val="minor"/>
      </rPr>
      <t xml:space="preserve">paper </t>
    </r>
    <r>
      <rPr>
        <b/>
        <sz val="11"/>
        <color rgb="FF000000"/>
        <rFont val="Aptos Narrow"/>
        <family val="2"/>
        <scheme val="minor"/>
      </rPr>
      <t>)</t>
    </r>
  </si>
  <si>
    <t>T.LAM 840 ( TIPA 302 | NK | Paperwise )</t>
  </si>
  <si>
    <t>T.LAM 841 ( TIPA 302 | TIPA 312 MET | NK )</t>
  </si>
  <si>
    <t>T.LAM 841M ( TIPA 302 | TIPA 312 MET |NK matt )</t>
  </si>
  <si>
    <r>
      <t xml:space="preserve">T.LAM 842 ( TIPA 302 |TIPA 312 MET | Billerud Kraft </t>
    </r>
    <r>
      <rPr>
        <b/>
        <sz val="11"/>
        <color theme="0"/>
        <rFont val="Aptos Narrow"/>
        <family val="2"/>
        <scheme val="minor"/>
      </rPr>
      <t>White</t>
    </r>
    <r>
      <rPr>
        <b/>
        <sz val="11"/>
        <rFont val="Aptos Narrow"/>
        <family val="2"/>
        <scheme val="minor"/>
      </rPr>
      <t xml:space="preserve"> paper )</t>
    </r>
  </si>
  <si>
    <r>
      <t xml:space="preserve">T.LAM 843 ( TIPA 302 | TIPA 312 MET | Billerud Kraft </t>
    </r>
    <r>
      <rPr>
        <b/>
        <sz val="11"/>
        <color theme="5" tint="-0.499984740745262"/>
        <rFont val="Aptos Narrow"/>
        <family val="2"/>
        <scheme val="minor"/>
      </rPr>
      <t>Brown</t>
    </r>
    <r>
      <rPr>
        <b/>
        <sz val="11"/>
        <rFont val="Aptos Narrow"/>
        <family val="2"/>
        <scheme val="minor"/>
      </rPr>
      <t xml:space="preserve"> paper )</t>
    </r>
  </si>
  <si>
    <t>T.LAM 844 (TIPA 302 | TIPA 312 MET | Paperwise )</t>
  </si>
  <si>
    <t>T.LAM 845 ( TIPA 302 | NM | Paperwise)</t>
  </si>
  <si>
    <t>T.LAM 846 ( TIPA 312 | NK | Paperwise )</t>
  </si>
  <si>
    <t>T.LAM 847 ( TIPA 312 | TIPA 312 met | NK )</t>
  </si>
  <si>
    <t>T.LAM 847M ( TIPA 312 | TIPA 312 MET | NK matt )</t>
  </si>
  <si>
    <r>
      <t xml:space="preserve">T.LAM 848 ( TIPA 312 | TIPA 312 MET | Billerud Kraft </t>
    </r>
    <r>
      <rPr>
        <b/>
        <sz val="11"/>
        <color theme="0"/>
        <rFont val="Aptos Narrow"/>
        <family val="2"/>
        <scheme val="minor"/>
      </rPr>
      <t>White</t>
    </r>
    <r>
      <rPr>
        <b/>
        <sz val="11"/>
        <rFont val="Aptos Narrow"/>
        <family val="2"/>
        <scheme val="minor"/>
      </rPr>
      <t xml:space="preserve"> paper )</t>
    </r>
  </si>
  <si>
    <r>
      <t xml:space="preserve">T.LAM 849 ( TIPA 312 | TIPA 312 MET | Billerud Kraft </t>
    </r>
    <r>
      <rPr>
        <b/>
        <sz val="11"/>
        <color theme="5" tint="-0.499984740745262"/>
        <rFont val="Aptos Narrow"/>
        <family val="2"/>
        <scheme val="minor"/>
      </rPr>
      <t>Brown</t>
    </r>
    <r>
      <rPr>
        <b/>
        <sz val="11"/>
        <rFont val="Aptos Narrow"/>
        <family val="2"/>
        <scheme val="minor"/>
      </rPr>
      <t xml:space="preserve"> paper )</t>
    </r>
  </si>
  <si>
    <t>T.LAM 850 ( TIPA 312 | TIPA 312 MET | Paperwise )</t>
  </si>
  <si>
    <t>T.LAM 851 ( TIPA 312 | NM | NK )</t>
  </si>
  <si>
    <t>T.LAM 851M ( TIPA 312 | NM | NK matt )</t>
  </si>
  <si>
    <r>
      <t xml:space="preserve">T.LAM 852 ( TIPA 312 | NM | Billerud Kraft </t>
    </r>
    <r>
      <rPr>
        <b/>
        <sz val="11"/>
        <color theme="0"/>
        <rFont val="Aptos Narrow"/>
        <family val="2"/>
        <scheme val="minor"/>
      </rPr>
      <t>White</t>
    </r>
    <r>
      <rPr>
        <b/>
        <sz val="11"/>
        <rFont val="Aptos Narrow"/>
        <family val="2"/>
        <scheme val="minor"/>
      </rPr>
      <t xml:space="preserve"> paper )</t>
    </r>
  </si>
  <si>
    <r>
      <t xml:space="preserve">T.LAM 853 ( TIPA 312 | NM | Billerud Kraft </t>
    </r>
    <r>
      <rPr>
        <b/>
        <sz val="11"/>
        <color theme="5" tint="-0.499984740745262"/>
        <rFont val="Aptos Narrow"/>
        <family val="2"/>
        <scheme val="minor"/>
      </rPr>
      <t>Brown</t>
    </r>
    <r>
      <rPr>
        <b/>
        <sz val="11"/>
        <rFont val="Aptos Narrow"/>
        <family val="2"/>
        <scheme val="minor"/>
      </rPr>
      <t xml:space="preserve"> paper )</t>
    </r>
  </si>
  <si>
    <t>T.LAM 854 ( TIPA 312 | NM | Paperwise )</t>
  </si>
  <si>
    <t>T.LAM 855 ( TIPA 312 MET | NK | Paperwise )</t>
  </si>
  <si>
    <t>T.LAM 856 ( TIPA 312 MET | TIPA 312 MET | NK matt )</t>
  </si>
  <si>
    <r>
      <t xml:space="preserve">T.LAM 857 ( TIPA 312 MET | TIPA 312 MET | Billerud Kraft </t>
    </r>
    <r>
      <rPr>
        <b/>
        <sz val="11"/>
        <color theme="0"/>
        <rFont val="Aptos Narrow"/>
        <family val="2"/>
        <scheme val="minor"/>
      </rPr>
      <t>White</t>
    </r>
    <r>
      <rPr>
        <b/>
        <sz val="11"/>
        <rFont val="Aptos Narrow"/>
        <family val="2"/>
        <scheme val="minor"/>
      </rPr>
      <t xml:space="preserve"> paper )</t>
    </r>
  </si>
  <si>
    <r>
      <t xml:space="preserve">T.LAM 858 ( TIPA 312 MET | TIPA 312 MET | Billerud Kraft </t>
    </r>
    <r>
      <rPr>
        <b/>
        <sz val="11"/>
        <color theme="5" tint="-0.499984740745262"/>
        <rFont val="Aptos Narrow"/>
        <family val="2"/>
        <scheme val="minor"/>
      </rPr>
      <t>Brown</t>
    </r>
    <r>
      <rPr>
        <b/>
        <sz val="11"/>
        <rFont val="Aptos Narrow"/>
        <family val="2"/>
        <scheme val="minor"/>
      </rPr>
      <t xml:space="preserve"> paper )</t>
    </r>
  </si>
  <si>
    <t>T.LAM 859 ( TIPA 312 MET | TIPA 312 MET | Paperwise )</t>
  </si>
  <si>
    <t>T.LAM 860 ( TIPA 312 MET |NM | Paperwise )</t>
  </si>
  <si>
    <t>T.LAM 861 ( TIPA 312ALX | NK | Paperwise )</t>
  </si>
  <si>
    <t>T.LAM 862 ( TIPA 312ALX | TIPA 312 MET |NK)</t>
  </si>
  <si>
    <t>T.LAM 862M ( TIPA 312ALX | TIPA 312 MET |NK matt )</t>
  </si>
  <si>
    <r>
      <t xml:space="preserve">T.LAM 863 ( TIPA 312ALX | TIPA 312 MET | Billerud Kraft </t>
    </r>
    <r>
      <rPr>
        <b/>
        <sz val="11"/>
        <color theme="0"/>
        <rFont val="Aptos Narrow"/>
        <family val="2"/>
        <scheme val="minor"/>
      </rPr>
      <t>White</t>
    </r>
    <r>
      <rPr>
        <b/>
        <sz val="11"/>
        <rFont val="Aptos Narrow"/>
        <family val="2"/>
        <scheme val="minor"/>
      </rPr>
      <t xml:space="preserve"> paper )</t>
    </r>
  </si>
  <si>
    <r>
      <t xml:space="preserve">T.LAM 864 ( TIPA 312ALX | TIPA 312 MET | Billerud Kraft </t>
    </r>
    <r>
      <rPr>
        <b/>
        <sz val="11"/>
        <color theme="5" tint="-0.499984740745262"/>
        <rFont val="Aptos Narrow"/>
        <family val="2"/>
        <scheme val="minor"/>
      </rPr>
      <t>Brown</t>
    </r>
    <r>
      <rPr>
        <b/>
        <sz val="11"/>
        <rFont val="Aptos Narrow"/>
        <family val="2"/>
        <scheme val="minor"/>
      </rPr>
      <t xml:space="preserve"> paper )</t>
    </r>
  </si>
  <si>
    <t>T.LAM 865 ( TIPA 312ALX | TIPA 312 MET | Paperwise )</t>
  </si>
  <si>
    <t>T.LAM 866 ( TIPA 312ALX | NM | Paperwise )</t>
  </si>
  <si>
    <r>
      <t xml:space="preserve">T.LAM 867 ( TIPA 312 MET | NM | NK </t>
    </r>
    <r>
      <rPr>
        <b/>
        <sz val="12"/>
        <rFont val="Aptos Narrow"/>
        <family val="2"/>
        <scheme val="minor"/>
      </rPr>
      <t>White</t>
    </r>
    <r>
      <rPr>
        <b/>
        <sz val="11"/>
        <rFont val="Aptos Narrow"/>
        <family val="2"/>
        <scheme val="minor"/>
      </rPr>
      <t xml:space="preserve"> )</t>
    </r>
  </si>
  <si>
    <t>T.LAM 868 L (KANZAN KP 460 | Paptic Sterna LUX 150 | NK 23)</t>
  </si>
  <si>
    <t>T.LAM 869 L (KANZAN KP 460 | Paptic Sterna LUX 150 )</t>
  </si>
  <si>
    <t>T.LAM 870 L (Paptic Sterna LUX 150|Paptic Sterna LUX 150 )</t>
  </si>
  <si>
    <t>T.LAM 648 ( NK | TIPA 302 )</t>
  </si>
  <si>
    <r>
      <t xml:space="preserve">Epotal </t>
    </r>
    <r>
      <rPr>
        <b/>
        <sz val="11"/>
        <color theme="1"/>
        <rFont val="Aptos Narrow"/>
        <family val="2"/>
        <scheme val="minor"/>
      </rPr>
      <t>3702+B</t>
    </r>
    <r>
      <rPr>
        <sz val="11"/>
        <color theme="1"/>
        <rFont val="Aptos Narrow"/>
        <family val="2"/>
        <scheme val="minor"/>
      </rPr>
      <t xml:space="preserve"> - water based adhesive </t>
    </r>
  </si>
  <si>
    <r>
      <t xml:space="preserve">T.LAM 919 ( TIPA 302 | NK | Billerud Kraft </t>
    </r>
    <r>
      <rPr>
        <b/>
        <sz val="11"/>
        <color theme="0"/>
        <rFont val="Aptos Narrow"/>
        <family val="2"/>
        <scheme val="minor"/>
      </rPr>
      <t>White</t>
    </r>
    <r>
      <rPr>
        <b/>
        <sz val="11"/>
        <color rgb="FF000000"/>
        <rFont val="Aptos Narrow"/>
        <family val="2"/>
        <scheme val="minor"/>
      </rPr>
      <t xml:space="preserve"> Paper)</t>
    </r>
  </si>
  <si>
    <r>
      <t xml:space="preserve">T.LAM 923 ( TIPA 312 MET | NK | Billerud </t>
    </r>
    <r>
      <rPr>
        <b/>
        <sz val="11"/>
        <color theme="0"/>
        <rFont val="Aptos Narrow"/>
        <family val="2"/>
        <scheme val="minor"/>
      </rPr>
      <t>White</t>
    </r>
    <r>
      <rPr>
        <b/>
        <sz val="11"/>
        <color rgb="FF000000"/>
        <rFont val="Aptos Narrow"/>
        <family val="2"/>
        <scheme val="minor"/>
      </rPr>
      <t xml:space="preserve"> paper )</t>
    </r>
  </si>
  <si>
    <t>T.LAM 918 ( NK 19 | TIPA 312 MET )</t>
  </si>
  <si>
    <t>T.LAM 928 ( NK | TIPA 312 MET |TIPA 312 MET )</t>
  </si>
  <si>
    <r>
      <t xml:space="preserve">T.LAM 929 ( TIPA 302 | NK | Billerud Kraft </t>
    </r>
    <r>
      <rPr>
        <b/>
        <sz val="11"/>
        <color theme="0"/>
        <rFont val="Aptos Narrow"/>
        <family val="2"/>
        <scheme val="minor"/>
      </rPr>
      <t>White</t>
    </r>
    <r>
      <rPr>
        <b/>
        <sz val="11"/>
        <color rgb="FF000000"/>
        <rFont val="Aptos Narrow"/>
        <family val="2"/>
        <scheme val="minor"/>
      </rPr>
      <t xml:space="preserve"> Paper)</t>
    </r>
  </si>
  <si>
    <r>
      <t xml:space="preserve">1 pass = heat lam , 2 pass = Epotal </t>
    </r>
    <r>
      <rPr>
        <b/>
        <sz val="11"/>
        <color theme="1"/>
        <rFont val="Aptos Narrow"/>
        <family val="2"/>
        <scheme val="minor"/>
      </rPr>
      <t>3702+B</t>
    </r>
    <r>
      <rPr>
        <sz val="11"/>
        <color theme="1"/>
        <rFont val="Aptos Narrow"/>
        <family val="2"/>
        <scheme val="minor"/>
      </rPr>
      <t xml:space="preserve"> </t>
    </r>
  </si>
  <si>
    <t>T.LAM 668 ( NK | TIPA 302 )</t>
  </si>
  <si>
    <t xml:space="preserve"> heat lam</t>
  </si>
  <si>
    <t>Shiping Destination</t>
  </si>
  <si>
    <t>Shiping cost</t>
  </si>
  <si>
    <t>Sell Price</t>
  </si>
  <si>
    <t>14.06.2026</t>
  </si>
  <si>
    <t xml:space="preserve">create calculator: in the film pricing sheet, if it possible, make it look like real calculator ( 3d and all). </t>
  </si>
  <si>
    <t>crerate 5 calculators - one next to another, when each one is linked to the table starting column A to V</t>
  </si>
  <si>
    <t>the relevant fields THAT NEED TO BE THERE ARE ALL FIELDS THAT NOT BEING CALCULATED AND INSERTED MANUALY.</t>
  </si>
  <si>
    <t>1. Film Type</t>
  </si>
  <si>
    <t>2.Width</t>
  </si>
  <si>
    <t>3.thickness.</t>
  </si>
  <si>
    <t>4. Density</t>
  </si>
  <si>
    <t>5. weight ( or overweight- uuse same logic like in the table).</t>
  </si>
  <si>
    <t>6.length- same logic connection like in the table.</t>
  </si>
  <si>
    <t>7. hourly rate.</t>
  </si>
  <si>
    <t>8. shipping destination</t>
  </si>
  <si>
    <t>9. margin ( need to be on the top of each calculator)</t>
  </si>
  <si>
    <t>Sell Price ( is the final result)</t>
  </si>
  <si>
    <t>it need to work that every thing that being choosed in the calculators from the dropdown list- check the drpodown that work properly and show numbers and not formulas)- will appear in relevant to each calculator raw in the table row 3- 7.</t>
  </si>
  <si>
    <t>but, the total number supposed to come from the table itself and to go to the relevant calculator from each relevan line in the table</t>
  </si>
  <si>
    <t>all margin connect to T1 at this point</t>
  </si>
  <si>
    <t>​‌</t>
  </si>
  <si>
    <t>📊 MARGIN</t>
  </si>
  <si>
    <t>🎬 Film Type</t>
  </si>
  <si>
    <t>📐 Width</t>
  </si>
  <si>
    <t>mm</t>
  </si>
  <si>
    <t>📏 Thickness</t>
  </si>
  <si>
    <t>⚖️ Density</t>
  </si>
  <si>
    <t>g/cm³</t>
  </si>
  <si>
    <t>📦 Weight</t>
  </si>
  <si>
    <t>📏 Length</t>
  </si>
  <si>
    <t>Mr</t>
  </si>
  <si>
    <t>€</t>
  </si>
  <si>
    <t>💰 Total Cost/Kg</t>
  </si>
  <si>
    <t>💵 SELL PRICE</t>
  </si>
  <si>
    <t>looks ok, just one problem. it need to take from the calculator and put the data in the table, you did oposit way. the only data that is coming from the table to the calculator is total cost additional point- reagarding margin . disconnect it from the table. for each calculator it need to be separately like you did, but the sell price need to include the margin as percentage from the total cost + total cost (that comes from table) will bring sell price please fix</t>
  </si>
  <si>
    <t>Production Speed (m/h)</t>
  </si>
  <si>
    <t>Thickness waste</t>
  </si>
  <si>
    <t>📋 FILM PRICING LIST - STEP BY STEP GUIDE</t>
  </si>
  <si>
    <t>How to use the Film Pricing calculator</t>
  </si>
  <si>
    <t>🔄 PRICING WORKFLOW</t>
  </si>
  <si>
    <t>→</t>
  </si>
  <si>
    <t>STEP 5</t>
  </si>
  <si>
    <t>📝 INPUT</t>
  </si>
  <si>
    <t xml:space="preserve"> </t>
  </si>
  <si>
    <t>⚙️ SPECS</t>
  </si>
  <si>
    <t>💰 COSTS</t>
  </si>
  <si>
    <t>📦 SHIP</t>
  </si>
  <si>
    <t>💵 PRICE</t>
  </si>
  <si>
    <t>📝 DETAILED STEPS</t>
  </si>
  <si>
    <t>Example</t>
  </si>
  <si>
    <t>Select Film Type</t>
  </si>
  <si>
    <t>406 mm</t>
  </si>
  <si>
    <t>Width in mm</t>
  </si>
  <si>
    <t>Enter Thickness</t>
  </si>
  <si>
    <t>20 µ</t>
  </si>
  <si>
    <t>Enter Weight</t>
  </si>
  <si>
    <t>E</t>
  </si>
  <si>
    <t>500 Kg</t>
  </si>
  <si>
    <t>Order qty (Kg)</t>
  </si>
  <si>
    <t>Optional</t>
  </si>
  <si>
    <t>Shipping Dest.</t>
  </si>
  <si>
    <t>S</t>
  </si>
  <si>
    <t>EU/USA</t>
  </si>
  <si>
    <t>Review Price</t>
  </si>
  <si>
    <t>Auto</t>
  </si>
  <si>
    <t>Final price/Kg</t>
  </si>
  <si>
    <t>Compare Margins</t>
  </si>
  <si>
    <t>X+</t>
  </si>
  <si>
    <t>25%, 30%</t>
  </si>
  <si>
    <t>Multiple options</t>
  </si>
  <si>
    <t>⚡ AUTO-CALCULATIONS</t>
  </si>
  <si>
    <t>Weight ÷ (Width × Thickness × Density)</t>
  </si>
  <si>
    <t>Production Cost</t>
  </si>
  <si>
    <t>Hourly Rate × Production Time</t>
  </si>
  <si>
    <t>RM + Production + Depreciation + Waste + Ship</t>
  </si>
  <si>
    <t>Total Cost × (1 + Margin %)</t>
  </si>
  <si>
    <t>💡 QUICK TIPS</t>
  </si>
  <si>
    <t>✓ Use dropdowns to avoid typos</t>
  </si>
  <si>
    <t>✓ Higher weight = lower cost/Kg (economies of scale)</t>
  </si>
  <si>
    <t>✓ Compare margin columns for pricing options</t>
  </si>
  <si>
    <t>✓ Density auto-fills based on Film Type</t>
  </si>
  <si>
    <t>💵 SELL PRICE (USD)</t>
  </si>
  <si>
    <t>Shipping route</t>
  </si>
  <si>
    <t>Europe to Canada</t>
  </si>
  <si>
    <t>Europe to Europe</t>
  </si>
  <si>
    <t>Europe to US</t>
  </si>
  <si>
    <t xml:space="preserve">Please assist with the following: </t>
  </si>
  <si>
    <t xml:space="preserve">in the sheet Laminates: </t>
  </si>
  <si>
    <t xml:space="preserve">thickness of the films (column K) that appear under Laminate structure (column D) needs to be like this: </t>
  </si>
  <si>
    <t>1. NK- always 23 mic</t>
  </si>
  <si>
    <t>16.06.2026</t>
  </si>
  <si>
    <t>2. TIPA 312 MET- 25 mic</t>
  </si>
  <si>
    <t>Order Quantity (KG)</t>
  </si>
  <si>
    <t>BASF price</t>
  </si>
  <si>
    <t>Input Mode</t>
  </si>
  <si>
    <t>By Weight</t>
  </si>
  <si>
    <t>By Length</t>
  </si>
  <si>
    <t>Width Threshold (mm)</t>
  </si>
  <si>
    <t>Alert Message</t>
  </si>
  <si>
    <t>📏 Length Input</t>
  </si>
  <si>
    <t>Laminate Structure</t>
  </si>
  <si>
    <t>618 W</t>
  </si>
  <si>
    <t>608 W</t>
  </si>
  <si>
    <t>Laminate (Filled)</t>
  </si>
  <si>
    <t>🏷️ Laminate</t>
  </si>
  <si>
    <t>📏 Total Thickness</t>
  </si>
  <si>
    <t>📐 Width of Reel</t>
  </si>
  <si>
    <t>⚖️ Amount (Kg)</t>
  </si>
  <si>
    <t>🖨️ PR/NonPR</t>
  </si>
  <si>
    <t>📈 RESULTS</t>
  </si>
  <si>
    <t>📏 Laminate Length</t>
  </si>
  <si>
    <t>💶 Total Cost (€)</t>
  </si>
  <si>
    <t>💵 Total Cost ($)</t>
  </si>
  <si>
    <t>💶 Cost/Kg (€)</t>
  </si>
  <si>
    <t>💵 Cost/Kg ($)</t>
  </si>
  <si>
    <t>m</t>
  </si>
  <si>
    <t>(Raw Material €/kg)</t>
  </si>
  <si>
    <t>(Shipment €/kg)</t>
  </si>
  <si>
    <t>(Lamination €/kg)</t>
  </si>
  <si>
    <t>Laminate List (Unique)</t>
  </si>
  <si>
    <t>No of colors</t>
  </si>
  <si>
    <t>Total Thickness (Filled)</t>
  </si>
  <si>
    <t>(RM €/kg)</t>
  </si>
  <si>
    <t>(Ship €/kg)</t>
  </si>
  <si>
    <t>(Lam €/kg)</t>
  </si>
  <si>
    <t>Dependent</t>
  </si>
  <si>
    <t>1-2</t>
  </si>
  <si>
    <t>5-8</t>
  </si>
  <si>
    <t/>
  </si>
  <si>
    <t xml:space="preserve">Waste </t>
  </si>
  <si>
    <t xml:space="preserve">Printing waste </t>
  </si>
  <si>
    <t>for each of the calculators add margin option on the top- like you did in the calculator in Film Pricing sheet. the claculation also need to be same as there - added as a percentage of total cost- an added to this as a sell price</t>
  </si>
  <si>
    <t>under that need to be sell price in USD- based on exchange rate in helper sheet columns AJ- AK.</t>
  </si>
  <si>
    <t xml:space="preserve">FOR THE CALCULATION OF TOTAL COST- NEED TO COME FROM THE TABLE IN Laminates SHEET . TOTAL COST IS </t>
  </si>
  <si>
    <t>18.06.2026</t>
  </si>
  <si>
    <t>📋 LAMINATE PRICING - STEP BY STEP GUIDE</t>
  </si>
  <si>
    <t>How to use the Laminate Pricing Calculator</t>
  </si>
  <si>
    <t>📝 SELECT</t>
  </si>
  <si>
    <t>📊 CALCULATE</t>
  </si>
  <si>
    <t>Location</t>
  </si>
  <si>
    <t>Select Laminate Type</t>
  </si>
  <si>
    <t>Calculator → Laminate</t>
  </si>
  <si>
    <t>Choose from dropdown (e.g., 823, 428, 608)</t>
  </si>
  <si>
    <t>Enter Width of Reel</t>
  </si>
  <si>
    <t>Calculator → Width</t>
  </si>
  <si>
    <t>760 mm</t>
  </si>
  <si>
    <t>Width in millimeters</t>
  </si>
  <si>
    <t>Enter Amount (Kg)</t>
  </si>
  <si>
    <t>Calculator → Amount</t>
  </si>
  <si>
    <t>5,000 Kg</t>
  </si>
  <si>
    <t>Order quantity in kilograms</t>
  </si>
  <si>
    <t>Select PR/NonPR</t>
  </si>
  <si>
    <t>Calculator → PR/NonPR</t>
  </si>
  <si>
    <t>Printed / Not Printed</t>
  </si>
  <si>
    <t>Printed or Not Printed</t>
  </si>
  <si>
    <t>Select No. of Colors</t>
  </si>
  <si>
    <t>Calculator → No of Paints</t>
  </si>
  <si>
    <t>Options: 0, 1-2, 3-4, 5-8</t>
  </si>
  <si>
    <t>Select Shipment</t>
  </si>
  <si>
    <t>Calculator → Shipment</t>
  </si>
  <si>
    <t>Destination for shipping cost</t>
  </si>
  <si>
    <t>Select Supplier</t>
  </si>
  <si>
    <t>Calculator → Supplier</t>
  </si>
  <si>
    <t>Bastin / Marma</t>
  </si>
  <si>
    <t>Supplier affects processing costs</t>
  </si>
  <si>
    <t>Set Margin %</t>
  </si>
  <si>
    <t>Margin Cell (Row 1)</t>
  </si>
  <si>
    <t>Adjustable margin for sell price</t>
  </si>
  <si>
    <t>9️⃣</t>
  </si>
  <si>
    <t>Review Results</t>
  </si>
  <si>
    <t>Results Section</t>
  </si>
  <si>
    <t>Total Cost, Cost/Kg, Sell Price</t>
  </si>
  <si>
    <t>Laminate Length (m)</t>
  </si>
  <si>
    <t>Amount (Kg) × 1000 ÷ (Width × Thickness × Density)</t>
  </si>
  <si>
    <t>Weight per Layer (Kg)</t>
  </si>
  <si>
    <t>Width (mm) × Thickness (µ) × Density ÷ 1,000,000</t>
  </si>
  <si>
    <t>Raw Material Cost/Kg</t>
  </si>
  <si>
    <t>Sum of (Weight × Raw Material Cost) for each layer</t>
  </si>
  <si>
    <t>Shipment Cost/Kg</t>
  </si>
  <si>
    <t>Based on destination (EU→EU: €0.20, EU→US: €4.25, etc.)</t>
  </si>
  <si>
    <t>Lamination Cost/Kg</t>
  </si>
  <si>
    <t>Rate × Laminate Length ÷ Amount (varies by supplier)</t>
  </si>
  <si>
    <t>Printing Cost/Kg</t>
  </si>
  <si>
    <t>Only added if "Printed" - based on colors selected</t>
  </si>
  <si>
    <t>Slitting Cost/Kg</t>
  </si>
  <si>
    <t>Rate × Laminate Length ÷ Amount</t>
  </si>
  <si>
    <t>Waste %</t>
  </si>
  <si>
    <t>6% base + 2.8% additional if Printed</t>
  </si>
  <si>
    <t>Total Cost/Kg</t>
  </si>
  <si>
    <t>(RM + Shipment + Services) × (1 + Waste%)</t>
  </si>
  <si>
    <t>💰 SELL PRICE CALCULATION</t>
  </si>
  <si>
    <t>Component</t>
  </si>
  <si>
    <t>Margin %</t>
  </si>
  <si>
    <t>Set in cell above calculator (default 25%)</t>
  </si>
  <si>
    <t>Cost/Kg (€)</t>
  </si>
  <si>
    <t>Raw Materials + Shipment + Lamination + Printing + Slitting + Waste</t>
  </si>
  <si>
    <t>Sell Price (€)</t>
  </si>
  <si>
    <t>Cost/Kg × (1 + Margin%)</t>
  </si>
  <si>
    <t>Sell Price ($)</t>
  </si>
  <si>
    <t>Sell Price (€) × Exchange Rate (1.16)</t>
  </si>
  <si>
    <t>Total Cost (€)</t>
  </si>
  <si>
    <t>Cost/Kg × Amount (Kg)</t>
  </si>
  <si>
    <t>🧱 LAMINATE STRUCTURE</t>
  </si>
  <si>
    <t>Each laminate code represents a multi-layer structure. The layers are shown in Column D:</t>
  </si>
  <si>
    <t>Layer Type</t>
  </si>
  <si>
    <t>Typical Thickness</t>
  </si>
  <si>
    <t>Purpose</t>
  </si>
  <si>
    <t>NK / NKR</t>
  </si>
  <si>
    <t>Kraft Paper</t>
  </si>
  <si>
    <t>23 µ</t>
  </si>
  <si>
    <t>Base layer - biodegradable</t>
  </si>
  <si>
    <t>TIPA Films</t>
  </si>
  <si>
    <t>312 MET, 302FG</t>
  </si>
  <si>
    <t>25-60 µ</t>
  </si>
  <si>
    <t>Barrier &amp; structure layers</t>
  </si>
  <si>
    <t>Billerud Kraft</t>
  </si>
  <si>
    <t>67 µ</t>
  </si>
  <si>
    <t>Additional barrier (optional)</t>
  </si>
  <si>
    <t>Epotal ECO 3675</t>
  </si>
  <si>
    <t>12 µ</t>
  </si>
  <si>
    <t>Bonds layers together</t>
  </si>
  <si>
    <t>PBAT Layer</t>
  </si>
  <si>
    <t>17 µ</t>
  </si>
  <si>
    <t>Flexibility &amp; sealing</t>
  </si>
  <si>
    <t>🏭 SUPPLIERS &amp; RATES</t>
  </si>
  <si>
    <t>Lamination Rate</t>
  </si>
  <si>
    <t>Printing Rate</t>
  </si>
  <si>
    <t>Slitting Rate</t>
  </si>
  <si>
    <t>€0.110 / m</t>
  </si>
  <si>
    <t>€0.150-0.173 / m</t>
  </si>
  <si>
    <t>€0.031 / m</t>
  </si>
  <si>
    <t>€0.085-0.086 / m</t>
  </si>
  <si>
    <t>N/A</t>
  </si>
  <si>
    <t>€0.024 / m</t>
  </si>
  <si>
    <t>🚚 SHIPMENT COSTS</t>
  </si>
  <si>
    <t>Destination</t>
  </si>
  <si>
    <t>Cost (€/Kg)</t>
  </si>
  <si>
    <t>Europe to Israel</t>
  </si>
  <si>
    <t>✓ Use the 3 CALCULATOR sections to compare different laminate options side by side</t>
  </si>
  <si>
    <t>✓ Higher amounts = lower cost/Kg due to fixed costs spreading (economies of scale)</t>
  </si>
  <si>
    <t>✓ Printed laminates add extra cost: printing rate + 2.8% waste</t>
  </si>
  <si>
    <t>✓ Shipment destination significantly impacts final cost (EU→EU is cheapest)</t>
  </si>
  <si>
    <t>✓ Bastin has higher lamination rates but can do printing; Marma is cheaper but no printing</t>
  </si>
  <si>
    <t>✓ Total Thickness is sum of all layers - check K column for individual thicknesses</t>
  </si>
  <si>
    <t>✓ Column Y shows Total Cost/Kg including waste calculations</t>
  </si>
  <si>
    <t>✓ Adjust margin % in row 1 above each calculator to change sell price</t>
  </si>
  <si>
    <t>📊 MAIN TABLE COLUMNS (A-Y)</t>
  </si>
  <si>
    <t>Name</t>
  </si>
  <si>
    <t>Type</t>
  </si>
  <si>
    <t>Description</t>
  </si>
  <si>
    <t>Units - Kg or Meters</t>
  </si>
  <si>
    <t>Order quantity</t>
  </si>
  <si>
    <t>Laminate code (e.g., 823, 428, 608)</t>
  </si>
  <si>
    <t>D</t>
  </si>
  <si>
    <t>Shows layers from HELPER sheet</t>
  </si>
  <si>
    <t>Impression length (optional)</t>
  </si>
  <si>
    <t>G</t>
  </si>
  <si>
    <t>Laminate length (m)</t>
  </si>
  <si>
    <t>Calculated</t>
  </si>
  <si>
    <t>Length in meters based on inputs</t>
  </si>
  <si>
    <t>H</t>
  </si>
  <si>
    <t>PR/NonPR</t>
  </si>
  <si>
    <t>Linked</t>
  </si>
  <si>
    <t>Printed status from calculator</t>
  </si>
  <si>
    <t>I</t>
  </si>
  <si>
    <t>Number of print colors from calculator</t>
  </si>
  <si>
    <t>J</t>
  </si>
  <si>
    <t>Lamination Width</t>
  </si>
  <si>
    <t>Width adjusted for lamination</t>
  </si>
  <si>
    <t>K</t>
  </si>
  <si>
    <t>Thickness per layer in microns</t>
  </si>
  <si>
    <t>L</t>
  </si>
  <si>
    <t>Material density</t>
  </si>
  <si>
    <t>M</t>
  </si>
  <si>
    <t>Weight per meter per layer</t>
  </si>
  <si>
    <t>N</t>
  </si>
  <si>
    <t>Lookup</t>
  </si>
  <si>
    <t>Cost €/kg from BOM</t>
  </si>
  <si>
    <t>O</t>
  </si>
  <si>
    <t>Where shipping to</t>
  </si>
  <si>
    <t>P</t>
  </si>
  <si>
    <t>€/kg shipping cost</t>
  </si>
  <si>
    <t>Q</t>
  </si>
  <si>
    <t>Per-layer cost</t>
  </si>
  <si>
    <t>R</t>
  </si>
  <si>
    <t>Cost Per KG (€)</t>
  </si>
  <si>
    <t>Per-layer cost/kg</t>
  </si>
  <si>
    <t>Bastin or Marma</t>
  </si>
  <si>
    <t>T-V</t>
  </si>
  <si>
    <t>Processing rates</t>
  </si>
  <si>
    <t>Lamination, Printing, Slitting rates</t>
  </si>
  <si>
    <t>6% of RM cost</t>
  </si>
  <si>
    <t>X</t>
  </si>
  <si>
    <t>Printing waste</t>
  </si>
  <si>
    <t>2.8% if Printed, else 0</t>
  </si>
  <si>
    <t>Full cost/kg including waste</t>
  </si>
  <si>
    <t>📈 CALCULATOR OUTPUT ROWS</t>
  </si>
  <si>
    <t>Row</t>
  </si>
  <si>
    <t>Label</t>
  </si>
  <si>
    <t>Input Parameters</t>
  </si>
  <si>
    <t>Laminate, Width, Amount, PR/NonPR, Colors, Shipment, Supplier</t>
  </si>
  <si>
    <t>Section header</t>
  </si>
  <si>
    <t>Total meters of laminate produced</t>
  </si>
  <si>
    <t>Total order cost in Euros</t>
  </si>
  <si>
    <t>Total order cost in USD</t>
  </si>
  <si>
    <t>Cost per kilogram in Euros</t>
  </si>
  <si>
    <t>Cost per kilogram in USD</t>
  </si>
  <si>
    <t>24-27</t>
  </si>
  <si>
    <t>Final sell price with margin applied</t>
  </si>
  <si>
    <t>📝 EXAMPLE CALCULATION</t>
  </si>
  <si>
    <t>Scenario: 5,000 Kg of Laminate 823, 760mm width, Printed 5-8 colors, Europe to US, Bastin supplier</t>
  </si>
  <si>
    <t>1. Raw Material Cost</t>
  </si>
  <si>
    <t>Sum of layer weights × raw material prices ≈ €2.96/kg</t>
  </si>
  <si>
    <t>2. Shipment Cost</t>
  </si>
  <si>
    <t>Europe to US = €4.25/kg</t>
  </si>
  <si>
    <t>3. Lamination</t>
  </si>
  <si>
    <t>Bastin rate × length ÷ amount ≈ €0.11/kg</t>
  </si>
  <si>
    <t>4. Printing</t>
  </si>
  <si>
    <t>5-8 colors rate × length ÷ amount ≈ €0.17/kg</t>
  </si>
  <si>
    <t>5. Slitting</t>
  </si>
  <si>
    <t>Bastin slitting rate × length ÷ amount ≈ €0.03/kg</t>
  </si>
  <si>
    <t>6. Subtotal Services</t>
  </si>
  <si>
    <t>Lamination + Printing + Slitting ≈ €0.31/kg</t>
  </si>
  <si>
    <t>7. Waste (6%)</t>
  </si>
  <si>
    <t>€2.96 × 6% ≈ €0.18/kg</t>
  </si>
  <si>
    <t>8. Printing Waste (2.8%)</t>
  </si>
  <si>
    <t>€2.96 × 2.8% ≈ €0.08/kg</t>
  </si>
  <si>
    <t>9. Total Cost/Kg</t>
  </si>
  <si>
    <t>€2.96 + €4.25 + €0.31 + €0.18 + €0.08 ≈ €7.78/kg</t>
  </si>
  <si>
    <t>10. Sell Price (25% margin)</t>
  </si>
  <si>
    <t>€7.78 × 1.25 ≈ €9.73/kg</t>
  </si>
  <si>
    <t>11. Total Order Cost</t>
  </si>
  <si>
    <t>€7.78 × 5,000 = €38,900</t>
  </si>
  <si>
    <t>🎨 No of colors</t>
  </si>
  <si>
    <t>Printing Waste</t>
  </si>
  <si>
    <t>Slitting</t>
  </si>
  <si>
    <t>📊 SALES METHOD CALCULATION - COST PER KG</t>
  </si>
  <si>
    <t>Laminate for reels - Sales' sheet (cell L14).</t>
  </si>
  <si>
    <t>STEP 1: Calculate COST PER METER (€/m)</t>
  </si>
  <si>
    <t>════════════════════════════════════════</t>
  </si>
  <si>
    <t>STEP 2: Calculate METERS PER KG (m/kg)</t>
  </si>
  <si>
    <t>═══════════════════════════════════════════════════════════════</t>
  </si>
  <si>
    <t>This method calculates Cost/Kg using the same logic as</t>
  </si>
  <si>
    <t>OVERVIEW:</t>
  </si>
  <si>
    <t>Cost/Kg = CostPerMeter × MetersPerKg × WidthFactor</t>
  </si>
  <si>
    <t>───────────────────────────────────────────────────────────────</t>
  </si>
  <si>
    <t>For each layer, calculate: Weight × (Cost + Shipping)</t>
  </si>
  <si>
    <t>• Layer 1 (NK):       M3 × (N3 + P3)</t>
  </si>
  <si>
    <t>• Layer 2 (TIPA):     M4 × (N4 + P4)</t>
  </si>
  <si>
    <t xml:space="preserve">  Note: Paper uses fixed 42 g/m² formula</t>
  </si>
  <si>
    <t>• Layer 4 (Adhesive): M6 × (N6 + P6)</t>
  </si>
  <si>
    <t>Then apply waste and additional costs:</t>
  </si>
  <si>
    <t>CostPerMeter = (Sum of Layers) × (1 + 6.15%) + €0.2155</t>
  </si>
  <si>
    <t>MetersPerKg = 1 / (Total Weight per meter)</t>
  </si>
  <si>
    <t>Total Weight = M3 + M4 + (42/1000 × J5/1000) + M6</t>
  </si>
  <si>
    <t>STEP 3: Calculate WIDTH FACTOR</t>
  </si>
  <si>
    <t>WidthFactor = Lamination Width (J3) / Reel Width (E3)</t>
  </si>
  <si>
    <t>Adjusts for material used vs customer specification</t>
  </si>
  <si>
    <t>STEP 4: FINAL CALCULATION</t>
  </si>
  <si>
    <t>COMPLETE FORMULA (Cell AD16):</t>
  </si>
  <si>
    <t>Formula structure:</t>
  </si>
  <si>
    <t xml:space="preserve">  * (1+0.0615) + 0.2155)</t>
  </si>
  <si>
    <t xml:space="preserve">  * (J3/E3)</t>
  </si>
  <si>
    <t>DERIVED VALUES:</t>
  </si>
  <si>
    <t>Total Cost (EUR): Amount (Kg) * Cost/Kg  -&gt;  AD14</t>
  </si>
  <si>
    <t>Total Cost (USD): Total Cost (EUR) * 1.16  -&gt;  AD15</t>
  </si>
  <si>
    <t>Cost/Kg (USD): Cost/Kg (EUR) * 1.16  -&gt;  AD17</t>
  </si>
  <si>
    <t>Sell Price: Cost/Kg * (1 + Margin%)  -&gt;  AC25</t>
  </si>
  <si>
    <t>* Layer 3 (Paper):    M5 * (N5 + P5)</t>
  </si>
  <si>
    <t>((M3*(N3+P3)+M4*(N4+P4)+M5*(N5+P5)+M6*(N6+P6))</t>
  </si>
  <si>
    <t xml:space="preserve">  * (1/(M3+M4+M5+M6))</t>
  </si>
  <si>
    <t>✓ Cost/Kg (verify)</t>
  </si>
  <si>
    <t>€/kg</t>
  </si>
  <si>
    <t>checking purposes</t>
  </si>
  <si>
    <t>Total Cost per KG</t>
  </si>
  <si>
    <t>(Lam + Slit + Print €/kg)</t>
  </si>
  <si>
    <t>(Lam + Slit + Print)</t>
  </si>
  <si>
    <t>Setup for colored Films</t>
  </si>
  <si>
    <t>Tunhe price</t>
  </si>
  <si>
    <t>📏 Meter MOQ</t>
  </si>
  <si>
    <t>⚖️ KG MOQ</t>
  </si>
  <si>
    <t>⚖️ Total KG</t>
  </si>
  <si>
    <t>Printing per KG</t>
  </si>
  <si>
    <t>From Calculator</t>
  </si>
  <si>
    <t>Dependent on Laminate</t>
  </si>
  <si>
    <t>Dependent on Length</t>
  </si>
  <si>
    <t>📊 GROSS PROFIT</t>
  </si>
  <si>
    <t>Laminate608 W</t>
  </si>
  <si>
    <t>Tipa302WFG</t>
  </si>
  <si>
    <t>Quote in</t>
  </si>
  <si>
    <t>Layer</t>
  </si>
  <si>
    <t>Width of reel asked</t>
  </si>
  <si>
    <t>length of impression</t>
  </si>
  <si>
    <t>FG/NF</t>
  </si>
  <si>
    <t>No of paints</t>
  </si>
  <si>
    <t>TRANSPORTATION</t>
  </si>
  <si>
    <t>Cost ($)</t>
  </si>
  <si>
    <t>Cost Per KG</t>
  </si>
  <si>
    <t>מחיר הדפסה למ"א</t>
  </si>
  <si>
    <t>מ"א מודפס</t>
  </si>
  <si>
    <t>SDR Price</t>
  </si>
  <si>
    <t>הדפסה לק"ג</t>
  </si>
  <si>
    <t>כמות שכבות</t>
  </si>
  <si>
    <t>מחיר לק"ג</t>
  </si>
  <si>
    <t>למינציה לק"ג</t>
  </si>
  <si>
    <t>חיתוך לק"ג</t>
  </si>
  <si>
    <t>ADHISIVE</t>
  </si>
  <si>
    <t>HARDENER</t>
  </si>
  <si>
    <t>מחיר הדפסה 1-4</t>
  </si>
  <si>
    <t>Lemingth length width used</t>
  </si>
  <si>
    <t>Total materials cost</t>
  </si>
  <si>
    <t>מחיר הדפסה 5-8</t>
  </si>
  <si>
    <t>מקדם מתחת ל300 ק"ג</t>
  </si>
  <si>
    <t>מחיר הדפסה DP</t>
  </si>
  <si>
    <t>DP Price</t>
  </si>
  <si>
    <t>Total</t>
  </si>
  <si>
    <t>למינציה DP</t>
  </si>
  <si>
    <t>Impression details</t>
  </si>
  <si>
    <t>Gross profit</t>
  </si>
  <si>
    <t>COST</t>
  </si>
  <si>
    <t>Cost per ml</t>
  </si>
  <si>
    <t>Total + 10%</t>
  </si>
  <si>
    <t>This is the height of the bag</t>
  </si>
  <si>
    <t>Cost per kg</t>
  </si>
  <si>
    <t>Length</t>
  </si>
  <si>
    <t>This is the width of the bag</t>
  </si>
  <si>
    <t>SELL</t>
  </si>
  <si>
    <t>Price per ml</t>
  </si>
  <si>
    <t>Total Weight</t>
  </si>
  <si>
    <t>Price per kg</t>
  </si>
  <si>
    <t>"680,900,1100"</t>
  </si>
  <si>
    <t>Reel details</t>
  </si>
  <si>
    <t>Waste assumption Printed</t>
  </si>
  <si>
    <t>This is the height of the bag*2</t>
  </si>
  <si>
    <t>Printed KG</t>
  </si>
  <si>
    <t>Waste assumption Non Printed</t>
  </si>
  <si>
    <t>to check if there is any length limitation - Must be filled!!!</t>
  </si>
  <si>
    <t>Total KG</t>
  </si>
  <si>
    <t>Net KG</t>
  </si>
  <si>
    <t>Waste assumptions</t>
  </si>
  <si>
    <t>Number of works</t>
  </si>
  <si>
    <t>Waste per work</t>
  </si>
  <si>
    <t>Ml  &amp; Lem used width of reel  in kg</t>
  </si>
  <si>
    <t>1st laminate</t>
  </si>
  <si>
    <t>Ml  &amp; Lem Asked width of reel  in kg</t>
  </si>
  <si>
    <t>Number of impression</t>
  </si>
  <si>
    <t>Waste of width</t>
  </si>
  <si>
    <t>2nd laminate</t>
  </si>
  <si>
    <t>Printed Waste Assumption</t>
  </si>
  <si>
    <t>Cost per impressiom</t>
  </si>
  <si>
    <t>SDR</t>
  </si>
  <si>
    <t>Prining</t>
  </si>
  <si>
    <t>Eur</t>
  </si>
  <si>
    <t>Price Per impression</t>
  </si>
  <si>
    <t>Reel change</t>
  </si>
  <si>
    <t>evrey 3K Meter</t>
  </si>
  <si>
    <t>Cost</t>
  </si>
  <si>
    <t>Sale price</t>
  </si>
  <si>
    <t>Converting</t>
  </si>
  <si>
    <t>Set up</t>
  </si>
  <si>
    <t>ML</t>
  </si>
  <si>
    <t>Meter MOQ</t>
  </si>
  <si>
    <t>Total Price</t>
  </si>
  <si>
    <t>Converting process</t>
  </si>
  <si>
    <t>Based on the run length</t>
  </si>
  <si>
    <t>KG</t>
  </si>
  <si>
    <t>Euro to dollar rate</t>
  </si>
  <si>
    <t>Non Printed waste Assumption</t>
  </si>
  <si>
    <t>Laminat Reel 607, 106</t>
  </si>
  <si>
    <t>MOQ = 500KG</t>
  </si>
  <si>
    <t>Shipment addition</t>
  </si>
  <si>
    <t>Laminat Reel  608</t>
  </si>
  <si>
    <t>MOQ = 750KG</t>
  </si>
  <si>
    <t>Laminat Reel  608W</t>
  </si>
  <si>
    <t>MOQ = 2000KG</t>
  </si>
  <si>
    <t>Laminate type</t>
  </si>
  <si>
    <t>Food grade</t>
  </si>
  <si>
    <t>FG</t>
  </si>
  <si>
    <t>Quote by</t>
  </si>
  <si>
    <t>KG MOQ</t>
  </si>
  <si>
    <t>Price</t>
  </si>
  <si>
    <t>Z10771.00023-000</t>
  </si>
  <si>
    <t>Length limitation &lt;50Kg (Y/N)</t>
  </si>
  <si>
    <t>(*)  Min is 500 Meter</t>
  </si>
  <si>
    <t>Length Limit</t>
  </si>
  <si>
    <t>(*)  Up to 1,150 width</t>
  </si>
  <si>
    <t>Number of Colurs</t>
  </si>
  <si>
    <t>Imp</t>
  </si>
  <si>
    <t>Meters</t>
  </si>
  <si>
    <t>Deal amount</t>
  </si>
  <si>
    <t>Check amount</t>
  </si>
  <si>
    <r>
      <t xml:space="preserve">Price per unit EXW </t>
    </r>
    <r>
      <rPr>
        <b/>
        <u/>
        <sz val="12"/>
        <color theme="1"/>
        <rFont val="Aptos Narrow"/>
        <family val="2"/>
        <scheme val="minor"/>
      </rPr>
      <t>Italy</t>
    </r>
  </si>
  <si>
    <t>MOQ</t>
  </si>
  <si>
    <t>Price per unit</t>
  </si>
  <si>
    <t>Total order price</t>
  </si>
  <si>
    <t>Lam Cost</t>
  </si>
  <si>
    <t>Per day</t>
  </si>
  <si>
    <t>per month</t>
  </si>
  <si>
    <t>per hour</t>
  </si>
  <si>
    <t>Set up time</t>
  </si>
  <si>
    <t>Price per unit $</t>
  </si>
  <si>
    <t>Laminate production</t>
  </si>
  <si>
    <t>3 hours</t>
  </si>
  <si>
    <t>Flexo</t>
  </si>
  <si>
    <t>Pouch production</t>
  </si>
  <si>
    <t>Minute</t>
  </si>
  <si>
    <t>2 hours</t>
  </si>
  <si>
    <t>Printing per minute</t>
  </si>
  <si>
    <t>1.5 hours</t>
  </si>
  <si>
    <t>EXW Italy or Poland</t>
  </si>
  <si>
    <t>1000, 3000, 5000</t>
  </si>
  <si>
    <t>סוג תהליך</t>
  </si>
  <si>
    <t>ארה"ב (USD)</t>
  </si>
  <si>
    <t>אירופה (EUR)</t>
  </si>
  <si>
    <t>מרכיבי עלות מרכזיים</t>
  </si>
  <si>
    <t>1500ת 3000ת 5000</t>
  </si>
  <si>
    <t>הדפסה דיגיטלית (Indigo 25K)</t>
  </si>
  <si>
    <t>$450 - $600</t>
  </si>
  <si>
    <t>€400 - €550</t>
  </si>
  <si>
    <t>פחת גבוה ($1.5M+ מכונה), חוזי שירות יקרים, מפעיל מומחה.</t>
  </si>
  <si>
    <t>הדפסת פלקסו (Wide Web)</t>
  </si>
  <si>
    <t>$650 - $950</t>
  </si>
  <si>
    <t>€600 - €850</t>
  </si>
  <si>
    <t>השקעה הונית אדירה, 2 מפעילים, צריכת אנרגיה גבוהה לייבוש.</t>
  </si>
  <si>
    <t>למינציה / ורניש</t>
  </si>
  <si>
    <t>$280 - $420</t>
  </si>
  <si>
    <t>€250 - €380</t>
  </si>
  <si>
    <t>עלויות דבק/לקה, אנרגיה (חימום), פחת מכונה בינוני.</t>
  </si>
  <si>
    <t>קונברטינג (Totani)</t>
  </si>
  <si>
    <t>$200 - $320</t>
  </si>
  <si>
    <t>€180 - €290</t>
  </si>
  <si>
    <t>עבודה אינטנסיבית (בדיקות איכות), פחת מכונה נמוך יותר.</t>
  </si>
  <si>
    <t>💵 SELL PRICE PER KG</t>
  </si>
  <si>
    <t>€/m</t>
  </si>
  <si>
    <t>Additive</t>
  </si>
  <si>
    <t>Additive Price</t>
  </si>
  <si>
    <t>Calculation Process</t>
  </si>
  <si>
    <t>FILM Price</t>
  </si>
  <si>
    <t>MET LUX</t>
  </si>
  <si>
    <t>🧮 CALCULATOR 2 - TIPA 302FG W</t>
  </si>
  <si>
    <t>🧮 CALCULATOR 3 - TIPA 306M</t>
  </si>
  <si>
    <t>🧮 CALCULATOR 4 - TIPA 306W</t>
  </si>
  <si>
    <t>🧮 CALCULATOR 5 - TIPA 312 MFG</t>
  </si>
  <si>
    <t>🧮 CALCULATOR 6 - TIPA 312MFGW</t>
  </si>
  <si>
    <t>Calculated behind the scenes in Film Pricing calculator; Film Price is stored here as a fixed value. Total Price = Film Price + Additive Price.</t>
  </si>
  <si>
    <t>Composite material: uses TIPA 312 MFG current calculated film price + MET LUX additive from HELPER A:E.</t>
  </si>
  <si>
    <t>יש עוד משהו שצריך לקחת בחשבון: יש שתי מידות רוחב: 760 1220 כשנרשם רוחב מסוים, התהליך צריך להיות ככה: 1. בדיקה כמה פעמים הרוחב הזה נכנס כשלם ב-1220 וב760. - למשל אם מדובר ברוחב 300 - נכנס פעמיים ב760 ו-4 פעמים ב1220. 2. השוואה של השארית שנשארת אחרי שהרוחב נכנס ב760 לבין זה שנשארת כשהוא נכנס ב-1220. למשל , עם הדוגמא שלקחנו- כשניקח 300, אז החישוב יהיה ככה: 760-)300*2(= 160 1220-)300*4(=20 לכן , הרוחב שנשתמש בו הוא בדוגמא הזו 1220. 3. בתא D1 יירשם הרוחב שנבחר כתוצאה מהחישוב ( בדוגמא שכאן יירשם: Width choosed due to calculation: 1220 בכתב מודגש. הרוחב מעל 1220 אסור- נשאר כפי שהיה עם ההודעה שמקבלת עכשיו קדימה</t>
  </si>
  <si>
    <t>Width of reel used</t>
  </si>
  <si>
    <t>Lamination Width (mm)</t>
  </si>
  <si>
    <t>REGARDING COLUMN e: Width of reel used : do as following: 1. take the number you see in the Width of reel asked ( column D) 2. checking how many times it fully נכנס into Lamination Width (mm) (column J). 3. ם אפשר להכניס 2, 3, 4, 5 או 6 פעמים — היא מכפילה את הרוחב המבוקש בהתאם. 4. אם לא — משאירה את הרוחב המקורי. please do as following and check all the formulas in the calculators</t>
  </si>
  <si>
    <t>Main drivers:</t>
  </si>
  <si>
    <t>Fixed per-meter costs are spread over fewer kg, so €/kg increases.</t>
  </si>
  <si>
    <t>So the trend: smaller widths that are multiplied into a wider reel can be cheaper per kg; 600mm has less spreading efficiency, so price/kg rises.</t>
  </si>
  <si>
    <r>
      <t>1. Actual reel width </t>
    </r>
    <r>
      <rPr>
        <sz val="10"/>
        <color rgb="FF424242"/>
        <rFont val="Courier New"/>
        <family val="3"/>
      </rPr>
      <t>E</t>
    </r>
  </si>
  <si>
    <r>
      <t>&lt;300</t>
    </r>
    <r>
      <rPr>
        <sz val="10"/>
        <color rgb="FF424242"/>
        <rFont val="Aptos"/>
        <family val="2"/>
      </rPr>
      <t> → ×4</t>
    </r>
  </si>
  <si>
    <r>
      <t>&lt;400</t>
    </r>
    <r>
      <rPr>
        <sz val="10"/>
        <color rgb="FF424242"/>
        <rFont val="Aptos"/>
        <family val="2"/>
      </rPr>
      <t> → ×3</t>
    </r>
  </si>
  <si>
    <r>
      <t>&lt;600</t>
    </r>
    <r>
      <rPr>
        <sz val="10"/>
        <color rgb="FF424242"/>
        <rFont val="Aptos"/>
        <family val="2"/>
      </rPr>
      <t> → ×2</t>
    </r>
  </si>
  <si>
    <r>
      <t>≥600</t>
    </r>
    <r>
      <rPr>
        <sz val="10"/>
        <color rgb="FF424242"/>
        <rFont val="Aptos"/>
        <family val="2"/>
      </rPr>
      <t> → unchanged</t>
    </r>
  </si>
  <si>
    <r>
      <t>2. Lamination width </t>
    </r>
    <r>
      <rPr>
        <sz val="10"/>
        <color rgb="FF424242"/>
        <rFont val="Courier New"/>
        <family val="3"/>
      </rPr>
      <t>J = E + 50</t>
    </r>
  </si>
  <si>
    <r>
      <t>Wider </t>
    </r>
    <r>
      <rPr>
        <sz val="10"/>
        <color rgb="FF424242"/>
        <rFont val="Courier New"/>
        <family val="3"/>
      </rPr>
      <t>J/E</t>
    </r>
    <r>
      <rPr>
        <sz val="10"/>
        <color rgb="FF424242"/>
        <rFont val="Aptos"/>
        <family val="2"/>
      </rPr>
      <t> ratio = more excess lamination cost.</t>
    </r>
  </si>
  <si>
    <r>
      <t>200mm: </t>
    </r>
    <r>
      <rPr>
        <sz val="10"/>
        <color rgb="FF424242"/>
        <rFont val="Courier New"/>
        <family val="3"/>
      </rPr>
      <t>E=800</t>
    </r>
    <r>
      <rPr>
        <sz val="10"/>
        <color rgb="FF424242"/>
        <rFont val="Aptos"/>
        <family val="2"/>
      </rPr>
      <t>, </t>
    </r>
    <r>
      <rPr>
        <sz val="10"/>
        <color rgb="FF424242"/>
        <rFont val="Courier New"/>
        <family val="3"/>
      </rPr>
      <t>J=850</t>
    </r>
    <r>
      <rPr>
        <sz val="10"/>
        <color rgb="FF424242"/>
        <rFont val="Aptos"/>
        <family val="2"/>
      </rPr>
      <t> → 6.25% excess</t>
    </r>
  </si>
  <si>
    <r>
      <t>600mm: </t>
    </r>
    <r>
      <rPr>
        <sz val="10"/>
        <color rgb="FF424242"/>
        <rFont val="Courier New"/>
        <family val="3"/>
      </rPr>
      <t>E=600</t>
    </r>
    <r>
      <rPr>
        <sz val="10"/>
        <color rgb="FF424242"/>
        <rFont val="Aptos"/>
        <family val="2"/>
      </rPr>
      <t>, </t>
    </r>
    <r>
      <rPr>
        <sz val="10"/>
        <color rgb="FF424242"/>
        <rFont val="Courier New"/>
        <family val="3"/>
      </rPr>
      <t>J=650</t>
    </r>
    <r>
      <rPr>
        <sz val="10"/>
        <color rgb="FF424242"/>
        <rFont val="Aptos"/>
        <family val="2"/>
      </rPr>
      <t> → 8.33% excess</t>
    </r>
  </si>
  <si>
    <r>
      <t>3. Kg per meter </t>
    </r>
    <r>
      <rPr>
        <sz val="10"/>
        <color rgb="FF424242"/>
        <rFont val="Courier New"/>
        <family val="3"/>
      </rPr>
      <t>M</t>
    </r>
  </si>
  <si>
    <r>
      <t>At 600mm, kg/m is lower than the 200mm case using </t>
    </r>
    <r>
      <rPr>
        <sz val="10"/>
        <color rgb="FF424242"/>
        <rFont val="Courier New"/>
        <family val="3"/>
      </rPr>
      <t>E=800</t>
    </r>
    <r>
      <rPr>
        <sz val="10"/>
        <color rgb="FF424242"/>
        <rFont val="Aptos"/>
        <family val="2"/>
      </rPr>
      <t>.</t>
    </r>
  </si>
  <si>
    <t>Laminate819</t>
  </si>
  <si>
    <t>Ml</t>
  </si>
  <si>
    <t>IMP</t>
  </si>
  <si>
    <t>Rule / source</t>
  </si>
  <si>
    <t>Meters = IMP ÷ (1000 ÷ impression length); Kg = current laminate structure yield</t>
  </si>
  <si>
    <t>Same rule</t>
  </si>
  <si>
    <t>MOQ row in source table</t>
  </si>
  <si>
    <t>📏 Converted Meters</t>
  </si>
  <si>
    <t>$/IMP</t>
  </si>
  <si>
    <t>$/kg</t>
  </si>
  <si>
    <t>🧾 IMP / Length Conversion</t>
  </si>
  <si>
    <t>By Imp</t>
  </si>
  <si>
    <t>💵 Sell Price / Meter</t>
  </si>
  <si>
    <t>💵 Sell Price / KG</t>
  </si>
  <si>
    <t>💵 Sell Price / IMP</t>
  </si>
  <si>
    <t>€/IMP</t>
  </si>
  <si>
    <t>💵 USD Price / Meter</t>
  </si>
  <si>
    <t>$/m</t>
  </si>
  <si>
    <t>💵 USD Price / KG</t>
  </si>
  <si>
    <t>💵 USD Price / IMP</t>
  </si>
  <si>
    <t>💰 Total Sell Price (€)</t>
  </si>
  <si>
    <t>€ total</t>
  </si>
  <si>
    <t>💰 Total Sell Price ($)</t>
  </si>
  <si>
    <t>$ total</t>
  </si>
  <si>
    <t>821M</t>
  </si>
  <si>
    <t>Total Thickness (µ)</t>
  </si>
  <si>
    <t>Material / Layer</t>
  </si>
  <si>
    <t>Layer Thickness (µ)</t>
  </si>
  <si>
    <t>Structure Check</t>
  </si>
  <si>
    <t>Layer Type / Info</t>
  </si>
  <si>
    <t>Status</t>
  </si>
  <si>
    <t>Active</t>
  </si>
  <si>
    <t>Laminate Group</t>
  </si>
  <si>
    <t>Group Total Thickness</t>
  </si>
  <si>
    <t>Layer Thickness</t>
  </si>
  <si>
    <t>Spacer</t>
  </si>
  <si>
    <t>Setup related to MET</t>
  </si>
  <si>
    <t>MET setup factor</t>
  </si>
  <si>
    <t>הנחיה: להזנת למינייט חדש — מלא שורות ריקות בתוך tblLaminateStructures בעמודות AV:AY. עמודה AZ תחושב לבד כסכום עוביי השכבות לפי למינייט + עובי כולל.</t>
  </si>
  <si>
    <t>BIO4PACK</t>
  </si>
  <si>
    <t>NK White</t>
  </si>
  <si>
    <t>According to the email from Oren</t>
  </si>
  <si>
    <t>Calc1 Thickness Options</t>
  </si>
  <si>
    <t>Calc2 Thickness Options</t>
  </si>
  <si>
    <t>Calc3 Thickness Options</t>
  </si>
  <si>
    <t>Laminating, Converting &amp; Printing Supplier</t>
  </si>
  <si>
    <t>ALU</t>
  </si>
  <si>
    <t>bags</t>
  </si>
  <si>
    <t>Cost for ml</t>
  </si>
  <si>
    <t>PR</t>
  </si>
  <si>
    <t>5 to 8</t>
  </si>
  <si>
    <t>1switch between line 50 to 51</t>
  </si>
  <si>
    <t>2.pouch calculator 1 ( line 49 ) need to be need to be filled in according to 2 parameters: line 50 and 51 for example: Open Bag - 428</t>
  </si>
  <si>
    <t xml:space="preserve">3, </t>
  </si>
  <si>
    <t>Yes</t>
  </si>
  <si>
    <t>🏷️ Laminate type</t>
  </si>
  <si>
    <t>↕️ Height of bag</t>
  </si>
  <si>
    <t>↔️ Width of bag</t>
  </si>
  <si>
    <t>📐 Base Gusset / 2</t>
  </si>
  <si>
    <t>🚩 Flap</t>
  </si>
  <si>
    <t>🔢 Amount</t>
  </si>
  <si>
    <t>🎨 Number of Colours</t>
  </si>
  <si>
    <t>🔒 Zipper</t>
  </si>
  <si>
    <t>💶 Price per bag €</t>
  </si>
  <si>
    <t>Pouch Calc1 Thickness Options</t>
  </si>
  <si>
    <t>Pouch Calc2 Thickness Options</t>
  </si>
  <si>
    <t>Pouch Calc3 Thickness Options</t>
  </si>
  <si>
    <t>calculations</t>
  </si>
  <si>
    <t>Production</t>
  </si>
  <si>
    <t>Pouch Type</t>
  </si>
  <si>
    <t>Set up fall out (base)</t>
  </si>
  <si>
    <t>€/pouch</t>
  </si>
  <si>
    <t>BOM Resin Weighted QTY %</t>
  </si>
  <si>
    <t>חישוב אחוז משוקלל לכל Resin בכל Film: סכום(QTY × Thickness) חלקי סך Thickness של אותו Film.</t>
  </si>
  <si>
    <t>Weighted QTY %</t>
  </si>
  <si>
    <t>Film Total Check</t>
  </si>
  <si>
    <t xml:space="preserve">Pouches sheet: </t>
  </si>
  <si>
    <t xml:space="preserve">the goal is to finish the calculator for the pouches in the pouches sheet. </t>
  </si>
  <si>
    <t xml:space="preserve">process: </t>
  </si>
  <si>
    <t xml:space="preserve">1. go to Laminated bags - Sales and to Laminate for Bags - Sales and understand the process of calculating there. </t>
  </si>
  <si>
    <t xml:space="preserve">2. add the relevant lines to the pouches calculator in the Pouches sheet. </t>
  </si>
  <si>
    <t>3. in addition - add the total lines of the full amount of pouches in Euro and USD.</t>
  </si>
  <si>
    <t xml:space="preserve">4. When you build the pouches calculator ( adding the relevant lines) use the logic in the laminates I mentioned before but not link to those sheets. </t>
  </si>
  <si>
    <t>5. if there is a missing data or data that you dont understand- please tell.</t>
  </si>
  <si>
    <t xml:space="preserve">6. in the pouches sheet- build all calculator there, there are 3 of them. </t>
  </si>
  <si>
    <t xml:space="preserve">7. check the formulas and the data you add need to be accurate . </t>
  </si>
  <si>
    <t>8 under the calculators starting line 84 in the pouches sheet - please write all process that you did including the logic, formulas and verbal summary.</t>
  </si>
  <si>
    <t>💰 Total order price €</t>
  </si>
  <si>
    <t>💰 Total order price $</t>
  </si>
  <si>
    <t xml:space="preserve">please proceed as following: </t>
  </si>
  <si>
    <t xml:space="preserve">if the input mode in the calculator is weight: for the laminate length calculation in the calculator, need to take the width of the reel as pasted in the calculator ( for example now is 330). for the lamination you need to take as one that appear in the table - in the example in calculator one if width of the reel is 330, the one you take for the lamination, printing and sliting is 1040. same for the input mode is weight. </t>
  </si>
  <si>
    <t>648W</t>
  </si>
  <si>
    <t> NK MATT</t>
  </si>
  <si>
    <t>Laminates sheet:</t>
  </si>
  <si>
    <t xml:space="preserve">need to add additional calculation related to the designs . going like that : </t>
  </si>
  <si>
    <t xml:space="preserve">there is an option of printing with several designs, different ones. each designs can be with several colors, same as printing. for example- if there are 8 designs with 4 colors, meaning you have 32 options. </t>
  </si>
  <si>
    <t xml:space="preserve">the calculation need to go like this: </t>
  </si>
  <si>
    <t>n pouches- calculator sheet: 648W need to be added for all calculations as well and also 648 63 mic no looks like there is only 648 &amp; 648 w only with 106 thickness. Go</t>
  </si>
  <si>
    <t>so to the calculator need to add number of the designs ( dropdown list-1,2,3,4,5,6,7,8). from the calculator need to go to the table as other parameters for the calculation as well</t>
  </si>
  <si>
    <t xml:space="preserve">to take the quantity - most of the time will be input mode by imp and to split it by the number of the designs . for example: if the quantity is 1,600,000- will be 200,000 imp each design. </t>
  </si>
  <si>
    <t xml:space="preserve">this will impact the printing waste and setup cost because for each design need to be new setup run. </t>
  </si>
  <si>
    <t>width</t>
  </si>
  <si>
    <t>repeat</t>
  </si>
  <si>
    <t>setup per collor</t>
  </si>
  <si>
    <t>300 meter</t>
  </si>
  <si>
    <t>NK setup only</t>
  </si>
  <si>
    <t>8 designs</t>
  </si>
  <si>
    <t>חלק יחסי של NK</t>
  </si>
  <si>
    <t>Setup per color is always 300 Euro ( add to the Helper sheet for future changes).</t>
  </si>
  <si>
    <t xml:space="preserve">the calculation needs to be as following: </t>
  </si>
  <si>
    <t>(setup per color*number of colors*number of designs+5%)*(total number of impressions/(width of the reel/IMP width)*(IMP length/1000))</t>
  </si>
  <si>
    <t>important note : this part of the calculation :(total number of impressions/(width of the reel/IMP width)*(IMP length/1000)) needs to be only for the NK film.</t>
  </si>
  <si>
    <t xml:space="preserve">please approve that you understand the logic there before proceeding with the add , if not tell what verifications are needed. </t>
  </si>
  <si>
    <t>A option is the correct one, but the total impressions / (reel width / IMP width) * (IMP length / 1000) isnt the NK multiplier this part of the formula shows the waste calculation .</t>
  </si>
  <si>
    <t>NK multiplier needs to be calculated as part based on the יחס NK as part of the calculation film in the table.</t>
  </si>
  <si>
    <t>for example- in the laminate 428 there are 3 films- NK, tipa312MET ,TIPA312MET. so the part of NK is aprox 1/3.</t>
  </si>
  <si>
    <t xml:space="preserve">please advise that the calculation logic is understood before you proceed. </t>
  </si>
  <si>
    <t>Setup per color (€)</t>
  </si>
  <si>
    <t>No of designs</t>
  </si>
  <si>
    <t>IMP / design</t>
  </si>
  <si>
    <t>NK ratio</t>
  </si>
  <si>
    <t>↳ IMP per design</t>
  </si>
  <si>
    <t>↳ NK ratio</t>
  </si>
  <si>
    <t>%</t>
  </si>
  <si>
    <t>↳ Design setup €/kg</t>
  </si>
  <si>
    <t>↳ NK Waste length basis</t>
  </si>
  <si>
    <t>Legend</t>
  </si>
  <si>
    <t>Yellow highlight in D:K</t>
  </si>
  <si>
    <t>Green highlight in D:K</t>
  </si>
  <si>
    <t>Lam calc 1 print D</t>
  </si>
  <si>
    <t>Lam calc 1 print E</t>
  </si>
  <si>
    <t>Lam calc 1 print F</t>
  </si>
  <si>
    <t>Lam calc 1 print G</t>
  </si>
  <si>
    <t>Lam calc 1 print H</t>
  </si>
  <si>
    <t>Lam calc 1 print I</t>
  </si>
  <si>
    <t>Lam calc 1 print J</t>
  </si>
  <si>
    <t>Lam calc 1 print K</t>
  </si>
  <si>
    <t>Lam calc 1 slit D</t>
  </si>
  <si>
    <t>Lam calc 1 slit E</t>
  </si>
  <si>
    <t>Lam calc 1 slit F</t>
  </si>
  <si>
    <t>Lam calc 1 slit G</t>
  </si>
  <si>
    <t>Lam calc 1 slit H</t>
  </si>
  <si>
    <t>Lam calc 1 slit I</t>
  </si>
  <si>
    <t>Lam calc 1 slit J</t>
  </si>
  <si>
    <t>Lam calc 1 slit K</t>
  </si>
  <si>
    <t>Laminates calc 1 printing</t>
  </si>
  <si>
    <t>Laminates calc 1 slitting</t>
  </si>
  <si>
    <t xml:space="preserve">please change the dropdowns and the calculations for the laminate 618: </t>
  </si>
  <si>
    <t>51,56,61,66,78,86,106,</t>
  </si>
  <si>
    <t xml:space="preserve">nk thickness- always 23, epotal always 3. the change only for TIPA 302FG. </t>
  </si>
  <si>
    <t xml:space="preserve">do same also for 618 W- same total thickneses, the only change is for TIPA 302FG W. </t>
  </si>
  <si>
    <t xml:space="preserve">proceed with the change for rhe laminate sheet and the pouches sheet </t>
  </si>
  <si>
    <t>check all calculations and adjudt them to new dimensions. Go</t>
  </si>
  <si>
    <t>For Laminates calculation purposes</t>
  </si>
  <si>
    <t>understand the logic in the AY-BA cells.</t>
  </si>
  <si>
    <t xml:space="preserve">the calculation there is from imp to meter. </t>
  </si>
  <si>
    <t>after understanding the logic please do same logic to the calculators in this sheet.</t>
  </si>
  <si>
    <t xml:space="preserve">dont use the data from the cells AY-BA, only from calculator. </t>
  </si>
  <si>
    <t xml:space="preserve">בבקשה תוסיף חישוב נוסף: </t>
  </si>
  <si>
    <t>line 48: Header</t>
  </si>
  <si>
    <t>calculation per 1000 meter for B4P</t>
  </si>
  <si>
    <t xml:space="preserve">the calculation itself. </t>
  </si>
  <si>
    <t xml:space="preserve">need to check how many times impression length is going to be inside 1m- </t>
  </si>
  <si>
    <t>in the example above there is imp length is 140mm' so :</t>
  </si>
  <si>
    <t>.1000mm/140mm= 7.14</t>
  </si>
  <si>
    <t>after this you take this number and multiply by sell price /imp in euro and after that you mltiply it by 1000 to get for 1000m</t>
  </si>
  <si>
    <t>proceed</t>
  </si>
  <si>
    <t>Calculation per 1000 meter for B4P</t>
  </si>
  <si>
    <t>€/1000m</t>
  </si>
  <si>
    <t>📦 MOQ</t>
  </si>
  <si>
    <t>films copilot</t>
  </si>
  <si>
    <t xml:space="preserve">add additional line to the table. called TIPA 312 MET. SAME Data as it appear in the TIPA 312 MFG but to RM cost in 1 Kg </t>
  </si>
  <si>
    <t xml:space="preserve">add also from HELPER sheet the cost of MET LUX </t>
  </si>
  <si>
    <t>add it to the dropdown in the films calculator. choose that work properly calculated&gt;go</t>
  </si>
  <si>
    <t>🧮 CALCULATOR 1 - TIPA 312 MET</t>
  </si>
  <si>
    <t xml:space="preserve">Film Pricing sheet: </t>
  </si>
  <si>
    <t>under the films calculator check if the weight is under or above MOQ- if under in line 24 add comment : red bold :under MOQ</t>
  </si>
  <si>
    <t>above: fine from MOQ perspective in bold green</t>
  </si>
  <si>
    <t>do for all calculators</t>
  </si>
  <si>
    <t>also add line for MOQ BY LENGTH ( DO A CONVERSE)</t>
  </si>
  <si>
    <t>CHECK ALL FORMULAS</t>
  </si>
  <si>
    <t>GO</t>
  </si>
  <si>
    <t>🚦 MOQ Status</t>
  </si>
  <si>
    <t>📏 MOQ by Length</t>
  </si>
  <si>
    <t>🏭 Machine length (supplier tier)</t>
  </si>
  <si>
    <t>📐 IMP Height / Width</t>
  </si>
  <si>
    <t>1</t>
  </si>
  <si>
    <t>Calc4 Thickness Options</t>
  </si>
  <si>
    <t>Calc5 Thickness Options</t>
  </si>
  <si>
    <t>Calc6 Thickness Options</t>
  </si>
  <si>
    <t>Pouches sheet: in this sheet there are laminates calculators. in this shett the calculators work like this:</t>
  </si>
  <si>
    <t xml:space="preserve">part of the calculator inputs are according to the data in the pouches calculator below and part of the data is based on the calculation in the table A-Z. </t>
  </si>
  <si>
    <t xml:space="preserve">the changes that need to be done: </t>
  </si>
  <si>
    <t xml:space="preserve">1. all formulas that connected to the pouches calculator: leave as is. </t>
  </si>
  <si>
    <t xml:space="preserve">2. all the formulas that related to the table A-z COLUMNS: update in same logic as in the laminates sheet and the calculators- 1-3 there. </t>
  </si>
  <si>
    <t xml:space="preserve">note: </t>
  </si>
  <si>
    <t xml:space="preserve">a. please check that dthe data is correct. </t>
  </si>
  <si>
    <t xml:space="preserve">b. please add Calculation per 1000 meter for B4P that you see in the Laminates sheet also to the calculation of the pouches calculator. </t>
  </si>
  <si>
    <t xml:space="preserve">c. line 13 in the pouches sheet is width and height- and in laminates sheet is length and width - change to be same as in laminates sheet. </t>
  </si>
  <si>
    <t>d. why the formula in the calculator in the input quantity in the laminates calculators in laminates sheet and &amp; Pouches sheet is diferent? please check.</t>
  </si>
  <si>
    <t>e. looks like in the table &amp; calculator in the pouches sheet missing No of designs IMP / design NK ratio</t>
  </si>
  <si>
    <t>that appear in the laminates sheet. need to be added to the pouches sheet as well. Go</t>
  </si>
  <si>
    <t>📐 IMP Length / Width</t>
  </si>
  <si>
    <t>📊 POUCH GROSS PROFIT</t>
  </si>
  <si>
    <t>€/bag</t>
  </si>
  <si>
    <t xml:space="preserve">Bags sheet: </t>
  </si>
  <si>
    <t xml:space="preserve">the goal is to finish the calculator for the bags in the Bags sheet. </t>
  </si>
  <si>
    <t xml:space="preserve">1. go to Bgs Calculator sheet -and understand the process of calculating there. </t>
  </si>
  <si>
    <t xml:space="preserve">2- copy the sheet Film Pricing to Bags Calculator. </t>
  </si>
  <si>
    <t>3. under the films calcluators- add the bags calculator- in similar view you did in the pouches sheet - pouches calculator, change the collors</t>
  </si>
  <si>
    <t>4. in addition - add the total lines of the full amount of pouches in Euro and USD.</t>
  </si>
  <si>
    <t xml:space="preserve">6. check the formulas and the data you add need to be accurate . </t>
  </si>
  <si>
    <t>Price / Bag (€)</t>
  </si>
  <si>
    <t>Price / Bag ($)</t>
  </si>
  <si>
    <t>$/bag</t>
  </si>
  <si>
    <t>EUR</t>
  </si>
  <si>
    <t xml:space="preserve">Bags Calculator- need to be dropdown list with all the names of the bags ( add to the helper and take fronm there). </t>
  </si>
  <si>
    <t xml:space="preserve">line 30- need to be dropdown with ALL NAMES OF THE FILMS. </t>
  </si>
  <si>
    <t>The data that chosen there need to go to line 4 accordingly to each calculator.</t>
  </si>
  <si>
    <t xml:space="preserve">same -thickness and collors need to go from dropdown list from bag calculator to film calculator above. cover- need to be dropdown: marma/bastin and to go also to the calculator above- there will be calculating using the data from the sheets Lmntn &amp; Prntng- Marma &amp; Bastin &amp; Converting- Marma &amp; Bastin : based on the length, qty and width. </t>
  </si>
  <si>
    <t>in general the process similar to the calculators of pouches and cooperation with laminate calculators in the Pouches sheet</t>
  </si>
  <si>
    <t>Bag Names</t>
  </si>
  <si>
    <t>Film Names</t>
  </si>
  <si>
    <t>Color Bands</t>
  </si>
  <si>
    <t>Converters</t>
  </si>
  <si>
    <t>Colors</t>
  </si>
  <si>
    <t>600 × 250</t>
  </si>
  <si>
    <t>0 / 35</t>
  </si>
  <si>
    <t>380 × 250</t>
  </si>
  <si>
    <t>50 / 0</t>
  </si>
  <si>
    <t>Open Pouch</t>
  </si>
  <si>
    <t>💵 Price per bag $</t>
  </si>
  <si>
    <t>Flap (mm)</t>
  </si>
  <si>
    <t>Web Width (mm)</t>
  </si>
  <si>
    <t>Units</t>
  </si>
  <si>
    <t xml:space="preserve">please go to the sheets Laminated bags - Sales &amp; Laminate for Bags - Sales- and understand the logic there, please advise the logic in calculation in Pouches sheet based only on logic- dont take numbers from Laminated bags - Sales &amp; Laminate for Bags - Sales sheet: we need to find out the setup cost in the Pouches. in addition there need to be convering costs based on the Converting- Marma &amp; Bastin costs. </t>
  </si>
  <si>
    <t>Setup fallout cost</t>
  </si>
  <si>
    <t>3-10K</t>
  </si>
  <si>
    <t>10-25K</t>
  </si>
  <si>
    <t>25K-50</t>
  </si>
  <si>
    <t>500K+</t>
  </si>
  <si>
    <t>MARMA</t>
  </si>
  <si>
    <r>
      <t>linear meters</t>
    </r>
    <r>
      <rPr>
        <b/>
        <sz val="11"/>
        <color theme="1"/>
        <rFont val="Aptos Narrow"/>
        <family val="2"/>
        <scheme val="minor"/>
      </rPr>
      <t xml:space="preserve"> (760 width)</t>
    </r>
    <r>
      <rPr>
        <sz val="11"/>
        <color theme="1"/>
        <rFont val="Aptos Narrow"/>
        <family val="2"/>
        <scheme val="minor"/>
      </rPr>
      <t>- EUR/1000m</t>
    </r>
  </si>
  <si>
    <t>Lamination First pass</t>
  </si>
  <si>
    <t>Lamination First pass (90 m/m)</t>
  </si>
  <si>
    <t>Lamination Second pass</t>
  </si>
  <si>
    <r>
      <t>linear meters</t>
    </r>
    <r>
      <rPr>
        <b/>
        <sz val="11"/>
        <color theme="1"/>
        <rFont val="Aptos Narrow"/>
        <family val="2"/>
        <scheme val="minor"/>
      </rPr>
      <t xml:space="preserve"> (1220 width)</t>
    </r>
    <r>
      <rPr>
        <sz val="11"/>
        <color theme="1"/>
        <rFont val="Aptos Narrow"/>
        <family val="2"/>
        <scheme val="minor"/>
      </rPr>
      <t>- EUR/1000m</t>
    </r>
  </si>
  <si>
    <t>📦 Bag MOQ</t>
  </si>
  <si>
    <t xml:space="preserve">we need to produce a change, listen carefully. </t>
  </si>
  <si>
    <t>regarding width of the reel- in the meaning of laminating, printing &amp; slitting:</t>
  </si>
  <si>
    <t xml:space="preserve">there can be 2 options: </t>
  </si>
  <si>
    <t>1. 950 mm</t>
  </si>
  <si>
    <t>2.1850 mm</t>
  </si>
  <si>
    <t>the default is 950 ( including 50 that you add in the table= column j), meaning if you have כפולות of the width of the reel given in the calculator that under 900, you use as default need to be at least 2 כפולות.</t>
  </si>
  <si>
    <t xml:space="preserve">for example- 250*3 =750 - under 900, so 760 in the Lmntn &amp; Prntng- Marma &amp; Bastin sheet. </t>
  </si>
  <si>
    <t>350*2=700- also under 900, so 760 in the Lmntn &amp; Prntng- Marma &amp; Bastin sheet .</t>
  </si>
  <si>
    <t>450*2=900 ( and you add 50 =950), so here is above 900 and you need to take from Lmntn &amp; Prntng- Marma &amp; Bastin from 1220 section. logic understood?</t>
  </si>
  <si>
    <t>all this built in order to find the right lines in the Lmntn &amp; Prntng- Marma &amp; Bastin sheet.</t>
  </si>
  <si>
    <t>818W</t>
  </si>
  <si>
    <t>lam648</t>
  </si>
  <si>
    <t>nk</t>
  </si>
  <si>
    <t>pla</t>
  </si>
  <si>
    <t>pblt</t>
  </si>
  <si>
    <t>total qty</t>
  </si>
  <si>
    <t>material</t>
  </si>
  <si>
    <t>was</t>
  </si>
  <si>
    <t>production cost</t>
  </si>
  <si>
    <t>BOM Laminates Weighted QTY %</t>
  </si>
  <si>
    <t>Film / Ingredient</t>
  </si>
  <si>
    <t>Resin / Raw Material</t>
  </si>
  <si>
    <t>Laminate Total Check</t>
  </si>
  <si>
    <t>Direct raw material</t>
  </si>
  <si>
    <t>NK MATT</t>
  </si>
  <si>
    <t>BOM Pouches Weighted QTY %</t>
  </si>
  <si>
    <t>Source Row</t>
  </si>
  <si>
    <t>All laminate structures from HELPER, exploded from film/layer to final resin or direct raw material. Each laminate + thickness variant checks to 100%.</t>
  </si>
  <si>
    <t>Pouch type → laminate → film/layer → final resin or direct raw material. Confirmed mappings: Wicketed bag → 648; Open Pouch → 618 (86 µ).</t>
  </si>
  <si>
    <t>Pouch Structure Check</t>
  </si>
  <si>
    <t>Unallocated layer (HELPER gap)</t>
  </si>
  <si>
    <t>Sum of Weighted QTY %</t>
  </si>
  <si>
    <t>MSI Price (1,000 in²)</t>
  </si>
  <si>
    <t>Width_mm</t>
  </si>
  <si>
    <t>Total_meters</t>
  </si>
  <si>
    <t>Variable_cost_per_m</t>
  </si>
  <si>
    <t>Fixed_cost_total</t>
  </si>
  <si>
    <t>Fixed_cost_per_m</t>
  </si>
  <si>
    <t>Total_cost_per_m</t>
  </si>
  <si>
    <t>Total_job_cost</t>
  </si>
  <si>
    <t>2-3</t>
  </si>
  <si>
    <t>4-5</t>
  </si>
  <si>
    <t>6-8</t>
  </si>
  <si>
    <t>pouch_type</t>
  </si>
  <si>
    <t>width_mm</t>
  </si>
  <si>
    <t>quantity</t>
  </si>
  <si>
    <t>machine_cost_total_USD</t>
  </si>
  <si>
    <t>machine_cost_per_pouch_USD</t>
  </si>
  <si>
    <t>setup_fee_USD</t>
  </si>
  <si>
    <t>machine_hours_needed</t>
  </si>
  <si>
    <t>effective_pph</t>
  </si>
  <si>
    <t>Stand-up pouch</t>
  </si>
  <si>
    <t>height_mm</t>
  </si>
  <si>
    <t>repeat_m_per_pouch</t>
  </si>
  <si>
    <t>nominal_pph_at_100mm</t>
  </si>
  <si>
    <t>machine_hour_rate_USD</t>
  </si>
  <si>
    <t>machine_cost_hours_USD</t>
  </si>
  <si>
    <t>setup_fee_per_pouch_USD</t>
  </si>
  <si>
    <t>QUANTUM CONVERTING — COMPACT VIEW</t>
  </si>
  <si>
    <t>Machine cost per pouch (USD), summarized across all 108 detailed scenarios.</t>
  </si>
  <si>
    <t>DIGITAL PRINTING COST — COMPACT VIEW</t>
  </si>
  <si>
    <t>Total cost per meter by reel width, order quantity and color range</t>
  </si>
  <si>
    <t>1,200 MM REEL</t>
  </si>
  <si>
    <t>760 MM REEL</t>
  </si>
  <si>
    <t>450 MM REEL</t>
  </si>
  <si>
    <t>DETAILED CALCULATION DATA</t>
  </si>
  <si>
    <t>mediane check</t>
  </si>
  <si>
    <t>Bio4Pack price for 1,000 pouches (€)</t>
  </si>
  <si>
    <t>€/1,000 pouches</t>
  </si>
  <si>
    <t xml:space="preserve">laminates sheet: we need to add additional supplier- like we have in Marma &amp; Bastin, called Quantum. the data related to printing Digital_per_meter- Quantum and to converting : appears in the Converting- Quantum. </t>
  </si>
  <si>
    <t xml:space="preserve">important note: if chose Quantum from dropdown list in the calculator, lamination and slitting will be always done by Bastin, while printing and convering will be done by Quantum. </t>
  </si>
  <si>
    <t>1. add to the dropdown in the calculators in the laminates and pouches sheet Quantum as an option and make all the calculations connected to relevant sheet.</t>
  </si>
  <si>
    <t xml:space="preserve">2. check that all calculation are valid. </t>
  </si>
  <si>
    <t>3. create conditional formating in the Digital_per_meter- Quantum &amp; Converting- Quantum sheets for the chosen values.</t>
  </si>
  <si>
    <t>Width key</t>
  </si>
  <si>
    <t>Meters key</t>
  </si>
  <si>
    <t>Color band</t>
  </si>
  <si>
    <t>Calculator</t>
  </si>
  <si>
    <t>Laminates 1</t>
  </si>
  <si>
    <t>Laminates 2</t>
  </si>
  <si>
    <t>Laminates 3</t>
  </si>
  <si>
    <t>Laminates 4</t>
  </si>
  <si>
    <t>Laminates 5</t>
  </si>
  <si>
    <t>Laminates 6</t>
  </si>
  <si>
    <t>Pouches 1</t>
  </si>
  <si>
    <t>Pouches 2</t>
  </si>
  <si>
    <t>Pouches 3</t>
  </si>
  <si>
    <t>Pouch type</t>
  </si>
  <si>
    <t>Quantity key</t>
  </si>
  <si>
    <t>Quantum</t>
  </si>
  <si>
    <t xml:space="preserve">please create in a sheet named Laminates- copilot for each laminate 10 different calculators </t>
  </si>
  <si>
    <t>המחשבונים צריכים להציג את נתוני קצה בבחירה של נתונים שונים.</t>
  </si>
  <si>
    <t xml:space="preserve">למש- רוחב מאד נמוך, רוחב אמצעי, רוחב מאד גבוה, מספר IMP מאד קטן, מאד גבוה, אמצעי וכך הלאה- כנל עבור מבעים, DESIGNS ועוד. </t>
  </si>
  <si>
    <t>כנל תעשה בגליון Pouches- copilot sheet</t>
  </si>
  <si>
    <t xml:space="preserve">עבור פאוצים. </t>
  </si>
  <si>
    <t xml:space="preserve">בסוף אני רוצה לקחת את הגליון הזה והריץ אותו ב-COPILOT על מנת ליצור כלי אינטרנטי שייכסה כמה שיותר מקטעים מספריים לחישוב. </t>
  </si>
  <si>
    <t>אם יש לך עוד תוספות שכדאי להוסיף, תוסיף גם.</t>
  </si>
  <si>
    <t>חשוב לבצע בדיקה עבור כל החישובים בכל המחשבונים</t>
  </si>
  <si>
    <t>הלוגיקה צריכה להיות זהה למחשבונים הקיימים ב גליונות</t>
  </si>
  <si>
    <t>Laminates</t>
  </si>
  <si>
    <t>Pouches</t>
  </si>
  <si>
    <t>הכוונה שלכל למינט- יהיו 10 מחשבונים- למינט 819- 10 מחשבונים</t>
  </si>
  <si>
    <t>למינט 418- 10 מחשבונים</t>
  </si>
  <si>
    <t>למינט 648- 10 מחשבונים וכך הלאה.</t>
  </si>
  <si>
    <t xml:space="preserve">תבדוק גם את המחשבונים שכבר שמת בגליון </t>
  </si>
  <si>
    <t>Laminates- copilot</t>
  </si>
  <si>
    <t>לא חובה שיהיו בתצורה הנוכחית אם זה מאד כבד ומעמיס על האקסל, אפשר בצורת טבלאות - בסוף זה רק בסיס לחישוב.</t>
  </si>
  <si>
    <t xml:space="preserve">אטם כי עדיף במידה ואפשר כמו המחשבונים בגליון </t>
  </si>
  <si>
    <t>LAMINATES — COPILOT EDGE-CASE CALCULATION LIBRARY</t>
  </si>
  <si>
    <t>Regression and web-tool input/output library covering numeric extremes, print options, designs, suppliers, shipment routes, and valid thickness ranges.</t>
  </si>
  <si>
    <t>Scenario ID</t>
  </si>
  <si>
    <t>Edge Case</t>
  </si>
  <si>
    <t>Width Asked (mm)</t>
  </si>
  <si>
    <t>Input Quantity</t>
  </si>
  <si>
    <t>Weight Input (Kg)</t>
  </si>
  <si>
    <t>IMP Height (mm)</t>
  </si>
  <si>
    <t>IMP Width (mm)</t>
  </si>
  <si>
    <t>PR / NonPR</t>
  </si>
  <si>
    <t>Designs</t>
  </si>
  <si>
    <t>Shipment</t>
  </si>
  <si>
    <t>Total Cost ($)</t>
  </si>
  <si>
    <t>Cost/KG (€)</t>
  </si>
  <si>
    <t>Cost/KG ($)</t>
  </si>
  <si>
    <t>Sell Price / m (€)</t>
  </si>
  <si>
    <t>Sell Price / KG (€)</t>
  </si>
  <si>
    <t>Sell Price / IMP (€)</t>
  </si>
  <si>
    <t>Sell Price / m ($)</t>
  </si>
  <si>
    <t>Sell Price / KG ($)</t>
  </si>
  <si>
    <t>Sell Price / IMP ($)</t>
  </si>
  <si>
    <t>Total Sell (€)</t>
  </si>
  <si>
    <t>Total Sell ($)</t>
  </si>
  <si>
    <t>Raw Material €/kg</t>
  </si>
  <si>
    <t>Shipment €/kg</t>
  </si>
  <si>
    <t>Lamination €/kg</t>
  </si>
  <si>
    <t>Lam+Slit+Print €/kg</t>
  </si>
  <si>
    <t>Design Setup €/kg</t>
  </si>
  <si>
    <t>MSI Price (€)</t>
  </si>
  <si>
    <t>B4P €/1000m</t>
  </si>
  <si>
    <t>Model Check</t>
  </si>
  <si>
    <t>Error Detail</t>
  </si>
  <si>
    <t>120-01</t>
  </si>
  <si>
    <t>Min width / low weight</t>
  </si>
  <si>
    <t>120-02</t>
  </si>
  <si>
    <t>Min width / low IMP</t>
  </si>
  <si>
    <t>120-03</t>
  </si>
  <si>
    <t>Mid width / mid weight</t>
  </si>
  <si>
    <t>120-04</t>
  </si>
  <si>
    <t>Max width / high weight</t>
  </si>
  <si>
    <t>120-05</t>
  </si>
  <si>
    <t>Mid width / low length</t>
  </si>
  <si>
    <t>120-06</t>
  </si>
  <si>
    <t>Wide / high length</t>
  </si>
  <si>
    <t>120-07</t>
  </si>
  <si>
    <t>Max width / very high IMP</t>
  </si>
  <si>
    <t>120-08</t>
  </si>
  <si>
    <t>Low width / MOQ weight</t>
  </si>
  <si>
    <t>120-09</t>
  </si>
  <si>
    <t>Wide / mid IMP</t>
  </si>
  <si>
    <t>120-10</t>
  </si>
  <si>
    <t>Threshold width / MOQ</t>
  </si>
  <si>
    <t>418-01</t>
  </si>
  <si>
    <t>418-02</t>
  </si>
  <si>
    <t>418-03</t>
  </si>
  <si>
    <t>418-04</t>
  </si>
  <si>
    <t>418-05</t>
  </si>
  <si>
    <t>418-06</t>
  </si>
  <si>
    <t>418-07</t>
  </si>
  <si>
    <t>418-08</t>
  </si>
  <si>
    <t>418-09</t>
  </si>
  <si>
    <t>418-10</t>
  </si>
  <si>
    <t>428-01</t>
  </si>
  <si>
    <t>428-02</t>
  </si>
  <si>
    <t>428-03</t>
  </si>
  <si>
    <t>428-04</t>
  </si>
  <si>
    <t>428-05</t>
  </si>
  <si>
    <t>428-06</t>
  </si>
  <si>
    <t>428-07</t>
  </si>
  <si>
    <t>428-08</t>
  </si>
  <si>
    <t>428-09</t>
  </si>
  <si>
    <t>428-10</t>
  </si>
  <si>
    <t>608-01</t>
  </si>
  <si>
    <t>608-02</t>
  </si>
  <si>
    <t>608-03</t>
  </si>
  <si>
    <t>608-04</t>
  </si>
  <si>
    <t>608-05</t>
  </si>
  <si>
    <t>608-06</t>
  </si>
  <si>
    <t>608-07</t>
  </si>
  <si>
    <t>608-08</t>
  </si>
  <si>
    <t>608-09</t>
  </si>
  <si>
    <t>608-10</t>
  </si>
  <si>
    <t>608 W-01</t>
  </si>
  <si>
    <t>608 W-02</t>
  </si>
  <si>
    <t>608 W-03</t>
  </si>
  <si>
    <t>608 W-04</t>
  </si>
  <si>
    <t>608 W-05</t>
  </si>
  <si>
    <t>608 W-06</t>
  </si>
  <si>
    <t>608 W-07</t>
  </si>
  <si>
    <t>608 W-08</t>
  </si>
  <si>
    <t>608 W-09</t>
  </si>
  <si>
    <t>608 W-10</t>
  </si>
  <si>
    <t>618-01</t>
  </si>
  <si>
    <t>618-02</t>
  </si>
  <si>
    <t>618-03</t>
  </si>
  <si>
    <t>618-04</t>
  </si>
  <si>
    <t>618-05</t>
  </si>
  <si>
    <t>618-06</t>
  </si>
  <si>
    <t>618-07</t>
  </si>
  <si>
    <t>618-08</t>
  </si>
  <si>
    <t>618-09</t>
  </si>
  <si>
    <t>618-10</t>
  </si>
  <si>
    <t>618 W-01</t>
  </si>
  <si>
    <t>618 W-02</t>
  </si>
  <si>
    <t>618 W-03</t>
  </si>
  <si>
    <t>618 W-04</t>
  </si>
  <si>
    <t>618 W-05</t>
  </si>
  <si>
    <t>618 W-06</t>
  </si>
  <si>
    <t>618 W-07</t>
  </si>
  <si>
    <t>618 W-08</t>
  </si>
  <si>
    <t>618 W-09</t>
  </si>
  <si>
    <t>618 W-10</t>
  </si>
  <si>
    <t>648-01</t>
  </si>
  <si>
    <t>648-02</t>
  </si>
  <si>
    <t>648-03</t>
  </si>
  <si>
    <t>648-04</t>
  </si>
  <si>
    <t>648-05</t>
  </si>
  <si>
    <t>648-06</t>
  </si>
  <si>
    <t>648-07</t>
  </si>
  <si>
    <t>648-08</t>
  </si>
  <si>
    <t>648-09</t>
  </si>
  <si>
    <t>648-10</t>
  </si>
  <si>
    <t>648W-01</t>
  </si>
  <si>
    <t>648W-02</t>
  </si>
  <si>
    <t>648W-03</t>
  </si>
  <si>
    <t>648W-04</t>
  </si>
  <si>
    <t>648W-05</t>
  </si>
  <si>
    <t>648W-06</t>
  </si>
  <si>
    <t>648W-07</t>
  </si>
  <si>
    <t>648W-08</t>
  </si>
  <si>
    <t>648W-09</t>
  </si>
  <si>
    <t>648W-10</t>
  </si>
  <si>
    <t>748-01</t>
  </si>
  <si>
    <t>748-02</t>
  </si>
  <si>
    <t>748-03</t>
  </si>
  <si>
    <t>748-04</t>
  </si>
  <si>
    <t>748-05</t>
  </si>
  <si>
    <t>748-06</t>
  </si>
  <si>
    <t>748-07</t>
  </si>
  <si>
    <t>748-08</t>
  </si>
  <si>
    <t>748-09</t>
  </si>
  <si>
    <t>748-10</t>
  </si>
  <si>
    <t>818W-01</t>
  </si>
  <si>
    <t>818W-02</t>
  </si>
  <si>
    <t>818W-03</t>
  </si>
  <si>
    <t>818W-04</t>
  </si>
  <si>
    <t>818W-05</t>
  </si>
  <si>
    <t>818W-06</t>
  </si>
  <si>
    <t>818W-07</t>
  </si>
  <si>
    <t>818W-08</t>
  </si>
  <si>
    <t>818W-09</t>
  </si>
  <si>
    <t>818W-10</t>
  </si>
  <si>
    <t>819-01</t>
  </si>
  <si>
    <t>819-02</t>
  </si>
  <si>
    <t>819-03</t>
  </si>
  <si>
    <t>819-04</t>
  </si>
  <si>
    <t>819-05</t>
  </si>
  <si>
    <t>819-06</t>
  </si>
  <si>
    <t>819-07</t>
  </si>
  <si>
    <t>819-08</t>
  </si>
  <si>
    <t>819-09</t>
  </si>
  <si>
    <t>819-10</t>
  </si>
  <si>
    <t>821M-01</t>
  </si>
  <si>
    <t>821M-02</t>
  </si>
  <si>
    <t>821M-03</t>
  </si>
  <si>
    <t>821M-04</t>
  </si>
  <si>
    <t>821M-05</t>
  </si>
  <si>
    <t>821M-06</t>
  </si>
  <si>
    <t>821M-07</t>
  </si>
  <si>
    <t>821M-08</t>
  </si>
  <si>
    <t>821M-09</t>
  </si>
  <si>
    <t>821M-10</t>
  </si>
  <si>
    <t>823-01</t>
  </si>
  <si>
    <t>823-02</t>
  </si>
  <si>
    <t>823-03</t>
  </si>
  <si>
    <t>823-04</t>
  </si>
  <si>
    <t>823-05</t>
  </si>
  <si>
    <t>823-06</t>
  </si>
  <si>
    <t>823-07</t>
  </si>
  <si>
    <t>823-08</t>
  </si>
  <si>
    <t>823-09</t>
  </si>
  <si>
    <t>823-10</t>
  </si>
  <si>
    <t>918-01</t>
  </si>
  <si>
    <t>918-02</t>
  </si>
  <si>
    <t>918-03</t>
  </si>
  <si>
    <t>918-04</t>
  </si>
  <si>
    <t>918-05</t>
  </si>
  <si>
    <t>918-06</t>
  </si>
  <si>
    <t>918-07</t>
  </si>
  <si>
    <t>918-08</t>
  </si>
  <si>
    <t>918-09</t>
  </si>
  <si>
    <t>918-10</t>
  </si>
  <si>
    <t>919-01</t>
  </si>
  <si>
    <t>919-02</t>
  </si>
  <si>
    <t>919-03</t>
  </si>
  <si>
    <t>919-04</t>
  </si>
  <si>
    <t>919-05</t>
  </si>
  <si>
    <t>919-06</t>
  </si>
  <si>
    <t>919-07</t>
  </si>
  <si>
    <t>919-08</t>
  </si>
  <si>
    <t>919-09</t>
  </si>
  <si>
    <t>919-10</t>
  </si>
  <si>
    <t>923-01</t>
  </si>
  <si>
    <t>923-02</t>
  </si>
  <si>
    <t>923-03</t>
  </si>
  <si>
    <t>923-04</t>
  </si>
  <si>
    <t>923-05</t>
  </si>
  <si>
    <t>923-06</t>
  </si>
  <si>
    <t>923-07</t>
  </si>
  <si>
    <t>923-08</t>
  </si>
  <si>
    <t>923-09</t>
  </si>
  <si>
    <t>923-10</t>
  </si>
  <si>
    <t>928-01</t>
  </si>
  <si>
    <t>928-02</t>
  </si>
  <si>
    <t>928-03</t>
  </si>
  <si>
    <t>928-04</t>
  </si>
  <si>
    <t>928-05</t>
  </si>
  <si>
    <t>928-06</t>
  </si>
  <si>
    <t>928-07</t>
  </si>
  <si>
    <t>928-08</t>
  </si>
  <si>
    <t>928-09</t>
  </si>
  <si>
    <t>928-10</t>
  </si>
  <si>
    <t>Bag Height (mm)</t>
  </si>
  <si>
    <t>Bag Width (mm)</t>
  </si>
  <si>
    <t>Base Gusset / 2 (mm)</t>
  </si>
  <si>
    <t>Amount (bags)</t>
  </si>
  <si>
    <t>Calculated Laminate Length (m)</t>
  </si>
  <si>
    <t>Laminate Total Cost (€)</t>
  </si>
  <si>
    <t>Laminate Total Cost ($)</t>
  </si>
  <si>
    <t>Laminate Cost/KG (€)</t>
  </si>
  <si>
    <t>Laminate Cost/KG ($)</t>
  </si>
  <si>
    <t>Bag MOQ</t>
  </si>
  <si>
    <t>MOQ Status</t>
  </si>
  <si>
    <t>Total Order (€)</t>
  </si>
  <si>
    <t>Total Order ($)</t>
  </si>
  <si>
    <t>Production €/pouch</t>
  </si>
  <si>
    <t>Setup Fallout €/pouch</t>
  </si>
  <si>
    <t>Laminate €/m</t>
  </si>
  <si>
    <t>Zipper €/pouch</t>
  </si>
  <si>
    <t>Total Cost €/pouch</t>
  </si>
  <si>
    <t>B4P €/1,000</t>
  </si>
  <si>
    <t>High volume</t>
  </si>
  <si>
    <t>Maximum stress</t>
  </si>
  <si>
    <t>POUCHES — FULL LAMINATE × POUCH COVERAGE LIBRARY</t>
  </si>
  <si>
    <t>18 laminates × 10 edge scenarios × 3 supported pouch types = 540 linked calculation tests.</t>
  </si>
  <si>
    <t>Each pouch type is tested against every scenario in tblLaminateEdgeCases, with live pouch MOQ, converting, setup, zipper, total-cost and selling-price formulas.</t>
  </si>
  <si>
    <t>Laminate Length Needed (m)</t>
  </si>
  <si>
    <t>Laminate Cost / m (€)</t>
  </si>
  <si>
    <t>Laminate Cost / KG (€)</t>
  </si>
  <si>
    <t>SUP-with-zipper-120-01</t>
  </si>
  <si>
    <t>Zipper-pouch-120-01</t>
  </si>
  <si>
    <t>Open-pouch-120-01</t>
  </si>
  <si>
    <t>SUP-with-zipper-120-02</t>
  </si>
  <si>
    <t>Zipper-pouch-120-02</t>
  </si>
  <si>
    <t>Open-pouch-120-02</t>
  </si>
  <si>
    <t>SUP-with-zipper-120-03</t>
  </si>
  <si>
    <t>Zipper-pouch-120-03</t>
  </si>
  <si>
    <t>Open-pouch-120-03</t>
  </si>
  <si>
    <t>SUP-with-zipper-120-04</t>
  </si>
  <si>
    <t>Zipper-pouch-120-04</t>
  </si>
  <si>
    <t>Open-pouch-120-04</t>
  </si>
  <si>
    <t>SUP-with-zipper-120-05</t>
  </si>
  <si>
    <t>Zipper-pouch-120-05</t>
  </si>
  <si>
    <t>Open-pouch-120-05</t>
  </si>
  <si>
    <t>SUP-with-zipper-120-06</t>
  </si>
  <si>
    <t>Zipper-pouch-120-06</t>
  </si>
  <si>
    <t>Open-pouch-120-06</t>
  </si>
  <si>
    <t>SUP-with-zipper-120-07</t>
  </si>
  <si>
    <t>Zipper-pouch-120-07</t>
  </si>
  <si>
    <t>Open-pouch-120-07</t>
  </si>
  <si>
    <t>SUP-with-zipper-120-08</t>
  </si>
  <si>
    <t>Zipper-pouch-120-08</t>
  </si>
  <si>
    <t>Open-pouch-120-08</t>
  </si>
  <si>
    <t>SUP-with-zipper-120-09</t>
  </si>
  <si>
    <t>Zipper-pouch-120-09</t>
  </si>
  <si>
    <t>Open-pouch-120-09</t>
  </si>
  <si>
    <t>SUP-with-zipper-120-10</t>
  </si>
  <si>
    <t>Zipper-pouch-120-10</t>
  </si>
  <si>
    <t>Open-pouch-120-10</t>
  </si>
  <si>
    <t>SUP-with-zipper-418-01</t>
  </si>
  <si>
    <t>Zipper-pouch-418-01</t>
  </si>
  <si>
    <t>Open-pouch-418-01</t>
  </si>
  <si>
    <t>SUP-with-zipper-418-02</t>
  </si>
  <si>
    <t>Zipper-pouch-418-02</t>
  </si>
  <si>
    <t>Open-pouch-418-02</t>
  </si>
  <si>
    <t>SUP-with-zipper-418-03</t>
  </si>
  <si>
    <t>Zipper-pouch-418-03</t>
  </si>
  <si>
    <t>Open-pouch-418-03</t>
  </si>
  <si>
    <t>SUP-with-zipper-418-04</t>
  </si>
  <si>
    <t>Zipper-pouch-418-04</t>
  </si>
  <si>
    <t>Open-pouch-418-04</t>
  </si>
  <si>
    <t>SUP-with-zipper-418-05</t>
  </si>
  <si>
    <t>Zipper-pouch-418-05</t>
  </si>
  <si>
    <t>Open-pouch-418-05</t>
  </si>
  <si>
    <t>SUP-with-zipper-418-06</t>
  </si>
  <si>
    <t>Zipper-pouch-418-06</t>
  </si>
  <si>
    <t>Open-pouch-418-06</t>
  </si>
  <si>
    <t>SUP-with-zipper-418-07</t>
  </si>
  <si>
    <t>Zipper-pouch-418-07</t>
  </si>
  <si>
    <t>Open-pouch-418-07</t>
  </si>
  <si>
    <t>SUP-with-zipper-418-08</t>
  </si>
  <si>
    <t>Zipper-pouch-418-08</t>
  </si>
  <si>
    <t>Open-pouch-418-08</t>
  </si>
  <si>
    <t>SUP-with-zipper-418-09</t>
  </si>
  <si>
    <t>Zipper-pouch-418-09</t>
  </si>
  <si>
    <t>Open-pouch-418-09</t>
  </si>
  <si>
    <t>SUP-with-zipper-418-10</t>
  </si>
  <si>
    <t>Zipper-pouch-418-10</t>
  </si>
  <si>
    <t>Open-pouch-418-10</t>
  </si>
  <si>
    <t>SUP-with-zipper-428-01</t>
  </si>
  <si>
    <t>Zipper-pouch-428-01</t>
  </si>
  <si>
    <t>Open-pouch-428-01</t>
  </si>
  <si>
    <t>SUP-with-zipper-428-02</t>
  </si>
  <si>
    <t>Zipper-pouch-428-02</t>
  </si>
  <si>
    <t>Open-pouch-428-02</t>
  </si>
  <si>
    <t>SUP-with-zipper-428-03</t>
  </si>
  <si>
    <t>Zipper-pouch-428-03</t>
  </si>
  <si>
    <t>Open-pouch-428-03</t>
  </si>
  <si>
    <t>SUP-with-zipper-428-04</t>
  </si>
  <si>
    <t>Zipper-pouch-428-04</t>
  </si>
  <si>
    <t>Open-pouch-428-04</t>
  </si>
  <si>
    <t>SUP-with-zipper-428-05</t>
  </si>
  <si>
    <t>Zipper-pouch-428-05</t>
  </si>
  <si>
    <t>Open-pouch-428-05</t>
  </si>
  <si>
    <t>SUP-with-zipper-428-06</t>
  </si>
  <si>
    <t>Zipper-pouch-428-06</t>
  </si>
  <si>
    <t>Open-pouch-428-06</t>
  </si>
  <si>
    <t>SUP-with-zipper-428-07</t>
  </si>
  <si>
    <t>Zipper-pouch-428-07</t>
  </si>
  <si>
    <t>Open-pouch-428-07</t>
  </si>
  <si>
    <t>SUP-with-zipper-428-08</t>
  </si>
  <si>
    <t>Zipper-pouch-428-08</t>
  </si>
  <si>
    <t>Open-pouch-428-08</t>
  </si>
  <si>
    <t>SUP-with-zipper-428-09</t>
  </si>
  <si>
    <t>Zipper-pouch-428-09</t>
  </si>
  <si>
    <t>Open-pouch-428-09</t>
  </si>
  <si>
    <t>SUP-with-zipper-428-10</t>
  </si>
  <si>
    <t>Zipper-pouch-428-10</t>
  </si>
  <si>
    <t>Open-pouch-428-10</t>
  </si>
  <si>
    <t>SUP-with-zipper-608-01</t>
  </si>
  <si>
    <t>Zipper-pouch-608-01</t>
  </si>
  <si>
    <t>Open-pouch-608-01</t>
  </si>
  <si>
    <t>SUP-with-zipper-608-02</t>
  </si>
  <si>
    <t>Zipper-pouch-608-02</t>
  </si>
  <si>
    <t>Open-pouch-608-02</t>
  </si>
  <si>
    <t>SUP-with-zipper-608-03</t>
  </si>
  <si>
    <t>Zipper-pouch-608-03</t>
  </si>
  <si>
    <t>Open-pouch-608-03</t>
  </si>
  <si>
    <t>SUP-with-zipper-608-04</t>
  </si>
  <si>
    <t>Zipper-pouch-608-04</t>
  </si>
  <si>
    <t>Open-pouch-608-04</t>
  </si>
  <si>
    <t>SUP-with-zipper-608-05</t>
  </si>
  <si>
    <t>Zipper-pouch-608-05</t>
  </si>
  <si>
    <t>Open-pouch-608-05</t>
  </si>
  <si>
    <t>SUP-with-zipper-608-06</t>
  </si>
  <si>
    <t>Zipper-pouch-608-06</t>
  </si>
  <si>
    <t>Open-pouch-608-06</t>
  </si>
  <si>
    <t>SUP-with-zipper-608-07</t>
  </si>
  <si>
    <t>Zipper-pouch-608-07</t>
  </si>
  <si>
    <t>Open-pouch-608-07</t>
  </si>
  <si>
    <t>SUP-with-zipper-608-08</t>
  </si>
  <si>
    <t>Zipper-pouch-608-08</t>
  </si>
  <si>
    <t>Open-pouch-608-08</t>
  </si>
  <si>
    <t>SUP-with-zipper-608-09</t>
  </si>
  <si>
    <t>Zipper-pouch-608-09</t>
  </si>
  <si>
    <t>Open-pouch-608-09</t>
  </si>
  <si>
    <t>SUP-with-zipper-608-10</t>
  </si>
  <si>
    <t>Zipper-pouch-608-10</t>
  </si>
  <si>
    <t>Open-pouch-608-10</t>
  </si>
  <si>
    <t>SUP-with-zipper-608 W-01</t>
  </si>
  <si>
    <t>Zipper-pouch-608 W-01</t>
  </si>
  <si>
    <t>Open-pouch-608 W-01</t>
  </si>
  <si>
    <t>SUP-with-zipper-608 W-02</t>
  </si>
  <si>
    <t>Zipper-pouch-608 W-02</t>
  </si>
  <si>
    <t>Open-pouch-608 W-02</t>
  </si>
  <si>
    <t>SUP-with-zipper-608 W-03</t>
  </si>
  <si>
    <t>Zipper-pouch-608 W-03</t>
  </si>
  <si>
    <t>Open-pouch-608 W-03</t>
  </si>
  <si>
    <t>SUP-with-zipper-608 W-04</t>
  </si>
  <si>
    <t>Zipper-pouch-608 W-04</t>
  </si>
  <si>
    <t>Open-pouch-608 W-04</t>
  </si>
  <si>
    <t>SUP-with-zipper-608 W-05</t>
  </si>
  <si>
    <t>Zipper-pouch-608 W-05</t>
  </si>
  <si>
    <t>Open-pouch-608 W-05</t>
  </si>
  <si>
    <t>SUP-with-zipper-608 W-06</t>
  </si>
  <si>
    <t>Zipper-pouch-608 W-06</t>
  </si>
  <si>
    <t>Open-pouch-608 W-06</t>
  </si>
  <si>
    <t>SUP-with-zipper-608 W-07</t>
  </si>
  <si>
    <t>Zipper-pouch-608 W-07</t>
  </si>
  <si>
    <t>Open-pouch-608 W-07</t>
  </si>
  <si>
    <t>SUP-with-zipper-608 W-08</t>
  </si>
  <si>
    <t>Zipper-pouch-608 W-08</t>
  </si>
  <si>
    <t>Open-pouch-608 W-08</t>
  </si>
  <si>
    <t>SUP-with-zipper-608 W-09</t>
  </si>
  <si>
    <t>Zipper-pouch-608 W-09</t>
  </si>
  <si>
    <t>Open-pouch-608 W-09</t>
  </si>
  <si>
    <t>SUP-with-zipper-608 W-10</t>
  </si>
  <si>
    <t>Zipper-pouch-608 W-10</t>
  </si>
  <si>
    <t>Open-pouch-608 W-10</t>
  </si>
  <si>
    <t>SUP-with-zipper-618-01</t>
  </si>
  <si>
    <t>Zipper-pouch-618-01</t>
  </si>
  <si>
    <t>Open-pouch-618-01</t>
  </si>
  <si>
    <t>SUP-with-zipper-618-02</t>
  </si>
  <si>
    <t>Zipper-pouch-618-02</t>
  </si>
  <si>
    <t>Open-pouch-618-02</t>
  </si>
  <si>
    <t>SUP-with-zipper-618-03</t>
  </si>
  <si>
    <t>Zipper-pouch-618-03</t>
  </si>
  <si>
    <t>Open-pouch-618-03</t>
  </si>
  <si>
    <t>SUP-with-zipper-618-04</t>
  </si>
  <si>
    <t>Zipper-pouch-618-04</t>
  </si>
  <si>
    <t>Open-pouch-618-04</t>
  </si>
  <si>
    <t>SUP-with-zipper-618-05</t>
  </si>
  <si>
    <t>Zipper-pouch-618-05</t>
  </si>
  <si>
    <t>Open-pouch-618-05</t>
  </si>
  <si>
    <t>SUP-with-zipper-618-06</t>
  </si>
  <si>
    <t>Zipper-pouch-618-06</t>
  </si>
  <si>
    <t>Open-pouch-618-06</t>
  </si>
  <si>
    <t>SUP-with-zipper-618-07</t>
  </si>
  <si>
    <t>Zipper-pouch-618-07</t>
  </si>
  <si>
    <t>Open-pouch-618-07</t>
  </si>
  <si>
    <t>SUP-with-zipper-618-08</t>
  </si>
  <si>
    <t>Zipper-pouch-618-08</t>
  </si>
  <si>
    <t>Open-pouch-618-08</t>
  </si>
  <si>
    <t>SUP-with-zipper-618-09</t>
  </si>
  <si>
    <t>Zipper-pouch-618-09</t>
  </si>
  <si>
    <t>Open-pouch-618-09</t>
  </si>
  <si>
    <t>SUP-with-zipper-618-10</t>
  </si>
  <si>
    <t>Zipper-pouch-618-10</t>
  </si>
  <si>
    <t>Open-pouch-618-10</t>
  </si>
  <si>
    <t>SUP-with-zipper-618 W-01</t>
  </si>
  <si>
    <t>Zipper-pouch-618 W-01</t>
  </si>
  <si>
    <t>Open-pouch-618 W-01</t>
  </si>
  <si>
    <t>SUP-with-zipper-618 W-02</t>
  </si>
  <si>
    <t>Zipper-pouch-618 W-02</t>
  </si>
  <si>
    <t>Open-pouch-618 W-02</t>
  </si>
  <si>
    <t>SUP-with-zipper-618 W-03</t>
  </si>
  <si>
    <t>Zipper-pouch-618 W-03</t>
  </si>
  <si>
    <t>Open-pouch-618 W-03</t>
  </si>
  <si>
    <t>SUP-with-zipper-618 W-04</t>
  </si>
  <si>
    <t>Zipper-pouch-618 W-04</t>
  </si>
  <si>
    <t>Open-pouch-618 W-04</t>
  </si>
  <si>
    <t>SUP-with-zipper-618 W-05</t>
  </si>
  <si>
    <t>Zipper-pouch-618 W-05</t>
  </si>
  <si>
    <t>Open-pouch-618 W-05</t>
  </si>
  <si>
    <t>SUP-with-zipper-618 W-06</t>
  </si>
  <si>
    <t>Zipper-pouch-618 W-06</t>
  </si>
  <si>
    <t>Open-pouch-618 W-06</t>
  </si>
  <si>
    <t>SUP-with-zipper-618 W-07</t>
  </si>
  <si>
    <t>Zipper-pouch-618 W-07</t>
  </si>
  <si>
    <t>Open-pouch-618 W-07</t>
  </si>
  <si>
    <t>SUP-with-zipper-618 W-08</t>
  </si>
  <si>
    <t>Zipper-pouch-618 W-08</t>
  </si>
  <si>
    <t>Open-pouch-618 W-08</t>
  </si>
  <si>
    <t>SUP-with-zipper-618 W-09</t>
  </si>
  <si>
    <t>Zipper-pouch-618 W-09</t>
  </si>
  <si>
    <t>Open-pouch-618 W-09</t>
  </si>
  <si>
    <t>SUP-with-zipper-618 W-10</t>
  </si>
  <si>
    <t>Zipper-pouch-618 W-10</t>
  </si>
  <si>
    <t>Open-pouch-618 W-10</t>
  </si>
  <si>
    <t>SUP-with-zipper-648-01</t>
  </si>
  <si>
    <t>Zipper-pouch-648-01</t>
  </si>
  <si>
    <t>Open-pouch-648-01</t>
  </si>
  <si>
    <t>SUP-with-zipper-648-02</t>
  </si>
  <si>
    <t>Zipper-pouch-648-02</t>
  </si>
  <si>
    <t>Open-pouch-648-02</t>
  </si>
  <si>
    <t>SUP-with-zipper-648-03</t>
  </si>
  <si>
    <t>Zipper-pouch-648-03</t>
  </si>
  <si>
    <t>Open-pouch-648-03</t>
  </si>
  <si>
    <t>SUP-with-zipper-648-04</t>
  </si>
  <si>
    <t>Zipper-pouch-648-04</t>
  </si>
  <si>
    <t>Open-pouch-648-04</t>
  </si>
  <si>
    <t>SUP-with-zipper-648-05</t>
  </si>
  <si>
    <t>Zipper-pouch-648-05</t>
  </si>
  <si>
    <t>Open-pouch-648-05</t>
  </si>
  <si>
    <t>SUP-with-zipper-648-06</t>
  </si>
  <si>
    <t>Zipper-pouch-648-06</t>
  </si>
  <si>
    <t>Open-pouch-648-06</t>
  </si>
  <si>
    <t>SUP-with-zipper-648-07</t>
  </si>
  <si>
    <t>Zipper-pouch-648-07</t>
  </si>
  <si>
    <t>Open-pouch-648-07</t>
  </si>
  <si>
    <t>SUP-with-zipper-648-08</t>
  </si>
  <si>
    <t>Zipper-pouch-648-08</t>
  </si>
  <si>
    <t>Open-pouch-648-08</t>
  </si>
  <si>
    <t>SUP-with-zipper-648-09</t>
  </si>
  <si>
    <t>Zipper-pouch-648-09</t>
  </si>
  <si>
    <t>Open-pouch-648-09</t>
  </si>
  <si>
    <t>SUP-with-zipper-648-10</t>
  </si>
  <si>
    <t>Zipper-pouch-648-10</t>
  </si>
  <si>
    <t>Open-pouch-648-10</t>
  </si>
  <si>
    <t>SUP-with-zipper-648W-01</t>
  </si>
  <si>
    <t>Zipper-pouch-648W-01</t>
  </si>
  <si>
    <t>Open-pouch-648W-01</t>
  </si>
  <si>
    <t>SUP-with-zipper-648W-02</t>
  </si>
  <si>
    <t>Zipper-pouch-648W-02</t>
  </si>
  <si>
    <t>Open-pouch-648W-02</t>
  </si>
  <si>
    <t>SUP-with-zipper-648W-03</t>
  </si>
  <si>
    <t>Zipper-pouch-648W-03</t>
  </si>
  <si>
    <t>Open-pouch-648W-03</t>
  </si>
  <si>
    <t>SUP-with-zipper-648W-04</t>
  </si>
  <si>
    <t>Zipper-pouch-648W-04</t>
  </si>
  <si>
    <t>Open-pouch-648W-04</t>
  </si>
  <si>
    <t>SUP-with-zipper-648W-05</t>
  </si>
  <si>
    <t>Zipper-pouch-648W-05</t>
  </si>
  <si>
    <t>Open-pouch-648W-05</t>
  </si>
  <si>
    <t>SUP-with-zipper-648W-06</t>
  </si>
  <si>
    <t>Zipper-pouch-648W-06</t>
  </si>
  <si>
    <t>Open-pouch-648W-06</t>
  </si>
  <si>
    <t>SUP-with-zipper-648W-07</t>
  </si>
  <si>
    <t>Zipper-pouch-648W-07</t>
  </si>
  <si>
    <t>Open-pouch-648W-07</t>
  </si>
  <si>
    <t>SUP-with-zipper-648W-08</t>
  </si>
  <si>
    <t>Zipper-pouch-648W-08</t>
  </si>
  <si>
    <t>Open-pouch-648W-08</t>
  </si>
  <si>
    <t>SUP-with-zipper-648W-09</t>
  </si>
  <si>
    <t>Zipper-pouch-648W-09</t>
  </si>
  <si>
    <t>Open-pouch-648W-09</t>
  </si>
  <si>
    <t>SUP-with-zipper-648W-10</t>
  </si>
  <si>
    <t>Zipper-pouch-648W-10</t>
  </si>
  <si>
    <t>Open-pouch-648W-10</t>
  </si>
  <si>
    <t>SUP-with-zipper-748-01</t>
  </si>
  <si>
    <t>Zipper-pouch-748-01</t>
  </si>
  <si>
    <t>Open-pouch-748-01</t>
  </si>
  <si>
    <t>SUP-with-zipper-748-02</t>
  </si>
  <si>
    <t>Zipper-pouch-748-02</t>
  </si>
  <si>
    <t>Open-pouch-748-02</t>
  </si>
  <si>
    <t>SUP-with-zipper-748-03</t>
  </si>
  <si>
    <t>Zipper-pouch-748-03</t>
  </si>
  <si>
    <t>Open-pouch-748-03</t>
  </si>
  <si>
    <t>SUP-with-zipper-748-04</t>
  </si>
  <si>
    <t>Zipper-pouch-748-04</t>
  </si>
  <si>
    <t>Open-pouch-748-04</t>
  </si>
  <si>
    <t>SUP-with-zipper-748-05</t>
  </si>
  <si>
    <t>Zipper-pouch-748-05</t>
  </si>
  <si>
    <t>Open-pouch-748-05</t>
  </si>
  <si>
    <t>SUP-with-zipper-748-06</t>
  </si>
  <si>
    <t>Zipper-pouch-748-06</t>
  </si>
  <si>
    <t>Open-pouch-748-06</t>
  </si>
  <si>
    <t>SUP-with-zipper-748-07</t>
  </si>
  <si>
    <t>Zipper-pouch-748-07</t>
  </si>
  <si>
    <t>Open-pouch-748-07</t>
  </si>
  <si>
    <t>SUP-with-zipper-748-08</t>
  </si>
  <si>
    <t>Zipper-pouch-748-08</t>
  </si>
  <si>
    <t>Open-pouch-748-08</t>
  </si>
  <si>
    <t>SUP-with-zipper-748-09</t>
  </si>
  <si>
    <t>Zipper-pouch-748-09</t>
  </si>
  <si>
    <t>Open-pouch-748-09</t>
  </si>
  <si>
    <t>SUP-with-zipper-748-10</t>
  </si>
  <si>
    <t>Zipper-pouch-748-10</t>
  </si>
  <si>
    <t>Open-pouch-748-10</t>
  </si>
  <si>
    <t>SUP-with-zipper-818W-01</t>
  </si>
  <si>
    <t>Zipper-pouch-818W-01</t>
  </si>
  <si>
    <t>Open-pouch-818W-01</t>
  </si>
  <si>
    <t>SUP-with-zipper-818W-02</t>
  </si>
  <si>
    <t>Zipper-pouch-818W-02</t>
  </si>
  <si>
    <t>Open-pouch-818W-02</t>
  </si>
  <si>
    <t>SUP-with-zipper-818W-03</t>
  </si>
  <si>
    <t>Zipper-pouch-818W-03</t>
  </si>
  <si>
    <t>Open-pouch-818W-03</t>
  </si>
  <si>
    <t>SUP-with-zipper-818W-04</t>
  </si>
  <si>
    <t>Zipper-pouch-818W-04</t>
  </si>
  <si>
    <t>Open-pouch-818W-04</t>
  </si>
  <si>
    <t>SUP-with-zipper-818W-05</t>
  </si>
  <si>
    <t>Zipper-pouch-818W-05</t>
  </si>
  <si>
    <t>Open-pouch-818W-05</t>
  </si>
  <si>
    <t>SUP-with-zipper-818W-06</t>
  </si>
  <si>
    <t>Zipper-pouch-818W-06</t>
  </si>
  <si>
    <t>Open-pouch-818W-06</t>
  </si>
  <si>
    <t>SUP-with-zipper-818W-07</t>
  </si>
  <si>
    <t>Zipper-pouch-818W-07</t>
  </si>
  <si>
    <t>Open-pouch-818W-07</t>
  </si>
  <si>
    <t>SUP-with-zipper-818W-08</t>
  </si>
  <si>
    <t>Zipper-pouch-818W-08</t>
  </si>
  <si>
    <t>Open-pouch-818W-08</t>
  </si>
  <si>
    <t>SUP-with-zipper-818W-09</t>
  </si>
  <si>
    <t>Zipper-pouch-818W-09</t>
  </si>
  <si>
    <t>Open-pouch-818W-09</t>
  </si>
  <si>
    <t>SUP-with-zipper-818W-10</t>
  </si>
  <si>
    <t>Zipper-pouch-818W-10</t>
  </si>
  <si>
    <t>Open-pouch-818W-10</t>
  </si>
  <si>
    <t>SUP-with-zipper-819-01</t>
  </si>
  <si>
    <t>Zipper-pouch-819-01</t>
  </si>
  <si>
    <t>Open-pouch-819-01</t>
  </si>
  <si>
    <t>SUP-with-zipper-819-02</t>
  </si>
  <si>
    <t>Zipper-pouch-819-02</t>
  </si>
  <si>
    <t>Open-pouch-819-02</t>
  </si>
  <si>
    <t>SUP-with-zipper-819-03</t>
  </si>
  <si>
    <t>Zipper-pouch-819-03</t>
  </si>
  <si>
    <t>Open-pouch-819-03</t>
  </si>
  <si>
    <t>SUP-with-zipper-819-04</t>
  </si>
  <si>
    <t>Zipper-pouch-819-04</t>
  </si>
  <si>
    <t>Open-pouch-819-04</t>
  </si>
  <si>
    <t>SUP-with-zipper-819-05</t>
  </si>
  <si>
    <t>Zipper-pouch-819-05</t>
  </si>
  <si>
    <t>Open-pouch-819-05</t>
  </si>
  <si>
    <t>SUP-with-zipper-819-06</t>
  </si>
  <si>
    <t>Zipper-pouch-819-06</t>
  </si>
  <si>
    <t>Open-pouch-819-06</t>
  </si>
  <si>
    <t>SUP-with-zipper-819-07</t>
  </si>
  <si>
    <t>Zipper-pouch-819-07</t>
  </si>
  <si>
    <t>Open-pouch-819-07</t>
  </si>
  <si>
    <t>SUP-with-zipper-819-08</t>
  </si>
  <si>
    <t>Zipper-pouch-819-08</t>
  </si>
  <si>
    <t>Open-pouch-819-08</t>
  </si>
  <si>
    <t>SUP-with-zipper-819-09</t>
  </si>
  <si>
    <t>Zipper-pouch-819-09</t>
  </si>
  <si>
    <t>Open-pouch-819-09</t>
  </si>
  <si>
    <t>SUP-with-zipper-819-10</t>
  </si>
  <si>
    <t>Zipper-pouch-819-10</t>
  </si>
  <si>
    <t>Open-pouch-819-10</t>
  </si>
  <si>
    <t>SUP-with-zipper-821M-01</t>
  </si>
  <si>
    <t>Zipper-pouch-821M-01</t>
  </si>
  <si>
    <t>Open-pouch-821M-01</t>
  </si>
  <si>
    <t>SUP-with-zipper-821M-02</t>
  </si>
  <si>
    <t>Zipper-pouch-821M-02</t>
  </si>
  <si>
    <t>Open-pouch-821M-02</t>
  </si>
  <si>
    <t>SUP-with-zipper-821M-03</t>
  </si>
  <si>
    <t>Zipper-pouch-821M-03</t>
  </si>
  <si>
    <t>Open-pouch-821M-03</t>
  </si>
  <si>
    <t>SUP-with-zipper-821M-04</t>
  </si>
  <si>
    <t>Zipper-pouch-821M-04</t>
  </si>
  <si>
    <t>Open-pouch-821M-04</t>
  </si>
  <si>
    <t>SUP-with-zipper-821M-05</t>
  </si>
  <si>
    <t>Zipper-pouch-821M-05</t>
  </si>
  <si>
    <t>Open-pouch-821M-05</t>
  </si>
  <si>
    <t>SUP-with-zipper-821M-06</t>
  </si>
  <si>
    <t>Zipper-pouch-821M-06</t>
  </si>
  <si>
    <t>Open-pouch-821M-06</t>
  </si>
  <si>
    <t>SUP-with-zipper-821M-07</t>
  </si>
  <si>
    <t>Zipper-pouch-821M-07</t>
  </si>
  <si>
    <t>Open-pouch-821M-07</t>
  </si>
  <si>
    <t>SUP-with-zipper-821M-08</t>
  </si>
  <si>
    <t>Zipper-pouch-821M-08</t>
  </si>
  <si>
    <t>Open-pouch-821M-08</t>
  </si>
  <si>
    <t>SUP-with-zipper-821M-09</t>
  </si>
  <si>
    <t>Zipper-pouch-821M-09</t>
  </si>
  <si>
    <t>Open-pouch-821M-09</t>
  </si>
  <si>
    <t>SUP-with-zipper-821M-10</t>
  </si>
  <si>
    <t>Zipper-pouch-821M-10</t>
  </si>
  <si>
    <t>Open-pouch-821M-10</t>
  </si>
  <si>
    <t>SUP-with-zipper-823-01</t>
  </si>
  <si>
    <t>Zipper-pouch-823-01</t>
  </si>
  <si>
    <t>Open-pouch-823-01</t>
  </si>
  <si>
    <t>SUP-with-zipper-823-02</t>
  </si>
  <si>
    <t>Zipper-pouch-823-02</t>
  </si>
  <si>
    <t>Open-pouch-823-02</t>
  </si>
  <si>
    <t>SUP-with-zipper-823-03</t>
  </si>
  <si>
    <t>Zipper-pouch-823-03</t>
  </si>
  <si>
    <t>Open-pouch-823-03</t>
  </si>
  <si>
    <t>SUP-with-zipper-823-04</t>
  </si>
  <si>
    <t>Zipper-pouch-823-04</t>
  </si>
  <si>
    <t>Open-pouch-823-04</t>
  </si>
  <si>
    <t>SUP-with-zipper-823-05</t>
  </si>
  <si>
    <t>Zipper-pouch-823-05</t>
  </si>
  <si>
    <t>Open-pouch-823-05</t>
  </si>
  <si>
    <t>SUP-with-zipper-823-06</t>
  </si>
  <si>
    <t>Zipper-pouch-823-06</t>
  </si>
  <si>
    <t>Open-pouch-823-06</t>
  </si>
  <si>
    <t>SUP-with-zipper-823-07</t>
  </si>
  <si>
    <t>Zipper-pouch-823-07</t>
  </si>
  <si>
    <t>Open-pouch-823-07</t>
  </si>
  <si>
    <t>SUP-with-zipper-823-08</t>
  </si>
  <si>
    <t>Zipper-pouch-823-08</t>
  </si>
  <si>
    <t>Open-pouch-823-08</t>
  </si>
  <si>
    <t>SUP-with-zipper-823-09</t>
  </si>
  <si>
    <t>Zipper-pouch-823-09</t>
  </si>
  <si>
    <t>Open-pouch-823-09</t>
  </si>
  <si>
    <t>SUP-with-zipper-823-10</t>
  </si>
  <si>
    <t>Zipper-pouch-823-10</t>
  </si>
  <si>
    <t>Open-pouch-823-10</t>
  </si>
  <si>
    <t>SUP-with-zipper-918-01</t>
  </si>
  <si>
    <t>Zipper-pouch-918-01</t>
  </si>
  <si>
    <t>Open-pouch-918-01</t>
  </si>
  <si>
    <t>SUP-with-zipper-918-02</t>
  </si>
  <si>
    <t>Zipper-pouch-918-02</t>
  </si>
  <si>
    <t>Open-pouch-918-02</t>
  </si>
  <si>
    <t>SUP-with-zipper-918-03</t>
  </si>
  <si>
    <t>Zipper-pouch-918-03</t>
  </si>
  <si>
    <t>Open-pouch-918-03</t>
  </si>
  <si>
    <t>SUP-with-zipper-918-04</t>
  </si>
  <si>
    <t>Zipper-pouch-918-04</t>
  </si>
  <si>
    <t>Open-pouch-918-04</t>
  </si>
  <si>
    <t>SUP-with-zipper-918-05</t>
  </si>
  <si>
    <t>Zipper-pouch-918-05</t>
  </si>
  <si>
    <t>Open-pouch-918-05</t>
  </si>
  <si>
    <t>SUP-with-zipper-918-06</t>
  </si>
  <si>
    <t>Zipper-pouch-918-06</t>
  </si>
  <si>
    <t>Open-pouch-918-06</t>
  </si>
  <si>
    <t>SUP-with-zipper-918-07</t>
  </si>
  <si>
    <t>Zipper-pouch-918-07</t>
  </si>
  <si>
    <t>Open-pouch-918-07</t>
  </si>
  <si>
    <t>SUP-with-zipper-918-08</t>
  </si>
  <si>
    <t>Zipper-pouch-918-08</t>
  </si>
  <si>
    <t>Open-pouch-918-08</t>
  </si>
  <si>
    <t>SUP-with-zipper-918-09</t>
  </si>
  <si>
    <t>Zipper-pouch-918-09</t>
  </si>
  <si>
    <t>Open-pouch-918-09</t>
  </si>
  <si>
    <t>SUP-with-zipper-918-10</t>
  </si>
  <si>
    <t>Zipper-pouch-918-10</t>
  </si>
  <si>
    <t>Open-pouch-918-10</t>
  </si>
  <si>
    <t>SUP-with-zipper-919-01</t>
  </si>
  <si>
    <t>Zipper-pouch-919-01</t>
  </si>
  <si>
    <t>Open-pouch-919-01</t>
  </si>
  <si>
    <t>SUP-with-zipper-919-02</t>
  </si>
  <si>
    <t>Zipper-pouch-919-02</t>
  </si>
  <si>
    <t>Open-pouch-919-02</t>
  </si>
  <si>
    <t>SUP-with-zipper-919-03</t>
  </si>
  <si>
    <t>Zipper-pouch-919-03</t>
  </si>
  <si>
    <t>Open-pouch-919-03</t>
  </si>
  <si>
    <t>SUP-with-zipper-919-04</t>
  </si>
  <si>
    <t>Zipper-pouch-919-04</t>
  </si>
  <si>
    <t>Open-pouch-919-04</t>
  </si>
  <si>
    <t>SUP-with-zipper-919-05</t>
  </si>
  <si>
    <t>Zipper-pouch-919-05</t>
  </si>
  <si>
    <t>Open-pouch-919-05</t>
  </si>
  <si>
    <t>SUP-with-zipper-919-06</t>
  </si>
  <si>
    <t>Zipper-pouch-919-06</t>
  </si>
  <si>
    <t>Open-pouch-919-06</t>
  </si>
  <si>
    <t>SUP-with-zipper-919-07</t>
  </si>
  <si>
    <t>Zipper-pouch-919-07</t>
  </si>
  <si>
    <t>Open-pouch-919-07</t>
  </si>
  <si>
    <t>SUP-with-zipper-919-08</t>
  </si>
  <si>
    <t>Zipper-pouch-919-08</t>
  </si>
  <si>
    <t>Open-pouch-919-08</t>
  </si>
  <si>
    <t>SUP-with-zipper-919-09</t>
  </si>
  <si>
    <t>Zipper-pouch-919-09</t>
  </si>
  <si>
    <t>Open-pouch-919-09</t>
  </si>
  <si>
    <t>SUP-with-zipper-919-10</t>
  </si>
  <si>
    <t>Zipper-pouch-919-10</t>
  </si>
  <si>
    <t>Open-pouch-919-10</t>
  </si>
  <si>
    <t>SUP-with-zipper-923-01</t>
  </si>
  <si>
    <t>Zipper-pouch-923-01</t>
  </si>
  <si>
    <t>Open-pouch-923-01</t>
  </si>
  <si>
    <t>SUP-with-zipper-923-02</t>
  </si>
  <si>
    <t>Zipper-pouch-923-02</t>
  </si>
  <si>
    <t>Open-pouch-923-02</t>
  </si>
  <si>
    <t>SUP-with-zipper-923-03</t>
  </si>
  <si>
    <t>Zipper-pouch-923-03</t>
  </si>
  <si>
    <t>Open-pouch-923-03</t>
  </si>
  <si>
    <t>SUP-with-zipper-923-04</t>
  </si>
  <si>
    <t>Zipper-pouch-923-04</t>
  </si>
  <si>
    <t>Open-pouch-923-04</t>
  </si>
  <si>
    <t>SUP-with-zipper-923-05</t>
  </si>
  <si>
    <t>Zipper-pouch-923-05</t>
  </si>
  <si>
    <t>Open-pouch-923-05</t>
  </si>
  <si>
    <t>SUP-with-zipper-923-06</t>
  </si>
  <si>
    <t>Zipper-pouch-923-06</t>
  </si>
  <si>
    <t>Open-pouch-923-06</t>
  </si>
  <si>
    <t>SUP-with-zipper-923-07</t>
  </si>
  <si>
    <t>Zipper-pouch-923-07</t>
  </si>
  <si>
    <t>Open-pouch-923-07</t>
  </si>
  <si>
    <t>SUP-with-zipper-923-08</t>
  </si>
  <si>
    <t>Zipper-pouch-923-08</t>
  </si>
  <si>
    <t>Open-pouch-923-08</t>
  </si>
  <si>
    <t>SUP-with-zipper-923-09</t>
  </si>
  <si>
    <t>Zipper-pouch-923-09</t>
  </si>
  <si>
    <t>Open-pouch-923-09</t>
  </si>
  <si>
    <t>SUP-with-zipper-923-10</t>
  </si>
  <si>
    <t>Zipper-pouch-923-10</t>
  </si>
  <si>
    <t>Open-pouch-923-10</t>
  </si>
  <si>
    <t>SUP-with-zipper-928-01</t>
  </si>
  <si>
    <t>Zipper-pouch-928-01</t>
  </si>
  <si>
    <t>Open-pouch-928-01</t>
  </si>
  <si>
    <t>SUP-with-zipper-928-02</t>
  </si>
  <si>
    <t>Zipper-pouch-928-02</t>
  </si>
  <si>
    <t>Open-pouch-928-02</t>
  </si>
  <si>
    <t>SUP-with-zipper-928-03</t>
  </si>
  <si>
    <t>Zipper-pouch-928-03</t>
  </si>
  <si>
    <t>Open-pouch-928-03</t>
  </si>
  <si>
    <t>SUP-with-zipper-928-04</t>
  </si>
  <si>
    <t>Zipper-pouch-928-04</t>
  </si>
  <si>
    <t>Open-pouch-928-04</t>
  </si>
  <si>
    <t>SUP-with-zipper-928-05</t>
  </si>
  <si>
    <t>Zipper-pouch-928-05</t>
  </si>
  <si>
    <t>Open-pouch-928-05</t>
  </si>
  <si>
    <t>SUP-with-zipper-928-06</t>
  </si>
  <si>
    <t>Zipper-pouch-928-06</t>
  </si>
  <si>
    <t>Open-pouch-928-06</t>
  </si>
  <si>
    <t>SUP-with-zipper-928-07</t>
  </si>
  <si>
    <t>Zipper-pouch-928-07</t>
  </si>
  <si>
    <t>Open-pouch-928-07</t>
  </si>
  <si>
    <t>SUP-with-zipper-928-08</t>
  </si>
  <si>
    <t>Zipper-pouch-928-08</t>
  </si>
  <si>
    <t>Open-pouch-928-08</t>
  </si>
  <si>
    <t>SUP-with-zipper-928-09</t>
  </si>
  <si>
    <t>Zipper-pouch-928-09</t>
  </si>
  <si>
    <t>Open-pouch-928-09</t>
  </si>
  <si>
    <t>SUP-with-zipper-928-10</t>
  </si>
  <si>
    <t>Zipper-pouch-928-10</t>
  </si>
  <si>
    <t>Open-pouch-928-10</t>
  </si>
  <si>
    <t xml:space="preserve">Digital_per_meter- Quantum &amp; Converting- Quantum sheets: </t>
  </si>
  <si>
    <t xml:space="preserve">there is an option of reduce or increase of the prices there by percentage ( dont know what at this point ) can you please create a parameter of percentage at this point should be 100% in the helper sheet that if I will reduce/ increase it the prices in the Converting- Quantum sheet % Digital_per_meter- Quantum sheet will be reduced/ increased accordingly. </t>
  </si>
  <si>
    <t>need to be separate percentage for each sheet.</t>
  </si>
  <si>
    <t>go!</t>
  </si>
  <si>
    <t>Quantum Price Adjustment</t>
  </si>
  <si>
    <t>Digital_per_meter- Quantum</t>
  </si>
  <si>
    <t>Converting- Quantum</t>
  </si>
  <si>
    <t>Laminates sheet: please check that the calculator 1 works properly, same logic like calculator 2, no issues in the table also</t>
  </si>
  <si>
    <t xml:space="preserve">in addition- the lamination width - column j Can be 1220 max. so in case of 760 Width of reel asked- you can do only one round and the Lamination Width (mm) will be 810. fix this logic to all calculators related to laminates- </t>
  </si>
  <si>
    <t>1. Laminates sheet</t>
  </si>
  <si>
    <t>2. Pouches sheet</t>
  </si>
  <si>
    <t>3. Pouches- copilot SHEET</t>
  </si>
  <si>
    <t>4. Laminates- copilot sheet</t>
  </si>
  <si>
    <t>Laminates- copilot sheet &amp; Pouches- copilot sheet- those sheets need to be coonected to the database of BOM, helper etc- in case that the price will be adjusted ir thickness ( for example) those sheets will need to be updated as well</t>
  </si>
  <si>
    <t>Baseline Thickness</t>
  </si>
  <si>
    <t>Baseline Length</t>
  </si>
  <si>
    <t>Thickness Rank</t>
  </si>
  <si>
    <t>Kg/m/µ</t>
  </si>
  <si>
    <t>Other Cost €/kg</t>
  </si>
  <si>
    <t>MSI/Sell-m Ratio</t>
  </si>
  <si>
    <t>Meter/Input Factor</t>
  </si>
  <si>
    <t>Baseline Shipping</t>
  </si>
  <si>
    <t>Baseline Lamination</t>
  </si>
  <si>
    <t>Baseline Process</t>
  </si>
  <si>
    <t>Setup Total €</t>
  </si>
  <si>
    <t xml:space="preserve">Pouches- copilot sheet : looks like there is not enough versions: for example if you see line 345 : </t>
  </si>
  <si>
    <t xml:space="preserve">1- shipping only 1 option, no europe to europe, only to us. </t>
  </si>
  <si>
    <t>quantities- only 50k, need to be also 100000, 25000 and 200000</t>
  </si>
  <si>
    <t>please add such options to all pouches</t>
  </si>
  <si>
    <t>25K / Europe to Europe</t>
  </si>
  <si>
    <t>25K / Europe to US</t>
  </si>
  <si>
    <t>50K / Europe to Europe</t>
  </si>
  <si>
    <t>50K / Europe to US</t>
  </si>
  <si>
    <t>100K / Europe to Europe</t>
  </si>
  <si>
    <t>100K / Europe to US</t>
  </si>
  <si>
    <t>200K / Europe to Europe</t>
  </si>
  <si>
    <t>200K / Europe to US</t>
  </si>
  <si>
    <t>120-11</t>
  </si>
  <si>
    <t>25K / Europe to Canada</t>
  </si>
  <si>
    <t>120-12</t>
  </si>
  <si>
    <t>50K / Europe to Canada</t>
  </si>
  <si>
    <t>120-13</t>
  </si>
  <si>
    <t>100K / Europe to Canada</t>
  </si>
  <si>
    <t>120-14</t>
  </si>
  <si>
    <t>200K / Europe to Canada</t>
  </si>
  <si>
    <t>418-11</t>
  </si>
  <si>
    <t>418-12</t>
  </si>
  <si>
    <t>418-13</t>
  </si>
  <si>
    <t>418-14</t>
  </si>
  <si>
    <t>428-11</t>
  </si>
  <si>
    <t>428-12</t>
  </si>
  <si>
    <t>428-13</t>
  </si>
  <si>
    <t>428-14</t>
  </si>
  <si>
    <t>608-11</t>
  </si>
  <si>
    <t>608-12</t>
  </si>
  <si>
    <t>608-13</t>
  </si>
  <si>
    <t>608-14</t>
  </si>
  <si>
    <t>608 W-11</t>
  </si>
  <si>
    <t>608 W-12</t>
  </si>
  <si>
    <t>608 W-13</t>
  </si>
  <si>
    <t>608 W-14</t>
  </si>
  <si>
    <t>618-11</t>
  </si>
  <si>
    <t>618-12</t>
  </si>
  <si>
    <t>618-13</t>
  </si>
  <si>
    <t>618-14</t>
  </si>
  <si>
    <t>618 W-11</t>
  </si>
  <si>
    <t>618 W-12</t>
  </si>
  <si>
    <t>618 W-13</t>
  </si>
  <si>
    <t>618 W-14</t>
  </si>
  <si>
    <t>648-11</t>
  </si>
  <si>
    <t>648-12</t>
  </si>
  <si>
    <t>648-13</t>
  </si>
  <si>
    <t>648-14</t>
  </si>
  <si>
    <t>648W-11</t>
  </si>
  <si>
    <t>648W-12</t>
  </si>
  <si>
    <t>648W-13</t>
  </si>
  <si>
    <t>648W-14</t>
  </si>
  <si>
    <t>748-11</t>
  </si>
  <si>
    <t>748-12</t>
  </si>
  <si>
    <t>748-13</t>
  </si>
  <si>
    <t>748-14</t>
  </si>
  <si>
    <t>818W-11</t>
  </si>
  <si>
    <t>818W-12</t>
  </si>
  <si>
    <t>818W-13</t>
  </si>
  <si>
    <t>818W-14</t>
  </si>
  <si>
    <t>819-11</t>
  </si>
  <si>
    <t>819-12</t>
  </si>
  <si>
    <t>819-13</t>
  </si>
  <si>
    <t>819-14</t>
  </si>
  <si>
    <t>821M-11</t>
  </si>
  <si>
    <t>821M-12</t>
  </si>
  <si>
    <t>821M-13</t>
  </si>
  <si>
    <t>821M-14</t>
  </si>
  <si>
    <t>823-11</t>
  </si>
  <si>
    <t>823-12</t>
  </si>
  <si>
    <t>823-13</t>
  </si>
  <si>
    <t>823-14</t>
  </si>
  <si>
    <t>918-11</t>
  </si>
  <si>
    <t>918-12</t>
  </si>
  <si>
    <t>918-13</t>
  </si>
  <si>
    <t>918-14</t>
  </si>
  <si>
    <t>919-11</t>
  </si>
  <si>
    <t>919-12</t>
  </si>
  <si>
    <t>919-13</t>
  </si>
  <si>
    <t>919-14</t>
  </si>
  <si>
    <t>923-11</t>
  </si>
  <si>
    <t>923-12</t>
  </si>
  <si>
    <t>923-13</t>
  </si>
  <si>
    <t>923-14</t>
  </si>
  <si>
    <t>928-11</t>
  </si>
  <si>
    <t>928-12</t>
  </si>
  <si>
    <t>928-13</t>
  </si>
  <si>
    <t>928-14</t>
  </si>
  <si>
    <t>18 laminates × 14 scenarios = 252 model runs generated from the live Laminates calculation engine.</t>
  </si>
  <si>
    <t>SUP-with-zipper-120-11</t>
  </si>
  <si>
    <t xml:space="preserve">Bags Calculator sheet: </t>
  </si>
  <si>
    <t xml:space="preserve">lets do the same logic we use for pouches that being produced from laminates in the Pouches sheet: </t>
  </si>
  <si>
    <t>there are calculators for bags starting line 27 ( leave only 3 calculators, forth isn't needed.)</t>
  </si>
  <si>
    <t xml:space="preserve">1. in those calculators need to be dropdowns for : </t>
  </si>
  <si>
    <t>a. bag type.</t>
  </si>
  <si>
    <t>b. film.</t>
  </si>
  <si>
    <t>c. cast/blown.</t>
  </si>
  <si>
    <t>d. num of colors.</t>
  </si>
  <si>
    <t>e. num of designs</t>
  </si>
  <si>
    <t>e. supplier/converter.</t>
  </si>
  <si>
    <t>f. shipping</t>
  </si>
  <si>
    <t>* gross profit ( to be in line 27 in big ( same calculation like we have in laminates sheet and pouches sheet.</t>
  </si>
  <si>
    <t>* all the feilds that are there already need to be there as well.</t>
  </si>
  <si>
    <t>* make the calculators less colorful, but add relevant icons.</t>
  </si>
  <si>
    <t xml:space="preserve">*the data from this calculator need to go to the calculator above ( bags calculator) , no dropdown is needed is the film calculators, also remove from the film calculator the gross profit. </t>
  </si>
  <si>
    <t>* the film calculator need to be conected to the table in the left that those are coming from the bom ( check the laminates calculator and pouches calculators for better understanding of the logic.</t>
  </si>
  <si>
    <t>🎨 No. of colors</t>
  </si>
  <si>
    <t>💵 Sell Price (USD)</t>
  </si>
  <si>
    <t>👜 Bag Type</t>
  </si>
  <si>
    <t>🎬 Film</t>
  </si>
  <si>
    <t>🏭 Cast / Blown</t>
  </si>
  <si>
    <t>🔢 Order Qty</t>
  </si>
  <si>
    <t>📐 Size (H × W)</t>
  </si>
  <si>
    <t>🚩 Flap / Gusset</t>
  </si>
  <si>
    <t>⚖️ Weight</t>
  </si>
  <si>
    <t>💰 Cost / Bag (€)</t>
  </si>
  <si>
    <t>💶 Price / Bag (€)</t>
  </si>
  <si>
    <t>💵 Price / Bag ($)</t>
  </si>
  <si>
    <t>🧾 FULL ORDER TOTAL</t>
  </si>
  <si>
    <t>💶 Total (€)</t>
  </si>
  <si>
    <t>💵 Total ($)</t>
  </si>
  <si>
    <t>💰 FILM COST / KG</t>
  </si>
  <si>
    <t>not in use ow</t>
  </si>
  <si>
    <t>Hackbarth</t>
  </si>
  <si>
    <t>610× 600</t>
  </si>
  <si>
    <t>Production Cost (€/unit)</t>
  </si>
  <si>
    <t xml:space="preserve">add in the line 48 price per bag from the SO ( one line for usd one for euro) improve the styling of the names. </t>
  </si>
  <si>
    <t>and below add the gap between the calculation in the calculator and the price there, also add how mich gross profit is from the price proposal given to the cost calculated in the calculators</t>
  </si>
  <si>
    <t>📋 SO PRICE COMPARISON</t>
  </si>
  <si>
    <t>💶 SO Price / Bag (€)</t>
  </si>
  <si>
    <t>💵 SO Price / Bag ($)</t>
  </si>
  <si>
    <t>↕️ Gap vs Calculator (€)</t>
  </si>
  <si>
    <t>↕️ Gap vs Calculator ($)</t>
  </si>
  <si>
    <t>🎯 GP vs Target</t>
  </si>
  <si>
    <t>pp</t>
  </si>
  <si>
    <t>📈 GP from SO (same currency)</t>
  </si>
  <si>
    <t>💵 Cost / Bag ($)</t>
  </si>
  <si>
    <t>I found the issue that can cause a gap, please check: the Hackbarth cost already included the price for converting and lamination. please check if this information impact the price. go</t>
  </si>
  <si>
    <t>301N</t>
  </si>
  <si>
    <t>Ext. D (In)</t>
  </si>
  <si>
    <t>Ext. E (In)</t>
  </si>
  <si>
    <t xml:space="preserve">Laminates &amp; Pouches sheets: </t>
  </si>
  <si>
    <t>need to impact also a pouch calculation , because made of laminates.</t>
  </si>
  <si>
    <t>please add in the laminate calculator in both sheets under the 🎨 No. of designs line core change ( default 6''). add an option for dropdown. if no- no impact. if yes - need to appear in same line in column ai ( in the 1st calculator for example) from 6'' to 3''. need to add to the calculation 0.5 euro per kg. add a comment that this is Bastin price.</t>
  </si>
  <si>
    <t>add a 0.5 euro to the helper sheet</t>
  </si>
  <si>
    <t>Core change surcharge (€/kg)</t>
  </si>
  <si>
    <t>Bastin price</t>
  </si>
  <si>
    <t>Nuvita coating</t>
  </si>
  <si>
    <t>Nuvita</t>
  </si>
  <si>
    <t>Compound - new group</t>
  </si>
  <si>
    <t>NVS</t>
  </si>
  <si>
    <t>NK family</t>
  </si>
  <si>
    <t>Samtack adhesive</t>
  </si>
  <si>
    <t>Samtack</t>
  </si>
  <si>
    <t>Adhesive - Epotal family</t>
  </si>
  <si>
    <t>Foil</t>
  </si>
  <si>
    <t>Coating</t>
  </si>
  <si>
    <t>30 µm; first layer</t>
  </si>
  <si>
    <t>Adhesive - 2 passes</t>
  </si>
  <si>
    <t>2 × 2.5 gsm: before ALU and before NVS</t>
  </si>
  <si>
    <t>6.35 µm; after first Samtack pass</t>
  </si>
  <si>
    <t>4 gsm; after ALU; assumed density 1.00 g/cm³</t>
  </si>
  <si>
    <t>23 µm; NK family; final layer</t>
  </si>
  <si>
    <t xml:space="preserve">add 2 new laminates, structure below: </t>
  </si>
  <si>
    <t xml:space="preserve">first: </t>
  </si>
  <si>
    <t>TIPA 312 MET- 25</t>
  </si>
  <si>
    <t>Billerud Kraft White Paper-50</t>
  </si>
  <si>
    <t>RM G Epotal ECO 3675- 6</t>
  </si>
  <si>
    <t xml:space="preserve">second: </t>
  </si>
  <si>
    <t>TIPA 312 White- 25</t>
  </si>
  <si>
    <t>at this point- whate and met are same price</t>
  </si>
  <si>
    <t>TIPA 312 White</t>
  </si>
  <si>
    <t>Same film price as TIPA 312 MET; no MET LUX additive.</t>
  </si>
  <si>
    <t>XXX-Met</t>
  </si>
  <si>
    <t>XXX-White</t>
  </si>
  <si>
    <t xml:space="preserve">lets proceed with few changes: </t>
  </si>
  <si>
    <t xml:space="preserve">replace in the calculators: </t>
  </si>
  <si>
    <t>1. No. of designs to No. of SKUs</t>
  </si>
  <si>
    <t>2. Core change to Core size ( in the dropdown need to be an option instead yes/no to be 6'' /3'').</t>
  </si>
  <si>
    <t>3. Shipment to Shipping Terms (instead of Europe to Europe write EXW).</t>
  </si>
  <si>
    <t xml:space="preserve">4. Supplier to Producer. </t>
  </si>
  <si>
    <t>5. Input Mode to Units.</t>
  </si>
  <si>
    <t>6. Input Quantity Total Quantity.</t>
  </si>
  <si>
    <t>🎨 No. of SKUs</t>
  </si>
  <si>
    <t>SKUs</t>
  </si>
  <si>
    <t>🔄 Core size</t>
  </si>
  <si>
    <t>6''</t>
  </si>
  <si>
    <t>🚚 Shipping Terms</t>
  </si>
  <si>
    <t>EXW</t>
  </si>
  <si>
    <t>💼 Producer</t>
  </si>
  <si>
    <t>⚙️ Units</t>
  </si>
  <si>
    <t>🔢 Total Quantity</t>
  </si>
  <si>
    <t>💼 Producer / Converter</t>
  </si>
  <si>
    <t>Shipping Terms</t>
  </si>
  <si>
    <t>Producer</t>
  </si>
  <si>
    <t>No. of SKUs</t>
  </si>
  <si>
    <t>IMP / SKU</t>
  </si>
  <si>
    <t>↳ IMP per SKU</t>
  </si>
  <si>
    <t>↳ SKU setup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</si>
</sst>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7">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_([$€-2]\ * #,##0.00_);_([$€-2]\ * \(#,##0.00\);_([$€-2]\ * &quot;-&quot;??_);_(@_)"/>
    <numFmt numFmtId="168" formatCode="\€#,##0.00"/>
    <numFmt numFmtId="169" formatCode="#,##0&quot; Kg&quot;"/>
    <numFmt numFmtId="170" formatCode="_(* #,##0.000_);_(* \(#,##0.000\);_(* &quot;-&quot;??_);_(@_)"/>
    <numFmt numFmtId="171" formatCode="_([$€-2]\ * #,##0.000_);_([$€-2]\ * \(#,##0.000\);_([$€-2]\ * &quot;-&quot;??_);_(@_)"/>
    <numFmt numFmtId="172" formatCode="_([$$-409]* #,##0.00_);_([$$-409]* \(#,##0.00\);_([$$-409]* &quot;-&quot;??_);_(@_)"/>
    <numFmt numFmtId="173" formatCode="0.000"/>
    <numFmt numFmtId="174" formatCode="_-* #,##0.00_-;\-* #,##0.00_-;_-* &quot;-&quot;??_-;_-@_-"/>
    <numFmt numFmtId="175" formatCode="_-&quot;₪&quot;* #,##0.00_-;\-&quot;₪&quot;* #,##0.00_-;_-&quot;₪&quot;* &quot;-&quot;??_-;_-@_-"/>
    <numFmt numFmtId="176" formatCode="_(* #,##0.0000_);_(* \(#,##0.0000\);_(* &quot;-&quot;??_);_(@_)"/>
    <numFmt numFmtId="177" formatCode="&quot;$&quot;#,##0.00"/>
    <numFmt numFmtId="178" formatCode="_([$€-2]\ * #,##0.0_);_([$€-2]\ * \(#,##0.0\);_([$€-2]\ * &quot;-&quot;??_);_(@_)"/>
    <numFmt numFmtId="179" formatCode="\€\ #,##0.00\ "/>
    <numFmt numFmtId="180" formatCode="&quot;$&quot;\ #,##0.00"/>
    <numFmt numFmtId="181" formatCode="\€\ #,##0.00"/>
    <numFmt numFmtId="182" formatCode="\€\ 0.00"/>
    <numFmt numFmtId="183" formatCode="\€\ 0.000"/>
    <numFmt numFmtId="184" formatCode="0.0"/>
    <numFmt numFmtId="185" formatCode="\€\ #,##0.000"/>
    <numFmt numFmtId="186" formatCode="\€\ #,##0.0000"/>
    <numFmt numFmtId="187" formatCode="#,##0.0000&quot; Kg&quot;"/>
    <numFmt numFmtId="188" formatCode="\€\ #,##0.00000"/>
    <numFmt numFmtId="189" formatCode="\€\ 0.0000"/>
    <numFmt numFmtId="190" formatCode="_-* #,##0_-;\-* #,##0_-;_-* &quot;-&quot;??_-;_-@_-"/>
    <numFmt numFmtId="191" formatCode="_(&quot;$&quot;* #,##0.000_);_(&quot;$&quot;* \(#,##0.000\);_(&quot;$&quot;* &quot;-&quot;??_);_(@_)"/>
    <numFmt numFmtId="192" formatCode="_(* #,##0.0000_);_(* \(#,##0.0000\);_(* &quot;-&quot;????_);_(@_)"/>
    <numFmt numFmtId="193" formatCode="_-[$€-2]\ * #,##0.000_-;\-[$€-2]\ * #,##0.000_-;_-[$€-2]\ * &quot;-&quot;??_-;_-@_-"/>
    <numFmt numFmtId="194" formatCode="_-[$€-2]\ * #,##0.00_-;\-[$€-2]\ * #,##0.00_-;_-[$€-2]\ * &quot;-&quot;??_-;_-@_-"/>
    <numFmt numFmtId="195" formatCode="_-[$€-2]\ * #,##0.0000_-;\-[$€-2]\ * #,##0.0000_-;_-[$€-2]\ * &quot;-&quot;??_-;_-@_-"/>
    <numFmt numFmtId="196" formatCode="_-[$$-409]* #,##0.0000_ ;_-[$$-409]* \-#,##0.0000\ ;_-[$$-409]* &quot;-&quot;??_ ;_-@_ "/>
    <numFmt numFmtId="197" formatCode="[$$-409]#,##0.00_ ;\-[$$-409]#,##0.00\ "/>
    <numFmt numFmtId="198" formatCode="_-* #,##0_-;\-* #,##0_-;_-* &quot;-&quot;_-;_-@_-"/>
    <numFmt numFmtId="199" formatCode="_-[$$-409]* #,##0_ ;_-[$$-409]* \-#,##0\ ;_-[$$-409]* &quot;-&quot;??_ ;_-@_ "/>
    <numFmt numFmtId="200" formatCode="_-[$$-409]* #,##0.00_ ;_-[$$-409]* \-#,##0.00\ ;_-[$$-409]* &quot;-&quot;??_ ;_-@_ "/>
    <numFmt numFmtId="201" formatCode="[$€-2]\ #,##0.000"/>
    <numFmt numFmtId="202" formatCode="[$€-2]\ #,##0"/>
    <numFmt numFmtId="203" formatCode="[$€-2]\ #,##0.0000"/>
    <numFmt numFmtId="204" formatCode="[$$-409]#,##0.000"/>
    <numFmt numFmtId="205" formatCode="_ * #,##0_ ;_ * \-#,##0_ ;_ * &quot;-&quot;??_ ;_ @_ "/>
    <numFmt numFmtId="206" formatCode="[$$-409]#,##0_ ;[Red]\-[$$-409]#,##0\ "/>
    <numFmt numFmtId="207" formatCode="0.00000"/>
    <numFmt numFmtId="208" formatCode="\€0.00"/>
    <numFmt numFmtId="209" formatCode="&quot;$&quot;\ #,##0.000"/>
    <numFmt numFmtId="210" formatCode="0.000000000"/>
    <numFmt numFmtId="211" formatCode="0\ &quot;mm width&quot;"/>
    <numFmt numFmtId="212" formatCode="0\ &quot;mm height&quot;"/>
    <numFmt numFmtId="213" formatCode="0\ &quot;mm length&quot;"/>
    <numFmt numFmtId="214" formatCode="#,##0.0"/>
    <numFmt numFmtId="215" formatCode="\€0.0000"/>
    <numFmt numFmtId="216" formatCode="&quot;$&quot;0.0000"/>
    <numFmt numFmtId="217" formatCode="_(* #,##0.00000_);_(* \(#,##0.00000\);_(* &quot;-&quot;??_);_(@_)"/>
    <numFmt numFmtId="218" formatCode="&quot;$&quot;\ #,##0.0000"/>
    <numFmt numFmtId="219" formatCode="\€0.000"/>
    <numFmt numFmtId="220" formatCode="&quot;$&quot;0.000"/>
    <numFmt numFmtId="221" formatCode="_ * #,##0.00_ ;_ * \-#,##0.00_ ;_ * &quot;-&quot;??_ ;_ @_ "/>
    <numFmt numFmtId="222" formatCode="0\ &quot;mm&quot;"/>
    <numFmt numFmtId="223" formatCode="\€#,##0.000"/>
    <numFmt numFmtId="224" formatCode="&quot;$&quot;#,##0.000"/>
    <numFmt numFmtId="225" formatCode="\€0.0000;[Red]\-\€0.0000"/>
    <numFmt numFmtId="226" formatCode="&quot;$&quot;0.0000;[Red]\-&quot;$&quot;0.0000"/>
    <numFmt numFmtId="227" formatCode="0.0%;[Red]\-0.0%"/>
    <numFmt numFmtId="228" formatCode="0.00\x"/>
  </numFmts>
  <fonts count="157">
    <font>
      <sz val="11"/>
      <color theme="1"/>
      <name val="Aptos Narrow"/>
      <family val="2"/>
      <scheme val="minor"/>
    </font>
    <font>
      <sz val="11"/>
      <color theme="1"/>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David"/>
      <family val="2"/>
      <charset val="177"/>
    </font>
    <font>
      <b/>
      <sz val="11"/>
      <color rgb="FF000000"/>
      <name val="Calibri"/>
      <family val="2"/>
    </font>
    <font>
      <sz val="11"/>
      <color theme="1"/>
      <name val="Calibri"/>
      <family val="2"/>
    </font>
    <font>
      <sz val="11"/>
      <color theme="1"/>
      <name val="Arial"/>
      <family val="2"/>
    </font>
    <font>
      <b/>
      <sz val="11"/>
      <color rgb="FFFFFFFF"/>
      <name val="Aptos Narrow"/>
      <family val="2"/>
      <scheme val="minor"/>
    </font>
    <font>
      <b/>
      <sz val="11"/>
      <color rgb="FFFFFFFF"/>
      <name val="Calibri"/>
      <family val="2"/>
    </font>
    <font>
      <sz val="11"/>
      <name val="Aptos Narrow"/>
      <family val="2"/>
      <scheme val="minor"/>
    </font>
    <font>
      <b/>
      <sz val="11"/>
      <name val="Aptos Narrow"/>
      <family val="2"/>
      <scheme val="minor"/>
    </font>
    <font>
      <sz val="11"/>
      <color theme="1"/>
      <name val="Aptos Narrow"/>
      <family val="2"/>
      <charset val="177"/>
      <scheme val="minor"/>
    </font>
    <font>
      <b/>
      <sz val="18"/>
      <color rgb="FF1F4E79"/>
      <name val="Aptos Narrow"/>
      <family val="2"/>
      <scheme val="minor"/>
    </font>
    <font>
      <b/>
      <sz val="14"/>
      <color theme="1"/>
      <name val="Aptos Narrow"/>
      <family val="2"/>
      <scheme val="minor"/>
    </font>
    <font>
      <sz val="11"/>
      <color rgb="FF006100"/>
      <name val="Aptos Narrow"/>
      <family val="2"/>
      <scheme val="minor"/>
    </font>
    <font>
      <sz val="11"/>
      <color rgb="FF9C0006"/>
      <name val="Aptos Narrow"/>
      <family val="2"/>
      <scheme val="minor"/>
    </font>
    <font>
      <b/>
      <sz val="11"/>
      <color theme="0"/>
      <name val="Aptos Narrow"/>
      <family val="2"/>
      <scheme val="minor"/>
    </font>
    <font>
      <sz val="11"/>
      <color rgb="FF242424"/>
      <name val="Segoe UI"/>
      <family val="2"/>
    </font>
    <font>
      <b/>
      <sz val="12"/>
      <color theme="1"/>
      <name val="Calibri"/>
      <family val="2"/>
    </font>
    <font>
      <b/>
      <sz val="12"/>
      <color theme="1"/>
      <name val="Arial"/>
      <family val="2"/>
    </font>
    <font>
      <b/>
      <sz val="11"/>
      <color rgb="FF000000"/>
      <name val="Arial"/>
      <family val="2"/>
    </font>
    <font>
      <b/>
      <i/>
      <sz val="11"/>
      <color rgb="FF7F7F7F"/>
      <name val="Aptos Narrow"/>
      <family val="2"/>
      <scheme val="minor"/>
    </font>
    <font>
      <b/>
      <sz val="12"/>
      <color theme="1"/>
      <name val="Aptos Narrow"/>
      <family val="2"/>
      <scheme val="minor"/>
    </font>
    <font>
      <sz val="12"/>
      <name val="Aptos Narrow"/>
      <family val="2"/>
      <scheme val="minor"/>
    </font>
    <font>
      <b/>
      <sz val="12"/>
      <color theme="0"/>
      <name val="Aptos Narrow"/>
      <family val="2"/>
      <scheme val="minor"/>
    </font>
    <font>
      <b/>
      <sz val="11"/>
      <color rgb="FFFF0000"/>
      <name val="Aptos Narrow"/>
      <family val="2"/>
      <scheme val="minor"/>
    </font>
    <font>
      <b/>
      <sz val="14"/>
      <color rgb="FF000000"/>
      <name val="Aptos Narrow"/>
      <family val="2"/>
      <scheme val="minor"/>
    </font>
    <font>
      <b/>
      <sz val="11"/>
      <color rgb="FF000000"/>
      <name val="Aptos Narrow"/>
      <family val="2"/>
      <scheme val="minor"/>
    </font>
    <font>
      <sz val="9"/>
      <color theme="1"/>
      <name val="Aptos Narrow"/>
      <family val="2"/>
      <scheme val="minor"/>
    </font>
    <font>
      <b/>
      <sz val="11"/>
      <color theme="5" tint="-0.499984740745262"/>
      <name val="Aptos Narrow"/>
      <family val="2"/>
      <scheme val="minor"/>
    </font>
    <font>
      <b/>
      <sz val="12"/>
      <name val="Aptos Narrow"/>
      <family val="2"/>
      <scheme val="minor"/>
    </font>
    <font>
      <b/>
      <sz val="12"/>
      <color rgb="FF000000"/>
      <name val="Aptos Narrow"/>
      <family val="2"/>
      <scheme val="minor"/>
    </font>
    <font>
      <b/>
      <sz val="12"/>
      <color theme="5" tint="-0.499984740745262"/>
      <name val="Aptos Narrow"/>
      <family val="2"/>
      <scheme val="minor"/>
    </font>
    <font>
      <b/>
      <sz val="10"/>
      <color rgb="FFFFFFFF"/>
      <name val="Aptos Narrow"/>
      <family val="2"/>
      <scheme val="minor"/>
    </font>
    <font>
      <i/>
      <sz val="11"/>
      <color rgb="FF666666"/>
      <name val="Aptos Narrow"/>
      <family val="2"/>
      <scheme val="minor"/>
    </font>
    <font>
      <b/>
      <sz val="12"/>
      <color rgb="FF1F4E79"/>
      <name val="Aptos Narrow"/>
      <family val="2"/>
      <scheme val="minor"/>
    </font>
    <font>
      <b/>
      <sz val="14"/>
      <color rgb="FF666666"/>
      <name val="Aptos Narrow"/>
      <family val="2"/>
      <scheme val="minor"/>
    </font>
    <font>
      <sz val="11"/>
      <color rgb="FF2E7D32"/>
      <name val="Aptos Narrow"/>
      <family val="2"/>
      <scheme val="minor"/>
    </font>
    <font>
      <i/>
      <sz val="9"/>
      <color rgb="FFCC0000"/>
      <name val="Aptos Narrow"/>
      <family val="2"/>
      <scheme val="minor"/>
    </font>
    <font>
      <b/>
      <sz val="11"/>
      <color rgb="FF0070FF"/>
      <name val="Aptos Narrow"/>
      <family val="2"/>
      <scheme val="minor"/>
    </font>
    <font>
      <b/>
      <sz val="14"/>
      <color rgb="FFFFFFFF"/>
      <name val="Aptos Narrow"/>
      <family val="2"/>
      <scheme val="minor"/>
    </font>
    <font>
      <sz val="10"/>
      <color theme="1"/>
      <name val="Aptos Narrow"/>
      <family val="2"/>
      <scheme val="minor"/>
    </font>
    <font>
      <b/>
      <sz val="12"/>
      <color rgb="FFE0F2F1"/>
      <name val="Aptos Narrow"/>
      <family val="2"/>
      <scheme val="minor"/>
    </font>
    <font>
      <b/>
      <sz val="16"/>
      <color theme="1"/>
      <name val="Aptos Narrow"/>
      <family val="2"/>
      <scheme val="minor"/>
    </font>
    <font>
      <b/>
      <sz val="18"/>
      <color rgb="FF1F4E79"/>
      <name val="Calibri"/>
      <family val="2"/>
    </font>
    <font>
      <i/>
      <sz val="12"/>
      <color rgb="FF5B9BD5"/>
      <name val="Calibri"/>
      <family val="2"/>
    </font>
    <font>
      <b/>
      <sz val="14"/>
      <color theme="1"/>
      <name val="Calibri"/>
      <family val="2"/>
    </font>
    <font>
      <sz val="14"/>
      <color theme="1"/>
      <name val="Calibri"/>
      <family val="2"/>
    </font>
    <font>
      <sz val="10"/>
      <color theme="1"/>
      <name val="Calibri"/>
      <family val="2"/>
    </font>
    <font>
      <b/>
      <sz val="14"/>
      <color rgb="FFFFFFFF"/>
      <name val="Calibri"/>
      <family val="2"/>
    </font>
    <font>
      <b/>
      <sz val="11"/>
      <color theme="1"/>
      <name val="Calibri"/>
      <family val="2"/>
    </font>
    <font>
      <i/>
      <sz val="11"/>
      <color theme="1"/>
      <name val="Calibri"/>
      <family val="2"/>
    </font>
    <font>
      <b/>
      <sz val="14"/>
      <color rgb="FF000000"/>
      <name val="Calibri"/>
      <family val="2"/>
    </font>
    <font>
      <i/>
      <sz val="11"/>
      <color rgb="FF808080"/>
      <name val="Calibri"/>
      <family val="2"/>
    </font>
    <font>
      <sz val="8"/>
      <name val="Aptos Narrow"/>
      <family val="2"/>
      <scheme val="minor"/>
    </font>
    <font>
      <sz val="11"/>
      <color rgb="FF1F4E1F"/>
      <name val="Aptos Narrow"/>
      <family val="2"/>
      <scheme val="minor"/>
    </font>
    <font>
      <sz val="10"/>
      <color rgb="FF1F4E1F"/>
      <name val="Aptos Narrow"/>
      <family val="2"/>
      <scheme val="minor"/>
    </font>
    <font>
      <b/>
      <sz val="11"/>
      <color rgb="FF1F4E1F"/>
      <name val="Aptos Narrow"/>
      <family val="2"/>
      <scheme val="minor"/>
    </font>
    <font>
      <b/>
      <sz val="12"/>
      <color rgb="FF1F4E1F"/>
      <name val="Aptos Narrow"/>
      <family val="2"/>
      <scheme val="minor"/>
    </font>
    <font>
      <b/>
      <i/>
      <sz val="9"/>
      <color rgb="FFFF0000"/>
      <name val="Aptos Narrow"/>
      <family val="2"/>
      <scheme val="minor"/>
    </font>
    <font>
      <b/>
      <sz val="10"/>
      <color rgb="FF1F1F1F"/>
      <name val="Aptos"/>
      <family val="2"/>
    </font>
    <font>
      <sz val="11"/>
      <color rgb="FF1F1F1F"/>
      <name val="Aptos"/>
      <family val="2"/>
    </font>
    <font>
      <sz val="10"/>
      <color rgb="FF1F1F1F"/>
      <name val="Aptos"/>
      <family val="2"/>
    </font>
    <font>
      <b/>
      <sz val="10"/>
      <color rgb="FFFFFFFF"/>
      <name val="Aptos"/>
      <family val="2"/>
    </font>
    <font>
      <b/>
      <sz val="14"/>
      <color rgb="FF1F4E78"/>
      <name val="Aptos"/>
      <family val="2"/>
    </font>
    <font>
      <b/>
      <sz val="11"/>
      <color rgb="FF1F4E78"/>
      <name val="Aptos"/>
      <family val="2"/>
    </font>
    <font>
      <b/>
      <sz val="13"/>
      <color rgb="FFFFFFFF"/>
      <name val="Aptos"/>
      <family val="2"/>
    </font>
    <font>
      <b/>
      <sz val="11"/>
      <color rgb="FFFFFFFF"/>
      <name val="Aptos"/>
      <family val="2"/>
    </font>
    <font>
      <sz val="9"/>
      <color rgb="FF666666"/>
      <name val="Aptos"/>
      <family val="2"/>
    </font>
    <font>
      <b/>
      <sz val="12"/>
      <color rgb="FF1F4E78"/>
      <name val="Aptos"/>
      <family val="2"/>
    </font>
    <font>
      <b/>
      <sz val="14"/>
      <color rgb="FFC00000"/>
      <name val="Aptos"/>
      <family val="2"/>
    </font>
    <font>
      <b/>
      <sz val="11"/>
      <color rgb="FF7030A0"/>
      <name val="Aptos"/>
      <family val="2"/>
    </font>
    <font>
      <b/>
      <sz val="10"/>
      <color rgb="FF833C0C"/>
      <name val="Aptos"/>
      <family val="2"/>
    </font>
    <font>
      <b/>
      <sz val="11"/>
      <color rgb="FF1F4E79"/>
      <name val="Aptos Narrow"/>
      <family val="2"/>
      <scheme val="minor"/>
    </font>
    <font>
      <b/>
      <sz val="11"/>
      <color rgb="FF7F6000"/>
      <name val="Aptos Narrow"/>
      <family val="2"/>
      <scheme val="minor"/>
    </font>
    <font>
      <b/>
      <i/>
      <sz val="9"/>
      <color rgb="FF7F6000"/>
      <name val="Aptos Narrow"/>
      <family val="2"/>
      <scheme val="minor"/>
    </font>
    <font>
      <b/>
      <sz val="12"/>
      <color rgb="FF7F6000"/>
      <name val="Aptos Narrow"/>
      <family val="2"/>
      <scheme val="minor"/>
    </font>
    <font>
      <sz val="11"/>
      <color rgb="FF666666"/>
      <name val="Aptos Narrow"/>
      <family val="2"/>
      <scheme val="minor"/>
    </font>
    <font>
      <sz val="9"/>
      <color rgb="FF666666"/>
      <name val="Aptos"/>
      <family val="2"/>
    </font>
    <font>
      <b/>
      <i/>
      <sz val="9"/>
      <color rgb="FF000000"/>
      <name val="Aptos Narrow"/>
      <family val="2"/>
      <scheme val="minor"/>
    </font>
    <font>
      <b/>
      <sz val="10"/>
      <color rgb="FFFFFFFF"/>
      <name val="Aptos"/>
      <family val="2"/>
    </font>
    <font>
      <sz val="12"/>
      <color theme="1"/>
      <name val="Aptos Narrow"/>
      <family val="2"/>
      <scheme val="minor"/>
    </font>
    <font>
      <sz val="12"/>
      <color rgb="FFFF0000"/>
      <name val="Aptos Narrow"/>
      <family val="2"/>
      <scheme val="minor"/>
    </font>
    <font>
      <b/>
      <u/>
      <sz val="11"/>
      <color theme="1"/>
      <name val="Aptos Narrow"/>
      <family val="2"/>
      <scheme val="minor"/>
    </font>
    <font>
      <sz val="11"/>
      <color theme="0" tint="-0.499984740745262"/>
      <name val="Aptos Narrow"/>
      <family val="2"/>
      <scheme val="minor"/>
    </font>
    <font>
      <sz val="11"/>
      <color rgb="FF000000"/>
      <name val="Aptos Narrow"/>
      <family val="2"/>
      <scheme val="minor"/>
    </font>
    <font>
      <b/>
      <sz val="16"/>
      <color theme="0"/>
      <name val="Aptos Narrow"/>
      <family val="2"/>
      <scheme val="minor"/>
    </font>
    <font>
      <b/>
      <sz val="14"/>
      <color rgb="FFFF0000"/>
      <name val="Aptos Narrow"/>
      <family val="2"/>
      <scheme val="minor"/>
    </font>
    <font>
      <sz val="11"/>
      <color rgb="FF313949"/>
      <name val="Arial"/>
      <family val="2"/>
    </font>
    <font>
      <b/>
      <sz val="12"/>
      <color rgb="FFFF0000"/>
      <name val="Aptos Narrow"/>
      <family val="2"/>
      <scheme val="minor"/>
    </font>
    <font>
      <sz val="11"/>
      <color rgb="FF313949"/>
      <name val="Var(--crm-font-regular)"/>
    </font>
    <font>
      <b/>
      <u/>
      <sz val="12"/>
      <color theme="1"/>
      <name val="Aptos Narrow"/>
      <family val="2"/>
      <scheme val="minor"/>
    </font>
    <font>
      <sz val="10"/>
      <color theme="1"/>
      <name val="Arial"/>
      <family val="2"/>
    </font>
    <font>
      <b/>
      <sz val="9"/>
      <color indexed="81"/>
      <name val="Tahoma"/>
      <family val="2"/>
    </font>
    <font>
      <sz val="9"/>
      <color indexed="81"/>
      <name val="Tahoma"/>
      <family val="2"/>
    </font>
    <font>
      <b/>
      <i/>
      <sz val="9"/>
      <color rgb="FF1F4E78"/>
      <name val="Aptos Narrow"/>
      <family val="2"/>
      <scheme val="minor"/>
    </font>
    <font>
      <b/>
      <sz val="11"/>
      <color rgb="FF1F4E78"/>
      <name val="Aptos Narrow"/>
      <family val="2"/>
      <scheme val="minor"/>
    </font>
    <font>
      <i/>
      <sz val="9"/>
      <color rgb="FF000000"/>
      <name val="Aptos Narrow"/>
      <family val="2"/>
      <scheme val="minor"/>
    </font>
    <font>
      <sz val="10"/>
      <color rgb="FF424242"/>
      <name val="Aptos"/>
      <family val="2"/>
    </font>
    <font>
      <sz val="10"/>
      <color rgb="FF424242"/>
      <name val="Aptos"/>
      <family val="2"/>
    </font>
    <font>
      <sz val="10"/>
      <color rgb="FF424242"/>
      <name val="Courier New"/>
      <family val="3"/>
    </font>
    <font>
      <sz val="10"/>
      <color rgb="FF424242"/>
      <name val="Courier New"/>
      <family val="3"/>
    </font>
    <font>
      <b/>
      <i/>
      <sz val="12"/>
      <color theme="1"/>
      <name val="Aptos Narrow"/>
      <family val="2"/>
      <scheme val="minor"/>
    </font>
    <font>
      <b/>
      <i/>
      <sz val="11"/>
      <color rgb="FF666666"/>
      <name val="Aptos Narrow"/>
      <family val="2"/>
      <scheme val="minor"/>
    </font>
    <font>
      <b/>
      <sz val="11"/>
      <color rgb="FF666666"/>
      <name val="Aptos Narrow"/>
      <family val="2"/>
      <scheme val="minor"/>
    </font>
    <font>
      <sz val="11"/>
      <color theme="1"/>
      <name val="Aptos"/>
      <family val="2"/>
    </font>
    <font>
      <b/>
      <sz val="11"/>
      <color rgb="FFFFFFFF"/>
      <name val="Aptos"/>
      <family val="2"/>
    </font>
    <font>
      <b/>
      <sz val="11"/>
      <color rgb="FF000000"/>
      <name val="Aptos"/>
      <family val="2"/>
    </font>
    <font>
      <sz val="11"/>
      <color rgb="FF000000"/>
      <name val="Aptos"/>
      <family val="2"/>
    </font>
    <font>
      <sz val="11"/>
      <color theme="1"/>
      <name val="Aptos"/>
      <family val="2"/>
    </font>
    <font>
      <b/>
      <sz val="10"/>
      <color rgb="FFFFFFFF"/>
      <name val="Aptos"/>
      <family val="2"/>
    </font>
    <font>
      <sz val="10"/>
      <color theme="1"/>
      <name val="Aptos"/>
      <family val="2"/>
    </font>
    <font>
      <b/>
      <i/>
      <sz val="10"/>
      <color rgb="FF5F4B00"/>
      <name val="Aptos"/>
      <family val="2"/>
    </font>
    <font>
      <b/>
      <sz val="12"/>
      <color rgb="FFFFFFFF"/>
      <name val="Aptos Narrow"/>
      <family val="2"/>
      <scheme val="minor"/>
    </font>
    <font>
      <sz val="10"/>
      <color rgb="FF000000"/>
      <name val="Aptos Narrow"/>
      <family val="2"/>
      <scheme val="minor"/>
    </font>
    <font>
      <b/>
      <sz val="10"/>
      <color rgb="FF000000"/>
      <name val="Aptos Narrow"/>
      <family val="2"/>
      <scheme val="minor"/>
    </font>
    <font>
      <i/>
      <sz val="10"/>
      <color rgb="FF000000"/>
      <name val="Aptos Narrow"/>
      <family val="2"/>
      <scheme val="minor"/>
    </font>
    <font>
      <b/>
      <i/>
      <sz val="10"/>
      <color rgb="FF000000"/>
      <name val="Aptos Narrow"/>
      <family val="2"/>
      <scheme val="minor"/>
    </font>
    <font>
      <b/>
      <sz val="10"/>
      <color theme="1"/>
      <name val="Aptos Narrow"/>
      <family val="2"/>
      <scheme val="minor"/>
    </font>
    <font>
      <i/>
      <sz val="10"/>
      <color theme="1"/>
      <name val="Aptos Narrow"/>
      <family val="2"/>
      <scheme val="minor"/>
    </font>
    <font>
      <b/>
      <sz val="18"/>
      <color rgb="FFFFFFFF"/>
      <name val="Aptos Narrow"/>
      <family val="2"/>
      <scheme val="minor"/>
    </font>
    <font>
      <sz val="11"/>
      <color theme="1"/>
      <name val="Aptos"/>
      <family val="2"/>
    </font>
    <font>
      <b/>
      <sz val="11"/>
      <color rgb="FF274E13"/>
      <name val="Aptos Narrow"/>
      <family val="2"/>
      <scheme val="minor"/>
    </font>
    <font>
      <b/>
      <sz val="12"/>
      <color rgb="FF7F6000"/>
      <name val="Aptos Narrow"/>
      <family val="2"/>
    </font>
    <font>
      <b/>
      <sz val="11"/>
      <color theme="1"/>
      <name val="Arial"/>
      <family val="2"/>
    </font>
    <font>
      <sz val="11"/>
      <color rgb="FF000000"/>
      <name val="Arial"/>
      <family val="2"/>
    </font>
    <font>
      <sz val="11"/>
      <name val="Arial"/>
      <family val="2"/>
    </font>
    <font>
      <sz val="10"/>
      <color rgb="FF1F1F1F"/>
      <name val="Aptos Narrow"/>
      <family val="2"/>
      <scheme val="minor"/>
    </font>
    <font>
      <sz val="11"/>
      <color rgb="FF1F1F1F"/>
      <name val="Aptos Narrow"/>
      <family val="2"/>
      <scheme val="minor"/>
    </font>
    <font>
      <b/>
      <i/>
      <sz val="11"/>
      <color rgb="FF1F1F1F"/>
      <name val="Aptos Narrow"/>
      <family val="2"/>
      <scheme val="minor"/>
    </font>
    <font>
      <b/>
      <sz val="11"/>
      <name val="Calibri"/>
      <family val="2"/>
    </font>
    <font>
      <i/>
      <sz val="10"/>
      <color rgb="FF666666"/>
      <name val="Aptos Narrow"/>
      <family val="2"/>
      <scheme val="minor"/>
    </font>
    <font>
      <b/>
      <sz val="11"/>
      <color rgb="FF17365D"/>
      <name val="Aptos Narrow"/>
      <family val="2"/>
      <scheme val="minor"/>
    </font>
    <font>
      <b/>
      <sz val="18"/>
      <color rgb="FFFFFFFF"/>
      <name val="Aptos"/>
      <family val="2"/>
    </font>
    <font>
      <i/>
      <sz val="10"/>
      <color rgb="FF666666"/>
      <name val="Aptos"/>
      <family val="2"/>
    </font>
    <font>
      <sz val="11"/>
      <color theme="1"/>
      <name val="Aptos"/>
      <family val="2"/>
    </font>
    <font>
      <b/>
      <sz val="11"/>
      <color rgb="FFFFFFFF"/>
      <name val="Aptos"/>
      <family val="2"/>
    </font>
    <font>
      <b/>
      <sz val="11"/>
      <color rgb="FF17365D"/>
      <name val="Aptos"/>
      <family val="2"/>
    </font>
    <font>
      <b/>
      <sz val="11"/>
      <color theme="1"/>
      <name val="Aptos"/>
      <family val="2"/>
    </font>
    <font>
      <i/>
      <sz val="11"/>
      <color rgb="FF555555"/>
      <name val="Aptos Narrow"/>
      <family val="2"/>
      <scheme val="minor"/>
    </font>
    <font>
      <sz val="10"/>
      <color rgb="FF243447"/>
      <name val="Aptos"/>
      <family val="2"/>
    </font>
    <font>
      <b/>
      <sz val="10"/>
      <color rgb="FFFFFFFF"/>
      <name val="Aptos"/>
      <family val="2"/>
    </font>
    <font>
      <b/>
      <sz val="10"/>
      <color rgb="FF243447"/>
      <name val="Aptos"/>
      <family val="2"/>
    </font>
    <font>
      <b/>
      <sz val="11"/>
      <color rgb="FF243447"/>
      <name val="Aptos Narrow"/>
      <family val="2"/>
      <scheme val="minor"/>
    </font>
    <font>
      <b/>
      <sz val="12"/>
      <color rgb="FFFFFFFF"/>
      <name val="Aptos"/>
      <family val="2"/>
    </font>
    <font>
      <b/>
      <sz val="16"/>
      <color rgb="FF1F4E78"/>
      <name val="Aptos"/>
      <family val="2"/>
    </font>
    <font>
      <b/>
      <sz val="13"/>
      <color rgb="FFFFFFFF"/>
      <name val="Aptos"/>
      <family val="2"/>
    </font>
    <font>
      <b/>
      <sz val="16"/>
      <color rgb="FF7F6000"/>
      <name val="Aptos"/>
      <family val="2"/>
    </font>
    <font>
      <b/>
      <sz val="10"/>
      <color rgb="FF548235"/>
      <name val="Aptos"/>
      <family val="2"/>
    </font>
    <font>
      <b/>
      <sz val="16"/>
      <color rgb="FF00B050"/>
      <name val="Aptos"/>
      <family val="2"/>
    </font>
    <font>
      <sz val="10"/>
      <color rgb="FF243447"/>
      <name val="Aptos"/>
      <family val="2"/>
    </font>
    <font>
      <b/>
      <sz val="10"/>
      <color rgb="FF243447"/>
      <name val="Aptos"/>
      <family val="2"/>
    </font>
    <font>
      <sz val="11"/>
      <color rgb="FF0000FF"/>
      <name val="Aptos Narrow"/>
      <family val="2"/>
      <scheme val="minor"/>
    </font>
    <font>
      <sz val="11"/>
      <color rgb="FF0000FF"/>
      <name val="Aptos"/>
      <family val="2"/>
    </font>
  </fonts>
  <fills count="92">
    <fill>
      <patternFill patternType="none"/>
    </fill>
    <fill>
      <patternFill patternType="gray125"/>
    </fill>
    <fill>
      <patternFill patternType="solid">
        <fgColor theme="2"/>
        <bgColor indexed="64"/>
      </patternFill>
    </fill>
    <fill>
      <patternFill patternType="solid">
        <fgColor theme="1" tint="4.9989318521683403E-2"/>
        <bgColor indexed="64"/>
      </patternFill>
    </fill>
    <fill>
      <patternFill patternType="solid">
        <fgColor rgb="FF1F4E79"/>
        <bgColor indexed="64"/>
      </patternFill>
    </fill>
    <fill>
      <patternFill patternType="solid">
        <fgColor rgb="FF2E75B6"/>
        <bgColor indexed="64"/>
      </patternFill>
    </fill>
    <fill>
      <patternFill patternType="solid">
        <fgColor rgb="FF4472C4"/>
        <bgColor indexed="64"/>
      </patternFill>
    </fill>
    <fill>
      <patternFill patternType="solid">
        <fgColor rgb="FFD6DCE5"/>
        <bgColor indexed="64"/>
      </patternFill>
    </fill>
    <fill>
      <patternFill patternType="solid">
        <fgColor rgb="FFE9EEF4"/>
        <bgColor indexed="64"/>
      </patternFill>
    </fill>
    <fill>
      <patternFill patternType="solid">
        <fgColor rgb="FF92D050"/>
        <bgColor indexed="64"/>
      </patternFill>
    </fill>
    <fill>
      <patternFill patternType="solid">
        <fgColor rgb="FF5B9BD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patternFill>
    </fill>
    <fill>
      <patternFill patternType="solid">
        <fgColor rgb="FFC6EFCE"/>
      </patternFill>
    </fill>
    <fill>
      <patternFill patternType="solid">
        <fgColor rgb="FFFFC7CE"/>
      </patternFill>
    </fill>
    <fill>
      <patternFill patternType="solid">
        <fgColor theme="4" tint="0.39997558519241921"/>
        <bgColor indexed="65"/>
      </patternFill>
    </fill>
    <fill>
      <patternFill patternType="solid">
        <fgColor rgb="FF70AD47"/>
        <bgColor indexed="64"/>
      </patternFill>
    </fill>
    <fill>
      <patternFill patternType="solid">
        <fgColor rgb="FFFFC0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3" tint="0.749992370372631"/>
        <bgColor indexed="64"/>
      </patternFill>
    </fill>
    <fill>
      <patternFill patternType="solid">
        <fgColor rgb="FFFFFFFF"/>
        <bgColor indexed="64"/>
      </patternFill>
    </fill>
    <fill>
      <patternFill patternType="solid">
        <fgColor theme="8" tint="0.79998168889431442"/>
        <bgColor indexed="64"/>
      </patternFill>
    </fill>
    <fill>
      <patternFill patternType="solid">
        <fgColor theme="6" tint="0.39997558519241921"/>
        <bgColor rgb="FF000000"/>
      </patternFill>
    </fill>
    <fill>
      <patternFill patternType="solid">
        <fgColor theme="4" tint="0.39997558519241921"/>
        <bgColor rgb="FF000000"/>
      </patternFill>
    </fill>
    <fill>
      <patternFill patternType="solid">
        <fgColor rgb="FFFFC000"/>
        <bgColor rgb="FF000000"/>
      </patternFill>
    </fill>
    <fill>
      <patternFill patternType="solid">
        <fgColor theme="9" tint="0.79998168889431442"/>
        <bgColor indexed="64"/>
      </patternFill>
    </fill>
    <fill>
      <patternFill patternType="solid">
        <fgColor theme="5" tint="0.79998168889431442"/>
        <bgColor rgb="FF000000"/>
      </patternFill>
    </fill>
    <fill>
      <patternFill patternType="solid">
        <fgColor rgb="FFFFFFCC"/>
        <bgColor indexed="64"/>
      </patternFill>
    </fill>
    <fill>
      <patternFill patternType="solid">
        <fgColor theme="4" tint="0.59999389629810485"/>
        <bgColor rgb="FF000000"/>
      </patternFill>
    </fill>
    <fill>
      <patternFill patternType="solid">
        <fgColor theme="6"/>
        <bgColor rgb="FF000000"/>
      </patternFill>
    </fill>
    <fill>
      <patternFill patternType="solid">
        <fgColor rgb="FFFFFF00"/>
        <bgColor rgb="FF000000"/>
      </patternFill>
    </fill>
    <fill>
      <patternFill patternType="solid">
        <fgColor theme="5"/>
        <bgColor rgb="FF000000"/>
      </patternFill>
    </fill>
    <fill>
      <patternFill patternType="solid">
        <fgColor theme="7" tint="0.59999389629810485"/>
        <bgColor rgb="FF000000"/>
      </patternFill>
    </fill>
    <fill>
      <patternFill patternType="solid">
        <fgColor rgb="FFE8E8E8"/>
        <bgColor indexed="64"/>
      </patternFill>
    </fill>
    <fill>
      <patternFill patternType="solid">
        <fgColor theme="1"/>
        <bgColor indexed="64"/>
      </patternFill>
    </fill>
    <fill>
      <patternFill patternType="solid">
        <fgColor rgb="FFC00000"/>
        <bgColor indexed="64"/>
      </patternFill>
    </fill>
    <fill>
      <patternFill patternType="solid">
        <fgColor rgb="FFE8F4FD"/>
        <bgColor indexed="64"/>
      </patternFill>
    </fill>
    <fill>
      <patternFill patternType="solid">
        <fgColor rgb="FFC6EFCE"/>
        <bgColor indexed="64"/>
      </patternFill>
    </fill>
    <fill>
      <patternFill patternType="solid">
        <fgColor rgb="FFD6DCE4"/>
        <bgColor indexed="64"/>
      </patternFill>
    </fill>
    <fill>
      <patternFill patternType="solid">
        <fgColor rgb="FFE2EFDA"/>
        <bgColor indexed="64"/>
      </patternFill>
    </fill>
    <fill>
      <patternFill patternType="solid">
        <fgColor rgb="FFF2F2F2"/>
        <bgColor indexed="64"/>
      </patternFill>
    </fill>
    <fill>
      <patternFill patternType="solid">
        <fgColor rgb="FFBDD7EE"/>
        <bgColor indexed="64"/>
      </patternFill>
    </fill>
    <fill>
      <patternFill patternType="solid">
        <fgColor rgb="FFDDEBF7"/>
        <bgColor indexed="64"/>
      </patternFill>
    </fill>
    <fill>
      <patternFill patternType="solid">
        <fgColor rgb="FF375623"/>
        <bgColor indexed="64"/>
      </patternFill>
    </fill>
    <fill>
      <patternFill patternType="solid">
        <fgColor rgb="FFD8E4BC"/>
        <bgColor indexed="64"/>
      </patternFill>
    </fill>
    <fill>
      <patternFill patternType="solid">
        <fgColor rgb="FFFFF2CC"/>
        <bgColor indexed="64"/>
      </patternFill>
    </fill>
    <fill>
      <patternFill patternType="solid">
        <fgColor rgb="FFC6E0B4"/>
        <bgColor indexed="64"/>
      </patternFill>
    </fill>
    <fill>
      <patternFill patternType="solid">
        <fgColor rgb="FF7030A0"/>
        <bgColor indexed="64"/>
      </patternFill>
    </fill>
    <fill>
      <patternFill patternType="solid">
        <fgColor rgb="FFE4DFEC"/>
        <bgColor indexed="64"/>
      </patternFill>
    </fill>
    <fill>
      <patternFill patternType="solid">
        <fgColor rgb="FFFCE4D6"/>
        <bgColor indexed="64"/>
      </patternFill>
    </fill>
    <fill>
      <patternFill patternType="solid">
        <fgColor rgb="FF9370DB"/>
        <bgColor indexed="64"/>
      </patternFill>
    </fill>
    <fill>
      <patternFill patternType="solid">
        <fgColor rgb="FFFFD966"/>
        <bgColor indexed="64"/>
      </patternFill>
    </fill>
    <fill>
      <patternFill patternType="solid">
        <fgColor rgb="FFED7D31"/>
        <bgColor indexed="64"/>
      </patternFill>
    </fill>
    <fill>
      <patternFill patternType="solid">
        <fgColor rgb="FFE2D0F0"/>
        <bgColor indexed="64"/>
      </patternFill>
    </fill>
    <fill>
      <patternFill patternType="solid">
        <fgColor rgb="FFDAEEF3"/>
        <bgColor indexed="64"/>
      </patternFill>
    </fill>
    <fill>
      <patternFill patternType="solid">
        <fgColor rgb="FFA9D08E"/>
        <bgColor indexed="64"/>
      </patternFill>
    </fill>
    <fill>
      <patternFill patternType="solid">
        <fgColor rgb="FF8FAADC"/>
        <bgColor indexed="64"/>
      </patternFill>
    </fill>
    <fill>
      <patternFill patternType="solid">
        <fgColor rgb="FFFF6B6B"/>
        <bgColor indexed="64"/>
      </patternFill>
    </fill>
    <fill>
      <patternFill patternType="solid">
        <fgColor rgb="FFFFCCCC"/>
        <bgColor indexed="64"/>
      </patternFill>
    </fill>
    <fill>
      <patternFill patternType="solid">
        <fgColor rgb="FFEAF4EA"/>
        <bgColor indexed="64"/>
      </patternFill>
    </fill>
    <fill>
      <patternFill patternType="solid">
        <fgColor rgb="FF1F4E78"/>
        <bgColor indexed="64"/>
      </patternFill>
    </fill>
    <fill>
      <patternFill patternType="solid">
        <fgColor rgb="FFE2F0D9"/>
        <bgColor indexed="64"/>
      </patternFill>
    </fill>
    <fill>
      <patternFill patternType="solid">
        <fgColor rgb="FFD9EAF7"/>
        <bgColor indexed="64"/>
      </patternFill>
    </fill>
    <fill>
      <patternFill patternType="solid">
        <fgColor rgb="FFF4CCCC"/>
        <bgColor indexed="64"/>
      </patternFill>
    </fill>
    <fill>
      <patternFill patternType="solid">
        <fgColor rgb="FFEADCF8"/>
        <bgColor indexed="64"/>
      </patternFill>
    </fill>
    <fill>
      <patternFill patternType="solid">
        <fgColor rgb="FFEAF2F8"/>
        <bgColor indexed="64"/>
      </patternFill>
    </fill>
    <fill>
      <patternFill patternType="solid">
        <fgColor theme="0"/>
        <bgColor indexed="64"/>
      </patternFill>
    </fill>
    <fill>
      <patternFill patternType="solid">
        <fgColor theme="5" tint="0.59999389629810485"/>
        <bgColor indexed="64"/>
      </patternFill>
    </fill>
    <fill>
      <patternFill patternType="solid">
        <fgColor rgb="FF35CAE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548235"/>
        <bgColor indexed="64"/>
      </patternFill>
    </fill>
    <fill>
      <patternFill patternType="solid">
        <fgColor rgb="FF44546A"/>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4F8FB"/>
        <bgColor indexed="64"/>
      </patternFill>
    </fill>
    <fill>
      <patternFill patternType="solid">
        <fgColor rgb="FFD9EAD3"/>
        <bgColor indexed="64"/>
      </patternFill>
    </fill>
    <fill>
      <patternFill patternType="solid">
        <fgColor rgb="FF2F75B5"/>
        <bgColor indexed="64"/>
      </patternFill>
    </fill>
    <fill>
      <patternFill patternType="solid">
        <fgColor rgb="FFF3F8FC"/>
        <bgColor indexed="64"/>
      </patternFill>
    </fill>
    <fill>
      <patternFill patternType="solid">
        <fgColor rgb="FF17365D"/>
        <bgColor indexed="64"/>
      </patternFill>
    </fill>
    <fill>
      <patternFill patternType="solid">
        <fgColor rgb="FFEAF3F8"/>
        <bgColor indexed="64"/>
      </patternFill>
    </fill>
    <fill>
      <patternFill patternType="solid">
        <fgColor rgb="FFF3F5F7"/>
        <bgColor indexed="64"/>
      </patternFill>
    </fill>
    <fill>
      <patternFill patternType="solid">
        <fgColor rgb="FF0F6B78"/>
        <bgColor indexed="64"/>
      </patternFill>
    </fill>
  </fills>
  <borders count="182">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auto="1"/>
      </left>
      <right style="thin">
        <color rgb="FFB4C6E7"/>
      </right>
      <top/>
      <bottom/>
      <diagonal/>
    </border>
    <border>
      <left style="thin">
        <color rgb="FFB4C6E7"/>
      </left>
      <right style="thin">
        <color rgb="FFB4C6E7"/>
      </right>
      <top/>
      <bottom/>
      <diagonal/>
    </border>
    <border>
      <left style="thin">
        <color rgb="FFB4C6E7"/>
      </left>
      <right style="thin">
        <color auto="1"/>
      </right>
      <top/>
      <bottom/>
      <diagonal/>
    </border>
    <border>
      <left style="thin">
        <color auto="1"/>
      </left>
      <right style="thin">
        <color rgb="FFB4C6E7"/>
      </right>
      <top/>
      <bottom style="double">
        <color indexed="64"/>
      </bottom>
      <diagonal/>
    </border>
    <border>
      <left style="thin">
        <color rgb="FFB4C6E7"/>
      </left>
      <right style="thin">
        <color rgb="FFB4C6E7"/>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B4C6E7"/>
      </right>
      <top/>
      <bottom/>
      <diagonal/>
    </border>
    <border>
      <left style="thin">
        <color rgb="FFB4C6E7"/>
      </left>
      <right/>
      <top/>
      <bottom/>
      <diagonal/>
    </border>
    <border>
      <left style="thin">
        <color auto="1"/>
      </left>
      <right/>
      <top/>
      <bottom/>
      <diagonal/>
    </border>
    <border>
      <left style="thin">
        <color theme="0"/>
      </left>
      <right/>
      <top/>
      <bottom style="double">
        <color indexed="64"/>
      </bottom>
      <diagonal/>
    </border>
    <border>
      <left style="thin">
        <color indexed="64"/>
      </left>
      <right style="thin">
        <color theme="4"/>
      </right>
      <top style="thin">
        <color indexed="64"/>
      </top>
      <bottom style="medium">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theme="4"/>
      </right>
      <top style="thin">
        <color indexed="64"/>
      </top>
      <bottom/>
      <diagonal/>
    </border>
    <border>
      <left style="medium">
        <color indexed="64"/>
      </left>
      <right/>
      <top/>
      <bottom/>
      <diagonal/>
    </border>
    <border>
      <left/>
      <right style="thin">
        <color theme="0"/>
      </right>
      <top/>
      <bottom style="double">
        <color indexed="64"/>
      </bottom>
      <diagonal/>
    </border>
    <border>
      <left style="thin">
        <color theme="0"/>
      </left>
      <right style="thin">
        <color theme="0"/>
      </right>
      <top/>
      <bottom style="double">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ck">
        <color rgb="FF3D3D3D"/>
      </right>
      <top/>
      <bottom/>
      <diagonal/>
    </border>
    <border>
      <left/>
      <right/>
      <top style="thin">
        <color rgb="FF9E9E9E"/>
      </top>
      <bottom style="thin">
        <color rgb="FF9E9E9E"/>
      </bottom>
      <diagonal/>
    </border>
    <border>
      <left/>
      <right/>
      <top style="thin">
        <color rgb="FF9E9E9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ck">
        <color rgb="FF3D3D3D"/>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9E9E9E"/>
      </right>
      <top/>
      <bottom/>
      <diagonal/>
    </border>
    <border>
      <left style="thin">
        <color rgb="FF9E9E9E"/>
      </left>
      <right style="medium">
        <color indexed="64"/>
      </right>
      <top/>
      <bottom/>
      <diagonal/>
    </border>
    <border>
      <left style="medium">
        <color indexed="64"/>
      </left>
      <right style="thin">
        <color rgb="FF9E9E9E"/>
      </right>
      <top style="thin">
        <color rgb="FFBDBDBD"/>
      </top>
      <bottom/>
      <diagonal/>
    </border>
    <border>
      <left style="thin">
        <color rgb="FF9E9E9E"/>
      </left>
      <right style="medium">
        <color indexed="64"/>
      </right>
      <top style="thin">
        <color rgb="FFBDBDBD"/>
      </top>
      <bottom/>
      <diagonal/>
    </border>
    <border>
      <left style="medium">
        <color indexed="64"/>
      </left>
      <right style="thin">
        <color rgb="FF9E9E9E"/>
      </right>
      <top style="thin">
        <color rgb="FFBDBDBD"/>
      </top>
      <bottom style="thin">
        <color rgb="FFBDBDBD"/>
      </bottom>
      <diagonal/>
    </border>
    <border>
      <left style="thin">
        <color rgb="FF9E9E9E"/>
      </left>
      <right style="medium">
        <color indexed="64"/>
      </right>
      <top style="thin">
        <color rgb="FFBDBDBD"/>
      </top>
      <bottom style="thin">
        <color rgb="FFBDBDBD"/>
      </bottom>
      <diagonal/>
    </border>
    <border>
      <left/>
      <right style="thin">
        <color theme="4"/>
      </right>
      <top style="thin">
        <color theme="4"/>
      </top>
      <bottom/>
      <diagonal/>
    </border>
    <border>
      <left/>
      <right/>
      <top/>
      <bottom style="thin">
        <color rgb="FF5A5A5A"/>
      </bottom>
      <diagonal/>
    </border>
    <border>
      <left style="thin">
        <color rgb="FF5A5A5A"/>
      </left>
      <right/>
      <top/>
      <bottom/>
      <diagonal/>
    </border>
    <border>
      <left style="thin">
        <color rgb="FF5A5A5A"/>
      </left>
      <right/>
      <top/>
      <bottom style="thin">
        <color rgb="FF5A5A5A"/>
      </bottom>
      <diagonal/>
    </border>
    <border>
      <left/>
      <right style="thin">
        <color rgb="FF5A5A5A"/>
      </right>
      <top/>
      <bottom/>
      <diagonal/>
    </border>
    <border>
      <left/>
      <right style="thin">
        <color rgb="FF5A5A5A"/>
      </right>
      <top/>
      <bottom style="thin">
        <color rgb="FF5A5A5A"/>
      </bottom>
      <diagonal/>
    </border>
    <border>
      <left/>
      <right/>
      <top style="thin">
        <color rgb="FFCCCCCC"/>
      </top>
      <bottom style="thin">
        <color rgb="FFCCCCCC"/>
      </bottom>
      <diagonal/>
    </border>
    <border>
      <left style="thin">
        <color rgb="FF5A5A5A"/>
      </left>
      <right/>
      <top style="thin">
        <color rgb="FFCCCCCC"/>
      </top>
      <bottom style="thin">
        <color rgb="FFCCCCCC"/>
      </bottom>
      <diagonal/>
    </border>
    <border>
      <left/>
      <right style="thin">
        <color rgb="FF5A5A5A"/>
      </right>
      <top style="thin">
        <color rgb="FFCCCCCC"/>
      </top>
      <bottom style="thin">
        <color rgb="FFCCCCCC"/>
      </bottom>
      <diagonal/>
    </border>
    <border>
      <left style="thin">
        <color rgb="FF9DC3E6"/>
      </left>
      <right style="thin">
        <color rgb="FF9DC3E6"/>
      </right>
      <top style="thin">
        <color rgb="FF9DC3E6"/>
      </top>
      <bottom style="thin">
        <color rgb="FF9DC3E6"/>
      </bottom>
      <diagonal/>
    </border>
    <border>
      <left style="thin">
        <color rgb="FFA9D08E"/>
      </left>
      <right style="thin">
        <color rgb="FFA9D08E"/>
      </right>
      <top style="thin">
        <color rgb="FFA9D08E"/>
      </top>
      <bottom style="thin">
        <color rgb="FFA9D08E"/>
      </bottom>
      <diagonal/>
    </border>
    <border>
      <left style="thin">
        <color rgb="FFC9A0DC"/>
      </left>
      <right style="thin">
        <color rgb="FFC9A0DC"/>
      </right>
      <top style="thin">
        <color rgb="FFC9A0DC"/>
      </top>
      <bottom style="thin">
        <color rgb="FFC9A0DC"/>
      </bottom>
      <diagonal/>
    </border>
    <border>
      <left style="thin">
        <color rgb="FFA9D08E"/>
      </left>
      <right style="thin">
        <color rgb="FFA9D08E"/>
      </right>
      <top style="thin">
        <color rgb="FFA9D08E"/>
      </top>
      <bottom/>
      <diagonal/>
    </border>
    <border>
      <left style="thin">
        <color rgb="FF9DC3E6"/>
      </left>
      <right style="thin">
        <color rgb="FF9DC3E6"/>
      </right>
      <top style="thin">
        <color rgb="FF9DC3E6"/>
      </top>
      <bottom/>
      <diagonal/>
    </border>
    <border>
      <left style="thin">
        <color rgb="FFC9A0DC"/>
      </left>
      <right style="thin">
        <color rgb="FFC9A0DC"/>
      </right>
      <top style="thin">
        <color rgb="FFC9A0DC"/>
      </top>
      <bottom/>
      <diagonal/>
    </border>
    <border>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9DC3E6"/>
      </left>
      <right style="thin">
        <color rgb="FF9DC3E6"/>
      </right>
      <top/>
      <bottom style="thin">
        <color rgb="FF9DC3E6"/>
      </bottom>
      <diagonal/>
    </border>
    <border>
      <left style="medium">
        <color indexed="64"/>
      </left>
      <right style="thin">
        <color rgb="FF9DC3E6"/>
      </right>
      <top style="medium">
        <color indexed="64"/>
      </top>
      <bottom style="thin">
        <color rgb="FF9DC3E6"/>
      </bottom>
      <diagonal/>
    </border>
    <border>
      <left style="thin">
        <color rgb="FF9DC3E6"/>
      </left>
      <right style="thin">
        <color rgb="FF9DC3E6"/>
      </right>
      <top style="medium">
        <color indexed="64"/>
      </top>
      <bottom style="thin">
        <color rgb="FF9DC3E6"/>
      </bottom>
      <diagonal/>
    </border>
    <border>
      <left style="thin">
        <color rgb="FF9DC3E6"/>
      </left>
      <right style="medium">
        <color indexed="64"/>
      </right>
      <top style="medium">
        <color indexed="64"/>
      </top>
      <bottom style="thin">
        <color rgb="FF9DC3E6"/>
      </bottom>
      <diagonal/>
    </border>
    <border>
      <left style="medium">
        <color indexed="64"/>
      </left>
      <right style="thin">
        <color rgb="FF9DC3E6"/>
      </right>
      <top style="thin">
        <color rgb="FF9DC3E6"/>
      </top>
      <bottom style="thin">
        <color rgb="FF9DC3E6"/>
      </bottom>
      <diagonal/>
    </border>
    <border>
      <left style="thin">
        <color rgb="FF9DC3E6"/>
      </left>
      <right style="medium">
        <color indexed="64"/>
      </right>
      <top style="thin">
        <color rgb="FF9DC3E6"/>
      </top>
      <bottom style="thin">
        <color rgb="FF9DC3E6"/>
      </bottom>
      <diagonal/>
    </border>
    <border>
      <left style="medium">
        <color indexed="64"/>
      </left>
      <right style="thin">
        <color rgb="FF9DC3E6"/>
      </right>
      <top style="thin">
        <color rgb="FF9DC3E6"/>
      </top>
      <bottom/>
      <diagonal/>
    </border>
    <border>
      <left style="thin">
        <color rgb="FF9DC3E6"/>
      </left>
      <right style="medium">
        <color indexed="64"/>
      </right>
      <top style="thin">
        <color rgb="FF9DC3E6"/>
      </top>
      <bottom/>
      <diagonal/>
    </border>
    <border>
      <left style="medium">
        <color indexed="64"/>
      </left>
      <right style="thin">
        <color rgb="FF9DC3E6"/>
      </right>
      <top/>
      <bottom style="thin">
        <color rgb="FF9DC3E6"/>
      </bottom>
      <diagonal/>
    </border>
    <border>
      <left style="thin">
        <color rgb="FF9DC3E6"/>
      </left>
      <right style="medium">
        <color indexed="64"/>
      </right>
      <top/>
      <bottom style="thin">
        <color rgb="FF9DC3E6"/>
      </bottom>
      <diagonal/>
    </border>
    <border>
      <left style="medium">
        <color indexed="64"/>
      </left>
      <right style="thin">
        <color rgb="FF9DC3E6"/>
      </right>
      <top style="thin">
        <color rgb="FF9DC3E6"/>
      </top>
      <bottom style="medium">
        <color indexed="64"/>
      </bottom>
      <diagonal/>
    </border>
    <border>
      <left style="thin">
        <color rgb="FF9DC3E6"/>
      </left>
      <right style="thin">
        <color rgb="FF9DC3E6"/>
      </right>
      <top style="thin">
        <color rgb="FF9DC3E6"/>
      </top>
      <bottom style="medium">
        <color indexed="64"/>
      </bottom>
      <diagonal/>
    </border>
    <border>
      <left style="thin">
        <color rgb="FF9DC3E6"/>
      </left>
      <right style="medium">
        <color indexed="64"/>
      </right>
      <top style="thin">
        <color rgb="FF9DC3E6"/>
      </top>
      <bottom style="medium">
        <color indexed="64"/>
      </bottom>
      <diagonal/>
    </border>
    <border>
      <left style="medium">
        <color indexed="64"/>
      </left>
      <right style="thin">
        <color rgb="FFA9D08E"/>
      </right>
      <top style="medium">
        <color indexed="64"/>
      </top>
      <bottom style="thin">
        <color rgb="FFA9D08E"/>
      </bottom>
      <diagonal/>
    </border>
    <border>
      <left style="thin">
        <color rgb="FFA9D08E"/>
      </left>
      <right style="thin">
        <color rgb="FFA9D08E"/>
      </right>
      <top style="medium">
        <color indexed="64"/>
      </top>
      <bottom style="thin">
        <color rgb="FFA9D08E"/>
      </bottom>
      <diagonal/>
    </border>
    <border>
      <left style="thin">
        <color rgb="FFA9D08E"/>
      </left>
      <right style="medium">
        <color indexed="64"/>
      </right>
      <top style="medium">
        <color indexed="64"/>
      </top>
      <bottom style="thin">
        <color rgb="FFA9D08E"/>
      </bottom>
      <diagonal/>
    </border>
    <border>
      <left style="medium">
        <color indexed="64"/>
      </left>
      <right style="thin">
        <color rgb="FFA9D08E"/>
      </right>
      <top style="thin">
        <color rgb="FFA9D08E"/>
      </top>
      <bottom style="thin">
        <color rgb="FFA9D08E"/>
      </bottom>
      <diagonal/>
    </border>
    <border>
      <left style="thin">
        <color rgb="FFA9D08E"/>
      </left>
      <right style="medium">
        <color indexed="64"/>
      </right>
      <top style="thin">
        <color rgb="FFA9D08E"/>
      </top>
      <bottom style="thin">
        <color rgb="FFA9D08E"/>
      </bottom>
      <diagonal/>
    </border>
    <border>
      <left style="medium">
        <color indexed="64"/>
      </left>
      <right style="thin">
        <color rgb="FFA9D08E"/>
      </right>
      <top style="thin">
        <color rgb="FFA9D08E"/>
      </top>
      <bottom/>
      <diagonal/>
    </border>
    <border>
      <left style="thin">
        <color rgb="FFA9D08E"/>
      </left>
      <right style="medium">
        <color indexed="64"/>
      </right>
      <top style="thin">
        <color rgb="FFA9D08E"/>
      </top>
      <bottom/>
      <diagonal/>
    </border>
    <border>
      <left style="medium">
        <color indexed="64"/>
      </left>
      <right style="thin">
        <color rgb="FFC9A0DC"/>
      </right>
      <top style="medium">
        <color indexed="64"/>
      </top>
      <bottom style="thin">
        <color rgb="FFC9A0DC"/>
      </bottom>
      <diagonal/>
    </border>
    <border>
      <left style="thin">
        <color rgb="FFC9A0DC"/>
      </left>
      <right style="thin">
        <color rgb="FFC9A0DC"/>
      </right>
      <top style="medium">
        <color indexed="64"/>
      </top>
      <bottom style="thin">
        <color rgb="FFC9A0DC"/>
      </bottom>
      <diagonal/>
    </border>
    <border>
      <left style="thin">
        <color rgb="FFC9A0DC"/>
      </left>
      <right style="medium">
        <color indexed="64"/>
      </right>
      <top style="medium">
        <color indexed="64"/>
      </top>
      <bottom style="thin">
        <color rgb="FFC9A0DC"/>
      </bottom>
      <diagonal/>
    </border>
    <border>
      <left style="medium">
        <color indexed="64"/>
      </left>
      <right style="thin">
        <color rgb="FFC9A0DC"/>
      </right>
      <top style="thin">
        <color rgb="FFC9A0DC"/>
      </top>
      <bottom style="thin">
        <color rgb="FFC9A0DC"/>
      </bottom>
      <diagonal/>
    </border>
    <border>
      <left style="thin">
        <color rgb="FFC9A0DC"/>
      </left>
      <right style="medium">
        <color indexed="64"/>
      </right>
      <top style="thin">
        <color rgb="FFC9A0DC"/>
      </top>
      <bottom style="thin">
        <color rgb="FFC9A0DC"/>
      </bottom>
      <diagonal/>
    </border>
    <border>
      <left style="medium">
        <color indexed="64"/>
      </left>
      <right style="thin">
        <color rgb="FFC9A0DC"/>
      </right>
      <top style="thin">
        <color rgb="FFC9A0DC"/>
      </top>
      <bottom/>
      <diagonal/>
    </border>
    <border>
      <left style="thin">
        <color rgb="FFC9A0DC"/>
      </left>
      <right style="medium">
        <color indexed="64"/>
      </right>
      <top style="thin">
        <color rgb="FFC9A0DC"/>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A6A6A6"/>
      </bottom>
      <diagonal/>
    </border>
    <border>
      <left style="thin">
        <color rgb="FFD9E2F3"/>
      </left>
      <right style="thin">
        <color rgb="FFD9E2F3"/>
      </right>
      <top style="thin">
        <color rgb="FFD9E2F3"/>
      </top>
      <bottom style="thin">
        <color rgb="FFA6A6A6"/>
      </bottom>
      <diagonal/>
    </border>
    <border>
      <left style="thin">
        <color rgb="FFD9E2F3"/>
      </left>
      <right/>
      <top style="thin">
        <color rgb="FFD9E2F3"/>
      </top>
      <bottom style="thin">
        <color rgb="FFA6A6A6"/>
      </bottom>
      <diagonal/>
    </border>
    <border>
      <left/>
      <right style="thin">
        <color rgb="FFDDEBF7"/>
      </right>
      <top style="thin">
        <color auto="1"/>
      </top>
      <bottom style="thin">
        <color rgb="FFDDEBF7"/>
      </bottom>
      <diagonal/>
    </border>
    <border>
      <left style="thin">
        <color rgb="FFDDEBF7"/>
      </left>
      <right/>
      <top style="thin">
        <color auto="1"/>
      </top>
      <bottom style="thin">
        <color rgb="FFDDEBF7"/>
      </bottom>
      <diagonal/>
    </border>
    <border>
      <left/>
      <right style="thin">
        <color rgb="FFDDEBF7"/>
      </right>
      <top style="thin">
        <color rgb="FFDDEBF7"/>
      </top>
      <bottom style="thin">
        <color rgb="FFDDEBF7"/>
      </bottom>
      <diagonal/>
    </border>
    <border>
      <left style="thin">
        <color rgb="FFDDEBF7"/>
      </left>
      <right/>
      <top style="thin">
        <color rgb="FFDDEBF7"/>
      </top>
      <bottom style="thin">
        <color rgb="FFDDEBF7"/>
      </bottom>
      <diagonal/>
    </border>
    <border>
      <left/>
      <right style="thin">
        <color rgb="FFDDEBF7"/>
      </right>
      <top style="thin">
        <color rgb="FFDDEBF7"/>
      </top>
      <bottom/>
      <diagonal/>
    </border>
    <border>
      <left style="thin">
        <color rgb="FFDDEBF7"/>
      </left>
      <right/>
      <top style="thin">
        <color rgb="FFDDEBF7"/>
      </top>
      <bottom/>
      <diagonal/>
    </border>
    <border>
      <left/>
      <right style="thin">
        <color rgb="FFE2F0D9"/>
      </right>
      <top/>
      <bottom style="thin">
        <color rgb="FFE2F0D9"/>
      </bottom>
      <diagonal/>
    </border>
    <border>
      <left style="thin">
        <color rgb="FFE2F0D9"/>
      </left>
      <right style="thin">
        <color rgb="FFE2F0D9"/>
      </right>
      <top/>
      <bottom style="thin">
        <color rgb="FFE2F0D9"/>
      </bottom>
      <diagonal/>
    </border>
    <border>
      <left style="thin">
        <color rgb="FFE2F0D9"/>
      </left>
      <right/>
      <top/>
      <bottom style="thin">
        <color rgb="FFE2F0D9"/>
      </bottom>
      <diagonal/>
    </border>
    <border>
      <left/>
      <right style="thin">
        <color rgb="FFE2F0D9"/>
      </right>
      <top style="thin">
        <color rgb="FFE2F0D9"/>
      </top>
      <bottom style="thin">
        <color rgb="FFE2F0D9"/>
      </bottom>
      <diagonal/>
    </border>
    <border>
      <left style="thin">
        <color rgb="FFE2F0D9"/>
      </left>
      <right style="thin">
        <color rgb="FFE2F0D9"/>
      </right>
      <top style="thin">
        <color rgb="FFE2F0D9"/>
      </top>
      <bottom style="thin">
        <color rgb="FFE2F0D9"/>
      </bottom>
      <diagonal/>
    </border>
    <border>
      <left style="thin">
        <color rgb="FFE2F0D9"/>
      </left>
      <right/>
      <top style="thin">
        <color rgb="FFE2F0D9"/>
      </top>
      <bottom style="thin">
        <color rgb="FFE2F0D9"/>
      </bottom>
      <diagonal/>
    </border>
    <border>
      <left/>
      <right style="thin">
        <color rgb="FFE2F0D9"/>
      </right>
      <top style="thin">
        <color rgb="FFE2F0D9"/>
      </top>
      <bottom/>
      <diagonal/>
    </border>
    <border>
      <left style="thin">
        <color rgb="FFE2F0D9"/>
      </left>
      <right style="thin">
        <color rgb="FFE2F0D9"/>
      </right>
      <top style="thin">
        <color rgb="FFE2F0D9"/>
      </top>
      <bottom/>
      <diagonal/>
    </border>
    <border>
      <left style="thin">
        <color rgb="FFE2F0D9"/>
      </left>
      <right/>
      <top style="thin">
        <color rgb="FFE2F0D9"/>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rgb="FF5A5A5A"/>
      </top>
      <bottom/>
      <diagonal/>
    </border>
    <border>
      <left/>
      <right style="thin">
        <color rgb="FF5A5A5A"/>
      </right>
      <top style="thin">
        <color rgb="FF5A5A5A"/>
      </top>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right/>
      <top style="double">
        <color indexed="64"/>
      </top>
      <bottom/>
      <diagonal/>
    </border>
    <border>
      <left style="thin">
        <color indexed="64"/>
      </left>
      <right style="thin">
        <color indexed="64"/>
      </right>
      <top/>
      <bottom/>
      <diagonal/>
    </border>
    <border>
      <left/>
      <right/>
      <top style="thin">
        <color auto="1"/>
      </top>
      <bottom/>
      <diagonal/>
    </border>
    <border>
      <left/>
      <right style="thin">
        <color auto="1"/>
      </right>
      <top/>
      <bottom/>
      <diagonal/>
    </border>
    <border>
      <left/>
      <right/>
      <top/>
      <bottom style="thin">
        <color rgb="FFD9E1E8"/>
      </bottom>
      <diagonal/>
    </border>
    <border>
      <left style="thin">
        <color rgb="FFB8C6D1"/>
      </left>
      <right style="thin">
        <color rgb="FFB8C6D1"/>
      </right>
      <top style="thin">
        <color rgb="FFB8C6D1"/>
      </top>
      <bottom style="thin">
        <color rgb="FFB8C6D1"/>
      </bottom>
      <diagonal/>
    </border>
    <border>
      <left style="medium">
        <color indexed="64"/>
      </left>
      <right/>
      <top style="thin">
        <color rgb="FFB8C6D1"/>
      </top>
      <bottom/>
      <diagonal/>
    </border>
    <border>
      <left/>
      <right/>
      <top style="thin">
        <color rgb="FFB8C6D1"/>
      </top>
      <bottom/>
      <diagonal/>
    </border>
    <border>
      <left/>
      <right style="medium">
        <color indexed="64"/>
      </right>
      <top style="thin">
        <color rgb="FFB8C6D1"/>
      </top>
      <bottom/>
      <diagonal/>
    </border>
    <border>
      <left style="medium">
        <color indexed="64"/>
      </left>
      <right style="thin">
        <color rgb="FFB8C6D1"/>
      </right>
      <top style="thin">
        <color rgb="FFB8C6D1"/>
      </top>
      <bottom style="thin">
        <color rgb="FFB8C6D1"/>
      </bottom>
      <diagonal/>
    </border>
    <border>
      <left style="thin">
        <color rgb="FFB8C6D1"/>
      </left>
      <right style="medium">
        <color indexed="64"/>
      </right>
      <top style="thin">
        <color rgb="FFB8C6D1"/>
      </top>
      <bottom style="thin">
        <color rgb="FFB8C6D1"/>
      </bottom>
      <diagonal/>
    </border>
    <border>
      <left style="medium">
        <color indexed="64"/>
      </left>
      <right style="thin">
        <color rgb="FFB8C6D1"/>
      </right>
      <top style="thin">
        <color rgb="FFB8C6D1"/>
      </top>
      <bottom style="medium">
        <color indexed="64"/>
      </bottom>
      <diagonal/>
    </border>
    <border>
      <left style="thin">
        <color rgb="FFB8C6D1"/>
      </left>
      <right style="thin">
        <color rgb="FFB8C6D1"/>
      </right>
      <top style="thin">
        <color rgb="FFB8C6D1"/>
      </top>
      <bottom style="medium">
        <color indexed="64"/>
      </bottom>
      <diagonal/>
    </border>
    <border>
      <left style="thin">
        <color rgb="FFB8C6D1"/>
      </left>
      <right style="medium">
        <color indexed="64"/>
      </right>
      <top style="thin">
        <color rgb="FFB8C6D1"/>
      </top>
      <bottom style="medium">
        <color indexed="64"/>
      </bottom>
      <diagonal/>
    </border>
    <border>
      <left style="medium">
        <color indexed="64"/>
      </left>
      <right style="thin">
        <color rgb="FFB8C6D1"/>
      </right>
      <top/>
      <bottom style="medium">
        <color indexed="64"/>
      </bottom>
      <diagonal/>
    </border>
    <border>
      <left style="thin">
        <color rgb="FFB8C6D1"/>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rgb="FF9DC3E6"/>
      </bottom>
      <diagonal/>
    </border>
    <border>
      <left/>
      <right style="medium">
        <color indexed="64"/>
      </right>
      <top style="medium">
        <color indexed="64"/>
      </top>
      <bottom style="thin">
        <color rgb="FF9DC3E6"/>
      </bottom>
      <diagonal/>
    </border>
    <border>
      <left style="medium">
        <color indexed="64"/>
      </left>
      <right/>
      <top/>
      <bottom style="thin">
        <color indexed="64"/>
      </bottom>
      <diagonal/>
    </border>
    <border>
      <left/>
      <right style="medium">
        <color indexed="64"/>
      </right>
      <top style="thin">
        <color indexed="64"/>
      </top>
      <bottom/>
      <diagonal/>
    </border>
  </borders>
  <cellStyleXfs count="21">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6" fillId="0" borderId="0"/>
    <xf numFmtId="0" fontId="14" fillId="0" borderId="0"/>
    <xf numFmtId="0" fontId="5" fillId="13" borderId="0" applyNumberFormat="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1" fillId="0" borderId="0"/>
    <xf numFmtId="174" fontId="1" fillId="0" borderId="0" applyFont="0" applyFill="0" applyBorder="0" applyAlignment="0" applyProtection="0"/>
    <xf numFmtId="175" fontId="1" fillId="0" borderId="0" applyFont="0" applyFill="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221" fontId="1" fillId="0" borderId="0" applyFont="0" applyFill="0" applyBorder="0" applyAlignment="0" applyProtection="0"/>
    <xf numFmtId="44" fontId="1" fillId="0" borderId="0" applyFont="0" applyFill="0" applyBorder="0" applyAlignment="0" applyProtection="0"/>
  </cellStyleXfs>
  <cellXfs count="1203">
    <xf numFmtId="0" fontId="0" fillId="0" borderId="0" xfId="0"/>
    <xf numFmtId="0" fontId="7" fillId="2" borderId="2" xfId="4" applyFont="1" applyFill="1" applyBorder="1" applyAlignment="1">
      <alignment horizontal="center" vertical="center" readingOrder="1"/>
    </xf>
    <xf numFmtId="0" fontId="0" fillId="0" borderId="0" xfId="0" applyAlignment="1">
      <alignment horizontal="left"/>
    </xf>
    <xf numFmtId="43" fontId="0" fillId="0" borderId="0" xfId="1" applyFont="1"/>
    <xf numFmtId="165" fontId="0" fillId="0" borderId="0" xfId="1" applyNumberFormat="1" applyFont="1"/>
    <xf numFmtId="9" fontId="0" fillId="0" borderId="0" xfId="2" applyFont="1"/>
    <xf numFmtId="0" fontId="0" fillId="3" borderId="0" xfId="0" applyFill="1"/>
    <xf numFmtId="43" fontId="0" fillId="3" borderId="0" xfId="0" applyNumberFormat="1" applyFill="1"/>
    <xf numFmtId="43" fontId="0" fillId="0" borderId="0" xfId="1" applyFont="1" applyFill="1"/>
    <xf numFmtId="167" fontId="0" fillId="0" borderId="0" xfId="0" applyNumberFormat="1"/>
    <xf numFmtId="0" fontId="3" fillId="0" borderId="0" xfId="3"/>
    <xf numFmtId="0" fontId="10" fillId="5" borderId="1" xfId="0" applyFont="1" applyFill="1" applyBorder="1" applyAlignment="1">
      <alignment vertical="center"/>
    </xf>
    <xf numFmtId="43" fontId="10" fillId="5" borderId="1" xfId="1" applyFont="1" applyFill="1" applyBorder="1" applyAlignment="1">
      <alignment vertical="center"/>
    </xf>
    <xf numFmtId="43" fontId="10" fillId="5" borderId="1" xfId="1" applyFont="1" applyFill="1" applyBorder="1" applyAlignment="1">
      <alignment wrapText="1"/>
    </xf>
    <xf numFmtId="0" fontId="0" fillId="7" borderId="0" xfId="0" applyFill="1"/>
    <xf numFmtId="43" fontId="0" fillId="7" borderId="0" xfId="1" applyFont="1" applyFill="1"/>
    <xf numFmtId="0" fontId="0" fillId="8" borderId="0" xfId="0" applyFill="1"/>
    <xf numFmtId="43" fontId="0" fillId="8" borderId="0" xfId="1" applyFont="1" applyFill="1"/>
    <xf numFmtId="0" fontId="11" fillId="6" borderId="2" xfId="4" applyFont="1" applyFill="1" applyBorder="1" applyAlignment="1">
      <alignment horizontal="center" vertical="center" readingOrder="1"/>
    </xf>
    <xf numFmtId="0" fontId="12" fillId="7" borderId="0" xfId="0" applyFont="1" applyFill="1"/>
    <xf numFmtId="0" fontId="12" fillId="8" borderId="0" xfId="0" applyFont="1" applyFill="1"/>
    <xf numFmtId="43" fontId="0" fillId="0" borderId="4" xfId="1" applyFont="1" applyFill="1" applyBorder="1"/>
    <xf numFmtId="0" fontId="13" fillId="0" borderId="6" xfId="0" applyFont="1" applyBorder="1" applyAlignment="1">
      <alignment horizontal="center" vertical="center"/>
    </xf>
    <xf numFmtId="0" fontId="13" fillId="0" borderId="7" xfId="0" applyFont="1" applyBorder="1" applyAlignment="1">
      <alignment horizontal="center" vertical="center"/>
    </xf>
    <xf numFmtId="166" fontId="13" fillId="0" borderId="7" xfId="1" applyNumberFormat="1" applyFont="1" applyFill="1" applyBorder="1" applyAlignment="1">
      <alignment horizontal="center" vertical="center"/>
    </xf>
    <xf numFmtId="0" fontId="12" fillId="0" borderId="3" xfId="0" applyFont="1" applyBorder="1" applyAlignment="1">
      <alignment horizontal="center"/>
    </xf>
    <xf numFmtId="0" fontId="12" fillId="0" borderId="4" xfId="0" applyFont="1" applyBorder="1" applyAlignment="1">
      <alignment horizontal="center"/>
    </xf>
    <xf numFmtId="166" fontId="12" fillId="0" borderId="4" xfId="1" applyNumberFormat="1" applyFont="1" applyFill="1" applyBorder="1" applyAlignment="1">
      <alignment horizontal="center"/>
    </xf>
    <xf numFmtId="43" fontId="12" fillId="0" borderId="4" xfId="1" applyFont="1" applyFill="1" applyBorder="1" applyAlignment="1">
      <alignment horizontal="center"/>
    </xf>
    <xf numFmtId="0" fontId="12" fillId="0" borderId="0" xfId="0" applyFont="1" applyAlignment="1">
      <alignment horizontal="center"/>
    </xf>
    <xf numFmtId="166" fontId="12" fillId="0" borderId="4" xfId="1" applyNumberFormat="1" applyFont="1" applyFill="1" applyBorder="1" applyAlignment="1">
      <alignment horizontal="center" vertical="center"/>
    </xf>
    <xf numFmtId="164" fontId="0" fillId="0" borderId="4" xfId="2" applyNumberFormat="1" applyFont="1" applyFill="1" applyBorder="1"/>
    <xf numFmtId="164" fontId="0" fillId="0" borderId="0" xfId="2" applyNumberFormat="1" applyFont="1" applyFill="1"/>
    <xf numFmtId="0" fontId="4" fillId="0" borderId="0" xfId="0" applyFont="1" applyAlignment="1">
      <alignment horizontal="center"/>
    </xf>
    <xf numFmtId="0" fontId="0" fillId="0" borderId="0" xfId="0" applyAlignment="1">
      <alignment horizontal="center"/>
    </xf>
    <xf numFmtId="166" fontId="0" fillId="0" borderId="0" xfId="1" applyNumberFormat="1" applyFont="1" applyFill="1" applyAlignment="1">
      <alignment horizontal="center"/>
    </xf>
    <xf numFmtId="0" fontId="11" fillId="5" borderId="8" xfId="4" applyFont="1" applyFill="1" applyBorder="1" applyAlignment="1">
      <alignment horizontal="center" vertical="center" readingOrder="1"/>
    </xf>
    <xf numFmtId="0" fontId="11" fillId="5" borderId="8" xfId="4" applyFont="1" applyFill="1" applyBorder="1" applyAlignment="1">
      <alignment horizontal="left" vertical="center" readingOrder="1"/>
    </xf>
    <xf numFmtId="0" fontId="4" fillId="0" borderId="0" xfId="0" applyFont="1"/>
    <xf numFmtId="0" fontId="0" fillId="0" borderId="0" xfId="0" applyAlignment="1">
      <alignment horizontal="center" vertical="center"/>
    </xf>
    <xf numFmtId="0" fontId="8" fillId="0" borderId="0" xfId="0" applyFont="1"/>
    <xf numFmtId="171" fontId="0" fillId="0" borderId="0" xfId="0" applyNumberFormat="1"/>
    <xf numFmtId="43" fontId="12" fillId="0" borderId="10" xfId="1" applyFont="1" applyFill="1" applyBorder="1" applyAlignment="1">
      <alignment horizontal="center"/>
    </xf>
    <xf numFmtId="166" fontId="12" fillId="0" borderId="11" xfId="1" applyNumberFormat="1" applyFont="1" applyFill="1" applyBorder="1" applyAlignment="1">
      <alignment horizontal="center"/>
    </xf>
    <xf numFmtId="164" fontId="0" fillId="0" borderId="0" xfId="2" applyNumberFormat="1" applyFont="1" applyFill="1" applyBorder="1"/>
    <xf numFmtId="43" fontId="0" fillId="0" borderId="0" xfId="1" applyFont="1" applyFill="1" applyBorder="1"/>
    <xf numFmtId="164" fontId="12" fillId="0" borderId="0" xfId="2" applyNumberFormat="1" applyFont="1" applyFill="1"/>
    <xf numFmtId="43" fontId="12" fillId="0" borderId="0" xfId="1" applyFont="1" applyFill="1"/>
    <xf numFmtId="166" fontId="12" fillId="12" borderId="4" xfId="1" applyNumberFormat="1" applyFont="1" applyFill="1" applyBorder="1" applyAlignment="1">
      <alignment horizontal="center"/>
    </xf>
    <xf numFmtId="0" fontId="0" fillId="0" borderId="2" xfId="0" applyBorder="1"/>
    <xf numFmtId="0" fontId="0" fillId="0" borderId="0" xfId="0" applyAlignment="1">
      <alignment wrapText="1"/>
    </xf>
    <xf numFmtId="4" fontId="0" fillId="7" borderId="0" xfId="1" applyNumberFormat="1" applyFont="1" applyFill="1"/>
    <xf numFmtId="4" fontId="0" fillId="8" borderId="0" xfId="1" applyNumberFormat="1" applyFont="1" applyFill="1"/>
    <xf numFmtId="43" fontId="12" fillId="0" borderId="5" xfId="1" applyFont="1" applyFill="1" applyBorder="1"/>
    <xf numFmtId="43" fontId="12" fillId="0" borderId="0" xfId="1" applyFont="1" applyFill="1" applyBorder="1"/>
    <xf numFmtId="0" fontId="12" fillId="0" borderId="0" xfId="0" applyFont="1" applyAlignment="1">
      <alignment horizontal="center" vertical="center"/>
    </xf>
    <xf numFmtId="167" fontId="12" fillId="7" borderId="0" xfId="1" applyNumberFormat="1" applyFont="1" applyFill="1"/>
    <xf numFmtId="167" fontId="12" fillId="8" borderId="0" xfId="1" applyNumberFormat="1" applyFont="1" applyFill="1"/>
    <xf numFmtId="172" fontId="12" fillId="7" borderId="0" xfId="1" applyNumberFormat="1" applyFont="1" applyFill="1"/>
    <xf numFmtId="172" fontId="12" fillId="8" borderId="0" xfId="1" applyNumberFormat="1" applyFont="1" applyFill="1"/>
    <xf numFmtId="0" fontId="10" fillId="9" borderId="1" xfId="0" applyFont="1" applyFill="1" applyBorder="1" applyAlignment="1">
      <alignment vertical="center"/>
    </xf>
    <xf numFmtId="43" fontId="10" fillId="9" borderId="1" xfId="1" applyFont="1" applyFill="1" applyBorder="1" applyAlignment="1">
      <alignment vertical="center"/>
    </xf>
    <xf numFmtId="43" fontId="5" fillId="9" borderId="1" xfId="6" applyNumberFormat="1" applyFill="1" applyBorder="1" applyAlignment="1">
      <alignment vertical="center"/>
    </xf>
    <xf numFmtId="43" fontId="0" fillId="0" borderId="0" xfId="0" applyNumberFormat="1" applyAlignment="1">
      <alignment vertical="center"/>
    </xf>
    <xf numFmtId="43" fontId="0" fillId="0" borderId="0" xfId="0" applyNumberFormat="1"/>
    <xf numFmtId="9" fontId="0" fillId="0" borderId="0" xfId="0" applyNumberFormat="1" applyAlignment="1">
      <alignment horizontal="center"/>
    </xf>
    <xf numFmtId="164" fontId="0" fillId="0" borderId="0" xfId="0" applyNumberFormat="1" applyAlignment="1">
      <alignment horizontal="center"/>
    </xf>
    <xf numFmtId="166" fontId="18" fillId="15" borderId="0" xfId="8" applyNumberFormat="1" applyAlignment="1">
      <alignment horizontal="center"/>
    </xf>
    <xf numFmtId="166" fontId="17" fillId="14" borderId="0" xfId="7" applyNumberFormat="1" applyAlignment="1">
      <alignment horizontal="center"/>
    </xf>
    <xf numFmtId="43" fontId="19" fillId="9" borderId="13" xfId="6" applyNumberFormat="1" applyFont="1" applyFill="1" applyBorder="1" applyAlignment="1">
      <alignment vertical="center"/>
    </xf>
    <xf numFmtId="43" fontId="10" fillId="4" borderId="14" xfId="1" applyFont="1" applyFill="1" applyBorder="1" applyAlignment="1">
      <alignment horizontal="left"/>
    </xf>
    <xf numFmtId="0" fontId="0" fillId="0" borderId="1" xfId="0" applyBorder="1"/>
    <xf numFmtId="43" fontId="10" fillId="4" borderId="18" xfId="1" applyFont="1" applyFill="1" applyBorder="1" applyAlignment="1">
      <alignment horizontal="left"/>
    </xf>
    <xf numFmtId="0" fontId="0" fillId="0" borderId="0" xfId="0" applyAlignment="1">
      <alignment vertical="center"/>
    </xf>
    <xf numFmtId="166" fontId="0" fillId="0" borderId="0" xfId="1" applyNumberFormat="1" applyFont="1"/>
    <xf numFmtId="0" fontId="23" fillId="20" borderId="0" xfId="0" applyFont="1" applyFill="1" applyAlignment="1">
      <alignment horizontal="left" vertical="center" readingOrder="1"/>
    </xf>
    <xf numFmtId="0" fontId="23" fillId="20" borderId="0" xfId="0" applyFont="1" applyFill="1" applyAlignment="1">
      <alignment horizontal="center" vertical="center" readingOrder="1"/>
    </xf>
    <xf numFmtId="9" fontId="4" fillId="0" borderId="0" xfId="2" applyFont="1" applyBorder="1" applyAlignment="1">
      <alignment horizontal="left"/>
    </xf>
    <xf numFmtId="0" fontId="4" fillId="19" borderId="2" xfId="0" applyFont="1" applyFill="1" applyBorder="1" applyAlignment="1">
      <alignment horizontal="left"/>
    </xf>
    <xf numFmtId="0" fontId="4" fillId="19" borderId="2" xfId="0" applyFont="1" applyFill="1" applyBorder="1" applyAlignment="1">
      <alignment horizontal="center"/>
    </xf>
    <xf numFmtId="0" fontId="3" fillId="0" borderId="0" xfId="3" applyAlignment="1">
      <alignment vertical="center"/>
    </xf>
    <xf numFmtId="9" fontId="24" fillId="0" borderId="0" xfId="2" applyFont="1" applyAlignment="1">
      <alignment horizontal="left" vertical="center"/>
    </xf>
    <xf numFmtId="0" fontId="0" fillId="0" borderId="0" xfId="0" pivotButton="1"/>
    <xf numFmtId="170" fontId="0" fillId="0" borderId="0" xfId="0" applyNumberFormat="1"/>
    <xf numFmtId="0" fontId="10" fillId="9" borderId="20" xfId="0" applyFont="1" applyFill="1" applyBorder="1" applyAlignment="1">
      <alignment vertical="center"/>
    </xf>
    <xf numFmtId="43" fontId="10" fillId="9" borderId="21" xfId="1" applyFont="1" applyFill="1" applyBorder="1" applyAlignment="1">
      <alignment vertical="center"/>
    </xf>
    <xf numFmtId="0" fontId="12" fillId="7" borderId="22" xfId="0" applyFont="1" applyFill="1" applyBorder="1"/>
    <xf numFmtId="167" fontId="12" fillId="7" borderId="23" xfId="1" applyNumberFormat="1" applyFont="1" applyFill="1" applyBorder="1"/>
    <xf numFmtId="172" fontId="12" fillId="7" borderId="24" xfId="1" applyNumberFormat="1" applyFont="1" applyFill="1" applyBorder="1"/>
    <xf numFmtId="0" fontId="12" fillId="8" borderId="22" xfId="0" applyFont="1" applyFill="1" applyBorder="1"/>
    <xf numFmtId="167" fontId="12" fillId="8" borderId="23" xfId="1" applyNumberFormat="1" applyFont="1" applyFill="1" applyBorder="1"/>
    <xf numFmtId="172" fontId="12" fillId="8" borderId="24" xfId="1" applyNumberFormat="1" applyFont="1" applyFill="1" applyBorder="1"/>
    <xf numFmtId="164" fontId="0" fillId="0" borderId="0" xfId="2" applyNumberFormat="1" applyFont="1" applyBorder="1"/>
    <xf numFmtId="164" fontId="0" fillId="0" borderId="1" xfId="2" applyNumberFormat="1" applyFont="1" applyBorder="1"/>
    <xf numFmtId="0" fontId="4" fillId="21" borderId="1" xfId="0" applyFont="1" applyFill="1" applyBorder="1"/>
    <xf numFmtId="3" fontId="0" fillId="0" borderId="0" xfId="0" applyNumberFormat="1"/>
    <xf numFmtId="43" fontId="10" fillId="4" borderId="12" xfId="1" applyFont="1" applyFill="1" applyBorder="1" applyAlignment="1">
      <alignment horizontal="left"/>
    </xf>
    <xf numFmtId="2" fontId="0" fillId="0" borderId="0" xfId="0" applyNumberFormat="1" applyAlignment="1">
      <alignment horizontal="center"/>
    </xf>
    <xf numFmtId="0" fontId="0" fillId="20" borderId="2" xfId="0" applyFill="1" applyBorder="1" applyAlignment="1">
      <alignment horizontal="left"/>
    </xf>
    <xf numFmtId="0" fontId="0" fillId="28" borderId="2" xfId="0" applyFill="1" applyBorder="1" applyAlignment="1">
      <alignment horizontal="left"/>
    </xf>
    <xf numFmtId="171" fontId="0" fillId="20" borderId="2" xfId="0" applyNumberFormat="1" applyFill="1" applyBorder="1" applyAlignment="1">
      <alignment horizontal="center"/>
    </xf>
    <xf numFmtId="171" fontId="0" fillId="28" borderId="2" xfId="0" applyNumberFormat="1" applyFill="1" applyBorder="1" applyAlignment="1">
      <alignment horizontal="center"/>
    </xf>
    <xf numFmtId="171" fontId="12" fillId="28" borderId="2" xfId="0" applyNumberFormat="1" applyFont="1" applyFill="1" applyBorder="1" applyAlignment="1">
      <alignment horizontal="center"/>
    </xf>
    <xf numFmtId="0" fontId="1" fillId="23" borderId="2" xfId="14" applyBorder="1"/>
    <xf numFmtId="0" fontId="1" fillId="23" borderId="2" xfId="14" applyBorder="1" applyAlignment="1">
      <alignment horizontal="left" vertical="center" readingOrder="1"/>
    </xf>
    <xf numFmtId="171" fontId="1" fillId="23" borderId="2" xfId="14" applyNumberFormat="1" applyBorder="1" applyAlignment="1">
      <alignment horizontal="left" vertical="center" readingOrder="1"/>
    </xf>
    <xf numFmtId="0" fontId="1" fillId="24" borderId="2" xfId="15" applyBorder="1"/>
    <xf numFmtId="0" fontId="1" fillId="24" borderId="2" xfId="15" applyBorder="1" applyAlignment="1">
      <alignment horizontal="left" vertical="center" readingOrder="1"/>
    </xf>
    <xf numFmtId="171" fontId="1" fillId="24" borderId="2" xfId="15" applyNumberFormat="1" applyBorder="1" applyAlignment="1">
      <alignment horizontal="left" vertical="center" readingOrder="1"/>
    </xf>
    <xf numFmtId="0" fontId="1" fillId="25" borderId="2" xfId="16" applyBorder="1"/>
    <xf numFmtId="0" fontId="1" fillId="25" borderId="2" xfId="16" applyBorder="1" applyAlignment="1">
      <alignment horizontal="left" vertical="center" readingOrder="1"/>
    </xf>
    <xf numFmtId="171" fontId="1" fillId="25" borderId="2" xfId="16" applyNumberFormat="1" applyBorder="1"/>
    <xf numFmtId="171" fontId="1" fillId="25" borderId="2" xfId="16" applyNumberFormat="1" applyBorder="1" applyAlignment="1">
      <alignment horizontal="left" vertical="center" readingOrder="1"/>
    </xf>
    <xf numFmtId="0" fontId="1" fillId="26" borderId="2" xfId="17" applyBorder="1"/>
    <xf numFmtId="0" fontId="1" fillId="26" borderId="2" xfId="17" applyBorder="1" applyAlignment="1">
      <alignment horizontal="left" vertical="center" readingOrder="1"/>
    </xf>
    <xf numFmtId="171" fontId="1" fillId="26" borderId="2" xfId="17" applyNumberFormat="1" applyBorder="1"/>
    <xf numFmtId="171" fontId="1" fillId="26" borderId="2" xfId="17" applyNumberFormat="1" applyBorder="1" applyAlignment="1">
      <alignment horizontal="left" vertical="center" readingOrder="1"/>
    </xf>
    <xf numFmtId="170" fontId="10" fillId="4" borderId="18" xfId="1" applyNumberFormat="1" applyFont="1" applyFill="1" applyBorder="1" applyAlignment="1">
      <alignment horizontal="left"/>
    </xf>
    <xf numFmtId="170" fontId="10" fillId="4" borderId="12" xfId="1" applyNumberFormat="1" applyFont="1" applyFill="1" applyBorder="1" applyAlignment="1">
      <alignment horizontal="left"/>
    </xf>
    <xf numFmtId="170" fontId="0" fillId="0" borderId="0" xfId="1" applyNumberFormat="1" applyFont="1"/>
    <xf numFmtId="0" fontId="0" fillId="0" borderId="0" xfId="0" applyAlignment="1">
      <alignment horizontal="left" vertical="center"/>
    </xf>
    <xf numFmtId="0" fontId="29" fillId="31" borderId="2" xfId="0" applyFont="1" applyFill="1" applyBorder="1" applyAlignment="1">
      <alignment horizontal="left" vertical="center"/>
    </xf>
    <xf numFmtId="0" fontId="29" fillId="32" borderId="2" xfId="0" applyFont="1" applyFill="1" applyBorder="1" applyAlignment="1">
      <alignment horizontal="left" vertical="center" wrapText="1"/>
    </xf>
    <xf numFmtId="0" fontId="29" fillId="33" borderId="2" xfId="0" applyFont="1" applyFill="1" applyBorder="1" applyAlignment="1">
      <alignment horizontal="left" vertical="center" wrapText="1"/>
    </xf>
    <xf numFmtId="0" fontId="0" fillId="34" borderId="2" xfId="0" applyFill="1" applyBorder="1" applyAlignment="1">
      <alignment horizontal="left" vertical="center" wrapText="1"/>
    </xf>
    <xf numFmtId="0" fontId="30" fillId="35" borderId="2" xfId="0" applyFont="1" applyFill="1" applyBorder="1" applyAlignment="1">
      <alignment horizontal="left" vertical="center" wrapText="1"/>
    </xf>
    <xf numFmtId="0" fontId="0" fillId="36" borderId="2" xfId="0" applyFill="1" applyBorder="1" applyAlignment="1">
      <alignment horizontal="left" vertical="center"/>
    </xf>
    <xf numFmtId="0" fontId="28" fillId="36" borderId="2" xfId="0" applyFont="1" applyFill="1" applyBorder="1" applyAlignment="1">
      <alignment horizontal="left" vertical="center"/>
    </xf>
    <xf numFmtId="0" fontId="30" fillId="37" borderId="2" xfId="0" applyFont="1" applyFill="1" applyBorder="1" applyAlignment="1">
      <alignment horizontal="left" vertical="center" wrapText="1"/>
    </xf>
    <xf numFmtId="0" fontId="31" fillId="34" borderId="2" xfId="0" applyFont="1" applyFill="1" applyBorder="1" applyAlignment="1">
      <alignment horizontal="left" vertical="center" wrapText="1"/>
    </xf>
    <xf numFmtId="0" fontId="0" fillId="36" borderId="2" xfId="0" applyFill="1" applyBorder="1" applyAlignment="1">
      <alignment vertical="center"/>
    </xf>
    <xf numFmtId="0" fontId="0" fillId="36" borderId="9" xfId="0" applyFill="1" applyBorder="1" applyAlignment="1">
      <alignment horizontal="left" vertical="center"/>
    </xf>
    <xf numFmtId="0" fontId="13" fillId="38" borderId="2" xfId="0" applyFont="1" applyFill="1" applyBorder="1" applyAlignment="1">
      <alignment horizontal="left" vertical="center" wrapText="1"/>
    </xf>
    <xf numFmtId="0" fontId="4" fillId="36" borderId="2" xfId="0" applyFont="1" applyFill="1" applyBorder="1" applyAlignment="1">
      <alignment horizontal="left" vertical="center"/>
    </xf>
    <xf numFmtId="0" fontId="30" fillId="38" borderId="2" xfId="0" applyFont="1" applyFill="1" applyBorder="1" applyAlignment="1">
      <alignment horizontal="left" vertical="center" wrapText="1"/>
    </xf>
    <xf numFmtId="0" fontId="4" fillId="37" borderId="2" xfId="0" applyFont="1" applyFill="1" applyBorder="1" applyAlignment="1">
      <alignment horizontal="left" vertical="center" wrapText="1"/>
    </xf>
    <xf numFmtId="0" fontId="4" fillId="39" borderId="2" xfId="0" applyFont="1" applyFill="1" applyBorder="1" applyAlignment="1">
      <alignment horizontal="left" vertical="center" wrapText="1"/>
    </xf>
    <xf numFmtId="0" fontId="4" fillId="38" borderId="2" xfId="0" applyFont="1" applyFill="1" applyBorder="1" applyAlignment="1">
      <alignment horizontal="left" vertical="center" wrapText="1"/>
    </xf>
    <xf numFmtId="0" fontId="4" fillId="36" borderId="25" xfId="0" applyFont="1" applyFill="1" applyBorder="1" applyAlignment="1">
      <alignment horizontal="left" vertical="center"/>
    </xf>
    <xf numFmtId="0" fontId="0" fillId="36" borderId="25" xfId="0" applyFill="1" applyBorder="1" applyAlignment="1">
      <alignment horizontal="left" vertical="center"/>
    </xf>
    <xf numFmtId="0" fontId="13" fillId="37" borderId="2" xfId="0" applyFont="1" applyFill="1" applyBorder="1" applyAlignment="1">
      <alignment horizontal="left" vertical="center" wrapText="1"/>
    </xf>
    <xf numFmtId="0" fontId="13" fillId="40" borderId="2" xfId="0" applyFont="1" applyFill="1" applyBorder="1" applyAlignment="1">
      <alignment horizontal="left" vertical="center" wrapText="1"/>
    </xf>
    <xf numFmtId="0" fontId="4" fillId="41" borderId="2" xfId="0" applyFont="1" applyFill="1" applyBorder="1" applyAlignment="1">
      <alignment horizontal="left" vertical="center" wrapText="1"/>
    </xf>
    <xf numFmtId="0" fontId="30" fillId="41" borderId="2" xfId="0" applyFont="1" applyFill="1" applyBorder="1" applyAlignment="1">
      <alignment horizontal="left" vertical="center" wrapText="1"/>
    </xf>
    <xf numFmtId="0" fontId="15" fillId="0" borderId="0" xfId="0" applyFont="1"/>
    <xf numFmtId="0" fontId="0" fillId="43" borderId="33" xfId="0" applyFill="1" applyBorder="1"/>
    <xf numFmtId="0" fontId="0" fillId="43" borderId="34" xfId="0" applyFill="1" applyBorder="1"/>
    <xf numFmtId="0" fontId="0" fillId="43" borderId="35" xfId="0" applyFill="1" applyBorder="1"/>
    <xf numFmtId="0" fontId="37" fillId="0" borderId="0" xfId="0" applyFont="1"/>
    <xf numFmtId="0" fontId="38" fillId="0" borderId="0" xfId="0" applyFont="1"/>
    <xf numFmtId="0" fontId="36" fillId="6" borderId="9" xfId="0" applyFont="1" applyFill="1" applyBorder="1" applyAlignment="1">
      <alignment horizontal="center"/>
    </xf>
    <xf numFmtId="0" fontId="36" fillId="6" borderId="8" xfId="0" applyFont="1" applyFill="1" applyBorder="1" applyAlignment="1">
      <alignment horizontal="center"/>
    </xf>
    <xf numFmtId="0" fontId="36" fillId="10" borderId="9" xfId="0" applyFont="1" applyFill="1" applyBorder="1" applyAlignment="1">
      <alignment horizontal="center"/>
    </xf>
    <xf numFmtId="0" fontId="36" fillId="10" borderId="8" xfId="0" applyFont="1" applyFill="1" applyBorder="1" applyAlignment="1">
      <alignment horizontal="center"/>
    </xf>
    <xf numFmtId="0" fontId="36" fillId="17" borderId="9" xfId="0" applyFont="1" applyFill="1" applyBorder="1" applyAlignment="1">
      <alignment horizontal="center"/>
    </xf>
    <xf numFmtId="0" fontId="36" fillId="17" borderId="8" xfId="0" applyFont="1" applyFill="1" applyBorder="1" applyAlignment="1">
      <alignment horizontal="center"/>
    </xf>
    <xf numFmtId="0" fontId="36" fillId="18" borderId="9" xfId="0" applyFont="1" applyFill="1" applyBorder="1" applyAlignment="1">
      <alignment horizontal="center"/>
    </xf>
    <xf numFmtId="0" fontId="36" fillId="18" borderId="8" xfId="0" applyFont="1" applyFill="1" applyBorder="1" applyAlignment="1">
      <alignment horizontal="center"/>
    </xf>
    <xf numFmtId="0" fontId="36" fillId="44" borderId="9" xfId="0" applyFont="1" applyFill="1" applyBorder="1" applyAlignment="1">
      <alignment horizontal="center"/>
    </xf>
    <xf numFmtId="0" fontId="36" fillId="44" borderId="8" xfId="0" applyFont="1" applyFill="1" applyBorder="1" applyAlignment="1">
      <alignment horizontal="center"/>
    </xf>
    <xf numFmtId="0" fontId="39" fillId="0" borderId="0" xfId="0" applyFont="1" applyAlignment="1">
      <alignment horizontal="center"/>
    </xf>
    <xf numFmtId="0" fontId="10" fillId="4" borderId="0" xfId="0" applyFont="1" applyFill="1" applyAlignment="1">
      <alignment horizontal="center"/>
    </xf>
    <xf numFmtId="0" fontId="0" fillId="45" borderId="2" xfId="0" applyFill="1" applyBorder="1"/>
    <xf numFmtId="0" fontId="10" fillId="17" borderId="2" xfId="0" applyFont="1" applyFill="1" applyBorder="1"/>
    <xf numFmtId="0" fontId="40" fillId="0" borderId="0" xfId="0" applyFont="1"/>
    <xf numFmtId="178" fontId="0" fillId="0" borderId="0" xfId="0" applyNumberFormat="1"/>
    <xf numFmtId="169" fontId="0" fillId="0" borderId="0" xfId="1" applyNumberFormat="1" applyFont="1" applyFill="1" applyBorder="1" applyAlignment="1">
      <alignment horizontal="left"/>
    </xf>
    <xf numFmtId="169" fontId="0" fillId="0" borderId="0" xfId="1" applyNumberFormat="1" applyFont="1" applyFill="1"/>
    <xf numFmtId="0" fontId="12" fillId="8" borderId="47" xfId="0" applyFont="1" applyFill="1" applyBorder="1"/>
    <xf numFmtId="1" fontId="4" fillId="0" borderId="0" xfId="0" applyNumberFormat="1" applyFont="1"/>
    <xf numFmtId="1" fontId="42" fillId="0" borderId="0" xfId="0" applyNumberFormat="1" applyFont="1"/>
    <xf numFmtId="49" fontId="0" fillId="0" borderId="0" xfId="0" quotePrefix="1" applyNumberFormat="1" applyAlignment="1">
      <alignment horizontal="right"/>
    </xf>
    <xf numFmtId="49" fontId="0" fillId="0" borderId="0" xfId="0" applyNumberFormat="1" applyAlignment="1">
      <alignment horizontal="right"/>
    </xf>
    <xf numFmtId="49" fontId="0" fillId="0" borderId="0" xfId="0" applyNumberFormat="1"/>
    <xf numFmtId="0" fontId="25" fillId="48" borderId="56" xfId="0" applyFont="1" applyFill="1" applyBorder="1" applyAlignment="1">
      <alignment horizontal="center"/>
    </xf>
    <xf numFmtId="49" fontId="25" fillId="48" borderId="56" xfId="0" applyNumberFormat="1" applyFont="1" applyFill="1" applyBorder="1" applyAlignment="1">
      <alignment horizontal="center"/>
    </xf>
    <xf numFmtId="0" fontId="11" fillId="6" borderId="0" xfId="0" applyFont="1" applyFill="1" applyAlignment="1">
      <alignment horizontal="center"/>
    </xf>
    <xf numFmtId="0" fontId="50" fillId="0" borderId="0" xfId="0" applyFont="1" applyAlignment="1">
      <alignment horizontal="center"/>
    </xf>
    <xf numFmtId="0" fontId="11" fillId="17" borderId="0" xfId="0" applyFont="1" applyFill="1" applyAlignment="1">
      <alignment horizontal="center"/>
    </xf>
    <xf numFmtId="0" fontId="11" fillId="61" borderId="0" xfId="0" applyFont="1" applyFill="1" applyAlignment="1">
      <alignment horizontal="center"/>
    </xf>
    <xf numFmtId="0" fontId="51" fillId="0" borderId="0" xfId="0" applyFont="1" applyAlignment="1">
      <alignment horizontal="center"/>
    </xf>
    <xf numFmtId="0" fontId="53" fillId="50" borderId="0" xfId="0" applyFont="1" applyFill="1" applyAlignment="1">
      <alignment horizontal="center"/>
    </xf>
    <xf numFmtId="0" fontId="8" fillId="0" borderId="0" xfId="0" applyFont="1" applyAlignment="1">
      <alignment horizontal="center"/>
    </xf>
    <xf numFmtId="16" fontId="8" fillId="0" borderId="0" xfId="0" applyNumberFormat="1" applyFont="1"/>
    <xf numFmtId="9" fontId="8" fillId="0" borderId="0" xfId="0" applyNumberFormat="1" applyFont="1"/>
    <xf numFmtId="0" fontId="53" fillId="46" borderId="0" xfId="0" applyFont="1" applyFill="1"/>
    <xf numFmtId="0" fontId="53" fillId="58" borderId="0" xfId="0" applyFont="1" applyFill="1"/>
    <xf numFmtId="0" fontId="53" fillId="62" borderId="0" xfId="0" applyFont="1" applyFill="1"/>
    <xf numFmtId="0" fontId="53" fillId="50" borderId="0" xfId="0" applyFont="1" applyFill="1"/>
    <xf numFmtId="0" fontId="53" fillId="63" borderId="0" xfId="0" applyFont="1" applyFill="1"/>
    <xf numFmtId="0" fontId="53" fillId="48" borderId="0" xfId="0" applyFont="1" applyFill="1"/>
    <xf numFmtId="0" fontId="53" fillId="7" borderId="0" xfId="0" applyFont="1" applyFill="1"/>
    <xf numFmtId="0" fontId="53" fillId="67" borderId="0" xfId="0" applyFont="1" applyFill="1"/>
    <xf numFmtId="0" fontId="41" fillId="42" borderId="50" xfId="0" applyFont="1" applyFill="1" applyBorder="1" applyAlignment="1">
      <alignment horizontal="center" vertical="center"/>
    </xf>
    <xf numFmtId="0" fontId="0" fillId="0" borderId="48" xfId="0" applyBorder="1"/>
    <xf numFmtId="0" fontId="0" fillId="0" borderId="52" xfId="0" applyBorder="1"/>
    <xf numFmtId="181" fontId="25" fillId="51" borderId="56" xfId="0" applyNumberFormat="1" applyFont="1" applyFill="1" applyBorder="1" applyAlignment="1">
      <alignment horizontal="right"/>
    </xf>
    <xf numFmtId="180" fontId="25" fillId="51" borderId="56" xfId="0" applyNumberFormat="1" applyFont="1" applyFill="1" applyBorder="1" applyAlignment="1">
      <alignment horizontal="right"/>
    </xf>
    <xf numFmtId="0" fontId="0" fillId="0" borderId="0" xfId="0" quotePrefix="1"/>
    <xf numFmtId="0" fontId="16" fillId="0" borderId="0" xfId="0" applyFont="1"/>
    <xf numFmtId="181" fontId="25" fillId="51" borderId="60" xfId="0" applyNumberFormat="1" applyFont="1" applyFill="1" applyBorder="1" applyAlignment="1">
      <alignment horizontal="right"/>
    </xf>
    <xf numFmtId="181" fontId="0" fillId="0" borderId="0" xfId="0" applyNumberFormat="1" applyAlignment="1">
      <alignment horizontal="center" vertical="center"/>
    </xf>
    <xf numFmtId="182" fontId="0" fillId="0" borderId="0" xfId="1" applyNumberFormat="1" applyFont="1" applyAlignment="1">
      <alignment vertical="center"/>
    </xf>
    <xf numFmtId="168" fontId="0" fillId="0" borderId="0" xfId="0" applyNumberFormat="1"/>
    <xf numFmtId="168" fontId="0" fillId="0" borderId="0" xfId="8" applyNumberFormat="1" applyFont="1" applyFill="1"/>
    <xf numFmtId="183" fontId="0" fillId="0" borderId="0" xfId="1" applyNumberFormat="1" applyFont="1" applyAlignment="1">
      <alignment vertical="center"/>
    </xf>
    <xf numFmtId="170" fontId="62" fillId="12" borderId="0" xfId="1" applyNumberFormat="1" applyFont="1" applyFill="1" applyAlignment="1">
      <alignment horizontal="left"/>
    </xf>
    <xf numFmtId="43" fontId="10" fillId="69" borderId="12" xfId="1" applyFont="1" applyFill="1" applyBorder="1" applyAlignment="1">
      <alignment horizontal="center" wrapText="1"/>
    </xf>
    <xf numFmtId="0" fontId="66" fillId="69" borderId="19" xfId="0" applyFont="1" applyFill="1" applyBorder="1" applyAlignment="1">
      <alignment horizontal="center" vertical="center"/>
    </xf>
    <xf numFmtId="0" fontId="63" fillId="70" borderId="41" xfId="0" applyFont="1" applyFill="1" applyBorder="1" applyAlignment="1">
      <alignment horizontal="center" vertical="center"/>
    </xf>
    <xf numFmtId="0" fontId="63" fillId="70" borderId="43" xfId="0" applyFont="1" applyFill="1" applyBorder="1" applyAlignment="1">
      <alignment horizontal="center" vertical="center"/>
    </xf>
    <xf numFmtId="0" fontId="63" fillId="70" borderId="45" xfId="0" applyFont="1" applyFill="1" applyBorder="1" applyAlignment="1">
      <alignment horizontal="center" vertical="center"/>
    </xf>
    <xf numFmtId="0" fontId="63" fillId="70" borderId="19" xfId="0" applyFont="1" applyFill="1" applyBorder="1" applyAlignment="1">
      <alignment horizontal="center" vertical="center"/>
    </xf>
    <xf numFmtId="0" fontId="64" fillId="54" borderId="0" xfId="0" applyFont="1" applyFill="1" applyAlignment="1" applyProtection="1">
      <alignment horizontal="center" vertical="center"/>
      <protection locked="0"/>
    </xf>
    <xf numFmtId="0" fontId="64" fillId="54" borderId="32" xfId="0" applyFont="1" applyFill="1" applyBorder="1" applyAlignment="1" applyProtection="1">
      <alignment horizontal="center" vertical="center"/>
      <protection locked="0"/>
    </xf>
    <xf numFmtId="166" fontId="64" fillId="54" borderId="32" xfId="1" applyNumberFormat="1" applyFont="1" applyFill="1" applyBorder="1" applyAlignment="1" applyProtection="1">
      <alignment horizontal="center" vertical="center"/>
      <protection locked="0"/>
    </xf>
    <xf numFmtId="0" fontId="64" fillId="54" borderId="31" xfId="0" applyFont="1" applyFill="1" applyBorder="1" applyAlignment="1" applyProtection="1">
      <alignment horizontal="center" vertical="center"/>
      <protection locked="0"/>
    </xf>
    <xf numFmtId="49" fontId="64" fillId="54" borderId="0" xfId="0" applyNumberFormat="1" applyFont="1" applyFill="1" applyAlignment="1">
      <alignment horizontal="center" vertical="center"/>
    </xf>
    <xf numFmtId="0" fontId="71" fillId="49" borderId="42" xfId="0" applyFont="1" applyFill="1" applyBorder="1" applyAlignment="1">
      <alignment horizontal="center" vertical="center"/>
    </xf>
    <xf numFmtId="0" fontId="71" fillId="49" borderId="44" xfId="0" applyFont="1" applyFill="1" applyBorder="1" applyAlignment="1">
      <alignment horizontal="center" vertical="center"/>
    </xf>
    <xf numFmtId="0" fontId="71" fillId="49" borderId="46" xfId="0" applyFont="1" applyFill="1" applyBorder="1" applyAlignment="1">
      <alignment horizontal="center" vertical="center"/>
    </xf>
    <xf numFmtId="0" fontId="71" fillId="49" borderId="37" xfId="0" applyFont="1" applyFill="1" applyBorder="1" applyAlignment="1">
      <alignment horizontal="center" vertical="center"/>
    </xf>
    <xf numFmtId="0" fontId="66" fillId="10" borderId="19" xfId="0" applyFont="1" applyFill="1" applyBorder="1" applyAlignment="1">
      <alignment horizontal="center" vertical="center"/>
    </xf>
    <xf numFmtId="0" fontId="70" fillId="56" borderId="0" xfId="0" applyFont="1" applyFill="1" applyAlignment="1">
      <alignment horizontal="center" vertical="center"/>
    </xf>
    <xf numFmtId="177" fontId="74" fillId="73" borderId="0" xfId="0" applyNumberFormat="1" applyFont="1" applyFill="1" applyAlignment="1">
      <alignment horizontal="center" vertical="center"/>
    </xf>
    <xf numFmtId="0" fontId="74" fillId="73" borderId="0" xfId="0" applyFont="1" applyFill="1" applyAlignment="1">
      <alignment horizontal="center" vertical="center"/>
    </xf>
    <xf numFmtId="0" fontId="75" fillId="58" borderId="49" xfId="0" applyFont="1" applyFill="1" applyBorder="1" applyAlignment="1">
      <alignment horizontal="center" vertical="center"/>
    </xf>
    <xf numFmtId="0" fontId="75" fillId="58" borderId="54" xfId="0" applyFont="1" applyFill="1" applyBorder="1" applyAlignment="1">
      <alignment horizontal="center" vertical="center"/>
    </xf>
    <xf numFmtId="0" fontId="63" fillId="54" borderId="0" xfId="0" applyFont="1" applyFill="1" applyAlignment="1">
      <alignment horizontal="center" vertical="center"/>
    </xf>
    <xf numFmtId="0" fontId="64" fillId="54" borderId="51" xfId="0" applyFont="1" applyFill="1" applyBorder="1" applyAlignment="1">
      <alignment horizontal="center" vertical="center"/>
    </xf>
    <xf numFmtId="0" fontId="65" fillId="54" borderId="53" xfId="0" applyFont="1" applyFill="1" applyBorder="1" applyAlignment="1">
      <alignment horizontal="center" vertical="center"/>
    </xf>
    <xf numFmtId="0" fontId="65" fillId="54" borderId="55" xfId="0" applyFont="1" applyFill="1" applyBorder="1" applyAlignment="1">
      <alignment horizontal="center" vertical="center"/>
    </xf>
    <xf numFmtId="49" fontId="64" fillId="54" borderId="0" xfId="0" applyNumberFormat="1" applyFont="1" applyFill="1" applyAlignment="1" applyProtection="1">
      <alignment horizontal="center" vertical="center"/>
      <protection locked="0"/>
    </xf>
    <xf numFmtId="184" fontId="0" fillId="0" borderId="0" xfId="0" applyNumberFormat="1"/>
    <xf numFmtId="49" fontId="64" fillId="54" borderId="32" xfId="0" applyNumberFormat="1" applyFont="1" applyFill="1" applyBorder="1" applyAlignment="1" applyProtection="1">
      <alignment horizontal="center" vertical="center"/>
      <protection locked="0"/>
    </xf>
    <xf numFmtId="3" fontId="77" fillId="0" borderId="0" xfId="0" applyNumberFormat="1" applyFont="1" applyAlignment="1">
      <alignment horizontal="center"/>
    </xf>
    <xf numFmtId="0" fontId="58" fillId="0" borderId="0" xfId="0" applyFont="1"/>
    <xf numFmtId="0" fontId="80" fillId="0" borderId="0" xfId="0" applyFont="1"/>
    <xf numFmtId="0" fontId="2" fillId="8" borderId="0" xfId="0" applyFont="1" applyFill="1"/>
    <xf numFmtId="0" fontId="81" fillId="49" borderId="44" xfId="0" applyFont="1" applyFill="1" applyBorder="1" applyAlignment="1">
      <alignment horizontal="center" vertical="center"/>
    </xf>
    <xf numFmtId="170" fontId="82" fillId="70" borderId="0" xfId="1" applyNumberFormat="1" applyFont="1" applyFill="1" applyAlignment="1">
      <alignment horizontal="center" vertical="center"/>
    </xf>
    <xf numFmtId="0" fontId="82" fillId="70" borderId="0" xfId="3" applyFont="1" applyFill="1" applyAlignment="1">
      <alignment horizontal="center"/>
    </xf>
    <xf numFmtId="0" fontId="30" fillId="70" borderId="0" xfId="8" applyFont="1" applyFill="1" applyAlignment="1">
      <alignment horizontal="center"/>
    </xf>
    <xf numFmtId="170" fontId="82" fillId="70" borderId="0" xfId="1" applyNumberFormat="1" applyFont="1" applyFill="1" applyAlignment="1">
      <alignment horizontal="center"/>
    </xf>
    <xf numFmtId="176" fontId="0" fillId="0" borderId="0" xfId="1" applyNumberFormat="1" applyFont="1"/>
    <xf numFmtId="185" fontId="0" fillId="0" borderId="0" xfId="0" applyNumberFormat="1" applyAlignment="1">
      <alignment horizontal="center" vertical="center"/>
    </xf>
    <xf numFmtId="186" fontId="0" fillId="0" borderId="0" xfId="0" applyNumberFormat="1" applyAlignment="1">
      <alignment horizontal="center" vertical="center"/>
    </xf>
    <xf numFmtId="188" fontId="0" fillId="0" borderId="0" xfId="0" applyNumberFormat="1" applyAlignment="1">
      <alignment horizontal="center" vertical="center"/>
    </xf>
    <xf numFmtId="187" fontId="0" fillId="0" borderId="0" xfId="1" applyNumberFormat="1" applyFont="1" applyFill="1" applyBorder="1"/>
    <xf numFmtId="187" fontId="10" fillId="59" borderId="0" xfId="1" applyNumberFormat="1" applyFont="1" applyFill="1" applyBorder="1"/>
    <xf numFmtId="187" fontId="0" fillId="0" borderId="0" xfId="0" applyNumberFormat="1"/>
    <xf numFmtId="187" fontId="10" fillId="59" borderId="0" xfId="0" applyNumberFormat="1" applyFont="1" applyFill="1"/>
    <xf numFmtId="0" fontId="83" fillId="69" borderId="19" xfId="0" applyFont="1" applyFill="1" applyBorder="1" applyAlignment="1">
      <alignment horizontal="center" vertical="center"/>
    </xf>
    <xf numFmtId="181" fontId="0" fillId="0" borderId="0" xfId="0" applyNumberFormat="1"/>
    <xf numFmtId="189" fontId="0" fillId="0" borderId="0" xfId="1" applyNumberFormat="1" applyFont="1" applyAlignment="1">
      <alignment vertical="center"/>
    </xf>
    <xf numFmtId="0" fontId="1" fillId="0" borderId="0" xfId="11"/>
    <xf numFmtId="0" fontId="4" fillId="0" borderId="62" xfId="0" applyFont="1" applyBorder="1" applyAlignment="1">
      <alignment horizontal="left"/>
    </xf>
    <xf numFmtId="0" fontId="0" fillId="0" borderId="19" xfId="0" applyBorder="1" applyAlignment="1">
      <alignment horizontal="left"/>
    </xf>
    <xf numFmtId="0" fontId="25" fillId="0" borderId="0" xfId="0" applyFont="1" applyAlignment="1">
      <alignment horizontal="center" vertical="center"/>
    </xf>
    <xf numFmtId="0" fontId="1" fillId="12" borderId="0" xfId="11" applyFill="1"/>
    <xf numFmtId="3" fontId="1" fillId="12" borderId="0" xfId="11" applyNumberFormat="1" applyFill="1" applyAlignment="1">
      <alignment horizontal="center" vertical="center"/>
    </xf>
    <xf numFmtId="0" fontId="25" fillId="0" borderId="63" xfId="0" applyFont="1" applyBorder="1" applyAlignment="1">
      <alignment horizontal="center" vertical="center"/>
    </xf>
    <xf numFmtId="0" fontId="25" fillId="0" borderId="63" xfId="0" applyFont="1" applyBorder="1" applyAlignment="1">
      <alignment horizontal="center" vertical="center" wrapText="1"/>
    </xf>
    <xf numFmtId="0" fontId="25" fillId="0" borderId="63" xfId="11" applyFont="1" applyBorder="1" applyAlignment="1">
      <alignment horizontal="center" vertical="center" wrapText="1"/>
    </xf>
    <xf numFmtId="0" fontId="25" fillId="0" borderId="64" xfId="0" applyFont="1" applyBorder="1" applyAlignment="1">
      <alignment horizontal="center" vertical="center"/>
    </xf>
    <xf numFmtId="0" fontId="84" fillId="75" borderId="64" xfId="0" applyFont="1" applyFill="1" applyBorder="1" applyAlignment="1">
      <alignment horizontal="left" vertical="center"/>
    </xf>
    <xf numFmtId="0" fontId="85" fillId="18" borderId="15" xfId="11" applyFont="1" applyFill="1" applyBorder="1" applyAlignment="1" applyProtection="1">
      <alignment vertical="center"/>
      <protection locked="0"/>
    </xf>
    <xf numFmtId="0" fontId="84" fillId="12" borderId="65" xfId="0" applyFont="1" applyFill="1" applyBorder="1" applyAlignment="1" applyProtection="1">
      <alignment horizontal="center" vertical="center"/>
      <protection locked="0"/>
    </xf>
    <xf numFmtId="43" fontId="84" fillId="0" borderId="65" xfId="0" applyNumberFormat="1" applyFont="1" applyBorder="1" applyAlignment="1">
      <alignment horizontal="center" vertical="center"/>
    </xf>
    <xf numFmtId="176" fontId="84" fillId="0" borderId="65" xfId="0" applyNumberFormat="1" applyFont="1" applyBorder="1" applyAlignment="1">
      <alignment horizontal="left" vertical="center"/>
    </xf>
    <xf numFmtId="171" fontId="85" fillId="12" borderId="15" xfId="0" applyNumberFormat="1" applyFont="1" applyFill="1" applyBorder="1" applyAlignment="1">
      <alignment horizontal="center" vertical="center"/>
    </xf>
    <xf numFmtId="171" fontId="84" fillId="0" borderId="66" xfId="0" applyNumberFormat="1" applyFont="1" applyBorder="1" applyAlignment="1">
      <alignment horizontal="center" vertical="center"/>
    </xf>
    <xf numFmtId="171" fontId="84" fillId="0" borderId="64" xfId="13" applyNumberFormat="1" applyFont="1" applyBorder="1" applyAlignment="1">
      <alignment horizontal="center" vertical="center"/>
    </xf>
    <xf numFmtId="191" fontId="84" fillId="0" borderId="64" xfId="13" applyNumberFormat="1" applyFont="1" applyBorder="1" applyAlignment="1">
      <alignment horizontal="center" vertical="center"/>
    </xf>
    <xf numFmtId="43" fontId="1" fillId="0" borderId="0" xfId="11" applyNumberFormat="1"/>
    <xf numFmtId="192" fontId="1" fillId="12" borderId="0" xfId="11" applyNumberFormat="1" applyFill="1"/>
    <xf numFmtId="0" fontId="1" fillId="18" borderId="0" xfId="11" applyFill="1"/>
    <xf numFmtId="0" fontId="25" fillId="0" borderId="67" xfId="0" applyFont="1" applyBorder="1" applyAlignment="1">
      <alignment horizontal="center" vertical="center"/>
    </xf>
    <xf numFmtId="0" fontId="84" fillId="75" borderId="67" xfId="0" applyFont="1" applyFill="1" applyBorder="1" applyAlignment="1">
      <alignment horizontal="left" vertical="center"/>
    </xf>
    <xf numFmtId="1" fontId="84" fillId="12" borderId="67" xfId="0" applyNumberFormat="1" applyFont="1" applyFill="1" applyBorder="1" applyAlignment="1" applyProtection="1">
      <alignment horizontal="center" vertical="center"/>
      <protection locked="0"/>
    </xf>
    <xf numFmtId="176" fontId="84" fillId="0" borderId="67" xfId="0" applyNumberFormat="1" applyFont="1" applyBorder="1" applyAlignment="1">
      <alignment horizontal="left" vertical="center"/>
    </xf>
    <xf numFmtId="171" fontId="26" fillId="75" borderId="67" xfId="0" applyNumberFormat="1" applyFont="1" applyFill="1" applyBorder="1" applyAlignment="1">
      <alignment horizontal="center" vertical="center"/>
    </xf>
    <xf numFmtId="171" fontId="84" fillId="0" borderId="67" xfId="13" applyNumberFormat="1" applyFont="1" applyBorder="1" applyAlignment="1">
      <alignment horizontal="center" vertical="center"/>
    </xf>
    <xf numFmtId="191" fontId="84" fillId="0" borderId="67" xfId="13" applyNumberFormat="1" applyFont="1" applyBorder="1" applyAlignment="1">
      <alignment horizontal="center" vertical="center"/>
    </xf>
    <xf numFmtId="192" fontId="1" fillId="0" borderId="0" xfId="11" applyNumberFormat="1"/>
    <xf numFmtId="43" fontId="2" fillId="18" borderId="0" xfId="11" applyNumberFormat="1" applyFont="1" applyFill="1"/>
    <xf numFmtId="0" fontId="2" fillId="18" borderId="0" xfId="0" applyFont="1" applyFill="1"/>
    <xf numFmtId="0" fontId="85" fillId="18" borderId="67" xfId="0" applyFont="1" applyFill="1" applyBorder="1" applyAlignment="1">
      <alignment horizontal="left" vertical="center"/>
    </xf>
    <xf numFmtId="0" fontId="85" fillId="18" borderId="64" xfId="11" applyFont="1" applyFill="1" applyBorder="1" applyAlignment="1" applyProtection="1">
      <alignment vertical="center"/>
      <protection locked="0"/>
    </xf>
    <xf numFmtId="0" fontId="85" fillId="18" borderId="67" xfId="0" applyFont="1" applyFill="1" applyBorder="1" applyAlignment="1" applyProtection="1">
      <alignment horizontal="center" vertical="center"/>
      <protection locked="0"/>
    </xf>
    <xf numFmtId="43" fontId="84" fillId="0" borderId="67" xfId="0" applyNumberFormat="1" applyFont="1" applyBorder="1" applyAlignment="1">
      <alignment horizontal="center" vertical="center"/>
    </xf>
    <xf numFmtId="176" fontId="84" fillId="0" borderId="64" xfId="0" applyNumberFormat="1" applyFont="1" applyBorder="1" applyAlignment="1">
      <alignment horizontal="left" vertical="center"/>
    </xf>
    <xf numFmtId="0" fontId="25" fillId="0" borderId="67" xfId="11" applyFont="1" applyBorder="1" applyAlignment="1">
      <alignment horizontal="center" vertical="center"/>
    </xf>
    <xf numFmtId="0" fontId="84" fillId="0" borderId="67" xfId="11" applyFont="1" applyBorder="1" applyAlignment="1">
      <alignment horizontal="left" vertical="center"/>
    </xf>
    <xf numFmtId="0" fontId="84" fillId="0" borderId="67" xfId="11" applyFont="1" applyBorder="1" applyAlignment="1">
      <alignment horizontal="center" vertical="center"/>
    </xf>
    <xf numFmtId="176" fontId="84" fillId="0" borderId="67" xfId="11" applyNumberFormat="1" applyFont="1" applyBorder="1" applyAlignment="1">
      <alignment horizontal="center" vertical="center"/>
    </xf>
    <xf numFmtId="176" fontId="85" fillId="18" borderId="67" xfId="11" applyNumberFormat="1" applyFont="1" applyFill="1" applyBorder="1" applyAlignment="1">
      <alignment horizontal="left" vertical="center"/>
    </xf>
    <xf numFmtId="167" fontId="1" fillId="0" borderId="0" xfId="11" applyNumberFormat="1"/>
    <xf numFmtId="0" fontId="25" fillId="0" borderId="68" xfId="11" applyFont="1" applyBorder="1" applyAlignment="1">
      <alignment horizontal="center" vertical="center"/>
    </xf>
    <xf numFmtId="0" fontId="84" fillId="0" borderId="68" xfId="11" applyFont="1" applyBorder="1" applyAlignment="1">
      <alignment horizontal="left" vertical="center"/>
    </xf>
    <xf numFmtId="0" fontId="84" fillId="0" borderId="68" xfId="11" applyFont="1" applyBorder="1" applyAlignment="1">
      <alignment horizontal="center" vertical="center"/>
    </xf>
    <xf numFmtId="176" fontId="84" fillId="0" borderId="68" xfId="11" applyNumberFormat="1" applyFont="1" applyBorder="1" applyAlignment="1">
      <alignment horizontal="center" vertical="center"/>
    </xf>
    <xf numFmtId="176" fontId="85" fillId="18" borderId="68" xfId="11" applyNumberFormat="1" applyFont="1" applyFill="1" applyBorder="1" applyAlignment="1">
      <alignment horizontal="left" vertical="center"/>
    </xf>
    <xf numFmtId="171" fontId="84" fillId="0" borderId="68" xfId="13" applyNumberFormat="1" applyFont="1" applyBorder="1" applyAlignment="1">
      <alignment horizontal="center" vertical="center"/>
    </xf>
    <xf numFmtId="191" fontId="84" fillId="0" borderId="68" xfId="13" applyNumberFormat="1" applyFont="1" applyBorder="1" applyAlignment="1">
      <alignment horizontal="center" vertical="center"/>
    </xf>
    <xf numFmtId="0" fontId="1" fillId="0" borderId="0" xfId="11" applyAlignment="1">
      <alignment horizontal="center" vertical="center"/>
    </xf>
    <xf numFmtId="1" fontId="1" fillId="12" borderId="0" xfId="11" applyNumberFormat="1" applyFill="1" applyAlignment="1">
      <alignment horizontal="center" vertical="center"/>
    </xf>
    <xf numFmtId="43" fontId="16" fillId="0" borderId="15" xfId="0" applyNumberFormat="1" applyFont="1" applyBorder="1" applyAlignment="1">
      <alignment horizontal="center" vertical="center"/>
    </xf>
    <xf numFmtId="176" fontId="16" fillId="0" borderId="63" xfId="0" applyNumberFormat="1" applyFont="1" applyBorder="1" applyAlignment="1">
      <alignment horizontal="left" vertical="center"/>
    </xf>
    <xf numFmtId="171" fontId="25" fillId="0" borderId="16" xfId="0" applyNumberFormat="1" applyFont="1" applyBorder="1" applyAlignment="1">
      <alignment horizontal="left" vertical="center" wrapText="1"/>
    </xf>
    <xf numFmtId="171" fontId="25" fillId="0" borderId="16" xfId="13" applyNumberFormat="1" applyFont="1" applyBorder="1" applyAlignment="1">
      <alignment horizontal="center" vertical="center"/>
    </xf>
    <xf numFmtId="191" fontId="25" fillId="0" borderId="16" xfId="13" applyNumberFormat="1" applyFont="1" applyBorder="1" applyAlignment="1">
      <alignment horizontal="center" vertical="center"/>
    </xf>
    <xf numFmtId="167" fontId="84" fillId="0" borderId="63" xfId="0" applyNumberFormat="1" applyFont="1" applyBorder="1" applyAlignment="1">
      <alignment horizontal="left" vertical="center"/>
    </xf>
    <xf numFmtId="171" fontId="85" fillId="18" borderId="63" xfId="13" applyNumberFormat="1" applyFont="1" applyFill="1" applyBorder="1" applyAlignment="1">
      <alignment horizontal="center" vertical="center"/>
    </xf>
    <xf numFmtId="191" fontId="84" fillId="0" borderId="63" xfId="13" applyNumberFormat="1" applyFont="1" applyBorder="1" applyAlignment="1">
      <alignment horizontal="center" vertical="center"/>
    </xf>
    <xf numFmtId="191" fontId="84" fillId="0" borderId="69" xfId="13" applyNumberFormat="1" applyFont="1" applyBorder="1" applyAlignment="1">
      <alignment horizontal="center" vertical="center"/>
    </xf>
    <xf numFmtId="171" fontId="85" fillId="0" borderId="70" xfId="13" applyNumberFormat="1" applyFont="1" applyFill="1" applyBorder="1" applyAlignment="1">
      <alignment horizontal="center" vertical="center"/>
    </xf>
    <xf numFmtId="0" fontId="1" fillId="12" borderId="2" xfId="11" applyFill="1" applyBorder="1" applyAlignment="1">
      <alignment horizontal="center" vertical="center"/>
    </xf>
    <xf numFmtId="0" fontId="1" fillId="0" borderId="2" xfId="11" applyBorder="1" applyAlignment="1">
      <alignment horizontal="center" vertical="center"/>
    </xf>
    <xf numFmtId="0" fontId="2" fillId="0" borderId="0" xfId="11" applyFont="1" applyAlignment="1">
      <alignment horizontal="center" vertical="center"/>
    </xf>
    <xf numFmtId="174" fontId="0" fillId="0" borderId="0" xfId="0" applyNumberFormat="1"/>
    <xf numFmtId="171" fontId="84" fillId="0" borderId="63" xfId="13" applyNumberFormat="1" applyFont="1" applyBorder="1" applyAlignment="1">
      <alignment horizontal="center" vertical="center"/>
    </xf>
    <xf numFmtId="171" fontId="84" fillId="0" borderId="70" xfId="13" applyNumberFormat="1" applyFont="1" applyFill="1" applyBorder="1" applyAlignment="1">
      <alignment horizontal="center" vertical="center"/>
    </xf>
    <xf numFmtId="43" fontId="1" fillId="0" borderId="0" xfId="11" applyNumberFormat="1" applyAlignment="1">
      <alignment horizontal="center" vertical="center"/>
    </xf>
    <xf numFmtId="171" fontId="84" fillId="12" borderId="63" xfId="13" applyNumberFormat="1" applyFont="1" applyFill="1" applyBorder="1" applyAlignment="1">
      <alignment horizontal="center" vertical="center"/>
    </xf>
    <xf numFmtId="0" fontId="0" fillId="18" borderId="0" xfId="0" applyFill="1"/>
    <xf numFmtId="0" fontId="0" fillId="18" borderId="0" xfId="0" applyFill="1" applyAlignment="1">
      <alignment horizontal="center"/>
    </xf>
    <xf numFmtId="9" fontId="1" fillId="0" borderId="0" xfId="2" applyAlignment="1">
      <alignment horizontal="center" vertical="center"/>
    </xf>
    <xf numFmtId="0" fontId="25" fillId="0" borderId="17" xfId="11" applyFont="1" applyBorder="1" applyAlignment="1">
      <alignment horizontal="left" vertical="center"/>
    </xf>
    <xf numFmtId="193" fontId="25" fillId="0" borderId="17" xfId="13" applyNumberFormat="1" applyFont="1" applyBorder="1" applyAlignment="1">
      <alignment horizontal="center" vertical="center"/>
    </xf>
    <xf numFmtId="191" fontId="25" fillId="0" borderId="17" xfId="13" applyNumberFormat="1" applyFont="1" applyBorder="1" applyAlignment="1">
      <alignment horizontal="center" vertical="center"/>
    </xf>
    <xf numFmtId="0" fontId="1" fillId="0" borderId="0" xfId="11" applyAlignment="1">
      <alignment horizontal="left" vertical="center"/>
    </xf>
    <xf numFmtId="0" fontId="1" fillId="0" borderId="0" xfId="11" applyAlignment="1">
      <alignment vertical="center"/>
    </xf>
    <xf numFmtId="167" fontId="0" fillId="0" borderId="0" xfId="0" applyNumberFormat="1" applyAlignment="1">
      <alignment horizontal="center" vertical="center"/>
    </xf>
    <xf numFmtId="167" fontId="1" fillId="0" borderId="0" xfId="11" applyNumberFormat="1" applyAlignment="1">
      <alignment horizontal="center" vertical="center"/>
    </xf>
    <xf numFmtId="0" fontId="16" fillId="0" borderId="72" xfId="11" applyFont="1" applyBorder="1" applyAlignment="1">
      <alignment horizontal="center" vertical="center"/>
    </xf>
    <xf numFmtId="0" fontId="25" fillId="22" borderId="73" xfId="11" applyFont="1" applyFill="1" applyBorder="1" applyAlignment="1">
      <alignment horizontal="left" vertical="center"/>
    </xf>
    <xf numFmtId="171" fontId="25" fillId="22" borderId="74" xfId="11" applyNumberFormat="1" applyFont="1" applyFill="1" applyBorder="1" applyAlignment="1">
      <alignment horizontal="left" vertical="center"/>
    </xf>
    <xf numFmtId="191" fontId="25" fillId="22" borderId="75" xfId="13" applyNumberFormat="1" applyFont="1" applyFill="1" applyBorder="1" applyAlignment="1">
      <alignment horizontal="center" vertical="center"/>
    </xf>
    <xf numFmtId="171" fontId="16" fillId="0" borderId="63" xfId="11" applyNumberFormat="1" applyFont="1" applyBorder="1" applyAlignment="1">
      <alignment horizontal="center" vertical="center"/>
    </xf>
    <xf numFmtId="193" fontId="16" fillId="0" borderId="63" xfId="13" applyNumberFormat="1" applyFont="1" applyBorder="1" applyAlignment="1">
      <alignment horizontal="center" vertical="center"/>
    </xf>
    <xf numFmtId="191" fontId="25" fillId="0" borderId="63" xfId="13" applyNumberFormat="1" applyFont="1" applyBorder="1" applyAlignment="1">
      <alignment horizontal="center" vertical="center"/>
    </xf>
    <xf numFmtId="191" fontId="16" fillId="0" borderId="63" xfId="13" applyNumberFormat="1" applyFont="1" applyBorder="1" applyAlignment="1">
      <alignment horizontal="center" vertical="center"/>
    </xf>
    <xf numFmtId="0" fontId="1" fillId="12" borderId="0" xfId="11" applyFill="1" applyAlignment="1">
      <alignment horizontal="center" vertical="center"/>
    </xf>
    <xf numFmtId="9" fontId="1" fillId="12" borderId="0" xfId="2" applyFill="1" applyAlignment="1">
      <alignment horizontal="center" vertical="center"/>
    </xf>
    <xf numFmtId="0" fontId="16" fillId="0" borderId="77" xfId="11" applyFont="1" applyBorder="1" applyAlignment="1">
      <alignment horizontal="center" vertical="center"/>
    </xf>
    <xf numFmtId="0" fontId="25" fillId="22" borderId="78" xfId="11" applyFont="1" applyFill="1" applyBorder="1" applyAlignment="1">
      <alignment horizontal="left" vertical="center"/>
    </xf>
    <xf numFmtId="171" fontId="25" fillId="22" borderId="78" xfId="11" applyNumberFormat="1" applyFont="1" applyFill="1" applyBorder="1" applyAlignment="1">
      <alignment horizontal="left" vertical="center"/>
    </xf>
    <xf numFmtId="194" fontId="1" fillId="0" borderId="0" xfId="11" applyNumberFormat="1" applyAlignment="1">
      <alignment horizontal="center" vertical="center"/>
    </xf>
    <xf numFmtId="0" fontId="25" fillId="9" borderId="73" xfId="11" applyFont="1" applyFill="1" applyBorder="1" applyAlignment="1">
      <alignment horizontal="left" vertical="center"/>
    </xf>
    <xf numFmtId="171" fontId="25" fillId="9" borderId="74" xfId="11" applyNumberFormat="1" applyFont="1" applyFill="1" applyBorder="1" applyAlignment="1">
      <alignment horizontal="left" vertical="center"/>
    </xf>
    <xf numFmtId="194" fontId="0" fillId="0" borderId="0" xfId="0" applyNumberFormat="1"/>
    <xf numFmtId="0" fontId="25" fillId="9" borderId="78" xfId="11" applyFont="1" applyFill="1" applyBorder="1" applyAlignment="1">
      <alignment horizontal="left" vertical="center"/>
    </xf>
    <xf numFmtId="171" fontId="25" fillId="9" borderId="2" xfId="11" applyNumberFormat="1" applyFont="1" applyFill="1" applyBorder="1" applyAlignment="1">
      <alignment horizontal="left" vertical="center"/>
    </xf>
    <xf numFmtId="194" fontId="1" fillId="0" borderId="0" xfId="11" applyNumberFormat="1"/>
    <xf numFmtId="4" fontId="1" fillId="0" borderId="0" xfId="11" applyNumberFormat="1" applyAlignment="1">
      <alignment horizontal="center"/>
    </xf>
    <xf numFmtId="4" fontId="0" fillId="0" borderId="0" xfId="0" applyNumberFormat="1" applyAlignment="1">
      <alignment horizontal="center"/>
    </xf>
    <xf numFmtId="3" fontId="1" fillId="0" borderId="0" xfId="11" applyNumberFormat="1"/>
    <xf numFmtId="0" fontId="0" fillId="12" borderId="0" xfId="0" applyFill="1"/>
    <xf numFmtId="10" fontId="1" fillId="18" borderId="0" xfId="11" applyNumberFormat="1" applyFill="1"/>
    <xf numFmtId="174" fontId="1" fillId="0" borderId="0" xfId="11" applyNumberFormat="1" applyAlignment="1">
      <alignment horizontal="center" vertical="center"/>
    </xf>
    <xf numFmtId="9" fontId="1" fillId="0" borderId="0" xfId="11" applyNumberFormat="1"/>
    <xf numFmtId="174" fontId="1" fillId="12" borderId="0" xfId="11" applyNumberFormat="1" applyFill="1" applyAlignment="1">
      <alignment horizontal="center" vertical="center"/>
    </xf>
    <xf numFmtId="0" fontId="4" fillId="11" borderId="79" xfId="11" applyFont="1" applyFill="1" applyBorder="1" applyAlignment="1">
      <alignment horizontal="center" vertical="center"/>
    </xf>
    <xf numFmtId="3" fontId="4" fillId="11" borderId="80" xfId="11" applyNumberFormat="1" applyFont="1" applyFill="1" applyBorder="1" applyAlignment="1">
      <alignment horizontal="center" vertical="center"/>
    </xf>
    <xf numFmtId="3" fontId="2" fillId="18" borderId="0" xfId="11" applyNumberFormat="1" applyFont="1" applyFill="1" applyAlignment="1">
      <alignment horizontal="center" vertical="center"/>
    </xf>
    <xf numFmtId="0" fontId="4" fillId="76" borderId="79" xfId="11" applyFont="1" applyFill="1" applyBorder="1" applyAlignment="1">
      <alignment horizontal="center" vertical="center"/>
    </xf>
    <xf numFmtId="3" fontId="4" fillId="76" borderId="80" xfId="11" applyNumberFormat="1" applyFont="1" applyFill="1" applyBorder="1" applyAlignment="1">
      <alignment horizontal="center" vertical="center"/>
    </xf>
    <xf numFmtId="4" fontId="1" fillId="0" borderId="27" xfId="11" applyNumberFormat="1" applyBorder="1" applyAlignment="1">
      <alignment horizontal="center"/>
    </xf>
    <xf numFmtId="4" fontId="0" fillId="0" borderId="27" xfId="0" applyNumberFormat="1" applyBorder="1" applyAlignment="1">
      <alignment horizontal="center"/>
    </xf>
    <xf numFmtId="0" fontId="86" fillId="0" borderId="0" xfId="11" applyFont="1"/>
    <xf numFmtId="0" fontId="0" fillId="0" borderId="2" xfId="11" applyFont="1" applyBorder="1" applyAlignment="1">
      <alignment horizontal="center" vertical="center"/>
    </xf>
    <xf numFmtId="3" fontId="1" fillId="0" borderId="2" xfId="11" applyNumberFormat="1" applyBorder="1" applyAlignment="1">
      <alignment horizontal="center" vertical="center"/>
    </xf>
    <xf numFmtId="0" fontId="1" fillId="0" borderId="0" xfId="11" applyAlignment="1">
      <alignment horizontal="center"/>
    </xf>
    <xf numFmtId="3" fontId="0" fillId="0" borderId="80" xfId="11" applyNumberFormat="1" applyFont="1" applyBorder="1" applyAlignment="1">
      <alignment horizontal="center" vertical="center"/>
    </xf>
    <xf numFmtId="195" fontId="1" fillId="0" borderId="0" xfId="11" applyNumberFormat="1" applyAlignment="1">
      <alignment horizontal="center"/>
    </xf>
    <xf numFmtId="0" fontId="0" fillId="19" borderId="2" xfId="0" applyFill="1" applyBorder="1"/>
    <xf numFmtId="0" fontId="0" fillId="19" borderId="2" xfId="0" applyFill="1" applyBorder="1" applyAlignment="1">
      <alignment horizontal="center"/>
    </xf>
    <xf numFmtId="195" fontId="1" fillId="0" borderId="0" xfId="11" applyNumberFormat="1"/>
    <xf numFmtId="196" fontId="1" fillId="0" borderId="0" xfId="11" applyNumberFormat="1"/>
    <xf numFmtId="0" fontId="1" fillId="19" borderId="2" xfId="11" applyFill="1" applyBorder="1" applyAlignment="1">
      <alignment horizontal="center" vertical="center"/>
    </xf>
    <xf numFmtId="171" fontId="1" fillId="19" borderId="2" xfId="11" applyNumberFormat="1" applyFill="1" applyBorder="1" applyAlignment="1">
      <alignment horizontal="center" vertical="center"/>
    </xf>
    <xf numFmtId="171" fontId="0" fillId="19" borderId="2" xfId="0" applyNumberFormat="1" applyFill="1" applyBorder="1"/>
    <xf numFmtId="197" fontId="0" fillId="19" borderId="2" xfId="0" applyNumberFormat="1" applyFill="1" applyBorder="1"/>
    <xf numFmtId="0" fontId="87" fillId="0" borderId="0" xfId="0" applyFont="1" applyAlignment="1">
      <alignment horizontal="center"/>
    </xf>
    <xf numFmtId="0" fontId="88" fillId="0" borderId="0" xfId="0" applyFont="1" applyAlignment="1">
      <alignment horizontal="center" vertical="center"/>
    </xf>
    <xf numFmtId="198" fontId="88" fillId="0" borderId="0" xfId="0" applyNumberFormat="1" applyFont="1" applyAlignment="1">
      <alignment horizontal="center" vertical="center"/>
    </xf>
    <xf numFmtId="9" fontId="1" fillId="0" borderId="0" xfId="11" applyNumberFormat="1" applyAlignment="1">
      <alignment horizontal="center" vertical="center"/>
    </xf>
    <xf numFmtId="0" fontId="0" fillId="19" borderId="25" xfId="0" applyFill="1" applyBorder="1"/>
    <xf numFmtId="4" fontId="0" fillId="19" borderId="28" xfId="0" applyNumberFormat="1" applyFill="1" applyBorder="1" applyAlignment="1">
      <alignment horizontal="center"/>
    </xf>
    <xf numFmtId="0" fontId="0" fillId="19" borderId="26" xfId="0" applyFill="1" applyBorder="1"/>
    <xf numFmtId="164" fontId="0" fillId="19" borderId="29" xfId="2" applyNumberFormat="1" applyFont="1" applyFill="1" applyBorder="1" applyAlignment="1">
      <alignment horizontal="center"/>
    </xf>
    <xf numFmtId="0" fontId="0" fillId="75" borderId="0" xfId="0" applyFill="1"/>
    <xf numFmtId="173" fontId="0" fillId="76" borderId="0" xfId="0" applyNumberFormat="1" applyFill="1"/>
    <xf numFmtId="0" fontId="89" fillId="77" borderId="0" xfId="0" applyFont="1" applyFill="1" applyAlignment="1">
      <alignment horizontal="left" vertical="center"/>
    </xf>
    <xf numFmtId="0" fontId="27" fillId="77" borderId="0" xfId="0" applyFont="1" applyFill="1" applyAlignment="1">
      <alignment horizontal="center" vertical="center"/>
    </xf>
    <xf numFmtId="9" fontId="0" fillId="75" borderId="0" xfId="0" applyNumberFormat="1" applyFill="1"/>
    <xf numFmtId="0" fontId="90" fillId="21" borderId="81" xfId="0" applyFont="1" applyFill="1" applyBorder="1" applyAlignment="1">
      <alignment vertical="center"/>
    </xf>
    <xf numFmtId="0" fontId="90" fillId="21" borderId="75" xfId="0" applyFont="1" applyFill="1" applyBorder="1" applyAlignment="1">
      <alignment horizontal="center" vertical="center"/>
    </xf>
    <xf numFmtId="0" fontId="84" fillId="21" borderId="82" xfId="0" applyFont="1" applyFill="1" applyBorder="1"/>
    <xf numFmtId="0" fontId="84" fillId="21" borderId="83" xfId="0" applyFont="1" applyFill="1" applyBorder="1" applyAlignment="1">
      <alignment horizontal="center"/>
    </xf>
    <xf numFmtId="0" fontId="84" fillId="75" borderId="0" xfId="0" applyFont="1" applyFill="1"/>
    <xf numFmtId="0" fontId="84" fillId="21" borderId="83" xfId="11" applyFont="1" applyFill="1" applyBorder="1" applyAlignment="1">
      <alignment horizontal="center"/>
    </xf>
    <xf numFmtId="0" fontId="88" fillId="11" borderId="0" xfId="0" applyFont="1" applyFill="1" applyAlignment="1">
      <alignment horizontal="center" vertical="center"/>
    </xf>
    <xf numFmtId="198" fontId="88" fillId="11" borderId="0" xfId="0" applyNumberFormat="1" applyFont="1" applyFill="1" applyAlignment="1">
      <alignment horizontal="center" vertical="center"/>
    </xf>
    <xf numFmtId="3" fontId="84" fillId="21" borderId="83" xfId="0" applyNumberFormat="1" applyFont="1" applyFill="1" applyBorder="1" applyAlignment="1">
      <alignment horizontal="center"/>
    </xf>
    <xf numFmtId="0" fontId="84" fillId="78" borderId="0" xfId="0" applyFont="1" applyFill="1" applyAlignment="1">
      <alignment horizontal="center"/>
    </xf>
    <xf numFmtId="0" fontId="0" fillId="78" borderId="0" xfId="0" applyFill="1" applyAlignment="1">
      <alignment horizontal="center"/>
    </xf>
    <xf numFmtId="0" fontId="28" fillId="11" borderId="0" xfId="0" applyFont="1" applyFill="1" applyAlignment="1">
      <alignment horizontal="center"/>
    </xf>
    <xf numFmtId="3" fontId="28" fillId="11" borderId="0" xfId="0" applyNumberFormat="1" applyFont="1" applyFill="1" applyAlignment="1">
      <alignment horizontal="center"/>
    </xf>
    <xf numFmtId="0" fontId="91" fillId="0" borderId="0" xfId="0" applyFont="1"/>
    <xf numFmtId="190" fontId="0" fillId="0" borderId="0" xfId="12" applyNumberFormat="1" applyFont="1"/>
    <xf numFmtId="0" fontId="25" fillId="75" borderId="0" xfId="0" applyFont="1" applyFill="1"/>
    <xf numFmtId="164" fontId="0" fillId="0" borderId="0" xfId="2" applyNumberFormat="1" applyFont="1"/>
    <xf numFmtId="190" fontId="0" fillId="0" borderId="0" xfId="0" applyNumberFormat="1"/>
    <xf numFmtId="0" fontId="92" fillId="75" borderId="0" xfId="0" applyFont="1" applyFill="1"/>
    <xf numFmtId="0" fontId="93" fillId="0" borderId="0" xfId="0" applyFont="1" applyAlignment="1">
      <alignment vertical="center" wrapText="1"/>
    </xf>
    <xf numFmtId="198" fontId="0" fillId="0" borderId="0" xfId="12" applyNumberFormat="1" applyFont="1"/>
    <xf numFmtId="198" fontId="0" fillId="0" borderId="0" xfId="0" applyNumberFormat="1"/>
    <xf numFmtId="196" fontId="0" fillId="0" borderId="0" xfId="0" applyNumberFormat="1"/>
    <xf numFmtId="199" fontId="0" fillId="0" borderId="0" xfId="12" applyNumberFormat="1" applyFont="1"/>
    <xf numFmtId="0" fontId="84" fillId="75" borderId="19" xfId="0" applyFont="1" applyFill="1" applyBorder="1"/>
    <xf numFmtId="0" fontId="84" fillId="75" borderId="0" xfId="0" applyFont="1" applyFill="1" applyAlignment="1">
      <alignment horizontal="center"/>
    </xf>
    <xf numFmtId="200" fontId="0" fillId="0" borderId="0" xfId="0" applyNumberFormat="1"/>
    <xf numFmtId="0" fontId="25" fillId="21" borderId="82" xfId="0" applyFont="1" applyFill="1" applyBorder="1" applyAlignment="1">
      <alignment wrapText="1"/>
    </xf>
    <xf numFmtId="201" fontId="84" fillId="21" borderId="83" xfId="0" applyNumberFormat="1" applyFont="1" applyFill="1" applyBorder="1" applyAlignment="1">
      <alignment horizontal="center"/>
    </xf>
    <xf numFmtId="0" fontId="1" fillId="19" borderId="0" xfId="11" applyFill="1" applyAlignment="1">
      <alignment horizontal="center" vertical="center"/>
    </xf>
    <xf numFmtId="0" fontId="25" fillId="11" borderId="82" xfId="0" applyFont="1" applyFill="1" applyBorder="1" applyAlignment="1">
      <alignment wrapText="1"/>
    </xf>
    <xf numFmtId="201" fontId="25" fillId="11" borderId="83" xfId="0" applyNumberFormat="1" applyFont="1" applyFill="1" applyBorder="1" applyAlignment="1">
      <alignment horizontal="center"/>
    </xf>
    <xf numFmtId="0" fontId="25" fillId="11" borderId="84" xfId="0" applyFont="1" applyFill="1" applyBorder="1"/>
    <xf numFmtId="202" fontId="25" fillId="11" borderId="85" xfId="0" applyNumberFormat="1" applyFont="1" applyFill="1" applyBorder="1" applyAlignment="1">
      <alignment horizontal="center"/>
    </xf>
    <xf numFmtId="195" fontId="0" fillId="0" borderId="0" xfId="0" applyNumberFormat="1"/>
    <xf numFmtId="0" fontId="84" fillId="0" borderId="19" xfId="0" applyFont="1" applyBorder="1"/>
    <xf numFmtId="203" fontId="84" fillId="0" borderId="0" xfId="0" applyNumberFormat="1" applyFont="1"/>
    <xf numFmtId="0" fontId="84" fillId="21" borderId="84" xfId="0" applyFont="1" applyFill="1" applyBorder="1" applyAlignment="1">
      <alignment wrapText="1"/>
    </xf>
    <xf numFmtId="203" fontId="84" fillId="21" borderId="86" xfId="0" applyNumberFormat="1" applyFont="1" applyFill="1" applyBorder="1" applyAlignment="1">
      <alignment horizontal="center"/>
    </xf>
    <xf numFmtId="203" fontId="0" fillId="0" borderId="0" xfId="0" applyNumberFormat="1"/>
    <xf numFmtId="0" fontId="4" fillId="79" borderId="81" xfId="0" applyFont="1" applyFill="1" applyBorder="1"/>
    <xf numFmtId="204" fontId="25" fillId="79" borderId="75" xfId="0" applyNumberFormat="1" applyFont="1" applyFill="1" applyBorder="1" applyAlignment="1">
      <alignment horizontal="center"/>
    </xf>
    <xf numFmtId="205" fontId="0" fillId="0" borderId="0" xfId="12" applyNumberFormat="1" applyFont="1"/>
    <xf numFmtId="0" fontId="4" fillId="79" borderId="84" xfId="0" applyFont="1" applyFill="1" applyBorder="1"/>
    <xf numFmtId="206" fontId="25" fillId="79" borderId="85" xfId="0" applyNumberFormat="1" applyFont="1" applyFill="1" applyBorder="1" applyAlignment="1">
      <alignment horizontal="center"/>
    </xf>
    <xf numFmtId="0" fontId="92" fillId="0" borderId="0" xfId="0" applyFont="1"/>
    <xf numFmtId="0" fontId="95" fillId="0" borderId="87" xfId="0" applyFont="1" applyBorder="1" applyAlignment="1">
      <alignment horizontal="right" wrapText="1"/>
    </xf>
    <xf numFmtId="0" fontId="95" fillId="0" borderId="87" xfId="0" applyFont="1" applyBorder="1" applyAlignment="1">
      <alignment wrapText="1"/>
    </xf>
    <xf numFmtId="185" fontId="0" fillId="0" borderId="0" xfId="0" applyNumberFormat="1"/>
    <xf numFmtId="0" fontId="10" fillId="69" borderId="0" xfId="0" applyFont="1" applyFill="1"/>
    <xf numFmtId="0" fontId="98" fillId="71" borderId="0" xfId="3" applyFont="1" applyFill="1" applyAlignment="1">
      <alignment horizontal="center" wrapText="1"/>
    </xf>
    <xf numFmtId="0" fontId="98" fillId="71" borderId="0" xfId="3" applyFont="1" applyFill="1" applyAlignment="1">
      <alignment horizontal="center"/>
    </xf>
    <xf numFmtId="0" fontId="99" fillId="71" borderId="0" xfId="0" applyFont="1" applyFill="1" applyAlignment="1">
      <alignment horizontal="center"/>
    </xf>
    <xf numFmtId="43" fontId="10" fillId="69" borderId="88" xfId="1" applyFont="1" applyFill="1" applyBorder="1" applyAlignment="1">
      <alignment horizontal="center" vertical="center" wrapText="1"/>
    </xf>
    <xf numFmtId="43" fontId="10" fillId="69" borderId="89" xfId="1" applyFont="1" applyFill="1" applyBorder="1" applyAlignment="1">
      <alignment horizontal="center" vertical="center" wrapText="1"/>
    </xf>
    <xf numFmtId="165" fontId="10" fillId="69" borderId="89" xfId="1" applyNumberFormat="1" applyFont="1" applyFill="1" applyBorder="1" applyAlignment="1">
      <alignment horizontal="center" vertical="center" wrapText="1"/>
    </xf>
    <xf numFmtId="170" fontId="10" fillId="69" borderId="89" xfId="1" applyNumberFormat="1" applyFont="1" applyFill="1" applyBorder="1" applyAlignment="1">
      <alignment horizontal="center" vertical="center" wrapText="1"/>
    </xf>
    <xf numFmtId="43" fontId="10" fillId="80" borderId="89" xfId="1" applyFont="1" applyFill="1" applyBorder="1" applyAlignment="1">
      <alignment horizontal="center" vertical="center" wrapText="1"/>
    </xf>
    <xf numFmtId="43" fontId="10" fillId="80" borderId="90" xfId="1" applyFont="1" applyFill="1" applyBorder="1" applyAlignment="1">
      <alignment horizontal="center" vertical="center" wrapText="1"/>
    </xf>
    <xf numFmtId="166" fontId="88" fillId="74" borderId="91" xfId="1" applyNumberFormat="1" applyFont="1" applyFill="1" applyBorder="1" applyAlignment="1">
      <alignment horizontal="center" vertical="center"/>
    </xf>
    <xf numFmtId="164" fontId="88" fillId="54" borderId="92" xfId="2" applyNumberFormat="1" applyFont="1" applyFill="1" applyBorder="1" applyAlignment="1">
      <alignment horizontal="center" vertical="center"/>
    </xf>
    <xf numFmtId="0" fontId="88" fillId="54" borderId="92" xfId="2" applyNumberFormat="1" applyFont="1" applyFill="1" applyBorder="1" applyAlignment="1">
      <alignment horizontal="center" vertical="center"/>
    </xf>
    <xf numFmtId="166" fontId="88" fillId="51" borderId="91" xfId="1" applyNumberFormat="1" applyFont="1" applyFill="1" applyBorder="1" applyAlignment="1">
      <alignment horizontal="center" vertical="center"/>
    </xf>
    <xf numFmtId="164" fontId="88" fillId="58" borderId="92" xfId="2" applyNumberFormat="1" applyFont="1" applyFill="1" applyBorder="1" applyAlignment="1">
      <alignment horizontal="center" vertical="center"/>
    </xf>
    <xf numFmtId="0" fontId="88" fillId="58" borderId="92" xfId="2" applyNumberFormat="1" applyFont="1" applyFill="1" applyBorder="1" applyAlignment="1">
      <alignment horizontal="center" vertical="center"/>
    </xf>
    <xf numFmtId="166" fontId="88" fillId="51" borderId="94" xfId="1" applyNumberFormat="1" applyFont="1" applyFill="1" applyBorder="1" applyAlignment="1">
      <alignment horizontal="center" vertical="center"/>
    </xf>
    <xf numFmtId="0" fontId="88" fillId="58" borderId="95" xfId="2" applyNumberFormat="1" applyFont="1" applyFill="1" applyBorder="1" applyAlignment="1">
      <alignment horizontal="center" vertical="center"/>
    </xf>
    <xf numFmtId="3" fontId="88" fillId="74" borderId="92" xfId="1" applyNumberFormat="1" applyFont="1" applyFill="1" applyBorder="1" applyAlignment="1">
      <alignment horizontal="center" vertical="center"/>
    </xf>
    <xf numFmtId="3" fontId="88" fillId="51" borderId="92" xfId="1" applyNumberFormat="1" applyFont="1" applyFill="1" applyBorder="1" applyAlignment="1">
      <alignment horizontal="center" vertical="center"/>
    </xf>
    <xf numFmtId="3" fontId="88" fillId="51" borderId="95" xfId="1" applyNumberFormat="1" applyFont="1" applyFill="1" applyBorder="1" applyAlignment="1">
      <alignment horizontal="center" vertical="center"/>
    </xf>
    <xf numFmtId="2" fontId="88" fillId="74" borderId="92" xfId="1" applyNumberFormat="1" applyFont="1" applyFill="1" applyBorder="1" applyAlignment="1">
      <alignment horizontal="center" vertical="center"/>
    </xf>
    <xf numFmtId="2" fontId="88" fillId="51" borderId="92" xfId="1" applyNumberFormat="1" applyFont="1" applyFill="1" applyBorder="1" applyAlignment="1">
      <alignment horizontal="center" vertical="center"/>
    </xf>
    <xf numFmtId="2" fontId="88" fillId="51" borderId="95" xfId="1" applyNumberFormat="1" applyFont="1" applyFill="1" applyBorder="1" applyAlignment="1">
      <alignment horizontal="center" vertical="center"/>
    </xf>
    <xf numFmtId="3" fontId="88" fillId="51" borderId="92" xfId="0" applyNumberFormat="1" applyFont="1" applyFill="1" applyBorder="1" applyAlignment="1">
      <alignment horizontal="center" vertical="center"/>
    </xf>
    <xf numFmtId="3" fontId="88" fillId="74" borderId="92" xfId="0" applyNumberFormat="1" applyFont="1" applyFill="1" applyBorder="1" applyAlignment="1">
      <alignment horizontal="center" vertical="center"/>
    </xf>
    <xf numFmtId="207" fontId="88" fillId="74" borderId="92" xfId="1" applyNumberFormat="1" applyFont="1" applyFill="1" applyBorder="1" applyAlignment="1">
      <alignment horizontal="center" vertical="center"/>
    </xf>
    <xf numFmtId="207" fontId="88" fillId="51" borderId="92" xfId="1" applyNumberFormat="1" applyFont="1" applyFill="1" applyBorder="1" applyAlignment="1">
      <alignment horizontal="center" vertical="center"/>
    </xf>
    <xf numFmtId="207" fontId="88" fillId="51" borderId="95" xfId="1" applyNumberFormat="1" applyFont="1" applyFill="1" applyBorder="1" applyAlignment="1">
      <alignment horizontal="center" vertical="center"/>
    </xf>
    <xf numFmtId="3" fontId="88" fillId="51" borderId="95" xfId="0" applyNumberFormat="1" applyFont="1" applyFill="1" applyBorder="1" applyAlignment="1">
      <alignment horizontal="center" vertical="center"/>
    </xf>
    <xf numFmtId="181" fontId="88" fillId="54" borderId="92" xfId="0" applyNumberFormat="1" applyFont="1" applyFill="1" applyBorder="1" applyAlignment="1">
      <alignment horizontal="center" vertical="center"/>
    </xf>
    <xf numFmtId="181" fontId="88" fillId="54" borderId="92" xfId="1" applyNumberFormat="1" applyFont="1" applyFill="1" applyBorder="1" applyAlignment="1">
      <alignment horizontal="center" vertical="center"/>
    </xf>
    <xf numFmtId="181" fontId="88" fillId="58" borderId="92" xfId="0" applyNumberFormat="1" applyFont="1" applyFill="1" applyBorder="1" applyAlignment="1">
      <alignment horizontal="center" vertical="center"/>
    </xf>
    <xf numFmtId="181" fontId="88" fillId="58" borderId="92" xfId="1" applyNumberFormat="1" applyFont="1" applyFill="1" applyBorder="1" applyAlignment="1">
      <alignment horizontal="center" vertical="center"/>
    </xf>
    <xf numFmtId="181" fontId="88" fillId="58" borderId="95" xfId="0" applyNumberFormat="1" applyFont="1" applyFill="1" applyBorder="1" applyAlignment="1">
      <alignment horizontal="center" vertical="center"/>
    </xf>
    <xf numFmtId="181" fontId="88" fillId="58" borderId="95" xfId="1" applyNumberFormat="1" applyFont="1" applyFill="1" applyBorder="1" applyAlignment="1">
      <alignment horizontal="center" vertical="center"/>
    </xf>
    <xf numFmtId="164" fontId="88" fillId="58" borderId="95" xfId="2" applyNumberFormat="1" applyFont="1" applyFill="1" applyBorder="1" applyAlignment="1">
      <alignment horizontal="center" vertical="center"/>
    </xf>
    <xf numFmtId="181" fontId="88" fillId="54" borderId="92" xfId="2" applyNumberFormat="1" applyFont="1" applyFill="1" applyBorder="1" applyAlignment="1">
      <alignment horizontal="center" vertical="center"/>
    </xf>
    <xf numFmtId="181" fontId="88" fillId="58" borderId="92" xfId="2" applyNumberFormat="1" applyFont="1" applyFill="1" applyBorder="1" applyAlignment="1">
      <alignment horizontal="center" vertical="center"/>
    </xf>
    <xf numFmtId="181" fontId="88" fillId="58" borderId="92" xfId="2" applyNumberFormat="1" applyFont="1" applyFill="1" applyBorder="1" applyAlignment="1">
      <alignment horizontal="center" vertical="center" wrapText="1"/>
    </xf>
    <xf numFmtId="181" fontId="88" fillId="54" borderId="92" xfId="2" applyNumberFormat="1" applyFont="1" applyFill="1" applyBorder="1" applyAlignment="1">
      <alignment horizontal="center" vertical="center" wrapText="1"/>
    </xf>
    <xf numFmtId="181" fontId="88" fillId="58" borderId="95" xfId="2" applyNumberFormat="1" applyFont="1" applyFill="1" applyBorder="1" applyAlignment="1">
      <alignment horizontal="center" vertical="center"/>
    </xf>
    <xf numFmtId="181" fontId="88" fillId="58" borderId="95" xfId="2" applyNumberFormat="1" applyFont="1" applyFill="1" applyBorder="1" applyAlignment="1">
      <alignment horizontal="center" vertical="center" wrapText="1"/>
    </xf>
    <xf numFmtId="181" fontId="30" fillId="70" borderId="92" xfId="9" applyNumberFormat="1" applyFont="1" applyFill="1" applyBorder="1" applyAlignment="1">
      <alignment horizontal="center" vertical="center"/>
    </xf>
    <xf numFmtId="181" fontId="30" fillId="70" borderId="92" xfId="2" applyNumberFormat="1" applyFont="1" applyFill="1" applyBorder="1" applyAlignment="1">
      <alignment horizontal="center" vertical="center"/>
    </xf>
    <xf numFmtId="181" fontId="30" fillId="70" borderId="93" xfId="9" applyNumberFormat="1" applyFont="1" applyFill="1" applyBorder="1" applyAlignment="1">
      <alignment horizontal="center" vertical="center"/>
    </xf>
    <xf numFmtId="181" fontId="30" fillId="55" borderId="92" xfId="9" applyNumberFormat="1" applyFont="1" applyFill="1" applyBorder="1" applyAlignment="1">
      <alignment horizontal="center" vertical="center"/>
    </xf>
    <xf numFmtId="181" fontId="30" fillId="55" borderId="92" xfId="2" applyNumberFormat="1" applyFont="1" applyFill="1" applyBorder="1" applyAlignment="1">
      <alignment horizontal="center" vertical="center"/>
    </xf>
    <xf numFmtId="181" fontId="30" fillId="55" borderId="93" xfId="9" applyNumberFormat="1" applyFont="1" applyFill="1" applyBorder="1" applyAlignment="1">
      <alignment horizontal="center" vertical="center"/>
    </xf>
    <xf numFmtId="181" fontId="30" fillId="55" borderId="95" xfId="9" applyNumberFormat="1" applyFont="1" applyFill="1" applyBorder="1" applyAlignment="1">
      <alignment horizontal="center" vertical="center"/>
    </xf>
    <xf numFmtId="181" fontId="30" fillId="55" borderId="95" xfId="2" applyNumberFormat="1" applyFont="1" applyFill="1" applyBorder="1" applyAlignment="1">
      <alignment horizontal="center" vertical="center"/>
    </xf>
    <xf numFmtId="181" fontId="30" fillId="55" borderId="96" xfId="9" applyNumberFormat="1" applyFont="1" applyFill="1" applyBorder="1" applyAlignment="1">
      <alignment horizontal="center" vertical="center"/>
    </xf>
    <xf numFmtId="208" fontId="0" fillId="0" borderId="0" xfId="8" applyNumberFormat="1" applyFont="1" applyFill="1"/>
    <xf numFmtId="0" fontId="100" fillId="70" borderId="0" xfId="3" applyFont="1" applyFill="1" applyAlignment="1">
      <alignment horizontal="left" vertical="center" wrapText="1"/>
    </xf>
    <xf numFmtId="0" fontId="82" fillId="71" borderId="0" xfId="3" applyFont="1" applyFill="1" applyAlignment="1">
      <alignment horizontal="center" vertical="center" wrapText="1"/>
    </xf>
    <xf numFmtId="43" fontId="10" fillId="69" borderId="14" xfId="1" applyFont="1" applyFill="1" applyBorder="1" applyAlignment="1">
      <alignment horizontal="left"/>
    </xf>
    <xf numFmtId="1" fontId="0" fillId="0" borderId="0" xfId="0" applyNumberFormat="1" applyAlignment="1">
      <alignment horizontal="center" wrapText="1"/>
    </xf>
    <xf numFmtId="0" fontId="101" fillId="0" borderId="15" xfId="0" applyFont="1" applyBorder="1" applyAlignment="1">
      <alignment horizontal="left" vertical="center" wrapText="1"/>
    </xf>
    <xf numFmtId="0" fontId="102" fillId="0" borderId="16" xfId="0" applyFont="1" applyBorder="1" applyAlignment="1">
      <alignment horizontal="left" vertical="center" wrapText="1"/>
    </xf>
    <xf numFmtId="0" fontId="101" fillId="0" borderId="16" xfId="0" applyFont="1" applyBorder="1" applyAlignment="1">
      <alignment horizontal="left" vertical="center" wrapText="1" indent="1"/>
    </xf>
    <xf numFmtId="0" fontId="104" fillId="0" borderId="16" xfId="0" applyFont="1" applyBorder="1" applyAlignment="1">
      <alignment horizontal="left" vertical="center" wrapText="1" indent="2"/>
    </xf>
    <xf numFmtId="0" fontId="101" fillId="0" borderId="16" xfId="0" applyFont="1" applyBorder="1" applyAlignment="1">
      <alignment horizontal="left" vertical="center" wrapText="1" indent="2"/>
    </xf>
    <xf numFmtId="0" fontId="101" fillId="0" borderId="17" xfId="0" applyFont="1" applyBorder="1" applyAlignment="1">
      <alignment horizontal="left" vertical="center" wrapText="1"/>
    </xf>
    <xf numFmtId="181" fontId="0" fillId="0" borderId="0" xfId="0" applyNumberFormat="1" applyAlignment="1">
      <alignment horizontal="right" vertical="center"/>
    </xf>
    <xf numFmtId="0" fontId="4" fillId="71" borderId="0" xfId="0" applyFont="1" applyFill="1"/>
    <xf numFmtId="180" fontId="4" fillId="54" borderId="0" xfId="0" applyNumberFormat="1" applyFont="1" applyFill="1"/>
    <xf numFmtId="3" fontId="79" fillId="54" borderId="60" xfId="0" applyNumberFormat="1" applyFont="1" applyFill="1" applyBorder="1" applyAlignment="1">
      <alignment horizontal="center"/>
    </xf>
    <xf numFmtId="0" fontId="107" fillId="0" borderId="0" xfId="0" applyFont="1"/>
    <xf numFmtId="0" fontId="4" fillId="47" borderId="101" xfId="0" applyFont="1" applyFill="1" applyBorder="1"/>
    <xf numFmtId="0" fontId="44" fillId="48" borderId="102" xfId="0" applyFont="1" applyFill="1" applyBorder="1" applyAlignment="1">
      <alignment horizontal="left"/>
    </xf>
    <xf numFmtId="0" fontId="78" fillId="54" borderId="102" xfId="0" applyFont="1" applyFill="1" applyBorder="1"/>
    <xf numFmtId="0" fontId="79" fillId="54" borderId="103" xfId="0" applyFont="1" applyFill="1" applyBorder="1" applyAlignment="1">
      <alignment horizontal="center"/>
    </xf>
    <xf numFmtId="0" fontId="4" fillId="50" borderId="105" xfId="0" applyFont="1" applyFill="1" applyBorder="1"/>
    <xf numFmtId="0" fontId="44" fillId="51" borderId="106" xfId="0" applyFont="1" applyFill="1" applyBorder="1"/>
    <xf numFmtId="0" fontId="4" fillId="50" borderId="101" xfId="0" applyFont="1" applyFill="1" applyBorder="1"/>
    <xf numFmtId="0" fontId="44" fillId="51" borderId="102" xfId="0" applyFont="1" applyFill="1" applyBorder="1"/>
    <xf numFmtId="0" fontId="4" fillId="50" borderId="103" xfId="0" applyFont="1" applyFill="1" applyBorder="1"/>
    <xf numFmtId="0" fontId="44" fillId="51" borderId="104" xfId="0" applyFont="1" applyFill="1" applyBorder="1"/>
    <xf numFmtId="0" fontId="60" fillId="68" borderId="107" xfId="0" applyFont="1" applyFill="1" applyBorder="1"/>
    <xf numFmtId="181" fontId="61" fillId="68" borderId="108" xfId="0" applyNumberFormat="1" applyFont="1" applyFill="1" applyBorder="1" applyAlignment="1">
      <alignment horizontal="right"/>
    </xf>
    <xf numFmtId="0" fontId="59" fillId="68" borderId="109" xfId="0" applyFont="1" applyFill="1" applyBorder="1"/>
    <xf numFmtId="0" fontId="79" fillId="54" borderId="116" xfId="0" applyFont="1" applyFill="1" applyBorder="1" applyAlignment="1">
      <alignment horizontal="center"/>
    </xf>
    <xf numFmtId="0" fontId="79" fillId="54" borderId="103" xfId="0" applyFont="1" applyFill="1" applyBorder="1" applyAlignment="1">
      <alignment horizontal="left"/>
    </xf>
    <xf numFmtId="209" fontId="4" fillId="54" borderId="0" xfId="0" applyNumberFormat="1" applyFont="1" applyFill="1"/>
    <xf numFmtId="181" fontId="4" fillId="54" borderId="0" xfId="0" applyNumberFormat="1" applyFont="1" applyFill="1"/>
    <xf numFmtId="0" fontId="4" fillId="70" borderId="19" xfId="0" applyFont="1" applyFill="1" applyBorder="1"/>
    <xf numFmtId="0" fontId="37" fillId="0" borderId="37" xfId="0" applyFont="1" applyBorder="1"/>
    <xf numFmtId="0" fontId="4" fillId="71" borderId="19" xfId="0" applyFont="1" applyFill="1" applyBorder="1"/>
    <xf numFmtId="0" fontId="106" fillId="54" borderId="37" xfId="0" applyFont="1" applyFill="1" applyBorder="1"/>
    <xf numFmtId="0" fontId="4" fillId="54" borderId="19" xfId="0" applyFont="1" applyFill="1" applyBorder="1"/>
    <xf numFmtId="0" fontId="76" fillId="74" borderId="19" xfId="0" applyFont="1" applyFill="1" applyBorder="1"/>
    <xf numFmtId="3" fontId="76" fillId="74" borderId="0" xfId="0" applyNumberFormat="1" applyFont="1" applyFill="1" applyAlignment="1">
      <alignment horizontal="center"/>
    </xf>
    <xf numFmtId="0" fontId="76" fillId="74" borderId="37" xfId="0" applyFont="1" applyFill="1" applyBorder="1" applyAlignment="1">
      <alignment horizontal="left"/>
    </xf>
    <xf numFmtId="0" fontId="76" fillId="74" borderId="38" xfId="0" applyFont="1" applyFill="1" applyBorder="1"/>
    <xf numFmtId="3" fontId="76" fillId="74" borderId="39" xfId="0" applyNumberFormat="1" applyFont="1" applyFill="1" applyBorder="1" applyAlignment="1">
      <alignment horizontal="center"/>
    </xf>
    <xf numFmtId="0" fontId="76" fillId="74" borderId="40" xfId="0" applyFont="1" applyFill="1" applyBorder="1" applyAlignment="1">
      <alignment horizontal="left"/>
    </xf>
    <xf numFmtId="0" fontId="109" fillId="69" borderId="0" xfId="0" applyFont="1" applyFill="1" applyAlignment="1">
      <alignment horizontal="left" wrapText="1"/>
    </xf>
    <xf numFmtId="0" fontId="110" fillId="71" borderId="0" xfId="0" applyFont="1" applyFill="1" applyAlignment="1">
      <alignment horizontal="left" wrapText="1"/>
    </xf>
    <xf numFmtId="0" fontId="108" fillId="0" borderId="0" xfId="0" applyFont="1" applyAlignment="1">
      <alignment horizontal="left" wrapText="1"/>
    </xf>
    <xf numFmtId="1" fontId="108" fillId="0" borderId="0" xfId="0" applyNumberFormat="1" applyFont="1" applyAlignment="1">
      <alignment horizontal="left" wrapText="1"/>
    </xf>
    <xf numFmtId="210" fontId="111" fillId="71" borderId="0" xfId="0" applyNumberFormat="1" applyFont="1" applyFill="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0" xfId="3" applyAlignment="1">
      <alignment horizontal="left"/>
    </xf>
    <xf numFmtId="0" fontId="112" fillId="0" borderId="0" xfId="0" applyFont="1" applyAlignment="1">
      <alignment horizontal="left" wrapText="1"/>
    </xf>
    <xf numFmtId="1" fontId="112" fillId="0" borderId="0" xfId="0" applyNumberFormat="1" applyFont="1" applyAlignment="1">
      <alignment horizontal="left" wrapText="1"/>
    </xf>
    <xf numFmtId="211" fontId="79" fillId="54" borderId="104" xfId="0" applyNumberFormat="1" applyFont="1" applyFill="1" applyBorder="1" applyAlignment="1">
      <alignment horizontal="center"/>
    </xf>
    <xf numFmtId="0" fontId="113" fillId="81" borderId="0" xfId="4" applyFont="1" applyFill="1" applyAlignment="1">
      <alignment horizontal="center" vertical="center" wrapText="1" readingOrder="1"/>
    </xf>
    <xf numFmtId="0" fontId="113" fillId="81" borderId="0" xfId="0" applyFont="1" applyFill="1" applyAlignment="1">
      <alignment horizontal="center" vertical="center" wrapText="1"/>
    </xf>
    <xf numFmtId="0" fontId="113" fillId="81" borderId="2" xfId="4" applyFont="1" applyFill="1" applyBorder="1" applyAlignment="1">
      <alignment horizontal="center" vertical="center" wrapText="1" readingOrder="1"/>
    </xf>
    <xf numFmtId="0" fontId="114" fillId="0" borderId="0" xfId="0" applyFont="1"/>
    <xf numFmtId="0" fontId="113" fillId="10" borderId="9" xfId="4" applyFont="1" applyFill="1" applyBorder="1" applyAlignment="1">
      <alignment horizontal="center" vertical="center" wrapText="1" readingOrder="1"/>
    </xf>
    <xf numFmtId="0" fontId="113" fillId="17" borderId="0" xfId="0" applyFont="1" applyFill="1" applyAlignment="1">
      <alignment horizontal="center" vertical="center" wrapText="1"/>
    </xf>
    <xf numFmtId="0" fontId="114" fillId="0" borderId="133" xfId="0" applyFont="1" applyBorder="1" applyAlignment="1">
      <alignment horizontal="left"/>
    </xf>
    <xf numFmtId="0" fontId="114" fillId="0" borderId="134" xfId="0" applyFont="1" applyBorder="1" applyAlignment="1">
      <alignment horizontal="center"/>
    </xf>
    <xf numFmtId="0" fontId="114" fillId="0" borderId="139" xfId="0" applyFont="1" applyBorder="1"/>
    <xf numFmtId="1" fontId="114" fillId="0" borderId="140" xfId="0" applyNumberFormat="1" applyFont="1" applyBorder="1"/>
    <xf numFmtId="0" fontId="114" fillId="0" borderId="140" xfId="0" applyFont="1" applyBorder="1"/>
    <xf numFmtId="173" fontId="114" fillId="0" borderId="141" xfId="0" applyNumberFormat="1" applyFont="1" applyBorder="1"/>
    <xf numFmtId="0" fontId="114" fillId="0" borderId="127" xfId="0" applyFont="1" applyBorder="1"/>
    <xf numFmtId="0" fontId="114" fillId="0" borderId="128" xfId="0" applyFont="1" applyBorder="1"/>
    <xf numFmtId="10" fontId="114" fillId="0" borderId="128" xfId="0" applyNumberFormat="1" applyFont="1" applyBorder="1"/>
    <xf numFmtId="0" fontId="114" fillId="0" borderId="129" xfId="0" applyFont="1" applyBorder="1"/>
    <xf numFmtId="0" fontId="114" fillId="0" borderId="135" xfId="0" applyFont="1" applyBorder="1" applyAlignment="1">
      <alignment horizontal="left"/>
    </xf>
    <xf numFmtId="0" fontId="114" fillId="0" borderId="136" xfId="0" applyFont="1" applyBorder="1" applyAlignment="1">
      <alignment horizontal="center"/>
    </xf>
    <xf numFmtId="0" fontId="114" fillId="0" borderId="142" xfId="0" applyFont="1" applyBorder="1"/>
    <xf numFmtId="1" fontId="114" fillId="0" borderId="143" xfId="0" applyNumberFormat="1" applyFont="1" applyBorder="1"/>
    <xf numFmtId="0" fontId="114" fillId="0" borderId="143" xfId="0" applyFont="1" applyBorder="1"/>
    <xf numFmtId="173" fontId="114" fillId="0" borderId="144" xfId="0" applyNumberFormat="1" applyFont="1" applyBorder="1"/>
    <xf numFmtId="9" fontId="114" fillId="0" borderId="128" xfId="0" applyNumberFormat="1" applyFont="1" applyBorder="1"/>
    <xf numFmtId="0" fontId="114" fillId="0" borderId="128" xfId="0" applyFont="1" applyBorder="1" applyAlignment="1">
      <alignment horizontal="center"/>
    </xf>
    <xf numFmtId="164" fontId="114" fillId="0" borderId="128" xfId="2" applyNumberFormat="1" applyFont="1" applyBorder="1" applyAlignment="1">
      <alignment horizontal="center"/>
    </xf>
    <xf numFmtId="0" fontId="114" fillId="0" borderId="130" xfId="0" applyFont="1" applyBorder="1"/>
    <xf numFmtId="0" fontId="114" fillId="0" borderId="131" xfId="0" applyFont="1" applyBorder="1"/>
    <xf numFmtId="0" fontId="114" fillId="0" borderId="132" xfId="0" applyFont="1" applyBorder="1"/>
    <xf numFmtId="0" fontId="114" fillId="0" borderId="137" xfId="0" applyFont="1" applyBorder="1" applyAlignment="1">
      <alignment horizontal="left"/>
    </xf>
    <xf numFmtId="0" fontId="114" fillId="0" borderId="138" xfId="0" applyFont="1" applyBorder="1" applyAlignment="1">
      <alignment horizontal="center"/>
    </xf>
    <xf numFmtId="0" fontId="114" fillId="0" borderId="0" xfId="0" applyFont="1" applyAlignment="1">
      <alignment horizontal="center"/>
    </xf>
    <xf numFmtId="0" fontId="114" fillId="0" borderId="142" xfId="0" applyFont="1" applyBorder="1" applyAlignment="1">
      <alignment horizontal="left"/>
    </xf>
    <xf numFmtId="0" fontId="114" fillId="0" borderId="143" xfId="0" applyFont="1" applyBorder="1" applyAlignment="1">
      <alignment horizontal="left"/>
    </xf>
    <xf numFmtId="0" fontId="114" fillId="0" borderId="145" xfId="0" applyFont="1" applyBorder="1" applyAlignment="1">
      <alignment horizontal="left"/>
    </xf>
    <xf numFmtId="1" fontId="114" fillId="0" borderId="146" xfId="0" applyNumberFormat="1" applyFont="1" applyBorder="1"/>
    <xf numFmtId="0" fontId="114" fillId="0" borderId="146" xfId="0" applyFont="1" applyBorder="1"/>
    <xf numFmtId="0" fontId="114" fillId="0" borderId="146" xfId="0" applyFont="1" applyBorder="1" applyAlignment="1">
      <alignment horizontal="left"/>
    </xf>
    <xf numFmtId="173" fontId="114" fillId="0" borderId="147" xfId="0" applyNumberFormat="1" applyFont="1" applyBorder="1"/>
    <xf numFmtId="0" fontId="114" fillId="0" borderId="0" xfId="0" applyFont="1" applyAlignment="1">
      <alignment horizontal="left"/>
    </xf>
    <xf numFmtId="1" fontId="25" fillId="48" borderId="56" xfId="0" applyNumberFormat="1" applyFont="1" applyFill="1" applyBorder="1" applyAlignment="1">
      <alignment horizontal="center"/>
    </xf>
    <xf numFmtId="2" fontId="0" fillId="0" borderId="0" xfId="0" applyNumberFormat="1"/>
    <xf numFmtId="0" fontId="0" fillId="0" borderId="35" xfId="0" applyBorder="1"/>
    <xf numFmtId="1" fontId="0" fillId="0" borderId="0" xfId="0" applyNumberFormat="1"/>
    <xf numFmtId="0" fontId="10" fillId="71" borderId="0" xfId="0" applyFont="1" applyFill="1"/>
    <xf numFmtId="0" fontId="19" fillId="83" borderId="151" xfId="0" applyFont="1" applyFill="1" applyBorder="1"/>
    <xf numFmtId="178" fontId="0" fillId="82" borderId="151" xfId="0" applyNumberFormat="1" applyFill="1" applyBorder="1" applyAlignment="1">
      <alignment wrapText="1"/>
    </xf>
    <xf numFmtId="0" fontId="10" fillId="10" borderId="0" xfId="0" applyFont="1" applyFill="1" applyAlignment="1">
      <alignment horizontal="center"/>
    </xf>
    <xf numFmtId="164" fontId="0" fillId="0" borderId="0" xfId="0" applyNumberFormat="1" applyAlignment="1">
      <alignment horizontal="right"/>
    </xf>
    <xf numFmtId="164" fontId="0" fillId="0" borderId="0" xfId="0" applyNumberFormat="1" applyAlignment="1">
      <alignment horizontal="left"/>
    </xf>
    <xf numFmtId="9" fontId="10" fillId="10" borderId="0" xfId="2" applyFont="1" applyFill="1" applyAlignment="1">
      <alignment horizontal="center"/>
    </xf>
    <xf numFmtId="9" fontId="0" fillId="0" borderId="0" xfId="2" applyFont="1" applyAlignment="1">
      <alignment horizontal="left"/>
    </xf>
    <xf numFmtId="0" fontId="0" fillId="0" borderId="15" xfId="0" applyBorder="1"/>
    <xf numFmtId="0" fontId="0" fillId="0" borderId="16" xfId="0" applyBorder="1"/>
    <xf numFmtId="0" fontId="0" fillId="0" borderId="17" xfId="0" applyBorder="1"/>
    <xf numFmtId="0" fontId="124" fillId="0" borderId="0" xfId="0" applyFont="1" applyAlignment="1">
      <alignment horizontal="left" wrapText="1"/>
    </xf>
    <xf numFmtId="1" fontId="124" fillId="0" borderId="0" xfId="0" applyNumberFormat="1" applyFont="1" applyAlignment="1">
      <alignment horizontal="left" wrapText="1"/>
    </xf>
    <xf numFmtId="171" fontId="1" fillId="23" borderId="79" xfId="14" applyNumberFormat="1" applyBorder="1" applyAlignment="1">
      <alignment horizontal="left" vertical="center" readingOrder="1"/>
    </xf>
    <xf numFmtId="171" fontId="1" fillId="23" borderId="80" xfId="14" applyNumberFormat="1" applyBorder="1" applyAlignment="1">
      <alignment horizontal="left" vertical="center" readingOrder="1"/>
    </xf>
    <xf numFmtId="171" fontId="1" fillId="23" borderId="8" xfId="14" applyNumberFormat="1" applyBorder="1" applyAlignment="1">
      <alignment horizontal="left" vertical="center" readingOrder="1"/>
    </xf>
    <xf numFmtId="2" fontId="108" fillId="0" borderId="0" xfId="0" applyNumberFormat="1" applyFont="1" applyAlignment="1">
      <alignment horizontal="left" wrapText="1"/>
    </xf>
    <xf numFmtId="2" fontId="124" fillId="0" borderId="0" xfId="0" applyNumberFormat="1" applyFont="1" applyAlignment="1">
      <alignment horizontal="lef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20" fillId="0" borderId="63" xfId="0" applyFont="1" applyBorder="1" applyAlignment="1">
      <alignment wrapText="1"/>
    </xf>
    <xf numFmtId="0" fontId="4" fillId="0" borderId="15" xfId="0" applyFont="1" applyBorder="1"/>
    <xf numFmtId="0" fontId="0" fillId="0" borderId="63" xfId="0" applyBorder="1" applyAlignment="1">
      <alignment wrapText="1"/>
    </xf>
    <xf numFmtId="181" fontId="0" fillId="74" borderId="0" xfId="0" applyNumberFormat="1" applyFill="1"/>
    <xf numFmtId="1" fontId="10" fillId="69" borderId="0" xfId="0" applyNumberFormat="1" applyFont="1" applyFill="1" applyAlignment="1">
      <alignment horizontal="center"/>
    </xf>
    <xf numFmtId="3" fontId="10" fillId="69" borderId="0" xfId="0" applyNumberFormat="1" applyFont="1" applyFill="1" applyAlignment="1">
      <alignment horizontal="center"/>
    </xf>
    <xf numFmtId="164" fontId="10" fillId="69" borderId="0" xfId="0" applyNumberFormat="1" applyFont="1" applyFill="1" applyAlignment="1">
      <alignment horizontal="center"/>
    </xf>
    <xf numFmtId="164" fontId="0" fillId="0" borderId="0" xfId="0" applyNumberFormat="1"/>
    <xf numFmtId="0" fontId="44" fillId="84" borderId="0" xfId="0" applyFont="1" applyFill="1"/>
    <xf numFmtId="164" fontId="44" fillId="84" borderId="0" xfId="0" applyNumberFormat="1" applyFont="1" applyFill="1"/>
    <xf numFmtId="173" fontId="44" fillId="84" borderId="0" xfId="0" applyNumberFormat="1" applyFont="1" applyFill="1"/>
    <xf numFmtId="185" fontId="44" fillId="84" borderId="0" xfId="0" applyNumberFormat="1" applyFont="1" applyFill="1"/>
    <xf numFmtId="3" fontId="44" fillId="84" borderId="0" xfId="0" applyNumberFormat="1" applyFont="1" applyFill="1"/>
    <xf numFmtId="164" fontId="44" fillId="84" borderId="0" xfId="1" applyNumberFormat="1" applyFont="1" applyFill="1"/>
    <xf numFmtId="0" fontId="4" fillId="74" borderId="0" xfId="0" applyFont="1" applyFill="1"/>
    <xf numFmtId="0" fontId="77" fillId="54" borderId="0" xfId="0" applyFont="1" applyFill="1"/>
    <xf numFmtId="0" fontId="125" fillId="85" borderId="0" xfId="0" applyFont="1" applyFill="1"/>
    <xf numFmtId="0" fontId="126" fillId="54" borderId="56" xfId="0" applyFont="1" applyFill="1" applyBorder="1" applyAlignment="1">
      <alignment horizontal="center"/>
    </xf>
    <xf numFmtId="181" fontId="88" fillId="29" borderId="0" xfId="0" applyNumberFormat="1" applyFont="1" applyFill="1" applyAlignment="1">
      <alignment horizontal="center" vertical="center"/>
    </xf>
    <xf numFmtId="181" fontId="88" fillId="29" borderId="0" xfId="1" applyNumberFormat="1" applyFont="1" applyFill="1" applyAlignment="1">
      <alignment horizontal="center" vertical="center"/>
    </xf>
    <xf numFmtId="0" fontId="118" fillId="85" borderId="150" xfId="0" applyFont="1" applyFill="1" applyBorder="1" applyAlignment="1">
      <alignment wrapText="1"/>
    </xf>
    <xf numFmtId="181" fontId="30" fillId="70" borderId="150" xfId="0" applyNumberFormat="1" applyFont="1" applyFill="1" applyBorder="1"/>
    <xf numFmtId="0" fontId="119" fillId="70" borderId="150" xfId="0" applyFont="1" applyFill="1" applyBorder="1"/>
    <xf numFmtId="0" fontId="0" fillId="0" borderId="150" xfId="0" applyBorder="1"/>
    <xf numFmtId="43" fontId="10" fillId="69" borderId="89" xfId="1" applyFont="1" applyFill="1" applyBorder="1" applyAlignment="1">
      <alignment horizontal="center" vertical="center"/>
    </xf>
    <xf numFmtId="3" fontId="63" fillId="54" borderId="0" xfId="0" applyNumberFormat="1" applyFont="1" applyFill="1" applyAlignment="1">
      <alignment horizontal="center" vertical="center"/>
    </xf>
    <xf numFmtId="0" fontId="64" fillId="54" borderId="51" xfId="0" applyFont="1" applyFill="1" applyBorder="1" applyAlignment="1">
      <alignment horizontal="left" vertical="center"/>
    </xf>
    <xf numFmtId="49" fontId="12" fillId="8" borderId="0" xfId="0" applyNumberFormat="1" applyFont="1" applyFill="1"/>
    <xf numFmtId="185" fontId="12" fillId="8" borderId="0" xfId="1" applyNumberFormat="1" applyFont="1" applyFill="1"/>
    <xf numFmtId="204" fontId="12" fillId="8" borderId="0" xfId="1" applyNumberFormat="1" applyFont="1" applyFill="1"/>
    <xf numFmtId="0" fontId="37" fillId="0" borderId="0" xfId="0" applyFont="1" applyAlignment="1">
      <alignment wrapText="1"/>
    </xf>
    <xf numFmtId="0" fontId="75" fillId="58" borderId="49" xfId="0" applyFont="1" applyFill="1" applyBorder="1" applyAlignment="1">
      <alignment horizontal="center" vertical="center" wrapText="1"/>
    </xf>
    <xf numFmtId="165" fontId="44" fillId="0" borderId="0" xfId="1" applyNumberFormat="1" applyFont="1" applyAlignment="1">
      <alignment wrapText="1"/>
    </xf>
    <xf numFmtId="0" fontId="44" fillId="0" borderId="0" xfId="0" applyFont="1" applyAlignment="1">
      <alignment wrapText="1"/>
    </xf>
    <xf numFmtId="3" fontId="63" fillId="54" borderId="0" xfId="0" applyNumberFormat="1" applyFont="1" applyFill="1" applyAlignment="1">
      <alignment horizontal="center" vertical="center" wrapText="1"/>
    </xf>
    <xf numFmtId="0" fontId="63" fillId="54" borderId="51" xfId="0" applyFont="1" applyFill="1" applyBorder="1" applyAlignment="1">
      <alignment horizontal="left" vertical="center" wrapText="1"/>
    </xf>
    <xf numFmtId="0" fontId="2" fillId="0" borderId="0" xfId="0" applyFont="1"/>
    <xf numFmtId="166" fontId="25" fillId="51" borderId="97" xfId="1" applyNumberFormat="1" applyFont="1" applyFill="1" applyBorder="1" applyAlignment="1">
      <alignment horizontal="right"/>
    </xf>
    <xf numFmtId="0" fontId="83" fillId="69" borderId="33" xfId="0" applyFont="1" applyFill="1" applyBorder="1" applyAlignment="1">
      <alignment horizontal="center" vertical="center"/>
    </xf>
    <xf numFmtId="9" fontId="4" fillId="48" borderId="34" xfId="0" applyNumberFormat="1" applyFont="1" applyFill="1" applyBorder="1"/>
    <xf numFmtId="0" fontId="3" fillId="12" borderId="0" xfId="3" applyFill="1"/>
    <xf numFmtId="212" fontId="79" fillId="54" borderId="60" xfId="0" applyNumberFormat="1" applyFont="1" applyFill="1" applyBorder="1" applyAlignment="1">
      <alignment horizontal="center"/>
    </xf>
    <xf numFmtId="171" fontId="85" fillId="75" borderId="67" xfId="0" applyNumberFormat="1" applyFont="1" applyFill="1" applyBorder="1" applyAlignment="1">
      <alignment horizontal="center" vertical="center"/>
    </xf>
    <xf numFmtId="0" fontId="82" fillId="70" borderId="0" xfId="3" applyFont="1" applyFill="1" applyAlignment="1" applyProtection="1">
      <alignment horizontal="center"/>
      <protection locked="0"/>
    </xf>
    <xf numFmtId="0" fontId="100" fillId="70" borderId="0" xfId="3" applyFont="1" applyFill="1" applyAlignment="1" applyProtection="1">
      <alignment horizontal="left" vertical="center" wrapText="1"/>
      <protection locked="0"/>
    </xf>
    <xf numFmtId="0" fontId="82" fillId="71" borderId="0" xfId="3" applyFont="1" applyFill="1" applyAlignment="1" applyProtection="1">
      <alignment horizontal="center" vertical="center" wrapText="1"/>
      <protection locked="0"/>
    </xf>
    <xf numFmtId="0" fontId="30" fillId="70" borderId="0" xfId="8" applyFont="1" applyFill="1" applyAlignment="1" applyProtection="1">
      <alignment horizontal="center"/>
      <protection locked="0"/>
    </xf>
    <xf numFmtId="170" fontId="82" fillId="70" borderId="0" xfId="1" applyNumberFormat="1" applyFont="1" applyFill="1" applyAlignment="1" applyProtection="1">
      <alignment horizontal="center"/>
      <protection locked="0"/>
    </xf>
    <xf numFmtId="170" fontId="82" fillId="70" borderId="0" xfId="1" applyNumberFormat="1" applyFont="1" applyFill="1" applyAlignment="1" applyProtection="1">
      <alignment horizontal="center" vertical="center"/>
      <protection locked="0"/>
    </xf>
    <xf numFmtId="170" fontId="62" fillId="12" borderId="0" xfId="1" applyNumberFormat="1" applyFont="1" applyFill="1" applyAlignment="1" applyProtection="1">
      <alignment horizontal="left"/>
      <protection locked="0"/>
    </xf>
    <xf numFmtId="0" fontId="0" fillId="0" borderId="0" xfId="0" applyProtection="1">
      <protection locked="0"/>
    </xf>
    <xf numFmtId="0" fontId="2" fillId="0" borderId="0" xfId="0" applyFont="1" applyProtection="1">
      <protection locked="0"/>
    </xf>
    <xf numFmtId="43" fontId="10" fillId="4" borderId="18" xfId="1" applyFont="1" applyFill="1" applyBorder="1" applyAlignment="1" applyProtection="1">
      <alignment horizontal="left"/>
      <protection locked="0"/>
    </xf>
    <xf numFmtId="43" fontId="10" fillId="4" borderId="14" xfId="1" applyFont="1" applyFill="1" applyBorder="1" applyAlignment="1" applyProtection="1">
      <alignment horizontal="left"/>
      <protection locked="0"/>
    </xf>
    <xf numFmtId="43" fontId="10" fillId="69" borderId="14" xfId="1" applyFont="1" applyFill="1" applyBorder="1" applyAlignment="1" applyProtection="1">
      <alignment horizontal="left"/>
      <protection locked="0"/>
    </xf>
    <xf numFmtId="43" fontId="10" fillId="4" borderId="12" xfId="1" applyFont="1" applyFill="1" applyBorder="1" applyAlignment="1" applyProtection="1">
      <alignment horizontal="left"/>
      <protection locked="0"/>
    </xf>
    <xf numFmtId="170" fontId="10" fillId="4" borderId="18" xfId="1" applyNumberFormat="1" applyFont="1" applyFill="1" applyBorder="1" applyAlignment="1" applyProtection="1">
      <alignment horizontal="left"/>
      <protection locked="0"/>
    </xf>
    <xf numFmtId="170" fontId="10" fillId="4" borderId="12" xfId="1" applyNumberFormat="1" applyFont="1" applyFill="1" applyBorder="1" applyAlignment="1" applyProtection="1">
      <alignment horizontal="left"/>
      <protection locked="0"/>
    </xf>
    <xf numFmtId="43" fontId="10" fillId="69" borderId="12" xfId="1" applyFont="1" applyFill="1" applyBorder="1" applyAlignment="1" applyProtection="1">
      <alignment horizontal="center" wrapText="1"/>
      <protection locked="0"/>
    </xf>
    <xf numFmtId="1" fontId="10" fillId="69" borderId="0" xfId="0" applyNumberFormat="1" applyFont="1" applyFill="1" applyAlignment="1" applyProtection="1">
      <alignment horizontal="center"/>
      <protection locked="0"/>
    </xf>
    <xf numFmtId="3" fontId="10" fillId="69" borderId="0" xfId="0" applyNumberFormat="1" applyFont="1" applyFill="1" applyAlignment="1" applyProtection="1">
      <alignment horizontal="center"/>
      <protection locked="0"/>
    </xf>
    <xf numFmtId="164" fontId="10" fillId="69" borderId="0" xfId="0" applyNumberFormat="1" applyFont="1" applyFill="1" applyAlignment="1" applyProtection="1">
      <alignment horizontal="center"/>
      <protection locked="0"/>
    </xf>
    <xf numFmtId="164" fontId="28" fillId="0" borderId="0" xfId="0" applyNumberFormat="1" applyFont="1" applyAlignment="1" applyProtection="1">
      <alignment horizontal="center"/>
      <protection locked="0"/>
    </xf>
    <xf numFmtId="1" fontId="0" fillId="0" borderId="0" xfId="0" applyNumberFormat="1" applyAlignment="1" applyProtection="1">
      <alignment horizontal="center" wrapText="1"/>
      <protection locked="0"/>
    </xf>
    <xf numFmtId="187" fontId="0" fillId="0" borderId="0" xfId="1" applyNumberFormat="1" applyFont="1" applyFill="1" applyBorder="1" applyProtection="1">
      <protection locked="0"/>
    </xf>
    <xf numFmtId="168" fontId="0" fillId="0" borderId="0" xfId="0" applyNumberFormat="1" applyProtection="1">
      <protection locked="0"/>
    </xf>
    <xf numFmtId="0" fontId="0" fillId="0" borderId="0" xfId="0" applyAlignment="1" applyProtection="1">
      <alignment vertical="center"/>
      <protection locked="0"/>
    </xf>
    <xf numFmtId="181" fontId="0" fillId="0" borderId="0" xfId="0" applyNumberFormat="1" applyAlignment="1" applyProtection="1">
      <alignment horizontal="center" vertical="center"/>
      <protection locked="0"/>
    </xf>
    <xf numFmtId="183" fontId="0" fillId="0" borderId="0" xfId="1" applyNumberFormat="1" applyFont="1" applyAlignment="1" applyProtection="1">
      <alignment vertical="center"/>
      <protection locked="0"/>
    </xf>
    <xf numFmtId="188" fontId="0" fillId="0" borderId="0" xfId="0" applyNumberFormat="1" applyAlignment="1" applyProtection="1">
      <alignment horizontal="center" vertical="center"/>
      <protection locked="0"/>
    </xf>
    <xf numFmtId="2" fontId="0" fillId="0" borderId="0" xfId="0" applyNumberFormat="1" applyProtection="1">
      <protection locked="0"/>
    </xf>
    <xf numFmtId="2" fontId="2" fillId="0" borderId="0" xfId="0" applyNumberFormat="1" applyFont="1" applyProtection="1">
      <protection locked="0"/>
    </xf>
    <xf numFmtId="0" fontId="4" fillId="47" borderId="101" xfId="0" applyFont="1" applyFill="1" applyBorder="1" applyProtection="1">
      <protection locked="0"/>
    </xf>
    <xf numFmtId="0" fontId="105" fillId="48" borderId="56" xfId="0" applyFont="1" applyFill="1" applyBorder="1" applyAlignment="1" applyProtection="1">
      <alignment horizontal="center"/>
      <protection locked="0"/>
    </xf>
    <xf numFmtId="0" fontId="44" fillId="48" borderId="102" xfId="0" applyFont="1" applyFill="1" applyBorder="1" applyAlignment="1" applyProtection="1">
      <alignment horizontal="left"/>
      <protection locked="0"/>
    </xf>
    <xf numFmtId="0" fontId="4" fillId="53" borderId="113" xfId="0" applyFont="1" applyFill="1" applyBorder="1" applyProtection="1">
      <protection locked="0"/>
    </xf>
    <xf numFmtId="0" fontId="25" fillId="54" borderId="57" xfId="0" applyFont="1" applyFill="1" applyBorder="1" applyAlignment="1" applyProtection="1">
      <alignment horizontal="center"/>
      <protection locked="0"/>
    </xf>
    <xf numFmtId="0" fontId="44" fillId="54" borderId="114" xfId="0" applyFont="1" applyFill="1" applyBorder="1" applyAlignment="1" applyProtection="1">
      <alignment horizontal="left"/>
      <protection locked="0"/>
    </xf>
    <xf numFmtId="0" fontId="4" fillId="57" borderId="120" xfId="0" applyFont="1" applyFill="1" applyBorder="1" applyProtection="1">
      <protection locked="0"/>
    </xf>
    <xf numFmtId="0" fontId="25" fillId="58" borderId="58" xfId="0" applyFont="1" applyFill="1" applyBorder="1" applyAlignment="1" applyProtection="1">
      <alignment horizontal="center"/>
      <protection locked="0"/>
    </xf>
    <xf numFmtId="0" fontId="44" fillId="58" borderId="121" xfId="0" applyFont="1" applyFill="1" applyBorder="1" applyAlignment="1" applyProtection="1">
      <alignment horizontal="left"/>
      <protection locked="0"/>
    </xf>
    <xf numFmtId="208" fontId="0" fillId="0" borderId="0" xfId="8" applyNumberFormat="1" applyFont="1" applyFill="1" applyProtection="1">
      <protection locked="0"/>
    </xf>
    <xf numFmtId="186" fontId="0" fillId="0" borderId="0" xfId="0" applyNumberFormat="1" applyAlignment="1" applyProtection="1">
      <alignment horizontal="center" vertical="center"/>
      <protection locked="0"/>
    </xf>
    <xf numFmtId="0" fontId="105" fillId="48" borderId="57" xfId="0" applyFont="1" applyFill="1" applyBorder="1" applyAlignment="1" applyProtection="1">
      <alignment horizontal="center"/>
      <protection locked="0"/>
    </xf>
    <xf numFmtId="0" fontId="105" fillId="48" borderId="58" xfId="0" applyFont="1" applyFill="1" applyBorder="1" applyAlignment="1" applyProtection="1">
      <alignment horizontal="center"/>
      <protection locked="0"/>
    </xf>
    <xf numFmtId="168" fontId="0" fillId="0" borderId="0" xfId="8" applyNumberFormat="1" applyFont="1" applyFill="1" applyProtection="1">
      <protection locked="0"/>
    </xf>
    <xf numFmtId="2" fontId="105" fillId="48" borderId="56" xfId="0" applyNumberFormat="1" applyFont="1" applyFill="1" applyBorder="1" applyAlignment="1" applyProtection="1">
      <alignment horizontal="center"/>
      <protection locked="0"/>
    </xf>
    <xf numFmtId="2" fontId="105" fillId="48" borderId="57" xfId="0" applyNumberFormat="1" applyFont="1" applyFill="1" applyBorder="1" applyAlignment="1" applyProtection="1">
      <alignment horizontal="center"/>
      <protection locked="0"/>
    </xf>
    <xf numFmtId="2" fontId="105" fillId="48" borderId="58" xfId="0" applyNumberFormat="1" applyFont="1" applyFill="1" applyBorder="1" applyAlignment="1" applyProtection="1">
      <alignment horizontal="center"/>
      <protection locked="0"/>
    </xf>
    <xf numFmtId="185" fontId="0" fillId="0" borderId="0" xfId="0" applyNumberFormat="1" applyAlignment="1" applyProtection="1">
      <alignment horizontal="center" vertical="center"/>
      <protection locked="0"/>
    </xf>
    <xf numFmtId="0" fontId="25" fillId="48" borderId="56" xfId="0" applyFont="1" applyFill="1" applyBorder="1" applyAlignment="1" applyProtection="1">
      <alignment horizontal="center"/>
      <protection locked="0"/>
    </xf>
    <xf numFmtId="43" fontId="0" fillId="0" borderId="0" xfId="0" applyNumberFormat="1" applyAlignment="1" applyProtection="1">
      <alignment vertical="center"/>
      <protection locked="0"/>
    </xf>
    <xf numFmtId="189" fontId="0" fillId="0" borderId="0" xfId="1" applyNumberFormat="1" applyFont="1" applyAlignment="1" applyProtection="1">
      <alignment vertical="center"/>
      <protection locked="0"/>
    </xf>
    <xf numFmtId="0" fontId="4" fillId="0" borderId="0" xfId="0" applyFont="1" applyProtection="1">
      <protection locked="0"/>
    </xf>
    <xf numFmtId="1" fontId="42" fillId="0" borderId="0" xfId="0" applyNumberFormat="1" applyFont="1" applyProtection="1">
      <protection locked="0"/>
    </xf>
    <xf numFmtId="187" fontId="10" fillId="59" borderId="0" xfId="1" applyNumberFormat="1" applyFont="1" applyFill="1" applyBorder="1" applyProtection="1">
      <protection locked="0"/>
    </xf>
    <xf numFmtId="182" fontId="0" fillId="0" borderId="0" xfId="1" applyNumberFormat="1" applyFont="1" applyAlignment="1" applyProtection="1">
      <alignment vertical="center"/>
      <protection locked="0"/>
    </xf>
    <xf numFmtId="164" fontId="0" fillId="0" borderId="0" xfId="0" applyNumberFormat="1" applyProtection="1">
      <protection locked="0"/>
    </xf>
    <xf numFmtId="164" fontId="2" fillId="0" borderId="0" xfId="0" applyNumberFormat="1" applyFont="1" applyProtection="1">
      <protection locked="0"/>
    </xf>
    <xf numFmtId="0" fontId="25" fillId="70" borderId="56" xfId="0" applyFont="1" applyFill="1" applyBorder="1" applyAlignment="1" applyProtection="1">
      <alignment horizontal="center"/>
      <protection locked="0"/>
    </xf>
    <xf numFmtId="0" fontId="25" fillId="70" borderId="57" xfId="0" applyFont="1" applyFill="1" applyBorder="1" applyAlignment="1" applyProtection="1">
      <alignment horizontal="center"/>
      <protection locked="0"/>
    </xf>
    <xf numFmtId="0" fontId="25" fillId="70" borderId="58" xfId="0" applyFont="1" applyFill="1" applyBorder="1" applyAlignment="1" applyProtection="1">
      <alignment horizontal="center"/>
      <protection locked="0"/>
    </xf>
    <xf numFmtId="0" fontId="78" fillId="54" borderId="101" xfId="0" applyFont="1" applyFill="1" applyBorder="1" applyProtection="1">
      <protection locked="0"/>
    </xf>
    <xf numFmtId="0" fontId="78" fillId="54" borderId="56" xfId="0" applyFont="1" applyFill="1" applyBorder="1" applyAlignment="1" applyProtection="1">
      <alignment horizontal="center"/>
      <protection locked="0"/>
    </xf>
    <xf numFmtId="0" fontId="78" fillId="54" borderId="102" xfId="0" applyFont="1" applyFill="1" applyBorder="1" applyProtection="1">
      <protection locked="0"/>
    </xf>
    <xf numFmtId="0" fontId="78" fillId="54" borderId="113" xfId="0" applyFont="1" applyFill="1" applyBorder="1" applyProtection="1">
      <protection locked="0"/>
    </xf>
    <xf numFmtId="0" fontId="78" fillId="54" borderId="57" xfId="0" applyFont="1" applyFill="1" applyBorder="1" applyAlignment="1" applyProtection="1">
      <alignment horizontal="center"/>
      <protection locked="0"/>
    </xf>
    <xf numFmtId="0" fontId="78" fillId="54" borderId="114" xfId="0" applyFont="1" applyFill="1" applyBorder="1" applyProtection="1">
      <protection locked="0"/>
    </xf>
    <xf numFmtId="0" fontId="78" fillId="54" borderId="120" xfId="0" applyFont="1" applyFill="1" applyBorder="1" applyProtection="1">
      <protection locked="0"/>
    </xf>
    <xf numFmtId="0" fontId="78" fillId="54" borderId="58" xfId="0" applyFont="1" applyFill="1" applyBorder="1" applyAlignment="1" applyProtection="1">
      <alignment horizontal="center"/>
      <protection locked="0"/>
    </xf>
    <xf numFmtId="0" fontId="78" fillId="54" borderId="121" xfId="0" applyFont="1" applyFill="1" applyBorder="1" applyProtection="1">
      <protection locked="0"/>
    </xf>
    <xf numFmtId="0" fontId="79" fillId="54" borderId="103" xfId="0" applyFont="1" applyFill="1" applyBorder="1" applyAlignment="1" applyProtection="1">
      <alignment horizontal="left"/>
      <protection locked="0"/>
    </xf>
    <xf numFmtId="3" fontId="79" fillId="54" borderId="60" xfId="0" applyNumberFormat="1" applyFont="1" applyFill="1" applyBorder="1" applyAlignment="1" applyProtection="1">
      <alignment horizontal="center"/>
      <protection locked="0"/>
    </xf>
    <xf numFmtId="0" fontId="79" fillId="54" borderId="104" xfId="0" applyFont="1" applyFill="1" applyBorder="1" applyAlignment="1" applyProtection="1">
      <alignment horizontal="center"/>
      <protection locked="0"/>
    </xf>
    <xf numFmtId="3" fontId="77" fillId="0" borderId="0" xfId="0" applyNumberFormat="1" applyFont="1" applyAlignment="1" applyProtection="1">
      <alignment horizontal="center"/>
      <protection locked="0"/>
    </xf>
    <xf numFmtId="0" fontId="79" fillId="54" borderId="115" xfId="0" applyFont="1" applyFill="1" applyBorder="1" applyAlignment="1" applyProtection="1">
      <alignment horizontal="left"/>
      <protection locked="0"/>
    </xf>
    <xf numFmtId="3" fontId="79" fillId="54" borderId="59" xfId="0" applyNumberFormat="1" applyFont="1" applyFill="1" applyBorder="1" applyAlignment="1" applyProtection="1">
      <alignment horizontal="center"/>
      <protection locked="0"/>
    </xf>
    <xf numFmtId="0" fontId="79" fillId="54" borderId="116" xfId="0" applyFont="1" applyFill="1" applyBorder="1" applyAlignment="1" applyProtection="1">
      <alignment horizontal="center"/>
      <protection locked="0"/>
    </xf>
    <xf numFmtId="0" fontId="79" fillId="54" borderId="122" xfId="0" applyFont="1" applyFill="1" applyBorder="1" applyAlignment="1" applyProtection="1">
      <alignment horizontal="left"/>
      <protection locked="0"/>
    </xf>
    <xf numFmtId="3" fontId="79" fillId="54" borderId="61" xfId="0" applyNumberFormat="1" applyFont="1" applyFill="1" applyBorder="1" applyAlignment="1" applyProtection="1">
      <alignment horizontal="center"/>
      <protection locked="0"/>
    </xf>
    <xf numFmtId="0" fontId="79" fillId="54" borderId="123" xfId="0" applyFont="1" applyFill="1" applyBorder="1" applyAlignment="1" applyProtection="1">
      <alignment horizontal="center"/>
      <protection locked="0"/>
    </xf>
    <xf numFmtId="0" fontId="79" fillId="54" borderId="103" xfId="0" applyFont="1" applyFill="1" applyBorder="1" applyAlignment="1" applyProtection="1">
      <alignment horizontal="center"/>
      <protection locked="0"/>
    </xf>
    <xf numFmtId="213" fontId="79" fillId="54" borderId="60" xfId="0" applyNumberFormat="1" applyFont="1" applyFill="1" applyBorder="1" applyAlignment="1" applyProtection="1">
      <alignment horizontal="center"/>
      <protection locked="0"/>
    </xf>
    <xf numFmtId="211" fontId="79" fillId="54" borderId="104" xfId="0" applyNumberFormat="1" applyFont="1" applyFill="1" applyBorder="1" applyAlignment="1" applyProtection="1">
      <alignment horizontal="center"/>
      <protection locked="0"/>
    </xf>
    <xf numFmtId="0" fontId="107" fillId="0" borderId="0" xfId="0" applyFont="1" applyProtection="1">
      <protection locked="0"/>
    </xf>
    <xf numFmtId="213" fontId="79" fillId="54" borderId="59" xfId="0" applyNumberFormat="1" applyFont="1" applyFill="1" applyBorder="1" applyAlignment="1" applyProtection="1">
      <alignment horizontal="center"/>
      <protection locked="0"/>
    </xf>
    <xf numFmtId="211" fontId="79" fillId="54" borderId="116" xfId="0" applyNumberFormat="1" applyFont="1" applyFill="1" applyBorder="1" applyAlignment="1" applyProtection="1">
      <alignment horizontal="center"/>
      <protection locked="0"/>
    </xf>
    <xf numFmtId="213" fontId="79" fillId="54" borderId="61" xfId="0" applyNumberFormat="1" applyFont="1" applyFill="1" applyBorder="1" applyAlignment="1" applyProtection="1">
      <alignment horizontal="center"/>
      <protection locked="0"/>
    </xf>
    <xf numFmtId="211" fontId="79" fillId="54" borderId="123" xfId="0" applyNumberFormat="1" applyFont="1" applyFill="1" applyBorder="1" applyAlignment="1" applyProtection="1">
      <alignment horizontal="center"/>
      <protection locked="0"/>
    </xf>
    <xf numFmtId="187" fontId="0" fillId="0" borderId="0" xfId="0" applyNumberFormat="1" applyProtection="1">
      <protection locked="0"/>
    </xf>
    <xf numFmtId="0" fontId="4" fillId="50" borderId="105" xfId="0" applyFont="1" applyFill="1" applyBorder="1" applyProtection="1">
      <protection locked="0"/>
    </xf>
    <xf numFmtId="166" fontId="25" fillId="51" borderId="97" xfId="1" applyNumberFormat="1" applyFont="1" applyFill="1" applyBorder="1" applyAlignment="1" applyProtection="1">
      <alignment horizontal="right"/>
      <protection locked="0"/>
    </xf>
    <xf numFmtId="0" fontId="44" fillId="51" borderId="106" xfId="0" applyFont="1" applyFill="1" applyBorder="1" applyProtection="1">
      <protection locked="0"/>
    </xf>
    <xf numFmtId="0" fontId="4" fillId="50" borderId="101" xfId="0" applyFont="1" applyFill="1" applyBorder="1" applyProtection="1">
      <protection locked="0"/>
    </xf>
    <xf numFmtId="181" fontId="25" fillId="51" borderId="56" xfId="0" applyNumberFormat="1" applyFont="1" applyFill="1" applyBorder="1" applyAlignment="1" applyProtection="1">
      <alignment horizontal="right"/>
      <protection locked="0"/>
    </xf>
    <xf numFmtId="0" fontId="44" fillId="51" borderId="102" xfId="0" applyFont="1" applyFill="1" applyBorder="1" applyProtection="1">
      <protection locked="0"/>
    </xf>
    <xf numFmtId="180" fontId="25" fillId="51" borderId="56" xfId="0" applyNumberFormat="1" applyFont="1" applyFill="1" applyBorder="1" applyAlignment="1" applyProtection="1">
      <alignment horizontal="right"/>
      <protection locked="0"/>
    </xf>
    <xf numFmtId="0" fontId="4" fillId="50" borderId="103" xfId="0" applyFont="1" applyFill="1" applyBorder="1" applyProtection="1">
      <protection locked="0"/>
    </xf>
    <xf numFmtId="181" fontId="25" fillId="51" borderId="60" xfId="0" applyNumberFormat="1" applyFont="1" applyFill="1" applyBorder="1" applyAlignment="1" applyProtection="1">
      <alignment horizontal="right"/>
      <protection locked="0"/>
    </xf>
    <xf numFmtId="0" fontId="44" fillId="51" borderId="104" xfId="0" applyFont="1" applyFill="1" applyBorder="1" applyProtection="1">
      <protection locked="0"/>
    </xf>
    <xf numFmtId="187" fontId="10" fillId="59" borderId="0" xfId="0" applyNumberFormat="1" applyFont="1" applyFill="1" applyProtection="1">
      <protection locked="0"/>
    </xf>
    <xf numFmtId="0" fontId="60" fillId="68" borderId="107" xfId="0" applyFont="1" applyFill="1" applyBorder="1" applyProtection="1">
      <protection locked="0"/>
    </xf>
    <xf numFmtId="181" fontId="61" fillId="68" borderId="108" xfId="0" applyNumberFormat="1" applyFont="1" applyFill="1" applyBorder="1" applyAlignment="1" applyProtection="1">
      <alignment horizontal="right"/>
      <protection locked="0"/>
    </xf>
    <xf numFmtId="0" fontId="59" fillId="68" borderId="109" xfId="0" applyFont="1" applyFill="1" applyBorder="1" applyProtection="1">
      <protection locked="0"/>
    </xf>
    <xf numFmtId="0" fontId="58" fillId="0" borderId="0" xfId="0" applyFont="1" applyProtection="1">
      <protection locked="0"/>
    </xf>
    <xf numFmtId="0" fontId="58" fillId="68" borderId="0" xfId="0" applyFont="1" applyFill="1" applyProtection="1">
      <protection locked="0"/>
    </xf>
    <xf numFmtId="1" fontId="4" fillId="0" borderId="0" xfId="0" applyNumberFormat="1" applyFont="1" applyProtection="1">
      <protection locked="0"/>
    </xf>
    <xf numFmtId="181" fontId="0" fillId="0" borderId="0" xfId="0" applyNumberFormat="1" applyAlignment="1" applyProtection="1">
      <alignment horizontal="right" vertical="center"/>
      <protection locked="0"/>
    </xf>
    <xf numFmtId="166" fontId="0" fillId="0" borderId="0" xfId="1" applyNumberFormat="1" applyFont="1" applyProtection="1">
      <protection locked="0"/>
    </xf>
    <xf numFmtId="43" fontId="0" fillId="0" borderId="0" xfId="0" applyNumberFormat="1" applyProtection="1">
      <protection locked="0"/>
    </xf>
    <xf numFmtId="181" fontId="0" fillId="0" borderId="0" xfId="0" applyNumberFormat="1" applyProtection="1">
      <protection locked="0"/>
    </xf>
    <xf numFmtId="185" fontId="0" fillId="0" borderId="0" xfId="0" applyNumberFormat="1" applyProtection="1">
      <protection locked="0"/>
    </xf>
    <xf numFmtId="43" fontId="0" fillId="0" borderId="0" xfId="1" applyFont="1" applyProtection="1">
      <protection locked="0"/>
    </xf>
    <xf numFmtId="0" fontId="37" fillId="0" borderId="37" xfId="0" applyFont="1" applyBorder="1" applyProtection="1">
      <protection locked="0"/>
    </xf>
    <xf numFmtId="176" fontId="0" fillId="0" borderId="0" xfId="1" applyNumberFormat="1" applyFont="1" applyProtection="1">
      <protection locked="0"/>
    </xf>
    <xf numFmtId="209" fontId="4" fillId="54" borderId="0" xfId="0" applyNumberFormat="1" applyFont="1" applyFill="1" applyProtection="1">
      <protection locked="0"/>
    </xf>
    <xf numFmtId="0" fontId="106" fillId="54" borderId="37" xfId="0" applyFont="1" applyFill="1" applyBorder="1" applyProtection="1">
      <protection locked="0"/>
    </xf>
    <xf numFmtId="180" fontId="4" fillId="54" borderId="0" xfId="0" applyNumberFormat="1" applyFont="1" applyFill="1" applyProtection="1">
      <protection locked="0"/>
    </xf>
    <xf numFmtId="0" fontId="4" fillId="54" borderId="19" xfId="0" applyFont="1" applyFill="1" applyBorder="1" applyProtection="1">
      <protection locked="0"/>
    </xf>
    <xf numFmtId="181" fontId="4" fillId="54" borderId="0" xfId="0" applyNumberFormat="1" applyFont="1" applyFill="1" applyProtection="1">
      <protection locked="0"/>
    </xf>
    <xf numFmtId="0" fontId="76" fillId="74" borderId="19" xfId="0" applyFont="1" applyFill="1" applyBorder="1" applyProtection="1">
      <protection locked="0"/>
    </xf>
    <xf numFmtId="3" fontId="76" fillId="74" borderId="0" xfId="0" applyNumberFormat="1" applyFont="1" applyFill="1" applyAlignment="1" applyProtection="1">
      <alignment horizontal="center"/>
      <protection locked="0"/>
    </xf>
    <xf numFmtId="0" fontId="76" fillId="74" borderId="37" xfId="0" applyFont="1" applyFill="1" applyBorder="1" applyAlignment="1" applyProtection="1">
      <alignment horizontal="left"/>
      <protection locked="0"/>
    </xf>
    <xf numFmtId="170" fontId="0" fillId="0" borderId="0" xfId="1" applyNumberFormat="1" applyFont="1" applyProtection="1">
      <protection locked="0"/>
    </xf>
    <xf numFmtId="0" fontId="76" fillId="74" borderId="38" xfId="0" applyFont="1" applyFill="1" applyBorder="1" applyProtection="1">
      <protection locked="0"/>
    </xf>
    <xf numFmtId="3" fontId="76" fillId="74" borderId="39" xfId="0" applyNumberFormat="1" applyFont="1" applyFill="1" applyBorder="1" applyAlignment="1" applyProtection="1">
      <alignment horizontal="center"/>
      <protection locked="0"/>
    </xf>
    <xf numFmtId="0" fontId="76" fillId="74" borderId="40" xfId="0" applyFont="1" applyFill="1" applyBorder="1" applyAlignment="1" applyProtection="1">
      <alignment horizontal="left"/>
      <protection locked="0"/>
    </xf>
    <xf numFmtId="0" fontId="80" fillId="0" borderId="0" xfId="0" applyFont="1" applyProtection="1">
      <protection locked="0"/>
    </xf>
    <xf numFmtId="0" fontId="44" fillId="84" borderId="0" xfId="0" applyFont="1" applyFill="1" applyProtection="1">
      <protection locked="0"/>
    </xf>
    <xf numFmtId="3" fontId="0" fillId="0" borderId="0" xfId="0" applyNumberFormat="1" applyProtection="1">
      <protection locked="0"/>
    </xf>
    <xf numFmtId="3" fontId="44" fillId="84" borderId="0" xfId="0" applyNumberFormat="1" applyFont="1" applyFill="1" applyProtection="1">
      <protection locked="0"/>
    </xf>
    <xf numFmtId="164" fontId="44" fillId="84" borderId="0" xfId="1" applyNumberFormat="1" applyFont="1" applyFill="1" applyProtection="1">
      <protection locked="0"/>
    </xf>
    <xf numFmtId="164" fontId="44" fillId="84" borderId="0" xfId="0" applyNumberFormat="1" applyFont="1" applyFill="1" applyProtection="1">
      <protection locked="0"/>
    </xf>
    <xf numFmtId="185" fontId="44" fillId="84" borderId="0" xfId="0" applyNumberFormat="1" applyFont="1" applyFill="1" applyProtection="1">
      <protection locked="0"/>
    </xf>
    <xf numFmtId="173" fontId="44" fillId="84" borderId="0" xfId="0" applyNumberFormat="1" applyFont="1" applyFill="1" applyProtection="1">
      <protection locked="0"/>
    </xf>
    <xf numFmtId="0" fontId="118" fillId="85" borderId="150" xfId="0" applyFont="1" applyFill="1" applyBorder="1" applyAlignment="1" applyProtection="1">
      <alignment wrapText="1"/>
      <protection locked="0"/>
    </xf>
    <xf numFmtId="181" fontId="30" fillId="70" borderId="150" xfId="0" applyNumberFormat="1" applyFont="1" applyFill="1" applyBorder="1" applyProtection="1">
      <protection locked="0"/>
    </xf>
    <xf numFmtId="0" fontId="119" fillId="70" borderId="150" xfId="0" applyFont="1" applyFill="1" applyBorder="1" applyProtection="1">
      <protection locked="0"/>
    </xf>
    <xf numFmtId="0" fontId="117" fillId="0" borderId="92" xfId="0" applyFont="1" applyBorder="1" applyAlignment="1" applyProtection="1">
      <alignment horizontal="center" vertical="center"/>
      <protection locked="0"/>
    </xf>
    <xf numFmtId="2" fontId="117" fillId="0" borderId="92" xfId="0" applyNumberFormat="1" applyFont="1" applyBorder="1" applyAlignment="1" applyProtection="1">
      <alignment horizontal="center" vertical="center"/>
      <protection locked="0"/>
    </xf>
    <xf numFmtId="49" fontId="117" fillId="0" borderId="92" xfId="0" applyNumberFormat="1" applyFont="1" applyBorder="1" applyAlignment="1" applyProtection="1">
      <alignment horizontal="center" vertical="center"/>
      <protection locked="0"/>
    </xf>
    <xf numFmtId="0" fontId="119" fillId="0" borderId="92" xfId="0" applyFont="1" applyBorder="1" applyAlignment="1" applyProtection="1">
      <alignment horizontal="center" vertical="center"/>
      <protection locked="0"/>
    </xf>
    <xf numFmtId="0" fontId="120" fillId="0" borderId="92" xfId="0" applyFont="1" applyBorder="1" applyAlignment="1" applyProtection="1">
      <alignment horizontal="center" vertical="center"/>
      <protection locked="0"/>
    </xf>
    <xf numFmtId="181" fontId="118" fillId="0" borderId="92" xfId="0" applyNumberFormat="1" applyFont="1" applyBorder="1" applyAlignment="1" applyProtection="1">
      <alignment horizontal="center" vertical="center"/>
      <protection locked="0"/>
    </xf>
    <xf numFmtId="180" fontId="0" fillId="0" borderId="92" xfId="0" applyNumberFormat="1" applyBorder="1" applyProtection="1">
      <protection locked="0"/>
    </xf>
    <xf numFmtId="0" fontId="10" fillId="69" borderId="92" xfId="0" applyFont="1" applyFill="1" applyBorder="1" applyAlignment="1" applyProtection="1">
      <alignment horizontal="center"/>
      <protection locked="0"/>
    </xf>
    <xf numFmtId="189" fontId="121" fillId="0" borderId="92" xfId="0" applyNumberFormat="1" applyFont="1" applyBorder="1" applyAlignment="1" applyProtection="1">
      <alignment horizontal="center" vertical="center"/>
      <protection locked="0"/>
    </xf>
    <xf numFmtId="189" fontId="118" fillId="0" borderId="92" xfId="0" applyNumberFormat="1" applyFont="1" applyBorder="1" applyAlignment="1" applyProtection="1">
      <alignment horizontal="center" vertical="center"/>
      <protection locked="0"/>
    </xf>
    <xf numFmtId="189" fontId="44" fillId="0" borderId="92" xfId="0" applyNumberFormat="1" applyFont="1" applyBorder="1" applyAlignment="1" applyProtection="1">
      <alignment horizontal="center" vertical="center"/>
      <protection locked="0"/>
    </xf>
    <xf numFmtId="9" fontId="4" fillId="48" borderId="0" xfId="0" applyNumberFormat="1" applyFont="1" applyFill="1"/>
    <xf numFmtId="9" fontId="0" fillId="0" borderId="0" xfId="0" applyNumberFormat="1"/>
    <xf numFmtId="217" fontId="0" fillId="0" borderId="0" xfId="1" applyNumberFormat="1" applyFont="1"/>
    <xf numFmtId="0" fontId="66" fillId="69" borderId="33" xfId="0" applyFont="1" applyFill="1" applyBorder="1" applyAlignment="1" applyProtection="1">
      <alignment horizontal="center" vertical="center"/>
      <protection locked="0"/>
    </xf>
    <xf numFmtId="9" fontId="4" fillId="48" borderId="34" xfId="0" applyNumberFormat="1" applyFont="1" applyFill="1" applyBorder="1" applyProtection="1">
      <protection locked="0"/>
    </xf>
    <xf numFmtId="0" fontId="0" fillId="0" borderId="35" xfId="0" applyBorder="1" applyProtection="1">
      <protection locked="0"/>
    </xf>
    <xf numFmtId="0" fontId="118" fillId="47" borderId="154" xfId="0" applyFont="1" applyFill="1" applyBorder="1" applyAlignment="1" applyProtection="1">
      <alignment horizontal="left" vertical="center"/>
      <protection locked="0"/>
    </xf>
    <xf numFmtId="0" fontId="117" fillId="0" borderId="155" xfId="0" applyFont="1" applyBorder="1" applyAlignment="1" applyProtection="1">
      <alignment horizontal="center" vertical="center"/>
      <protection locked="0"/>
    </xf>
    <xf numFmtId="0" fontId="118" fillId="0" borderId="155" xfId="0" applyFont="1" applyBorder="1" applyAlignment="1" applyProtection="1">
      <alignment horizontal="center" vertical="center"/>
      <protection locked="0"/>
    </xf>
    <xf numFmtId="0" fontId="0" fillId="0" borderId="154" xfId="0" applyBorder="1" applyProtection="1">
      <protection locked="0"/>
    </xf>
    <xf numFmtId="0" fontId="0" fillId="0" borderId="155" xfId="0" applyBorder="1" applyProtection="1">
      <protection locked="0"/>
    </xf>
    <xf numFmtId="0" fontId="10" fillId="69" borderId="154" xfId="0" applyFont="1" applyFill="1" applyBorder="1" applyAlignment="1" applyProtection="1">
      <alignment horizontal="center"/>
      <protection locked="0"/>
    </xf>
    <xf numFmtId="0" fontId="10" fillId="69" borderId="155" xfId="0" applyFont="1" applyFill="1" applyBorder="1" applyAlignment="1" applyProtection="1">
      <alignment horizontal="center"/>
      <protection locked="0"/>
    </xf>
    <xf numFmtId="0" fontId="118" fillId="71" borderId="154" xfId="0" applyFont="1" applyFill="1" applyBorder="1" applyAlignment="1" applyProtection="1">
      <alignment horizontal="left" vertical="center"/>
      <protection locked="0"/>
    </xf>
    <xf numFmtId="0" fontId="122" fillId="0" borderId="155" xfId="0" applyFont="1" applyBorder="1" applyAlignment="1" applyProtection="1">
      <alignment horizontal="center" vertical="center"/>
      <protection locked="0"/>
    </xf>
    <xf numFmtId="0" fontId="118" fillId="71" borderId="156" xfId="0" applyFont="1" applyFill="1" applyBorder="1" applyAlignment="1" applyProtection="1">
      <alignment horizontal="left" vertical="center"/>
      <protection locked="0"/>
    </xf>
    <xf numFmtId="189" fontId="44" fillId="0" borderId="157" xfId="0" applyNumberFormat="1" applyFont="1" applyBorder="1" applyAlignment="1" applyProtection="1">
      <alignment horizontal="center" vertical="center"/>
      <protection locked="0"/>
    </xf>
    <xf numFmtId="0" fontId="44" fillId="0" borderId="158" xfId="0" applyFont="1" applyBorder="1" applyAlignment="1" applyProtection="1">
      <alignment horizontal="center" vertical="center"/>
      <protection locked="0"/>
    </xf>
    <xf numFmtId="0" fontId="83" fillId="69" borderId="33" xfId="0" applyFont="1" applyFill="1" applyBorder="1" applyAlignment="1" applyProtection="1">
      <alignment horizontal="center" vertical="center"/>
      <protection locked="0"/>
    </xf>
    <xf numFmtId="0" fontId="122" fillId="0" borderId="158" xfId="0" applyFont="1" applyBorder="1" applyAlignment="1" applyProtection="1">
      <alignment horizontal="center" vertical="center"/>
      <protection locked="0"/>
    </xf>
    <xf numFmtId="0" fontId="117" fillId="75" borderId="92" xfId="0" applyFont="1" applyFill="1" applyBorder="1" applyAlignment="1" applyProtection="1">
      <alignment horizontal="center" vertical="center"/>
      <protection locked="0"/>
    </xf>
    <xf numFmtId="0" fontId="117" fillId="75" borderId="155" xfId="0" applyFont="1" applyFill="1" applyBorder="1" applyAlignment="1" applyProtection="1">
      <alignment horizontal="center" vertical="center"/>
      <protection locked="0"/>
    </xf>
    <xf numFmtId="2" fontId="117" fillId="75" borderId="92" xfId="0" applyNumberFormat="1" applyFont="1" applyFill="1" applyBorder="1" applyAlignment="1" applyProtection="1">
      <alignment horizontal="center" vertical="center"/>
      <protection locked="0"/>
    </xf>
    <xf numFmtId="49" fontId="117" fillId="75" borderId="92" xfId="0" applyNumberFormat="1" applyFont="1" applyFill="1" applyBorder="1" applyAlignment="1" applyProtection="1">
      <alignment horizontal="center" vertical="center"/>
      <protection locked="0"/>
    </xf>
    <xf numFmtId="0" fontId="119" fillId="75" borderId="92" xfId="0" applyFont="1" applyFill="1" applyBorder="1" applyAlignment="1" applyProtection="1">
      <alignment horizontal="center" vertical="center"/>
      <protection locked="0"/>
    </xf>
    <xf numFmtId="0" fontId="120" fillId="75" borderId="92" xfId="0" applyFont="1" applyFill="1" applyBorder="1" applyAlignment="1" applyProtection="1">
      <alignment horizontal="center" vertical="center"/>
      <protection locked="0"/>
    </xf>
    <xf numFmtId="0" fontId="118" fillId="75" borderId="155" xfId="0" applyFont="1" applyFill="1" applyBorder="1" applyAlignment="1" applyProtection="1">
      <alignment horizontal="center" vertical="center"/>
      <protection locked="0"/>
    </xf>
    <xf numFmtId="181" fontId="118" fillId="75" borderId="92" xfId="0" applyNumberFormat="1" applyFont="1" applyFill="1" applyBorder="1" applyAlignment="1" applyProtection="1">
      <alignment horizontal="center" vertical="center"/>
      <protection locked="0"/>
    </xf>
    <xf numFmtId="180" fontId="0" fillId="75" borderId="92" xfId="0" applyNumberFormat="1" applyFill="1" applyBorder="1" applyProtection="1">
      <protection locked="0"/>
    </xf>
    <xf numFmtId="0" fontId="0" fillId="75" borderId="155" xfId="0" applyFill="1" applyBorder="1" applyProtection="1">
      <protection locked="0"/>
    </xf>
    <xf numFmtId="186" fontId="34" fillId="21" borderId="92" xfId="0" applyNumberFormat="1" applyFont="1" applyFill="1" applyBorder="1" applyAlignment="1" applyProtection="1">
      <alignment horizontal="center" vertical="center"/>
      <protection locked="0"/>
    </xf>
    <xf numFmtId="218" fontId="34" fillId="21" borderId="92" xfId="0" applyNumberFormat="1" applyFont="1" applyFill="1" applyBorder="1" applyAlignment="1" applyProtection="1">
      <alignment horizontal="center" vertical="center"/>
      <protection locked="0"/>
    </xf>
    <xf numFmtId="0" fontId="0" fillId="0" borderId="2" xfId="0" applyBorder="1" applyAlignment="1">
      <alignment horizontal="left"/>
    </xf>
    <xf numFmtId="194" fontId="0" fillId="0" borderId="2" xfId="0" applyNumberFormat="1" applyBorder="1" applyAlignment="1">
      <alignment horizontal="center"/>
    </xf>
    <xf numFmtId="194" fontId="0" fillId="0" borderId="9" xfId="0" applyNumberFormat="1" applyBorder="1" applyAlignment="1">
      <alignment horizontal="center"/>
    </xf>
    <xf numFmtId="0" fontId="0" fillId="0" borderId="79" xfId="0" applyBorder="1" applyAlignment="1">
      <alignment horizontal="left"/>
    </xf>
    <xf numFmtId="194" fontId="0" fillId="12" borderId="63" xfId="0" applyNumberFormat="1" applyFill="1" applyBorder="1" applyAlignment="1">
      <alignment horizontal="center"/>
    </xf>
    <xf numFmtId="194" fontId="0" fillId="9" borderId="80" xfId="0" applyNumberFormat="1" applyFill="1" applyBorder="1" applyAlignment="1">
      <alignment horizontal="center"/>
    </xf>
    <xf numFmtId="194" fontId="0" fillId="0" borderId="8" xfId="0" applyNumberFormat="1" applyBorder="1" applyAlignment="1">
      <alignment horizontal="center"/>
    </xf>
    <xf numFmtId="0" fontId="23" fillId="20" borderId="1" xfId="0" applyFont="1" applyFill="1" applyBorder="1" applyAlignment="1">
      <alignment horizontal="left" vertical="center" readingOrder="1"/>
    </xf>
    <xf numFmtId="0" fontId="23" fillId="20" borderId="1" xfId="0" applyFont="1" applyFill="1" applyBorder="1" applyAlignment="1">
      <alignment horizontal="center" vertical="center" readingOrder="1"/>
    </xf>
    <xf numFmtId="0" fontId="23" fillId="0" borderId="0" xfId="0" applyFont="1" applyAlignment="1">
      <alignment horizontal="left" vertical="center" readingOrder="1"/>
    </xf>
    <xf numFmtId="167" fontId="128" fillId="0" borderId="0" xfId="0" applyNumberFormat="1" applyFont="1" applyAlignment="1">
      <alignment horizontal="left" vertical="center" readingOrder="1"/>
    </xf>
    <xf numFmtId="9" fontId="4" fillId="0" borderId="0" xfId="2" applyFont="1" applyAlignment="1">
      <alignment horizontal="left"/>
    </xf>
    <xf numFmtId="167" fontId="129" fillId="0" borderId="0" xfId="0" applyNumberFormat="1" applyFont="1" applyAlignment="1">
      <alignment horizontal="left" vertical="center" readingOrder="1"/>
    </xf>
    <xf numFmtId="0" fontId="127" fillId="0" borderId="0" xfId="0" applyFont="1" applyAlignment="1">
      <alignment horizontal="left" vertical="center" readingOrder="1"/>
    </xf>
    <xf numFmtId="167" fontId="0" fillId="12" borderId="63" xfId="0" applyNumberFormat="1" applyFill="1" applyBorder="1"/>
    <xf numFmtId="0" fontId="130" fillId="29" borderId="154" xfId="0" applyFont="1" applyFill="1" applyBorder="1" applyAlignment="1" applyProtection="1">
      <alignment horizontal="left" vertical="center"/>
      <protection locked="0"/>
    </xf>
    <xf numFmtId="1" fontId="130" fillId="29" borderId="92" xfId="1" applyNumberFormat="1" applyFont="1" applyFill="1" applyBorder="1" applyAlignment="1" applyProtection="1">
      <alignment horizontal="center" vertical="center"/>
      <protection locked="0"/>
    </xf>
    <xf numFmtId="0" fontId="130" fillId="29" borderId="155" xfId="0" applyFont="1" applyFill="1" applyBorder="1" applyAlignment="1" applyProtection="1">
      <alignment horizontal="center" vertical="center"/>
      <protection locked="0"/>
    </xf>
    <xf numFmtId="0" fontId="131" fillId="29" borderId="0" xfId="0" applyFont="1" applyFill="1" applyAlignment="1" applyProtection="1">
      <alignment horizontal="center"/>
      <protection locked="0"/>
    </xf>
    <xf numFmtId="1" fontId="117" fillId="75" borderId="92" xfId="0" applyNumberFormat="1" applyFont="1" applyFill="1" applyBorder="1" applyAlignment="1" applyProtection="1">
      <alignment horizontal="center" vertical="center"/>
      <protection locked="0"/>
    </xf>
    <xf numFmtId="4" fontId="0" fillId="0" borderId="0" xfId="0" applyNumberFormat="1"/>
    <xf numFmtId="0" fontId="10" fillId="86" borderId="0" xfId="0" applyFont="1" applyFill="1" applyAlignment="1">
      <alignment horizontal="center"/>
    </xf>
    <xf numFmtId="0" fontId="0" fillId="0" borderId="79" xfId="0" pivotButton="1" applyBorder="1"/>
    <xf numFmtId="0" fontId="0" fillId="0" borderId="80" xfId="0" applyBorder="1" applyAlignment="1">
      <alignment horizontal="left"/>
    </xf>
    <xf numFmtId="164" fontId="0" fillId="0" borderId="9" xfId="0" applyNumberFormat="1" applyBorder="1"/>
    <xf numFmtId="164" fontId="0" fillId="0" borderId="160" xfId="0" applyNumberFormat="1" applyBorder="1"/>
    <xf numFmtId="164" fontId="0" fillId="0" borderId="8" xfId="0" applyNumberFormat="1" applyBorder="1"/>
    <xf numFmtId="0" fontId="0" fillId="0" borderId="2" xfId="0" pivotButton="1" applyBorder="1"/>
    <xf numFmtId="0" fontId="0" fillId="0" borderId="9" xfId="0" applyBorder="1"/>
    <xf numFmtId="0" fontId="0" fillId="0" borderId="160" xfId="0" applyBorder="1"/>
    <xf numFmtId="0" fontId="0" fillId="0" borderId="8" xfId="0" applyBorder="1"/>
    <xf numFmtId="0" fontId="132" fillId="71" borderId="27" xfId="0" applyFont="1" applyFill="1" applyBorder="1" applyAlignment="1">
      <alignment wrapText="1"/>
    </xf>
    <xf numFmtId="219" fontId="37" fillId="87" borderId="27" xfId="0" applyNumberFormat="1" applyFont="1" applyFill="1" applyBorder="1" applyAlignment="1">
      <alignment wrapText="1"/>
    </xf>
    <xf numFmtId="220" fontId="37" fillId="87" borderId="27" xfId="0" applyNumberFormat="1" applyFont="1" applyFill="1" applyBorder="1" applyAlignment="1">
      <alignment wrapText="1"/>
    </xf>
    <xf numFmtId="0" fontId="132" fillId="71" borderId="0" xfId="0" applyFont="1" applyFill="1" applyAlignment="1">
      <alignment wrapText="1"/>
    </xf>
    <xf numFmtId="219" fontId="37" fillId="87" borderId="0" xfId="0" applyNumberFormat="1" applyFont="1" applyFill="1" applyAlignment="1">
      <alignment wrapText="1"/>
    </xf>
    <xf numFmtId="220" fontId="37" fillId="87" borderId="0" xfId="0" applyNumberFormat="1" applyFont="1" applyFill="1" applyAlignment="1">
      <alignment wrapText="1"/>
    </xf>
    <xf numFmtId="1" fontId="0" fillId="0" borderId="0" xfId="0" applyNumberFormat="1" applyProtection="1">
      <protection locked="0"/>
    </xf>
    <xf numFmtId="1" fontId="25" fillId="48" borderId="56" xfId="0" applyNumberFormat="1" applyFont="1" applyFill="1" applyBorder="1" applyAlignment="1" applyProtection="1">
      <alignment horizontal="center"/>
      <protection locked="0"/>
    </xf>
    <xf numFmtId="1" fontId="117" fillId="0" borderId="92" xfId="0" applyNumberFormat="1" applyFont="1" applyBorder="1" applyAlignment="1" applyProtection="1">
      <alignment horizontal="center" vertical="center"/>
      <protection locked="0"/>
    </xf>
    <xf numFmtId="0" fontId="133" fillId="21" borderId="2" xfId="0" applyFont="1" applyFill="1" applyBorder="1" applyAlignment="1">
      <alignment horizontal="center" vertical="top"/>
    </xf>
    <xf numFmtId="0" fontId="138" fillId="0" borderId="0" xfId="0" applyFont="1"/>
    <xf numFmtId="0" fontId="139" fillId="6" borderId="0" xfId="0" applyFont="1" applyFill="1"/>
    <xf numFmtId="0" fontId="140" fillId="71" borderId="25" xfId="0" applyFont="1" applyFill="1" applyBorder="1" applyAlignment="1">
      <alignment horizontal="center"/>
    </xf>
    <xf numFmtId="3" fontId="140" fillId="71" borderId="161" xfId="0" applyNumberFormat="1" applyFont="1" applyFill="1" applyBorder="1" applyAlignment="1">
      <alignment horizontal="center"/>
    </xf>
    <xf numFmtId="3" fontId="140" fillId="71" borderId="28" xfId="0" applyNumberFormat="1" applyFont="1" applyFill="1" applyBorder="1" applyAlignment="1">
      <alignment horizontal="center"/>
    </xf>
    <xf numFmtId="222" fontId="141" fillId="0" borderId="12" xfId="0" applyNumberFormat="1" applyFont="1" applyBorder="1"/>
    <xf numFmtId="216" fontId="138" fillId="0" borderId="0" xfId="0" applyNumberFormat="1" applyFont="1" applyAlignment="1">
      <alignment horizontal="right"/>
    </xf>
    <xf numFmtId="216" fontId="138" fillId="0" borderId="162" xfId="0" applyNumberFormat="1" applyFont="1" applyBorder="1" applyAlignment="1">
      <alignment horizontal="right"/>
    </xf>
    <xf numFmtId="222" fontId="141" fillId="0" borderId="26" xfId="0" applyNumberFormat="1" applyFont="1" applyBorder="1"/>
    <xf numFmtId="216" fontId="138" fillId="0" borderId="27" xfId="0" applyNumberFormat="1" applyFont="1" applyBorder="1" applyAlignment="1">
      <alignment horizontal="right"/>
    </xf>
    <xf numFmtId="216" fontId="138" fillId="0" borderId="29" xfId="0" applyNumberFormat="1" applyFont="1" applyBorder="1" applyAlignment="1">
      <alignment horizontal="right"/>
    </xf>
    <xf numFmtId="166" fontId="135" fillId="71" borderId="0" xfId="1" applyNumberFormat="1" applyFont="1" applyFill="1" applyAlignment="1">
      <alignment horizontal="center"/>
    </xf>
    <xf numFmtId="3" fontId="0" fillId="0" borderId="2" xfId="1" applyNumberFormat="1" applyFont="1" applyBorder="1"/>
    <xf numFmtId="173" fontId="0" fillId="0" borderId="2" xfId="0" applyNumberFormat="1" applyBorder="1" applyAlignment="1">
      <alignment horizontal="right"/>
    </xf>
    <xf numFmtId="173" fontId="0" fillId="0" borderId="2" xfId="1" applyNumberFormat="1" applyFont="1" applyBorder="1" applyAlignment="1">
      <alignment horizontal="right"/>
    </xf>
    <xf numFmtId="166" fontId="135" fillId="71" borderId="0" xfId="1" applyNumberFormat="1" applyFont="1" applyFill="1" applyAlignment="1">
      <alignment horizontal="center" wrapText="1"/>
    </xf>
    <xf numFmtId="0" fontId="135" fillId="71" borderId="0" xfId="0" applyFont="1" applyFill="1" applyAlignment="1">
      <alignment horizontal="center" wrapText="1"/>
    </xf>
    <xf numFmtId="3" fontId="0" fillId="0" borderId="0" xfId="1" applyNumberFormat="1" applyFont="1"/>
    <xf numFmtId="173" fontId="0" fillId="0" borderId="0" xfId="0" applyNumberFormat="1"/>
    <xf numFmtId="49" fontId="135" fillId="71" borderId="0" xfId="0" applyNumberFormat="1" applyFont="1" applyFill="1" applyAlignment="1">
      <alignment horizontal="center"/>
    </xf>
    <xf numFmtId="49" fontId="135" fillId="71" borderId="0" xfId="1" applyNumberFormat="1" applyFont="1" applyFill="1" applyAlignment="1">
      <alignment horizontal="center"/>
    </xf>
    <xf numFmtId="0" fontId="10" fillId="6" borderId="0" xfId="0" applyFont="1" applyFill="1" applyAlignment="1">
      <alignment horizontal="center"/>
    </xf>
    <xf numFmtId="219" fontId="0" fillId="82" borderId="151" xfId="0" applyNumberFormat="1" applyFill="1" applyBorder="1" applyAlignment="1">
      <alignment wrapText="1"/>
    </xf>
    <xf numFmtId="2" fontId="12" fillId="0" borderId="4" xfId="1" applyNumberFormat="1" applyFont="1" applyFill="1" applyBorder="1" applyAlignment="1">
      <alignment horizontal="center"/>
    </xf>
    <xf numFmtId="10" fontId="12" fillId="0" borderId="0" xfId="2" applyNumberFormat="1" applyFont="1" applyFill="1"/>
    <xf numFmtId="10" fontId="0" fillId="0" borderId="0" xfId="0" applyNumberFormat="1" applyAlignment="1">
      <alignment horizontal="right"/>
    </xf>
    <xf numFmtId="10" fontId="0" fillId="0" borderId="0" xfId="2" applyNumberFormat="1" applyFont="1" applyAlignment="1">
      <alignment horizontal="left"/>
    </xf>
    <xf numFmtId="0" fontId="118" fillId="71" borderId="0" xfId="0" applyFont="1" applyFill="1" applyAlignment="1" applyProtection="1">
      <alignment horizontal="left" vertical="center" wrapText="1"/>
      <protection locked="0"/>
    </xf>
    <xf numFmtId="181" fontId="4" fillId="0" borderId="0" xfId="0" applyNumberFormat="1" applyFont="1" applyAlignment="1">
      <alignment horizontal="right"/>
    </xf>
    <xf numFmtId="0" fontId="0" fillId="0" borderId="0" xfId="0" applyAlignment="1">
      <alignment vertical="center" wrapText="1"/>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177" fontId="0" fillId="0" borderId="0" xfId="0" applyNumberFormat="1"/>
    <xf numFmtId="223" fontId="0" fillId="0" borderId="0" xfId="0" applyNumberFormat="1"/>
    <xf numFmtId="224" fontId="0" fillId="0" borderId="0" xfId="0" applyNumberFormat="1"/>
    <xf numFmtId="1" fontId="0" fillId="0" borderId="0" xfId="0" applyNumberFormat="1" applyAlignment="1">
      <alignment vertical="center"/>
    </xf>
    <xf numFmtId="4" fontId="0" fillId="0" borderId="0" xfId="0" applyNumberFormat="1" applyAlignment="1">
      <alignment vertical="center"/>
    </xf>
    <xf numFmtId="168" fontId="0" fillId="0" borderId="0" xfId="0" applyNumberFormat="1" applyAlignment="1">
      <alignment vertical="center"/>
    </xf>
    <xf numFmtId="177" fontId="0" fillId="0" borderId="0" xfId="0" applyNumberFormat="1" applyAlignment="1">
      <alignment vertical="center"/>
    </xf>
    <xf numFmtId="223" fontId="0" fillId="0" borderId="0" xfId="0" applyNumberFormat="1" applyAlignment="1">
      <alignment vertical="center"/>
    </xf>
    <xf numFmtId="224" fontId="0" fillId="0" borderId="0" xfId="0" applyNumberFormat="1" applyAlignment="1">
      <alignment vertical="center"/>
    </xf>
    <xf numFmtId="49" fontId="0" fillId="0" borderId="0" xfId="0" applyNumberFormat="1" applyAlignment="1">
      <alignment vertical="center"/>
    </xf>
    <xf numFmtId="16" fontId="25" fillId="48" borderId="56" xfId="0" applyNumberFormat="1" applyFont="1" applyFill="1" applyBorder="1" applyAlignment="1" applyProtection="1">
      <alignment horizontal="center"/>
      <protection locked="0"/>
    </xf>
    <xf numFmtId="215" fontId="0" fillId="0" borderId="0" xfId="0" applyNumberFormat="1"/>
    <xf numFmtId="216" fontId="0" fillId="0" borderId="0" xfId="0" applyNumberFormat="1"/>
    <xf numFmtId="0" fontId="4" fillId="71" borderId="12" xfId="0" applyFont="1" applyFill="1" applyBorder="1"/>
    <xf numFmtId="0" fontId="4" fillId="71" borderId="26" xfId="0" applyFont="1" applyFill="1" applyBorder="1"/>
    <xf numFmtId="0" fontId="20" fillId="0" borderId="15" xfId="0" applyFont="1" applyBorder="1" applyAlignment="1">
      <alignment horizontal="left" wrapText="1"/>
    </xf>
    <xf numFmtId="0" fontId="145" fillId="29" borderId="0" xfId="0" applyFont="1" applyFill="1" applyAlignment="1">
      <alignment horizontal="center" vertical="center"/>
    </xf>
    <xf numFmtId="0" fontId="143" fillId="29" borderId="0" xfId="0" applyFont="1" applyFill="1" applyAlignment="1">
      <alignment vertical="center"/>
    </xf>
    <xf numFmtId="0" fontId="143" fillId="29" borderId="163" xfId="0" applyFont="1" applyFill="1" applyBorder="1" applyAlignment="1">
      <alignment vertical="center"/>
    </xf>
    <xf numFmtId="0" fontId="143" fillId="29" borderId="19" xfId="0" applyFont="1" applyFill="1" applyBorder="1" applyAlignment="1">
      <alignment horizontal="left" vertical="center"/>
    </xf>
    <xf numFmtId="0" fontId="143" fillId="29" borderId="0" xfId="0" applyFont="1" applyFill="1" applyAlignment="1">
      <alignment horizontal="left" vertical="center"/>
    </xf>
    <xf numFmtId="0" fontId="143" fillId="29" borderId="0" xfId="0" applyFont="1" applyFill="1" applyAlignment="1">
      <alignment horizontal="center" vertical="center"/>
    </xf>
    <xf numFmtId="0" fontId="143" fillId="29" borderId="37" xfId="0" applyFont="1" applyFill="1" applyBorder="1" applyAlignment="1">
      <alignment horizontal="center" vertical="center"/>
    </xf>
    <xf numFmtId="0" fontId="149" fillId="91" borderId="33" xfId="0" applyFont="1" applyFill="1" applyBorder="1" applyAlignment="1" applyProtection="1">
      <alignment horizontal="left" vertical="center"/>
      <protection locked="0"/>
    </xf>
    <xf numFmtId="9" fontId="150" fillId="54" borderId="34" xfId="0" applyNumberFormat="1" applyFont="1" applyFill="1" applyBorder="1" applyAlignment="1" applyProtection="1">
      <alignment horizontal="center" vertical="center"/>
      <protection locked="0"/>
    </xf>
    <xf numFmtId="0" fontId="143" fillId="29" borderId="164" xfId="0" applyFont="1" applyFill="1" applyBorder="1" applyAlignment="1">
      <alignment horizontal="center" vertical="center"/>
    </xf>
    <xf numFmtId="0" fontId="145" fillId="54" borderId="164" xfId="0" applyFont="1" applyFill="1" applyBorder="1" applyAlignment="1">
      <alignment horizontal="center" vertical="center"/>
    </xf>
    <xf numFmtId="3" fontId="145" fillId="54" borderId="164" xfId="0" applyNumberFormat="1" applyFont="1" applyFill="1" applyBorder="1" applyAlignment="1">
      <alignment horizontal="center" vertical="center"/>
    </xf>
    <xf numFmtId="49" fontId="145" fillId="54" borderId="164" xfId="0" applyNumberFormat="1" applyFont="1" applyFill="1" applyBorder="1" applyAlignment="1">
      <alignment horizontal="center" vertical="center"/>
    </xf>
    <xf numFmtId="214" fontId="145" fillId="90" borderId="164" xfId="0" applyNumberFormat="1" applyFont="1" applyFill="1" applyBorder="1" applyAlignment="1">
      <alignment horizontal="center" vertical="center"/>
    </xf>
    <xf numFmtId="215" fontId="145" fillId="90" borderId="164" xfId="0" applyNumberFormat="1" applyFont="1" applyFill="1" applyBorder="1" applyAlignment="1">
      <alignment horizontal="center" vertical="center"/>
    </xf>
    <xf numFmtId="216" fontId="151" fillId="70" borderId="164" xfId="0" applyNumberFormat="1" applyFont="1" applyFill="1" applyBorder="1" applyAlignment="1">
      <alignment horizontal="center" vertical="center"/>
    </xf>
    <xf numFmtId="0" fontId="145" fillId="89" borderId="168" xfId="0" applyFont="1" applyFill="1" applyBorder="1" applyAlignment="1">
      <alignment horizontal="left" vertical="center"/>
    </xf>
    <xf numFmtId="0" fontId="143" fillId="90" borderId="169" xfId="0" applyFont="1" applyFill="1" applyBorder="1" applyAlignment="1">
      <alignment horizontal="center" vertical="center"/>
    </xf>
    <xf numFmtId="0" fontId="145" fillId="89" borderId="170" xfId="0" applyFont="1" applyFill="1" applyBorder="1" applyAlignment="1">
      <alignment horizontal="left" vertical="center"/>
    </xf>
    <xf numFmtId="0" fontId="143" fillId="29" borderId="171" xfId="0" applyFont="1" applyFill="1" applyBorder="1" applyAlignment="1">
      <alignment horizontal="center" vertical="center"/>
    </xf>
    <xf numFmtId="0" fontId="143" fillId="90" borderId="172" xfId="0" applyFont="1" applyFill="1" applyBorder="1" applyAlignment="1">
      <alignment horizontal="center" vertical="center"/>
    </xf>
    <xf numFmtId="9" fontId="152" fillId="54" borderId="35" xfId="0" applyNumberFormat="1" applyFont="1" applyFill="1" applyBorder="1" applyAlignment="1" applyProtection="1">
      <alignment horizontal="center" vertical="center"/>
      <protection locked="0"/>
    </xf>
    <xf numFmtId="0" fontId="145" fillId="71" borderId="168" xfId="0" applyFont="1" applyFill="1" applyBorder="1" applyAlignment="1">
      <alignment horizontal="left" vertical="center"/>
    </xf>
    <xf numFmtId="0" fontId="153" fillId="90" borderId="169" xfId="0" applyFont="1" applyFill="1" applyBorder="1" applyAlignment="1">
      <alignment horizontal="center" vertical="center"/>
    </xf>
    <xf numFmtId="0" fontId="145" fillId="90" borderId="168" xfId="0" applyFont="1" applyFill="1" applyBorder="1" applyAlignment="1">
      <alignment horizontal="left" vertical="center"/>
    </xf>
    <xf numFmtId="0" fontId="145" fillId="90" borderId="169" xfId="0" applyFont="1" applyFill="1" applyBorder="1" applyAlignment="1">
      <alignment horizontal="center" vertical="center"/>
    </xf>
    <xf numFmtId="0" fontId="145" fillId="70" borderId="168" xfId="0" applyFont="1" applyFill="1" applyBorder="1" applyAlignment="1">
      <alignment horizontal="left" vertical="center"/>
    </xf>
    <xf numFmtId="0" fontId="145" fillId="70" borderId="169" xfId="0" applyFont="1" applyFill="1" applyBorder="1" applyAlignment="1">
      <alignment horizontal="center" vertical="center"/>
    </xf>
    <xf numFmtId="0" fontId="0" fillId="0" borderId="27" xfId="0" applyBorder="1"/>
    <xf numFmtId="219" fontId="0" fillId="0" borderId="27" xfId="0" applyNumberFormat="1" applyBorder="1"/>
    <xf numFmtId="0" fontId="10" fillId="71" borderId="25" xfId="0" applyFont="1" applyFill="1" applyBorder="1"/>
    <xf numFmtId="0" fontId="10" fillId="71" borderId="28" xfId="0" applyFont="1" applyFill="1" applyBorder="1"/>
    <xf numFmtId="0" fontId="146" fillId="71" borderId="164" xfId="0" applyFont="1" applyFill="1" applyBorder="1" applyAlignment="1">
      <alignment horizontal="left"/>
    </xf>
    <xf numFmtId="215" fontId="4" fillId="54" borderId="164" xfId="0" applyNumberFormat="1" applyFont="1" applyFill="1" applyBorder="1" applyAlignment="1">
      <alignment horizontal="center"/>
    </xf>
    <xf numFmtId="0" fontId="0" fillId="90" borderId="164" xfId="0" applyFill="1" applyBorder="1" applyAlignment="1">
      <alignment horizontal="center"/>
    </xf>
    <xf numFmtId="216" fontId="4" fillId="54" borderId="164" xfId="0" applyNumberFormat="1" applyFont="1" applyFill="1" applyBorder="1" applyAlignment="1">
      <alignment horizontal="center"/>
    </xf>
    <xf numFmtId="225" fontId="4" fillId="70" borderId="164" xfId="0" applyNumberFormat="1" applyFont="1" applyFill="1" applyBorder="1" applyAlignment="1">
      <alignment horizontal="center"/>
    </xf>
    <xf numFmtId="226" fontId="4" fillId="70" borderId="164" xfId="0" applyNumberFormat="1" applyFont="1" applyFill="1" applyBorder="1" applyAlignment="1">
      <alignment horizontal="center"/>
    </xf>
    <xf numFmtId="227" fontId="4" fillId="70" borderId="164" xfId="0" applyNumberFormat="1" applyFont="1" applyFill="1" applyBorder="1" applyAlignment="1">
      <alignment horizontal="center"/>
    </xf>
    <xf numFmtId="0" fontId="144" fillId="91" borderId="168" xfId="0" applyFont="1" applyFill="1" applyBorder="1" applyAlignment="1">
      <alignment horizontal="center" vertical="center"/>
    </xf>
    <xf numFmtId="216" fontId="144" fillId="91" borderId="164" xfId="0" applyNumberFormat="1" applyFont="1" applyFill="1" applyBorder="1" applyAlignment="1">
      <alignment horizontal="center" vertical="center"/>
    </xf>
    <xf numFmtId="0" fontId="144" fillId="91" borderId="169" xfId="0" applyFont="1" applyFill="1" applyBorder="1" applyAlignment="1">
      <alignment horizontal="center" vertical="center"/>
    </xf>
    <xf numFmtId="0" fontId="145" fillId="34" borderId="19" xfId="0" applyFont="1" applyFill="1" applyBorder="1" applyAlignment="1">
      <alignment horizontal="left" vertical="center"/>
    </xf>
    <xf numFmtId="168" fontId="151" fillId="34" borderId="0" xfId="0" applyNumberFormat="1" applyFont="1" applyFill="1" applyAlignment="1">
      <alignment horizontal="center" vertical="center"/>
    </xf>
    <xf numFmtId="0" fontId="145" fillId="34" borderId="37" xfId="0" applyFont="1" applyFill="1" applyBorder="1" applyAlignment="1">
      <alignment horizontal="center" vertical="center"/>
    </xf>
    <xf numFmtId="0" fontId="145" fillId="34" borderId="173" xfId="0" applyFont="1" applyFill="1" applyBorder="1" applyAlignment="1">
      <alignment horizontal="left" vertical="center"/>
    </xf>
    <xf numFmtId="0" fontId="145" fillId="34" borderId="174" xfId="0" applyFont="1" applyFill="1" applyBorder="1" applyAlignment="1">
      <alignment horizontal="center" vertical="center"/>
    </xf>
    <xf numFmtId="44" fontId="151" fillId="34" borderId="39" xfId="20" applyFont="1" applyFill="1" applyBorder="1" applyAlignment="1">
      <alignment horizontal="center" vertical="center"/>
    </xf>
    <xf numFmtId="0" fontId="154" fillId="54" borderId="164" xfId="0" applyFont="1" applyFill="1" applyBorder="1" applyAlignment="1">
      <alignment horizontal="center" vertical="center"/>
    </xf>
    <xf numFmtId="0" fontId="20" fillId="0" borderId="63" xfId="0" applyFont="1" applyBorder="1"/>
    <xf numFmtId="208" fontId="77" fillId="54" borderId="0" xfId="0" applyNumberFormat="1" applyFont="1" applyFill="1"/>
    <xf numFmtId="0" fontId="155" fillId="8" borderId="0" xfId="0" applyFont="1" applyFill="1"/>
    <xf numFmtId="208" fontId="155" fillId="8" borderId="0" xfId="0" applyNumberFormat="1" applyFont="1" applyFill="1"/>
    <xf numFmtId="0" fontId="155" fillId="7" borderId="0" xfId="0" applyFont="1" applyFill="1"/>
    <xf numFmtId="208" fontId="155" fillId="7" borderId="0" xfId="0" applyNumberFormat="1" applyFont="1" applyFill="1"/>
    <xf numFmtId="0" fontId="155" fillId="0" borderId="0" xfId="0" applyFont="1"/>
    <xf numFmtId="0" fontId="156" fillId="0" borderId="0" xfId="0" applyFont="1" applyAlignment="1">
      <alignment horizontal="left" wrapText="1"/>
    </xf>
    <xf numFmtId="1" fontId="156" fillId="0" borderId="0" xfId="0" applyNumberFormat="1" applyFont="1" applyAlignment="1">
      <alignment horizontal="left" wrapText="1"/>
    </xf>
    <xf numFmtId="1" fontId="111" fillId="0" borderId="0" xfId="0" applyNumberFormat="1" applyFont="1" applyAlignment="1">
      <alignment horizontal="left" wrapText="1"/>
    </xf>
    <xf numFmtId="2" fontId="156" fillId="0" borderId="0" xfId="0" applyNumberFormat="1" applyFont="1" applyAlignment="1">
      <alignment horizontal="left" wrapText="1"/>
    </xf>
    <xf numFmtId="2" fontId="111" fillId="0" borderId="0" xfId="0" applyNumberFormat="1" applyFont="1" applyAlignment="1">
      <alignment horizontal="left" wrapText="1"/>
    </xf>
    <xf numFmtId="167" fontId="2" fillId="0" borderId="0" xfId="0" applyNumberFormat="1" applyFont="1"/>
    <xf numFmtId="228" fontId="4" fillId="54" borderId="162" xfId="0" applyNumberFormat="1" applyFont="1" applyFill="1" applyBorder="1"/>
    <xf numFmtId="228" fontId="4" fillId="54" borderId="29" xfId="0" applyNumberFormat="1" applyFont="1" applyFill="1" applyBorder="1"/>
    <xf numFmtId="0" fontId="44" fillId="0" borderId="92" xfId="0" applyFont="1" applyBorder="1" applyAlignment="1" applyProtection="1">
      <alignment horizontal="center" vertical="center"/>
      <protection locked="0"/>
    </xf>
    <xf numFmtId="220" fontId="0" fillId="0" borderId="0" xfId="0" applyNumberFormat="1"/>
    <xf numFmtId="0" fontId="123" fillId="69" borderId="0" xfId="0" applyFont="1" applyFill="1"/>
    <xf numFmtId="0" fontId="37" fillId="0" borderId="0" xfId="0" applyFont="1" applyAlignment="1">
      <alignment wrapText="1"/>
    </xf>
    <xf numFmtId="0" fontId="4" fillId="0" borderId="0" xfId="0" applyFont="1" applyAlignment="1">
      <alignment horizontal="left" vertical="center"/>
    </xf>
    <xf numFmtId="0" fontId="4" fillId="0" borderId="1" xfId="0" applyFont="1" applyBorder="1" applyAlignment="1">
      <alignment horizontal="left" vertical="center"/>
    </xf>
    <xf numFmtId="190" fontId="84" fillId="0" borderId="15" xfId="12" applyNumberFormat="1" applyFont="1" applyBorder="1" applyAlignment="1" applyProtection="1">
      <alignment horizontal="center" vertical="center"/>
      <protection locked="0"/>
    </xf>
    <xf numFmtId="190" fontId="84" fillId="0" borderId="16" xfId="12" applyNumberFormat="1" applyFont="1" applyBorder="1" applyAlignment="1" applyProtection="1">
      <alignment horizontal="center" vertical="center"/>
      <protection locked="0"/>
    </xf>
    <xf numFmtId="190" fontId="84" fillId="0" borderId="64" xfId="12" applyNumberFormat="1" applyFont="1" applyBorder="1" applyAlignment="1" applyProtection="1">
      <alignment horizontal="center" vertical="center"/>
      <protection locked="0"/>
    </xf>
    <xf numFmtId="0" fontId="25" fillId="22" borderId="15" xfId="0" applyFont="1" applyFill="1" applyBorder="1" applyAlignment="1">
      <alignment horizontal="center" vertical="center"/>
    </xf>
    <xf numFmtId="0" fontId="25" fillId="22" borderId="16" xfId="0" applyFont="1" applyFill="1" applyBorder="1" applyAlignment="1">
      <alignment horizontal="center" vertical="center"/>
    </xf>
    <xf numFmtId="0" fontId="25" fillId="22" borderId="17" xfId="0" applyFont="1" applyFill="1" applyBorder="1" applyAlignment="1">
      <alignment horizontal="center" vertical="center"/>
    </xf>
    <xf numFmtId="0" fontId="84" fillId="0" borderId="15" xfId="0" applyFont="1" applyBorder="1" applyAlignment="1">
      <alignment horizontal="center" vertical="center"/>
    </xf>
    <xf numFmtId="0" fontId="84" fillId="0" borderId="16" xfId="0" applyFont="1" applyBorder="1" applyAlignment="1">
      <alignment horizontal="center" vertical="center"/>
    </xf>
    <xf numFmtId="0" fontId="84" fillId="0" borderId="64" xfId="0" applyFont="1" applyBorder="1" applyAlignment="1">
      <alignment horizontal="center" vertical="center"/>
    </xf>
    <xf numFmtId="0" fontId="85" fillId="18" borderId="15" xfId="0" applyFont="1" applyFill="1" applyBorder="1" applyAlignment="1" applyProtection="1">
      <alignment horizontal="center" vertical="center"/>
      <protection locked="0"/>
    </xf>
    <xf numFmtId="0" fontId="85" fillId="18" borderId="16" xfId="0" applyFont="1" applyFill="1" applyBorder="1" applyAlignment="1" applyProtection="1">
      <alignment horizontal="center" vertical="center"/>
      <protection locked="0"/>
    </xf>
    <xf numFmtId="0" fontId="85" fillId="18" borderId="64" xfId="0" applyFont="1" applyFill="1" applyBorder="1" applyAlignment="1" applyProtection="1">
      <alignment horizontal="center" vertical="center"/>
      <protection locked="0"/>
    </xf>
    <xf numFmtId="0" fontId="84" fillId="0" borderId="15" xfId="0" applyFont="1" applyBorder="1" applyAlignment="1" applyProtection="1">
      <alignment horizontal="center" vertical="center"/>
      <protection locked="0"/>
    </xf>
    <xf numFmtId="0" fontId="84" fillId="0" borderId="16" xfId="0" applyFont="1" applyBorder="1" applyAlignment="1" applyProtection="1">
      <alignment horizontal="center" vertical="center"/>
      <protection locked="0"/>
    </xf>
    <xf numFmtId="0" fontId="84" fillId="0" borderId="64" xfId="0" applyFont="1" applyBorder="1" applyAlignment="1" applyProtection="1">
      <alignment horizontal="center" vertical="center"/>
      <protection locked="0"/>
    </xf>
    <xf numFmtId="0" fontId="84" fillId="12" borderId="15" xfId="0" applyFont="1" applyFill="1" applyBorder="1" applyAlignment="1" applyProtection="1">
      <alignment horizontal="center" vertical="center"/>
      <protection locked="0"/>
    </xf>
    <xf numFmtId="0" fontId="84" fillId="12" borderId="16" xfId="0" applyFont="1" applyFill="1" applyBorder="1" applyAlignment="1" applyProtection="1">
      <alignment horizontal="center" vertical="center"/>
      <protection locked="0"/>
    </xf>
    <xf numFmtId="0" fontId="84" fillId="12" borderId="64" xfId="0" applyFont="1" applyFill="1" applyBorder="1" applyAlignment="1" applyProtection="1">
      <alignment horizontal="center" vertical="center"/>
      <protection locked="0"/>
    </xf>
    <xf numFmtId="0" fontId="0" fillId="19" borderId="2" xfId="0" applyFill="1" applyBorder="1" applyAlignment="1">
      <alignment horizontal="center"/>
    </xf>
    <xf numFmtId="0" fontId="16" fillId="0" borderId="71" xfId="11" applyFont="1" applyBorder="1" applyAlignment="1">
      <alignment horizontal="center" vertical="center"/>
    </xf>
    <xf numFmtId="0" fontId="16" fillId="0" borderId="76" xfId="11" applyFont="1" applyBorder="1" applyAlignment="1">
      <alignment horizontal="center" vertical="center"/>
    </xf>
    <xf numFmtId="0" fontId="4" fillId="0" borderId="159" xfId="0" applyFont="1" applyBorder="1" applyAlignment="1">
      <alignment horizontal="center" vertical="center"/>
    </xf>
    <xf numFmtId="0" fontId="4" fillId="0" borderId="0" xfId="0" applyFont="1" applyAlignment="1">
      <alignment horizontal="center" vertical="center"/>
    </xf>
    <xf numFmtId="0" fontId="64" fillId="29" borderId="19" xfId="0" applyFont="1" applyFill="1" applyBorder="1" applyAlignment="1">
      <alignment horizontal="center" vertical="center"/>
    </xf>
    <xf numFmtId="0" fontId="64" fillId="29" borderId="0" xfId="0" applyFont="1" applyFill="1" applyAlignment="1">
      <alignment horizontal="center" vertical="center"/>
    </xf>
    <xf numFmtId="0" fontId="64" fillId="29" borderId="37" xfId="0" applyFont="1" applyFill="1" applyBorder="1" applyAlignment="1">
      <alignment horizontal="center" vertical="center"/>
    </xf>
    <xf numFmtId="168" fontId="72" fillId="51" borderId="30" xfId="0" applyNumberFormat="1" applyFont="1" applyFill="1" applyBorder="1" applyAlignment="1">
      <alignment horizontal="center" vertical="center"/>
    </xf>
    <xf numFmtId="0" fontId="68" fillId="51" borderId="37" xfId="0" applyFont="1" applyFill="1" applyBorder="1" applyAlignment="1">
      <alignment horizontal="center" vertical="center"/>
    </xf>
    <xf numFmtId="9" fontId="67" fillId="71" borderId="30" xfId="0" applyNumberFormat="1" applyFont="1" applyFill="1" applyBorder="1" applyAlignment="1" applyProtection="1">
      <alignment horizontal="center" vertical="center"/>
      <protection locked="0"/>
    </xf>
    <xf numFmtId="0" fontId="68" fillId="71" borderId="37" xfId="0" applyFont="1" applyFill="1" applyBorder="1" applyAlignment="1">
      <alignment horizontal="center" vertical="center"/>
    </xf>
    <xf numFmtId="0" fontId="69" fillId="17" borderId="36" xfId="0" applyFont="1" applyFill="1" applyBorder="1" applyAlignment="1">
      <alignment horizontal="center" vertical="center"/>
    </xf>
    <xf numFmtId="0" fontId="70" fillId="17" borderId="0" xfId="0" applyFont="1" applyFill="1" applyAlignment="1">
      <alignment horizontal="center" vertical="center"/>
    </xf>
    <xf numFmtId="0" fontId="70" fillId="17" borderId="37" xfId="0" applyFont="1" applyFill="1" applyBorder="1" applyAlignment="1">
      <alignment horizontal="center" vertical="center"/>
    </xf>
    <xf numFmtId="0" fontId="69" fillId="17" borderId="19" xfId="0" applyFont="1" applyFill="1" applyBorder="1" applyAlignment="1">
      <alignment horizontal="center" vertical="center"/>
    </xf>
    <xf numFmtId="0" fontId="69" fillId="17" borderId="0" xfId="0" applyFont="1" applyFill="1" applyAlignment="1">
      <alignment horizontal="center" vertical="center"/>
    </xf>
    <xf numFmtId="0" fontId="69" fillId="17" borderId="37" xfId="0" applyFont="1" applyFill="1" applyBorder="1" applyAlignment="1">
      <alignment horizontal="center" vertical="center"/>
    </xf>
    <xf numFmtId="0" fontId="41" fillId="42" borderId="50" xfId="0" applyFont="1" applyFill="1" applyBorder="1" applyAlignment="1">
      <alignment horizontal="center" vertical="center"/>
    </xf>
    <xf numFmtId="0" fontId="0" fillId="0" borderId="48" xfId="0" applyBorder="1"/>
    <xf numFmtId="0" fontId="0" fillId="0" borderId="52" xfId="0" applyBorder="1"/>
    <xf numFmtId="0" fontId="70" fillId="44" borderId="36" xfId="0" applyFont="1" applyFill="1" applyBorder="1" applyAlignment="1">
      <alignment horizontal="center" vertical="center"/>
    </xf>
    <xf numFmtId="0" fontId="70" fillId="44" borderId="0" xfId="0" applyFont="1" applyFill="1" applyAlignment="1">
      <alignment horizontal="center" vertical="center"/>
    </xf>
    <xf numFmtId="0" fontId="70" fillId="44" borderId="37" xfId="0" applyFont="1" applyFill="1" applyBorder="1" applyAlignment="1">
      <alignment horizontal="center" vertical="center"/>
    </xf>
    <xf numFmtId="168" fontId="73" fillId="72" borderId="36" xfId="0" applyNumberFormat="1" applyFont="1" applyFill="1" applyBorder="1" applyAlignment="1">
      <alignment horizontal="center" vertical="center"/>
    </xf>
    <xf numFmtId="0" fontId="73" fillId="72" borderId="0" xfId="0" applyFont="1" applyFill="1" applyAlignment="1">
      <alignment horizontal="center" vertical="center"/>
    </xf>
    <xf numFmtId="0" fontId="73" fillId="72" borderId="37" xfId="0" applyFont="1" applyFill="1" applyBorder="1" applyAlignment="1">
      <alignment horizontal="center" vertical="center"/>
    </xf>
    <xf numFmtId="0" fontId="64" fillId="29" borderId="38" xfId="0" applyFont="1" applyFill="1" applyBorder="1" applyAlignment="1">
      <alignment horizontal="center" vertical="center"/>
    </xf>
    <xf numFmtId="0" fontId="64" fillId="29" borderId="39" xfId="0" applyFont="1" applyFill="1" applyBorder="1" applyAlignment="1">
      <alignment horizontal="center" vertical="center"/>
    </xf>
    <xf numFmtId="0" fontId="64" fillId="29" borderId="40" xfId="0" applyFont="1" applyFill="1" applyBorder="1" applyAlignment="1">
      <alignment horizontal="center" vertical="center"/>
    </xf>
    <xf numFmtId="0" fontId="121" fillId="0" borderId="152" xfId="0" applyFont="1" applyBorder="1" applyAlignment="1">
      <alignment horizontal="center" vertical="center" wrapText="1"/>
    </xf>
    <xf numFmtId="0" fontId="121" fillId="0" borderId="153" xfId="0" applyFont="1" applyBorder="1" applyAlignment="1">
      <alignment horizontal="center" vertical="center" wrapText="1"/>
    </xf>
    <xf numFmtId="0" fontId="10" fillId="91" borderId="0" xfId="0" applyFont="1" applyFill="1" applyAlignment="1">
      <alignment horizontal="center"/>
    </xf>
    <xf numFmtId="0" fontId="145" fillId="70" borderId="165" xfId="0" applyFont="1" applyFill="1" applyBorder="1" applyAlignment="1">
      <alignment horizontal="left" vertical="center"/>
    </xf>
    <xf numFmtId="0" fontId="145" fillId="70" borderId="166" xfId="0" applyFont="1" applyFill="1" applyBorder="1" applyAlignment="1">
      <alignment horizontal="left" vertical="center"/>
    </xf>
    <xf numFmtId="0" fontId="145" fillId="70" borderId="167" xfId="0" applyFont="1" applyFill="1" applyBorder="1" applyAlignment="1">
      <alignment horizontal="left" vertical="center"/>
    </xf>
    <xf numFmtId="0" fontId="147" fillId="69" borderId="19" xfId="0" applyFont="1" applyFill="1" applyBorder="1" applyAlignment="1">
      <alignment horizontal="center" vertical="center"/>
    </xf>
    <xf numFmtId="0" fontId="147" fillId="69" borderId="0" xfId="0" applyFont="1" applyFill="1" applyAlignment="1">
      <alignment horizontal="center" vertical="center"/>
    </xf>
    <xf numFmtId="0" fontId="147" fillId="69" borderId="37" xfId="0" applyFont="1" applyFill="1" applyBorder="1" applyAlignment="1">
      <alignment horizontal="center" vertical="center"/>
    </xf>
    <xf numFmtId="0" fontId="147" fillId="69" borderId="33" xfId="0" applyFont="1" applyFill="1" applyBorder="1" applyAlignment="1">
      <alignment horizontal="center" vertical="center"/>
    </xf>
    <xf numFmtId="0" fontId="147" fillId="69" borderId="34" xfId="0" applyFont="1" applyFill="1" applyBorder="1" applyAlignment="1">
      <alignment horizontal="center" vertical="center"/>
    </xf>
    <xf numFmtId="0" fontId="147" fillId="69" borderId="35" xfId="0" applyFont="1" applyFill="1" applyBorder="1" applyAlignment="1">
      <alignment horizontal="center" vertical="center"/>
    </xf>
    <xf numFmtId="168" fontId="148" fillId="71" borderId="19" xfId="0" applyNumberFormat="1" applyFont="1" applyFill="1" applyBorder="1" applyAlignment="1">
      <alignment horizontal="center" vertical="center"/>
    </xf>
    <xf numFmtId="168" fontId="148" fillId="71" borderId="0" xfId="0" applyNumberFormat="1" applyFont="1" applyFill="1" applyAlignment="1">
      <alignment horizontal="center" vertical="center"/>
    </xf>
    <xf numFmtId="168" fontId="148" fillId="71" borderId="37" xfId="0" applyNumberFormat="1" applyFont="1" applyFill="1" applyBorder="1" applyAlignment="1">
      <alignment horizontal="center" vertical="center"/>
    </xf>
    <xf numFmtId="0" fontId="144" fillId="91" borderId="19" xfId="0" applyFont="1" applyFill="1" applyBorder="1" applyAlignment="1">
      <alignment horizontal="center" vertical="center"/>
    </xf>
    <xf numFmtId="0" fontId="144" fillId="91" borderId="0" xfId="0" applyFont="1" applyFill="1" applyAlignment="1">
      <alignment horizontal="center" vertical="center"/>
    </xf>
    <xf numFmtId="0" fontId="144" fillId="91" borderId="37" xfId="0" applyFont="1" applyFill="1" applyBorder="1" applyAlignment="1">
      <alignment horizontal="center" vertical="center"/>
    </xf>
    <xf numFmtId="0" fontId="45" fillId="60" borderId="33" xfId="0" applyFont="1" applyFill="1" applyBorder="1" applyAlignment="1">
      <alignment horizontal="center"/>
    </xf>
    <xf numFmtId="0" fontId="45" fillId="60" borderId="34" xfId="0" applyFont="1" applyFill="1" applyBorder="1" applyAlignment="1">
      <alignment horizontal="center"/>
    </xf>
    <xf numFmtId="0" fontId="45" fillId="60" borderId="35" xfId="0" applyFont="1" applyFill="1" applyBorder="1" applyAlignment="1">
      <alignment horizontal="center"/>
    </xf>
    <xf numFmtId="181" fontId="46" fillId="54" borderId="19" xfId="0" applyNumberFormat="1" applyFont="1" applyFill="1" applyBorder="1" applyAlignment="1">
      <alignment horizontal="center"/>
    </xf>
    <xf numFmtId="181" fontId="46" fillId="54" borderId="0" xfId="0" applyNumberFormat="1" applyFont="1" applyFill="1" applyAlignment="1">
      <alignment horizontal="center"/>
    </xf>
    <xf numFmtId="181" fontId="46" fillId="54" borderId="37" xfId="0" applyNumberFormat="1" applyFont="1" applyFill="1" applyBorder="1" applyAlignment="1">
      <alignment horizontal="center"/>
    </xf>
    <xf numFmtId="0" fontId="10" fillId="69" borderId="69" xfId="0" applyFont="1" applyFill="1" applyBorder="1"/>
    <xf numFmtId="3" fontId="10" fillId="69" borderId="148" xfId="0" applyNumberFormat="1" applyFont="1" applyFill="1" applyBorder="1"/>
    <xf numFmtId="0" fontId="10" fillId="69" borderId="149" xfId="0" applyFont="1" applyFill="1" applyBorder="1"/>
    <xf numFmtId="181" fontId="0" fillId="0" borderId="0" xfId="0" applyNumberFormat="1" applyAlignment="1">
      <alignment horizontal="right" vertical="center"/>
    </xf>
    <xf numFmtId="170" fontId="0" fillId="0" borderId="0" xfId="1" applyNumberFormat="1" applyFont="1" applyAlignment="1">
      <alignment horizontal="center" vertical="center"/>
    </xf>
    <xf numFmtId="181" fontId="0" fillId="0" borderId="0" xfId="1" applyNumberFormat="1" applyFont="1" applyAlignment="1">
      <alignment horizontal="right" vertical="center"/>
    </xf>
    <xf numFmtId="181" fontId="0" fillId="0" borderId="0" xfId="0" applyNumberFormat="1" applyAlignment="1">
      <alignment horizontal="center" vertical="center"/>
    </xf>
    <xf numFmtId="0" fontId="0" fillId="0" borderId="0" xfId="0" applyAlignment="1">
      <alignment horizontal="center" vertical="center"/>
    </xf>
    <xf numFmtId="0" fontId="37" fillId="0" borderId="27" xfId="0" applyFont="1" applyBorder="1" applyAlignment="1">
      <alignment wrapText="1"/>
    </xf>
    <xf numFmtId="185" fontId="0" fillId="0" borderId="0" xfId="0" applyNumberFormat="1" applyAlignment="1">
      <alignment horizontal="center" vertical="center"/>
    </xf>
    <xf numFmtId="181" fontId="0" fillId="0" borderId="0" xfId="1" applyNumberFormat="1" applyFont="1" applyAlignment="1">
      <alignment horizontal="center" vertical="center"/>
    </xf>
    <xf numFmtId="166" fontId="0" fillId="0" borderId="0" xfId="1" applyNumberFormat="1" applyFont="1" applyAlignment="1">
      <alignment vertical="center"/>
    </xf>
    <xf numFmtId="1" fontId="0" fillId="0" borderId="0" xfId="0" applyNumberFormat="1" applyAlignment="1">
      <alignment horizontal="center" vertical="center"/>
    </xf>
    <xf numFmtId="166" fontId="0" fillId="0" borderId="0" xfId="1" applyNumberFormat="1" applyFont="1" applyBorder="1" applyAlignment="1">
      <alignment vertical="center"/>
    </xf>
    <xf numFmtId="0" fontId="0" fillId="0" borderId="0" xfId="0" quotePrefix="1" applyAlignment="1">
      <alignment horizontal="center" vertical="center"/>
    </xf>
    <xf numFmtId="0" fontId="43" fillId="4" borderId="98" xfId="0" applyFont="1" applyFill="1" applyBorder="1" applyAlignment="1">
      <alignment horizontal="center" vertical="center"/>
    </xf>
    <xf numFmtId="0" fontId="43" fillId="4" borderId="99" xfId="0" applyFont="1" applyFill="1" applyBorder="1" applyAlignment="1">
      <alignment horizontal="center" vertical="center"/>
    </xf>
    <xf numFmtId="0" fontId="43" fillId="4" borderId="100" xfId="0" applyFont="1" applyFill="1" applyBorder="1" applyAlignment="1">
      <alignment horizontal="center" vertical="center"/>
    </xf>
    <xf numFmtId="170" fontId="2" fillId="0" borderId="0" xfId="1" applyNumberFormat="1" applyFont="1" applyAlignment="1">
      <alignment horizontal="center" vertical="center" wrapText="1"/>
    </xf>
    <xf numFmtId="43" fontId="2" fillId="0" borderId="0" xfId="1" applyFont="1" applyAlignment="1">
      <alignment horizontal="center" vertical="center" wrapText="1"/>
    </xf>
    <xf numFmtId="179" fontId="0" fillId="0" borderId="0" xfId="0" applyNumberFormat="1" applyAlignment="1">
      <alignment horizontal="center" vertical="center"/>
    </xf>
    <xf numFmtId="0" fontId="116" fillId="69" borderId="154" xfId="0" applyFont="1" applyFill="1" applyBorder="1" applyAlignment="1" applyProtection="1">
      <alignment horizontal="center" vertical="center"/>
      <protection locked="0"/>
    </xf>
    <xf numFmtId="0" fontId="116" fillId="69" borderId="92" xfId="0" applyFont="1" applyFill="1" applyBorder="1" applyAlignment="1" applyProtection="1">
      <alignment horizontal="center" vertical="center"/>
      <protection locked="0"/>
    </xf>
    <xf numFmtId="0" fontId="116" fillId="69" borderId="155" xfId="0" applyFont="1" applyFill="1" applyBorder="1" applyAlignment="1" applyProtection="1">
      <alignment horizontal="center" vertical="center"/>
      <protection locked="0"/>
    </xf>
    <xf numFmtId="0" fontId="10" fillId="69" borderId="69" xfId="0" applyFont="1" applyFill="1" applyBorder="1" applyProtection="1">
      <protection locked="0"/>
    </xf>
    <xf numFmtId="3" fontId="10" fillId="69" borderId="148" xfId="0" applyNumberFormat="1" applyFont="1" applyFill="1" applyBorder="1" applyProtection="1">
      <protection locked="0"/>
    </xf>
    <xf numFmtId="0" fontId="10" fillId="69" borderId="149" xfId="0" applyFont="1" applyFill="1" applyBorder="1" applyProtection="1">
      <protection locked="0"/>
    </xf>
    <xf numFmtId="0" fontId="43" fillId="4" borderId="98" xfId="0" applyFont="1" applyFill="1" applyBorder="1" applyAlignment="1" applyProtection="1">
      <alignment horizontal="center" vertical="center"/>
      <protection locked="0"/>
    </xf>
    <xf numFmtId="0" fontId="43" fillId="4" borderId="99" xfId="0" applyFont="1" applyFill="1" applyBorder="1" applyAlignment="1" applyProtection="1">
      <alignment horizontal="center" vertical="center"/>
      <protection locked="0"/>
    </xf>
    <xf numFmtId="0" fontId="43" fillId="4" borderId="100" xfId="0" applyFont="1" applyFill="1" applyBorder="1" applyAlignment="1" applyProtection="1">
      <alignment horizontal="center" vertical="center"/>
      <protection locked="0"/>
    </xf>
    <xf numFmtId="0" fontId="43" fillId="52" borderId="110" xfId="0" applyFont="1" applyFill="1" applyBorder="1" applyAlignment="1" applyProtection="1">
      <alignment horizontal="center" vertical="center"/>
      <protection locked="0"/>
    </xf>
    <xf numFmtId="0" fontId="43" fillId="52" borderId="111" xfId="0" applyFont="1" applyFill="1" applyBorder="1" applyAlignment="1" applyProtection="1">
      <alignment horizontal="center" vertical="center"/>
      <protection locked="0"/>
    </xf>
    <xf numFmtId="0" fontId="43" fillId="52" borderId="112" xfId="0" applyFont="1" applyFill="1" applyBorder="1" applyAlignment="1" applyProtection="1">
      <alignment horizontal="center" vertical="center"/>
      <protection locked="0"/>
    </xf>
    <xf numFmtId="0" fontId="43" fillId="56" borderId="117" xfId="0" applyFont="1" applyFill="1" applyBorder="1" applyAlignment="1" applyProtection="1">
      <alignment horizontal="center" vertical="center"/>
      <protection locked="0"/>
    </xf>
    <xf numFmtId="0" fontId="43" fillId="56" borderId="118" xfId="0" applyFont="1" applyFill="1" applyBorder="1" applyAlignment="1" applyProtection="1">
      <alignment horizontal="center" vertical="center"/>
      <protection locked="0"/>
    </xf>
    <xf numFmtId="0" fontId="43" fillId="56" borderId="119" xfId="0" applyFont="1" applyFill="1" applyBorder="1" applyAlignment="1" applyProtection="1">
      <alignment horizontal="center" vertical="center"/>
      <protection locked="0"/>
    </xf>
    <xf numFmtId="166" fontId="0" fillId="0" borderId="0" xfId="1" applyNumberFormat="1" applyFont="1" applyAlignment="1" applyProtection="1">
      <alignment vertical="center"/>
      <protection locked="0"/>
    </xf>
    <xf numFmtId="0" fontId="0" fillId="0" borderId="0" xfId="0" applyAlignment="1" applyProtection="1">
      <alignment horizontal="center" vertical="center"/>
      <protection locked="0"/>
    </xf>
    <xf numFmtId="2" fontId="0" fillId="0" borderId="0" xfId="0" applyNumberFormat="1" applyAlignment="1" applyProtection="1">
      <alignment horizontal="center" vertical="center"/>
      <protection locked="0"/>
    </xf>
    <xf numFmtId="1" fontId="0" fillId="0" borderId="0" xfId="0" applyNumberFormat="1" applyAlignment="1" applyProtection="1">
      <alignment horizontal="center" vertical="center"/>
      <protection locked="0"/>
    </xf>
    <xf numFmtId="166" fontId="0" fillId="0" borderId="0" xfId="1" applyNumberFormat="1" applyFont="1" applyBorder="1" applyAlignment="1" applyProtection="1">
      <alignment vertical="center"/>
      <protection locked="0"/>
    </xf>
    <xf numFmtId="0" fontId="0" fillId="0" borderId="0" xfId="0" quotePrefix="1" applyAlignment="1" applyProtection="1">
      <alignment horizontal="center" vertical="center"/>
      <protection locked="0"/>
    </xf>
    <xf numFmtId="170" fontId="2" fillId="0" borderId="0" xfId="1" applyNumberFormat="1" applyFont="1" applyAlignment="1" applyProtection="1">
      <alignment horizontal="center" vertical="center" wrapText="1"/>
      <protection locked="0"/>
    </xf>
    <xf numFmtId="170" fontId="0" fillId="0" borderId="0" xfId="1" applyNumberFormat="1" applyFont="1" applyAlignment="1" applyProtection="1">
      <alignment horizontal="center" vertical="center"/>
      <protection locked="0"/>
    </xf>
    <xf numFmtId="43" fontId="2" fillId="0" borderId="0" xfId="1" applyFont="1" applyAlignment="1" applyProtection="1">
      <alignment horizontal="center" vertical="center" wrapText="1"/>
      <protection locked="0"/>
    </xf>
    <xf numFmtId="181" fontId="0" fillId="0" borderId="0" xfId="0" applyNumberFormat="1" applyAlignment="1" applyProtection="1">
      <alignment horizontal="center" vertical="center"/>
      <protection locked="0"/>
    </xf>
    <xf numFmtId="179" fontId="0" fillId="0" borderId="0" xfId="0" applyNumberFormat="1" applyAlignment="1" applyProtection="1">
      <alignment horizontal="center" vertical="center"/>
      <protection locked="0"/>
    </xf>
    <xf numFmtId="182" fontId="0" fillId="0" borderId="0" xfId="0" applyNumberFormat="1" applyAlignment="1" applyProtection="1">
      <alignment horizontal="center" vertical="center"/>
      <protection locked="0"/>
    </xf>
    <xf numFmtId="181" fontId="0" fillId="0" borderId="0" xfId="1" applyNumberFormat="1" applyFont="1" applyAlignment="1" applyProtection="1">
      <alignment horizontal="center" vertical="center"/>
      <protection locked="0"/>
    </xf>
    <xf numFmtId="181" fontId="0" fillId="0" borderId="0" xfId="1" applyNumberFormat="1" applyFont="1" applyAlignment="1" applyProtection="1">
      <alignment horizontal="right" vertical="center"/>
      <protection locked="0"/>
    </xf>
    <xf numFmtId="181" fontId="0" fillId="0" borderId="0" xfId="0" applyNumberFormat="1" applyAlignment="1" applyProtection="1">
      <alignment horizontal="right" vertical="center"/>
      <protection locked="0"/>
    </xf>
    <xf numFmtId="0" fontId="45" fillId="60" borderId="33" xfId="0" applyFont="1" applyFill="1" applyBorder="1" applyAlignment="1" applyProtection="1">
      <alignment horizontal="center"/>
      <protection locked="0"/>
    </xf>
    <xf numFmtId="0" fontId="45" fillId="60" borderId="34" xfId="0" applyFont="1" applyFill="1" applyBorder="1" applyAlignment="1" applyProtection="1">
      <alignment horizontal="center"/>
      <protection locked="0"/>
    </xf>
    <xf numFmtId="0" fontId="45" fillId="60" borderId="35" xfId="0" applyFont="1" applyFill="1" applyBorder="1" applyAlignment="1" applyProtection="1">
      <alignment horizontal="center"/>
      <protection locked="0"/>
    </xf>
    <xf numFmtId="181" fontId="46" fillId="54" borderId="19" xfId="0" applyNumberFormat="1" applyFont="1" applyFill="1" applyBorder="1" applyAlignment="1" applyProtection="1">
      <alignment horizontal="center"/>
      <protection locked="0"/>
    </xf>
    <xf numFmtId="181" fontId="46" fillId="54" borderId="0" xfId="0" applyNumberFormat="1" applyFont="1" applyFill="1" applyAlignment="1" applyProtection="1">
      <alignment horizontal="center"/>
      <protection locked="0"/>
    </xf>
    <xf numFmtId="181" fontId="46" fillId="54" borderId="37" xfId="0" applyNumberFormat="1" applyFont="1" applyFill="1" applyBorder="1" applyAlignment="1" applyProtection="1">
      <alignment horizontal="center"/>
      <protection locked="0"/>
    </xf>
    <xf numFmtId="0" fontId="123" fillId="56" borderId="0" xfId="0" applyFont="1" applyFill="1"/>
    <xf numFmtId="0" fontId="142" fillId="0" borderId="0" xfId="0" applyFont="1"/>
    <xf numFmtId="0" fontId="131" fillId="57" borderId="0" xfId="0" applyFont="1" applyFill="1" applyAlignment="1">
      <alignment wrapText="1"/>
    </xf>
    <xf numFmtId="0" fontId="123" fillId="69" borderId="0" xfId="0" applyFont="1" applyFill="1" applyAlignment="1">
      <alignment vertical="center"/>
    </xf>
    <xf numFmtId="0" fontId="142" fillId="0" borderId="0" xfId="0" applyFont="1" applyAlignment="1">
      <alignment vertical="center"/>
    </xf>
    <xf numFmtId="0" fontId="0" fillId="71" borderId="0" xfId="0" applyFill="1" applyAlignment="1">
      <alignment vertical="center" wrapText="1"/>
    </xf>
    <xf numFmtId="0" fontId="0" fillId="0" borderId="0" xfId="0" applyAlignment="1">
      <alignment horizontal="left" vertical="center"/>
    </xf>
    <xf numFmtId="0" fontId="11" fillId="6" borderId="12" xfId="4" applyFont="1" applyFill="1" applyBorder="1" applyAlignment="1">
      <alignment horizontal="center" vertical="center" readingOrder="1"/>
    </xf>
    <xf numFmtId="0" fontId="11" fillId="6" borderId="0" xfId="4" applyFont="1" applyFill="1" applyAlignment="1">
      <alignment horizontal="center" vertical="center" readingOrder="1"/>
    </xf>
    <xf numFmtId="0" fontId="11" fillId="6" borderId="25" xfId="4" applyFont="1" applyFill="1" applyBorder="1" applyAlignment="1">
      <alignment horizontal="center" vertical="center" readingOrder="1"/>
    </xf>
    <xf numFmtId="0" fontId="11" fillId="6" borderId="28" xfId="4" applyFont="1" applyFill="1" applyBorder="1" applyAlignment="1">
      <alignment horizontal="center" vertical="center" readingOrder="1"/>
    </xf>
    <xf numFmtId="0" fontId="113" fillId="81" borderId="0" xfId="4" applyFont="1" applyFill="1" applyAlignment="1">
      <alignment horizontal="center" vertical="center" wrapText="1" readingOrder="1"/>
    </xf>
    <xf numFmtId="0" fontId="115" fillId="54" borderId="124" xfId="0" applyFont="1" applyFill="1" applyBorder="1" applyAlignment="1">
      <alignment horizontal="right" vertical="center" wrapText="1"/>
    </xf>
    <xf numFmtId="0" fontId="115" fillId="54" borderId="125" xfId="0" applyFont="1" applyFill="1" applyBorder="1" applyAlignment="1">
      <alignment horizontal="right" vertical="center" wrapText="1"/>
    </xf>
    <xf numFmtId="0" fontId="115" fillId="54" borderId="126" xfId="0" applyFont="1" applyFill="1" applyBorder="1" applyAlignment="1">
      <alignment horizontal="right" vertical="center" wrapText="1"/>
    </xf>
    <xf numFmtId="0" fontId="123" fillId="88" borderId="0" xfId="0" applyFont="1" applyFill="1" applyAlignment="1">
      <alignment horizontal="center"/>
    </xf>
    <xf numFmtId="0" fontId="134" fillId="0" borderId="0" xfId="0" applyFont="1" applyAlignment="1">
      <alignment horizontal="center"/>
    </xf>
    <xf numFmtId="0" fontId="10" fillId="6" borderId="0" xfId="0" applyFont="1" applyFill="1"/>
    <xf numFmtId="0" fontId="136" fillId="88" borderId="0" xfId="0" applyFont="1" applyFill="1"/>
    <xf numFmtId="0" fontId="137" fillId="0" borderId="0" xfId="0" applyFont="1" applyAlignment="1">
      <alignment wrapText="1"/>
    </xf>
    <xf numFmtId="0" fontId="4" fillId="70" borderId="2" xfId="9" applyFont="1" applyFill="1" applyBorder="1" applyAlignment="1">
      <alignment horizontal="center" vertical="center"/>
    </xf>
    <xf numFmtId="0" fontId="1" fillId="16" borderId="2" xfId="9" applyBorder="1" applyAlignment="1">
      <alignment horizontal="center" vertical="center"/>
    </xf>
    <xf numFmtId="0" fontId="1" fillId="27" borderId="2" xfId="18" applyBorder="1" applyAlignment="1">
      <alignment horizontal="center" vertical="center"/>
    </xf>
    <xf numFmtId="0" fontId="16" fillId="30" borderId="27" xfId="0" applyFont="1" applyFill="1" applyBorder="1" applyAlignment="1">
      <alignment horizontal="center" vertical="center"/>
    </xf>
    <xf numFmtId="0" fontId="8" fillId="0" borderId="0" xfId="0" applyFont="1"/>
    <xf numFmtId="0" fontId="47" fillId="0" borderId="0" xfId="0" applyFont="1" applyAlignment="1">
      <alignment horizontal="center"/>
    </xf>
    <xf numFmtId="0" fontId="48" fillId="0" borderId="0" xfId="0" applyFont="1" applyAlignment="1">
      <alignment horizontal="center"/>
    </xf>
    <xf numFmtId="0" fontId="49" fillId="7" borderId="0" xfId="0" applyFont="1" applyFill="1"/>
    <xf numFmtId="0" fontId="52" fillId="6" borderId="0" xfId="0" applyFont="1" applyFill="1"/>
    <xf numFmtId="0" fontId="52" fillId="17" borderId="0" xfId="0" applyFont="1" applyFill="1" applyAlignment="1">
      <alignment horizontal="center"/>
    </xf>
    <xf numFmtId="0" fontId="52" fillId="61" borderId="0" xfId="0" applyFont="1" applyFill="1"/>
    <xf numFmtId="0" fontId="52" fillId="56" borderId="0" xfId="0" applyFont="1" applyFill="1"/>
    <xf numFmtId="0" fontId="54" fillId="0" borderId="0" xfId="0" applyFont="1"/>
    <xf numFmtId="0" fontId="52" fillId="10" borderId="0" xfId="0" applyFont="1" applyFill="1"/>
    <xf numFmtId="0" fontId="52" fillId="22" borderId="0" xfId="0" applyFont="1" applyFill="1"/>
    <xf numFmtId="0" fontId="55" fillId="60" borderId="0" xfId="0" applyFont="1" applyFill="1"/>
    <xf numFmtId="0" fontId="56" fillId="0" borderId="0" xfId="0" applyFont="1"/>
    <xf numFmtId="0" fontId="55" fillId="64" borderId="0" xfId="0" applyFont="1" applyFill="1"/>
    <xf numFmtId="0" fontId="52" fillId="65" borderId="0" xfId="0" applyFont="1" applyFill="1"/>
    <xf numFmtId="0" fontId="52" fillId="66" borderId="0" xfId="0" applyFont="1" applyFill="1"/>
    <xf numFmtId="0" fontId="53" fillId="0" borderId="0" xfId="0" applyFont="1"/>
    <xf numFmtId="0" fontId="43" fillId="4" borderId="178" xfId="0" applyFont="1" applyFill="1" applyBorder="1" applyAlignment="1">
      <alignment horizontal="center" vertical="center"/>
    </xf>
    <xf numFmtId="0" fontId="43" fillId="4" borderId="179" xfId="0" applyFont="1" applyFill="1" applyBorder="1" applyAlignment="1">
      <alignment horizontal="center" vertical="center"/>
    </xf>
    <xf numFmtId="0" fontId="79" fillId="54" borderId="103" xfId="0" applyFont="1" applyFill="1" applyBorder="1" applyAlignment="1"/>
    <xf numFmtId="181" fontId="46" fillId="54" borderId="0" xfId="0" applyNumberFormat="1" applyFont="1" applyFill="1" applyBorder="1" applyAlignment="1">
      <alignment horizontal="center"/>
    </xf>
    <xf numFmtId="185" fontId="0" fillId="0" borderId="0" xfId="0" applyNumberFormat="1" applyBorder="1"/>
    <xf numFmtId="181" fontId="0" fillId="0" borderId="0" xfId="0" applyNumberFormat="1" applyBorder="1"/>
    <xf numFmtId="209" fontId="4" fillId="54" borderId="0" xfId="0" applyNumberFormat="1" applyFont="1" applyFill="1" applyBorder="1"/>
    <xf numFmtId="180" fontId="4" fillId="54" borderId="0" xfId="0" applyNumberFormat="1" applyFont="1" applyFill="1" applyBorder="1"/>
    <xf numFmtId="181" fontId="4" fillId="54" borderId="0" xfId="0" applyNumberFormat="1" applyFont="1" applyFill="1" applyBorder="1"/>
    <xf numFmtId="3" fontId="76" fillId="74" borderId="0" xfId="0" applyNumberFormat="1" applyFont="1" applyFill="1" applyBorder="1" applyAlignment="1">
      <alignment horizontal="center"/>
    </xf>
    <xf numFmtId="0" fontId="44" fillId="84" borderId="19" xfId="0" applyFont="1" applyFill="1" applyBorder="1"/>
    <xf numFmtId="3" fontId="0" fillId="0" borderId="0" xfId="0" applyNumberFormat="1" applyBorder="1"/>
    <xf numFmtId="0" fontId="80" fillId="0" borderId="37" xfId="0" applyFont="1" applyBorder="1"/>
    <xf numFmtId="3" fontId="44" fillId="84" borderId="0" xfId="0" applyNumberFormat="1" applyFont="1" applyFill="1" applyBorder="1"/>
    <xf numFmtId="0" fontId="44" fillId="84" borderId="37" xfId="0" applyFont="1" applyFill="1" applyBorder="1"/>
    <xf numFmtId="164" fontId="44" fillId="84" borderId="0" xfId="1" applyNumberFormat="1" applyFont="1" applyFill="1" applyBorder="1"/>
    <xf numFmtId="185" fontId="44" fillId="84" borderId="0" xfId="0" applyNumberFormat="1" applyFont="1" applyFill="1" applyBorder="1"/>
    <xf numFmtId="173" fontId="44" fillId="84" borderId="19" xfId="0" applyNumberFormat="1" applyFont="1" applyFill="1" applyBorder="1"/>
    <xf numFmtId="0" fontId="132" fillId="71" borderId="180" xfId="0" applyFont="1" applyFill="1" applyBorder="1" applyAlignment="1">
      <alignment wrapText="1"/>
    </xf>
    <xf numFmtId="220" fontId="37" fillId="87" borderId="66" xfId="0" applyNumberFormat="1" applyFont="1" applyFill="1" applyBorder="1" applyAlignment="1">
      <alignment wrapText="1"/>
    </xf>
    <xf numFmtId="0" fontId="118" fillId="85" borderId="175" xfId="0" applyFont="1" applyFill="1" applyBorder="1" applyAlignment="1">
      <alignment wrapText="1"/>
    </xf>
    <xf numFmtId="181" fontId="30" fillId="70" borderId="176" xfId="0" applyNumberFormat="1" applyFont="1" applyFill="1" applyBorder="1"/>
    <xf numFmtId="0" fontId="119" fillId="70" borderId="177" xfId="0" applyFont="1" applyFill="1" applyBorder="1"/>
    <xf numFmtId="164" fontId="44" fillId="84" borderId="0" xfId="0" applyNumberFormat="1" applyFont="1" applyFill="1" applyBorder="1"/>
    <xf numFmtId="0" fontId="132" fillId="71" borderId="19" xfId="0" applyFont="1" applyFill="1" applyBorder="1" applyAlignment="1">
      <alignment wrapText="1"/>
    </xf>
    <xf numFmtId="219" fontId="37" fillId="87" borderId="0" xfId="0" applyNumberFormat="1" applyFont="1" applyFill="1" applyBorder="1" applyAlignment="1">
      <alignment wrapText="1"/>
    </xf>
    <xf numFmtId="220" fontId="37" fillId="87" borderId="37" xfId="0" applyNumberFormat="1" applyFont="1" applyFill="1" applyBorder="1" applyAlignment="1">
      <alignment wrapText="1"/>
    </xf>
    <xf numFmtId="0" fontId="66" fillId="69" borderId="33" xfId="0" applyFont="1" applyFill="1" applyBorder="1" applyAlignment="1">
      <alignment horizontal="center" vertical="center"/>
    </xf>
    <xf numFmtId="0" fontId="25" fillId="48" borderId="102" xfId="0" applyNumberFormat="1" applyFont="1" applyFill="1" applyBorder="1" applyAlignment="1">
      <alignment horizontal="center"/>
    </xf>
    <xf numFmtId="0" fontId="126" fillId="54" borderId="102" xfId="0" applyNumberFormat="1" applyFont="1" applyFill="1" applyBorder="1" applyAlignment="1">
      <alignment horizontal="center"/>
    </xf>
    <xf numFmtId="3" fontId="79" fillId="54" borderId="104" xfId="0" applyNumberFormat="1" applyFont="1" applyFill="1" applyBorder="1" applyAlignment="1">
      <alignment horizontal="center"/>
    </xf>
    <xf numFmtId="0" fontId="118" fillId="12" borderId="175" xfId="0" applyFont="1" applyFill="1" applyBorder="1" applyAlignment="1"/>
    <xf numFmtId="1" fontId="25" fillId="48" borderId="102" xfId="0" applyNumberFormat="1" applyFont="1" applyFill="1" applyBorder="1" applyAlignment="1">
      <alignment horizontal="center"/>
    </xf>
    <xf numFmtId="181" fontId="30" fillId="12" borderId="181" xfId="0" applyNumberFormat="1" applyFont="1" applyFill="1" applyBorder="1"/>
    <xf numFmtId="0" fontId="120" fillId="12" borderId="17" xfId="0" applyNumberFormat="1" applyFont="1" applyFill="1" applyBorder="1" applyAlignment="1">
      <alignment horizontal="right"/>
    </xf>
  </cellXfs>
  <cellStyles count="21">
    <cellStyle name="20% - Accent1" xfId="14" builtinId="30"/>
    <cellStyle name="20% - Accent3" xfId="16" builtinId="38"/>
    <cellStyle name="40% - Accent1" xfId="15" builtinId="31"/>
    <cellStyle name="40% - Accent3" xfId="17" builtinId="39"/>
    <cellStyle name="60% - Accent1" xfId="9" builtinId="32"/>
    <cellStyle name="60% - Accent3" xfId="18" builtinId="40"/>
    <cellStyle name="Accent6" xfId="6" builtinId="49"/>
    <cellStyle name="Bad" xfId="8" builtinId="27"/>
    <cellStyle name="Comma" xfId="1" builtinId="3"/>
    <cellStyle name="Comma 2" xfId="10" xr:uid="{03AF8C35-7EF7-478C-9276-086743AD314C}"/>
    <cellStyle name="Comma 3" xfId="12" xr:uid="{DFA7BDD4-9396-4C45-84FA-BBF95E4F4A5F}"/>
    <cellStyle name="Comma 4" xfId="19" xr:uid="{812A5944-475A-4173-AE55-DCE7DFC4C5AF}"/>
    <cellStyle name="Currency" xfId="20" builtinId="4"/>
    <cellStyle name="Currency 2" xfId="13" xr:uid="{D9C63C98-7444-4ED1-A0DE-3DD722149160}"/>
    <cellStyle name="Explanatory Text" xfId="3" builtinId="53"/>
    <cellStyle name="Good" xfId="7" builtinId="26"/>
    <cellStyle name="Normal" xfId="0" builtinId="0"/>
    <cellStyle name="Normal 2 2" xfId="5" xr:uid="{B064525E-B53A-43D0-ACFC-17DE8B90D981}"/>
    <cellStyle name="Normal 2 3" xfId="11" xr:uid="{175CE8AE-AF7F-4D5A-86C0-22037EE17D3F}"/>
    <cellStyle name="Normal 4" xfId="4" xr:uid="{491E8847-2F35-4D92-A270-399E7ED73163}"/>
    <cellStyle name="Percent" xfId="2" builtinId="5"/>
  </cellStyles>
  <dxfs count="371">
    <dxf>
      <font>
        <color rgb="FF9C0006"/>
      </font>
      <fill>
        <patternFill>
          <bgColor rgb="FFFFC7CE"/>
        </patternFill>
      </fill>
    </dxf>
    <dxf>
      <fill>
        <patternFill patternType="solid">
          <fgColor indexed="64"/>
          <bgColor rgb="FFF4CCCC"/>
        </patternFill>
      </fill>
    </dxf>
    <dxf>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1F4E78"/>
      </font>
      <fill>
        <patternFill patternType="solid">
          <fgColor indexed="64"/>
          <bgColor rgb="FFDDEBF7"/>
        </patternFill>
      </fill>
    </dxf>
    <dxf>
      <font>
        <b/>
        <i val="0"/>
        <color rgb="FF9C5700"/>
      </font>
      <fill>
        <patternFill patternType="solid">
          <fgColor indexed="64"/>
          <bgColor rgb="FFFFF2CC"/>
        </patternFill>
      </fill>
    </dxf>
    <dxf>
      <fill>
        <patternFill patternType="solid">
          <fgColor indexed="64"/>
          <bgColor rgb="FFD3D3D3"/>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b/>
        <i val="0"/>
        <color rgb="FF006100"/>
      </font>
      <fill>
        <patternFill patternType="solid">
          <fgColor indexed="64"/>
          <bgColor rgb="FFE2F0D9"/>
        </patternFill>
      </fill>
    </dxf>
    <dxf>
      <font>
        <b/>
        <i val="0"/>
        <color rgb="FF9C0006"/>
      </font>
      <fill>
        <patternFill patternType="solid">
          <fgColor indexed="64"/>
          <bgColor rgb="FFF4CCCC"/>
        </patternFill>
      </fill>
    </dxf>
    <dxf>
      <font>
        <color rgb="FF9C0006"/>
      </font>
      <fill>
        <patternFill patternType="solid">
          <fgColor indexed="64"/>
          <bgColor rgb="FFFFC7CE"/>
        </patternFill>
      </fill>
    </dxf>
    <dxf>
      <font>
        <b/>
        <i val="0"/>
        <color rgb="FF006100"/>
      </font>
      <fill>
        <patternFill patternType="solid">
          <fgColor indexed="64"/>
          <bgColor rgb="FFE2F0D9"/>
        </patternFill>
      </fill>
    </dxf>
    <dxf>
      <font>
        <b/>
        <i val="0"/>
        <color rgb="FF9C0006"/>
      </font>
      <fill>
        <patternFill patternType="solid">
          <fgColor indexed="64"/>
          <bgColor rgb="FFF4CCCC"/>
        </patternFill>
      </fill>
    </dxf>
    <dxf>
      <font>
        <color rgb="FF9C0006"/>
      </font>
      <fill>
        <patternFill patternType="solid">
          <fgColor indexed="64"/>
          <bgColor rgb="FFFFC7CE"/>
        </patternFill>
      </fill>
    </dxf>
    <dxf>
      <font>
        <b/>
        <i val="0"/>
        <color rgb="FF006100"/>
      </font>
      <fill>
        <patternFill patternType="solid">
          <fgColor indexed="64"/>
          <bgColor rgb="FFE2F0D9"/>
        </patternFill>
      </fill>
    </dxf>
    <dxf>
      <font>
        <b/>
        <i val="0"/>
        <color rgb="FF9C0006"/>
      </font>
      <fill>
        <patternFill patternType="solid">
          <fgColor indexed="64"/>
          <bgColor rgb="FFF4CCCC"/>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ill>
        <patternFill patternType="solid">
          <fgColor indexed="64"/>
          <bgColor rgb="FFD3D3D3"/>
        </patternFill>
      </fill>
    </dxf>
    <dxf>
      <font>
        <color rgb="FF9C0006"/>
      </font>
      <fill>
        <patternFill>
          <bgColor rgb="FFFFC7CE"/>
        </patternFill>
      </fill>
    </dxf>
    <dxf>
      <font>
        <color rgb="FF9C0006"/>
      </font>
      <fill>
        <patternFill>
          <bgColor rgb="FFFFC7CE"/>
        </patternFill>
      </fill>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C6EFCE"/>
        </patternFill>
      </fill>
    </dxf>
    <dxf>
      <font>
        <color rgb="FF9C0006"/>
      </font>
      <fill>
        <patternFill>
          <bgColor rgb="FFFFC7CE"/>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ill>
        <patternFill patternType="solid">
          <fgColor indexed="64"/>
          <bgColor rgb="FFD3D3D3"/>
        </patternFill>
      </fill>
    </dxf>
    <dxf>
      <numFmt numFmtId="164" formatCode="0.0%"/>
    </dxf>
    <dxf>
      <numFmt numFmtId="164" formatCode="0.0%"/>
    </dxf>
    <dxf>
      <numFmt numFmtId="164" formatCode="0.0%"/>
      <alignment horizontal="left"/>
    </dxf>
    <dxf>
      <numFmt numFmtId="164" formatCode="0.0%"/>
      <alignment horizontal="right"/>
    </dxf>
    <dxf>
      <alignment horizontal="left"/>
    </dxf>
    <dxf>
      <alignment horizontal="left"/>
    </dxf>
    <dxf>
      <alignment horizontal="left"/>
    </dxf>
    <dxf>
      <alignment horizontal="left"/>
    </dxf>
    <dxf>
      <alignment horizontal="left"/>
    </dxf>
    <dxf>
      <font>
        <b/>
        <color rgb="FFFFFFFF"/>
      </font>
      <fill>
        <patternFill patternType="solid">
          <fgColor indexed="64"/>
          <bgColor rgb="FF5B9BD5"/>
        </patternFill>
      </fill>
      <alignment horizontal="center"/>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b/>
        <color rgb="FFFFFFFF"/>
        <name val="Aptos"/>
      </font>
      <fill>
        <patternFill patternType="solid">
          <fgColor indexed="64"/>
          <bgColor rgb="FF1F4E78"/>
        </patternFill>
      </fill>
      <alignment horizontal="left" vertical="bottom" textRotation="0" wrapText="1" indent="0" justifyLastLine="0" shrinkToFit="0" readingOrder="0"/>
    </dxf>
    <dxf>
      <numFmt numFmtId="0" formatCode="General"/>
    </dxf>
    <dxf>
      <numFmt numFmtId="0" formatCode="General"/>
    </dxf>
    <dxf>
      <numFmt numFmtId="0" formatCode="General"/>
    </dxf>
    <dxf>
      <alignment wrapText="1"/>
    </dxf>
    <dxf>
      <numFmt numFmtId="3" formatCode="#,##0"/>
    </dxf>
    <dxf>
      <numFmt numFmtId="3" formatCode="#,##0"/>
    </dxf>
    <dxf>
      <numFmt numFmtId="3" formatCode="#,##0"/>
    </dxf>
    <dxf>
      <numFmt numFmtId="181" formatCode="\€\ #,##0.00"/>
    </dxf>
    <dxf>
      <alignment wrapText="1"/>
    </dxf>
    <dxf>
      <numFmt numFmtId="181" formatCode="\€\ #,##0.00"/>
    </dxf>
    <dxf>
      <numFmt numFmtId="181" formatCode="\€\ #,##0.00"/>
    </dxf>
    <dxf>
      <numFmt numFmtId="181" formatCode="\€\ #,##0.00"/>
    </dxf>
    <dxf>
      <font>
        <b/>
        <color rgb="FFFFFFFF"/>
      </font>
      <fill>
        <patternFill patternType="solid">
          <fgColor indexed="64"/>
          <bgColor rgb="FF1F4E78"/>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border outline="0">
        <top style="thin">
          <color indexed="64"/>
        </top>
      </border>
    </dxf>
    <dxf>
      <fill>
        <patternFill patternType="solid">
          <fgColor indexed="64"/>
          <bgColor rgb="FFE9EEF4"/>
        </patternFill>
      </fill>
    </dxf>
    <dxf>
      <border outline="0">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indexed="64"/>
          <bgColor rgb="FF2E75B6"/>
        </patternFill>
      </fill>
      <alignment horizontal="center" vertical="center" textRotation="0" wrapText="0" indent="0" justifyLastLine="0" shrinkToFit="0" readingOrder="1"/>
      <border diagonalUp="0" diagonalDown="0" outline="0">
        <left style="thin">
          <color indexed="64"/>
        </left>
        <right style="thin">
          <color indexed="64"/>
        </right>
        <top/>
        <bottom/>
      </bord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0" formatCode="General"/>
      <alignment vertical="center" wrapText="1"/>
    </dxf>
    <dxf>
      <numFmt numFmtId="0" formatCode="General"/>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223" formatCode="\€#,##0.000"/>
      <alignment vertical="center"/>
    </dxf>
    <dxf>
      <numFmt numFmtId="4" formatCode="#,##0.00"/>
      <alignment vertical="center"/>
    </dxf>
    <dxf>
      <numFmt numFmtId="4" formatCode="#,##0.00"/>
      <alignment vertical="center"/>
    </dxf>
    <dxf>
      <numFmt numFmtId="177" formatCode="&quot;$&quot;#,##0.00"/>
      <alignment vertical="center"/>
    </dxf>
    <dxf>
      <numFmt numFmtId="168" formatCode="\€#,##0.00"/>
      <alignment vertical="center"/>
    </dxf>
    <dxf>
      <numFmt numFmtId="224" formatCode="&quot;$&quot;#,##0.000"/>
      <alignment vertical="center"/>
    </dxf>
    <dxf>
      <numFmt numFmtId="224" formatCode="&quot;$&quot;#,##0.000"/>
      <alignment vertical="center"/>
    </dxf>
    <dxf>
      <numFmt numFmtId="224" formatCode="&quot;$&quot;#,##0.000"/>
      <alignment vertical="center"/>
    </dxf>
    <dxf>
      <numFmt numFmtId="223" formatCode="\€#,##0.000"/>
      <alignment vertical="center"/>
    </dxf>
    <dxf>
      <numFmt numFmtId="223" formatCode="\€#,##0.000"/>
      <alignment vertical="center"/>
    </dxf>
    <dxf>
      <numFmt numFmtId="223" formatCode="\€#,##0.000"/>
      <alignment vertical="center"/>
    </dxf>
    <dxf>
      <numFmt numFmtId="224" formatCode="&quot;$&quot;#,##0.000"/>
      <alignment vertical="center"/>
    </dxf>
    <dxf>
      <numFmt numFmtId="223" formatCode="\€#,##0.000"/>
      <alignment vertical="center"/>
    </dxf>
    <dxf>
      <numFmt numFmtId="177" formatCode="&quot;$&quot;#,##0.00"/>
      <alignment vertical="center"/>
    </dxf>
    <dxf>
      <numFmt numFmtId="168" formatCode="\€#,##0.00"/>
      <alignment vertical="center"/>
    </dxf>
    <dxf>
      <numFmt numFmtId="4" formatCode="#,##0.00"/>
      <alignment vertical="center"/>
    </dxf>
    <dxf>
      <numFmt numFmtId="4" formatCode="#,##0.00"/>
      <alignment vertical="center"/>
    </dxf>
    <dxf>
      <alignment vertical="center"/>
    </dxf>
    <dxf>
      <alignment vertical="center"/>
    </dxf>
    <dxf>
      <numFmt numFmtId="1" formatCode="0"/>
      <alignment vertical="center"/>
    </dxf>
    <dxf>
      <numFmt numFmtId="30" formatCode="@"/>
      <alignment vertical="center"/>
    </dxf>
    <dxf>
      <alignment vertical="center"/>
    </dxf>
    <dxf>
      <numFmt numFmtId="4" formatCode="#,##0.00"/>
      <alignment vertical="center"/>
    </dxf>
    <dxf>
      <numFmt numFmtId="4" formatCode="#,##0.00"/>
      <alignment vertical="center"/>
    </dxf>
    <dxf>
      <numFmt numFmtId="4" formatCode="#,##0.00"/>
      <alignment vertical="center"/>
    </dxf>
    <dxf>
      <numFmt numFmtId="4" formatCode="#,##0.00"/>
      <alignment vertical="center"/>
    </dxf>
    <dxf>
      <alignment vertical="center"/>
    </dxf>
    <dxf>
      <numFmt numFmtId="1" formatCode="0"/>
      <alignment vertical="center"/>
    </dxf>
    <dxf>
      <numFmt numFmtId="1" formatCode="0"/>
      <alignment vertical="center"/>
    </dxf>
    <dxf>
      <alignment vertical="center" wrapText="1"/>
    </dxf>
    <dxf>
      <alignment vertical="center"/>
    </dxf>
    <dxf>
      <alignment vertical="center"/>
    </dxf>
    <dxf>
      <alignment vertical="center"/>
    </dxf>
    <dxf>
      <alignment vertical="center"/>
    </dxf>
    <dxf>
      <alignment wrapText="1"/>
    </dxf>
    <dxf>
      <numFmt numFmtId="168" formatCode="\€#,##0.00"/>
    </dxf>
    <dxf>
      <numFmt numFmtId="215" formatCode="\€0.0000"/>
    </dxf>
    <dxf>
      <numFmt numFmtId="215" formatCode="\€0.0000"/>
    </dxf>
    <dxf>
      <numFmt numFmtId="215" formatCode="\€0.0000"/>
    </dxf>
    <dxf>
      <numFmt numFmtId="215" formatCode="\€0.0000"/>
    </dxf>
    <dxf>
      <numFmt numFmtId="215" formatCode="\€0.0000"/>
    </dxf>
    <dxf>
      <numFmt numFmtId="177" formatCode="&quot;$&quot;#,##0.00"/>
    </dxf>
    <dxf>
      <numFmt numFmtId="168" formatCode="\€#,##0.00"/>
    </dxf>
    <dxf>
      <numFmt numFmtId="216" formatCode="&quot;$&quot;0.0000"/>
    </dxf>
    <dxf>
      <numFmt numFmtId="215" formatCode="\€0.0000"/>
    </dxf>
    <dxf>
      <alignment wrapText="1"/>
    </dxf>
    <dxf>
      <numFmt numFmtId="3" formatCode="#,##0"/>
    </dxf>
    <dxf>
      <numFmt numFmtId="223" formatCode="\€#,##0.000"/>
    </dxf>
    <dxf>
      <numFmt numFmtId="223" formatCode="\€#,##0.000"/>
    </dxf>
    <dxf>
      <numFmt numFmtId="224" formatCode="&quot;$&quot;#,##0.000"/>
    </dxf>
    <dxf>
      <numFmt numFmtId="223" formatCode="\€#,##0.000"/>
    </dxf>
    <dxf>
      <numFmt numFmtId="177" formatCode="&quot;$&quot;#,##0.00"/>
    </dxf>
    <dxf>
      <numFmt numFmtId="168"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font>
        <strike val="0"/>
        <outline val="0"/>
        <shadow val="0"/>
        <u val="none"/>
        <vertAlign val="baseline"/>
        <sz val="11"/>
        <color rgb="FF000000"/>
        <name val="Aptos Narrow"/>
        <family val="2"/>
        <scheme val="minor"/>
      </font>
      <numFmt numFmtId="181" formatCode="\€\ #,##0.00"/>
      <fill>
        <patternFill patternType="solid">
          <fgColor indexed="64"/>
          <bgColor rgb="FFFFFFFF"/>
        </patternFill>
      </fill>
      <alignment horizontal="center" vertical="cent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1" formatCode="\€\ #,##0.00"/>
      <fill>
        <patternFill patternType="solid">
          <fgColor indexed="64"/>
          <bgColor rgb="FFE2F0D9"/>
        </patternFill>
      </fill>
      <alignment horizontal="center" vertical="center"/>
      <border diagonalUp="0" diagonalDown="0">
        <left style="thin">
          <color rgb="FFBFBFBF"/>
        </left>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1"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D6DCE5"/>
        </patternFill>
      </fill>
    </dxf>
    <dxf>
      <font>
        <b/>
        <strike val="0"/>
        <outline val="0"/>
        <shadow val="0"/>
        <u val="none"/>
        <vertAlign val="baseline"/>
        <sz val="11"/>
        <color rgb="FF000000"/>
        <name val="Aptos Narrow"/>
        <family val="2"/>
        <scheme val="minor"/>
      </font>
      <numFmt numFmtId="181"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D6DCE5"/>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numFmt numFmtId="167" formatCode="_([$€-2]\ * #,##0.00_);_([$€-2]\ * \(#,##0.00\);_([$€-2]\ * &quot;-&quot;??_);_(@_)"/>
      <fill>
        <patternFill patternType="solid">
          <fgColor indexed="64"/>
          <bgColor rgb="FFD6DCE5"/>
        </patternFill>
      </fill>
    </dxf>
    <dxf>
      <font>
        <color rgb="FF000000"/>
      </font>
      <numFmt numFmtId="0" formatCode="General"/>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rgb="FF000000"/>
        <name val="Aptos Narrow"/>
        <family val="2"/>
        <scheme val="minor"/>
      </font>
      <numFmt numFmtId="164" formatCode="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rgb="FFFFFFFF"/>
        <name val="Aptos Narrow"/>
        <family val="2"/>
        <scheme val="minor"/>
      </font>
      <numFmt numFmtId="229" formatCode="#,##0.0000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207" formatCode="0.00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2" formatCode="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66" formatCode="_(* #,##0_);_(* \(#,##0\);_(* &quot;-&quot;??_);_(@_)"/>
      <fill>
        <patternFill patternType="solid">
          <fgColor indexed="64"/>
          <bgColor rgb="FFEAF2F8"/>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diagonalUp="0" diagonalDown="0">
        <left style="thin">
          <color rgb="FF7F7F7F"/>
        </left>
        <right style="thin">
          <color rgb="FF7F7F7F"/>
        </right>
        <top style="thin">
          <color rgb="FF7F7F7F"/>
        </top>
        <bottom style="thin">
          <color rgb="FF7F7F7F"/>
        </bottom>
      </border>
    </dxf>
    <dxf>
      <font>
        <strike val="0"/>
        <outline val="0"/>
        <shadow val="0"/>
        <u val="none"/>
        <vertAlign val="baseline"/>
        <sz val="11"/>
        <color rgb="FF000000"/>
        <name val="Aptos Narrow"/>
        <family val="2"/>
        <scheme val="minor"/>
      </font>
      <fill>
        <patternFill patternType="solid">
          <fgColor indexed="64"/>
          <bgColor rgb="FFFFFFFF"/>
        </patternFill>
      </fill>
      <alignment horizontal="center" vertical="center"/>
    </dxf>
    <dxf>
      <border>
        <bottom style="thin">
          <color rgb="FFBFBFBF"/>
        </bottom>
      </border>
    </dxf>
    <dxf>
      <font>
        <b/>
        <i val="0"/>
        <strike val="0"/>
        <condense val="0"/>
        <extend val="0"/>
        <outline val="0"/>
        <shadow val="0"/>
        <u val="none"/>
        <vertAlign val="baseline"/>
        <sz val="11"/>
        <color rgb="FFFFFFFF"/>
        <name val="Aptos Narrow"/>
        <family val="2"/>
        <scheme val="minor"/>
      </font>
      <numFmt numFmtId="35" formatCode="_(* #,##0.00_);_(* \(#,##0.00\);_(* &quot;-&quot;??_);_(@_)"/>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vertical style="thin">
          <color rgb="FFBFBFBF"/>
        </vertical>
        <horizontal style="thin">
          <color rgb="FFBFBFBF"/>
        </horizontal>
      </border>
    </dxf>
    <dxf>
      <font>
        <strike val="0"/>
        <outline val="0"/>
        <shadow val="0"/>
        <u val="none"/>
        <vertAlign val="baseline"/>
        <sz val="11"/>
        <color rgb="FF000000"/>
        <name val="Aptos Narrow"/>
        <family val="2"/>
        <scheme val="minor"/>
      </font>
      <numFmt numFmtId="181" formatCode="\€\ #,##0.00"/>
      <fill>
        <patternFill patternType="solid">
          <fgColor indexed="64"/>
          <bgColor rgb="FFFFFFFF"/>
        </patternFill>
      </fill>
      <alignment horizontal="center" vertical="cent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1" formatCode="\€\ #,##0.00"/>
      <fill>
        <patternFill patternType="solid">
          <fgColor indexed="64"/>
          <bgColor rgb="FFE2F0D9"/>
        </patternFill>
      </fill>
      <alignment horizontal="center" vertical="center"/>
      <border diagonalUp="0" diagonalDown="0">
        <left style="thin">
          <color rgb="FFBFBFBF"/>
        </left>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1"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D6DCE5"/>
        </patternFill>
      </fill>
    </dxf>
    <dxf>
      <font>
        <b/>
        <strike val="0"/>
        <outline val="0"/>
        <shadow val="0"/>
        <u val="none"/>
        <vertAlign val="baseline"/>
        <sz val="11"/>
        <color rgb="FF000000"/>
        <name val="Aptos Narrow"/>
        <family val="2"/>
        <scheme val="minor"/>
      </font>
      <numFmt numFmtId="181"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D6DCE5"/>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numFmt numFmtId="167" formatCode="_([$€-2]\ * #,##0.00_);_([$€-2]\ * \(#,##0.00\);_([$€-2]\ * &quot;-&quot;??_);_(@_)"/>
      <fill>
        <patternFill patternType="solid">
          <fgColor indexed="64"/>
          <bgColor rgb="FFD6DCE5"/>
        </patternFill>
      </fill>
    </dxf>
    <dxf>
      <font>
        <color rgb="FF000000"/>
      </font>
      <numFmt numFmtId="0" formatCode="General"/>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rgb="FF000000"/>
        <name val="Aptos Narrow"/>
        <family val="2"/>
        <scheme val="minor"/>
      </font>
      <numFmt numFmtId="164" formatCode="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trike val="0"/>
        <outline val="0"/>
        <shadow val="0"/>
        <u val="none"/>
        <vertAlign val="baseline"/>
        <sz val="11"/>
        <color rgb="FF000000"/>
        <name val="Aptos Narrow"/>
        <family val="2"/>
        <scheme val="minor"/>
      </font>
      <numFmt numFmtId="181"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rgb="FFFFFFFF"/>
        <name val="Aptos Narrow"/>
        <family val="2"/>
        <scheme val="minor"/>
      </font>
      <numFmt numFmtId="229" formatCode="#,##0.0000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207" formatCode="0.00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2" formatCode="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66" formatCode="_(* #,##0_);_(* \(#,##0\);_(* &quot;-&quot;??_);_(@_)"/>
      <fill>
        <patternFill patternType="solid">
          <fgColor indexed="64"/>
          <bgColor rgb="FFEAF2F8"/>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diagonalUp="0" diagonalDown="0">
        <left style="thin">
          <color rgb="FF7F7F7F"/>
        </left>
        <right style="thin">
          <color rgb="FF7F7F7F"/>
        </right>
        <top style="thin">
          <color rgb="FF7F7F7F"/>
        </top>
        <bottom style="thin">
          <color rgb="FF7F7F7F"/>
        </bottom>
      </border>
    </dxf>
    <dxf>
      <font>
        <strike val="0"/>
        <outline val="0"/>
        <shadow val="0"/>
        <u val="none"/>
        <vertAlign val="baseline"/>
        <sz val="11"/>
        <color rgb="FF000000"/>
        <name val="Aptos Narrow"/>
        <family val="2"/>
        <scheme val="minor"/>
      </font>
      <fill>
        <patternFill patternType="solid">
          <fgColor indexed="64"/>
          <bgColor rgb="FFFFFFFF"/>
        </patternFill>
      </fill>
      <alignment horizontal="center" vertical="center"/>
    </dxf>
    <dxf>
      <border>
        <bottom style="thin">
          <color rgb="FFBFBFBF"/>
        </bottom>
      </border>
    </dxf>
    <dxf>
      <font>
        <b/>
        <i val="0"/>
        <strike val="0"/>
        <condense val="0"/>
        <extend val="0"/>
        <outline val="0"/>
        <shadow val="0"/>
        <u val="none"/>
        <vertAlign val="baseline"/>
        <sz val="11"/>
        <color rgb="FFFFFFFF"/>
        <name val="Aptos Narrow"/>
        <family val="2"/>
        <scheme val="minor"/>
      </font>
      <numFmt numFmtId="35" formatCode="_(* #,##0.00_);_(* \(#,##0.00\);_(* &quot;-&quot;??_);_(@_)"/>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vertical style="thin">
          <color rgb="FFBFBFBF"/>
        </vertical>
        <horizontal style="thin">
          <color rgb="FFBFBFBF"/>
        </horizontal>
      </border>
    </dxf>
    <dxf>
      <alignment horizontal="left"/>
    </dxf>
    <dxf>
      <numFmt numFmtId="164" formatCode="0.0%"/>
      <alignment horizontal="right"/>
    </dxf>
    <dxf>
      <alignment horizontal="left"/>
    </dxf>
    <dxf>
      <alignment horizontal="left"/>
    </dxf>
    <dxf>
      <alignment horizontal="left"/>
    </dxf>
    <dxf>
      <alignment horizontal="left"/>
    </dxf>
    <dxf>
      <alignment horizontal="left"/>
    </dxf>
    <dxf>
      <font>
        <b/>
        <color rgb="FFFFFFFF"/>
      </font>
      <fill>
        <patternFill patternType="solid">
          <fgColor indexed="64"/>
          <bgColor rgb="FF5B9BD5"/>
        </patternFill>
      </fill>
      <alignment horizontal="cent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0.0%"/>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numFmt numFmtId="166" formatCode="_(* #,##0_);_(* \(#,##0\);_(* &quot;-&quot;??_);_(@_)"/>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numFmt numFmtId="166" formatCode="_(* #,##0_);_(* \(#,##0\);_(* &quot;-&quot;??_);_(@_)"/>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strike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dxf>
    <dxf>
      <border outline="0">
        <top style="thin">
          <color auto="1"/>
        </top>
      </border>
    </dxf>
    <dxf>
      <fill>
        <patternFill patternType="none">
          <fgColor indexed="64"/>
          <bgColor auto="1"/>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numFmt numFmtId="204" formatCode="[$$-409]#,##0.000"/>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numFmt numFmtId="185" formatCode="\€\ #,##0.000"/>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numFmt numFmtId="0" formatCode="General"/>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fill>
        <patternFill patternType="solid">
          <fgColor indexed="64"/>
          <bgColor rgb="FFD6E3F8"/>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92D05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numFmt numFmtId="0" formatCode="General"/>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2E75B6"/>
        </patternFill>
      </fill>
      <alignment horizontal="general" vertical="center" textRotation="0" wrapText="0" indent="0" justifyLastLine="0" shrinkToFit="0" readingOrder="0"/>
    </dxf>
    <dxf>
      <numFmt numFmtId="170" formatCode="_(* #,##0.000_);_(* \(#,##0.000\);_(* &quot;-&quot;??_);_(@_)"/>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560824</xdr:colOff>
      <xdr:row>1</xdr:row>
      <xdr:rowOff>57150</xdr:rowOff>
    </xdr:from>
    <xdr:to>
      <xdr:col>18</xdr:col>
      <xdr:colOff>1932424</xdr:colOff>
      <xdr:row>5</xdr:row>
      <xdr:rowOff>320675</xdr:rowOff>
    </xdr:to>
    <xdr:grpSp>
      <xdr:nvGrpSpPr>
        <xdr:cNvPr id="8" name="Group 7">
          <a:extLst>
            <a:ext uri="{FF2B5EF4-FFF2-40B4-BE49-F238E27FC236}">
              <a16:creationId xmlns:a16="http://schemas.microsoft.com/office/drawing/2014/main" id="{95BF626C-FCDC-6173-E9E9-9FB0F2A7C9A2}"/>
            </a:ext>
          </a:extLst>
        </xdr:cNvPr>
        <xdr:cNvGrpSpPr/>
      </xdr:nvGrpSpPr>
      <xdr:grpSpPr>
        <a:xfrm>
          <a:off x="19365895" y="438150"/>
          <a:ext cx="2786743" cy="2590346"/>
          <a:chOff x="18353524" y="361950"/>
          <a:chExt cx="2790825" cy="2587625"/>
        </a:xfrm>
      </xdr:grpSpPr>
      <xdr:pic>
        <xdr:nvPicPr>
          <xdr:cNvPr id="2" name="Picture 1">
            <a:extLst>
              <a:ext uri="{FF2B5EF4-FFF2-40B4-BE49-F238E27FC236}">
                <a16:creationId xmlns:a16="http://schemas.microsoft.com/office/drawing/2014/main" id="{A2EC3B90-8F0B-4DF1-AC62-FB755433D9F7}"/>
              </a:ext>
            </a:extLst>
          </xdr:cNvPr>
          <xdr:cNvPicPr>
            <a:picLocks noChangeAspect="1"/>
          </xdr:cNvPicPr>
        </xdr:nvPicPr>
        <xdr:blipFill>
          <a:blip xmlns:r="http://schemas.openxmlformats.org/officeDocument/2006/relationships" r:embed="rId1"/>
          <a:stretch>
            <a:fillRect/>
          </a:stretch>
        </xdr:blipFill>
        <xdr:spPr>
          <a:xfrm>
            <a:off x="18372574" y="3714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3" name="Picture 2">
            <a:extLst>
              <a:ext uri="{FF2B5EF4-FFF2-40B4-BE49-F238E27FC236}">
                <a16:creationId xmlns:a16="http://schemas.microsoft.com/office/drawing/2014/main" id="{D1B17265-0D58-4A4C-B9C0-73E2CB868615}"/>
              </a:ext>
            </a:extLst>
          </xdr:cNvPr>
          <xdr:cNvPicPr>
            <a:picLocks noChangeAspect="1"/>
          </xdr:cNvPicPr>
        </xdr:nvPicPr>
        <xdr:blipFill>
          <a:blip xmlns:r="http://schemas.openxmlformats.org/officeDocument/2006/relationships" r:embed="rId2"/>
          <a:stretch>
            <a:fillRect/>
          </a:stretch>
        </xdr:blipFill>
        <xdr:spPr>
          <a:xfrm>
            <a:off x="19325074" y="361950"/>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4" name="Picture 3">
            <a:extLst>
              <a:ext uri="{FF2B5EF4-FFF2-40B4-BE49-F238E27FC236}">
                <a16:creationId xmlns:a16="http://schemas.microsoft.com/office/drawing/2014/main" id="{4C709534-4DE3-497C-B586-533D23942403}"/>
              </a:ext>
            </a:extLst>
          </xdr:cNvPr>
          <xdr:cNvPicPr>
            <a:picLocks noChangeAspect="1"/>
          </xdr:cNvPicPr>
        </xdr:nvPicPr>
        <xdr:blipFill>
          <a:blip xmlns:r="http://schemas.openxmlformats.org/officeDocument/2006/relationships" r:embed="rId3"/>
          <a:stretch>
            <a:fillRect/>
          </a:stretch>
        </xdr:blipFill>
        <xdr:spPr>
          <a:xfrm>
            <a:off x="20382349" y="172402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6" name="Picture 5">
            <a:extLst>
              <a:ext uri="{FF2B5EF4-FFF2-40B4-BE49-F238E27FC236}">
                <a16:creationId xmlns:a16="http://schemas.microsoft.com/office/drawing/2014/main" id="{617C8B55-EABA-5CC8-BC82-0538AC15953D}"/>
              </a:ext>
            </a:extLst>
          </xdr:cNvPr>
          <xdr:cNvPicPr>
            <a:picLocks noChangeAspect="1"/>
          </xdr:cNvPicPr>
        </xdr:nvPicPr>
        <xdr:blipFill>
          <a:blip xmlns:r="http://schemas.openxmlformats.org/officeDocument/2006/relationships" r:embed="rId4"/>
          <a:stretch>
            <a:fillRect/>
          </a:stretch>
        </xdr:blipFill>
        <xdr:spPr>
          <a:xfrm>
            <a:off x="18353524" y="17430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7" name="Picture 6">
            <a:extLst>
              <a:ext uri="{FF2B5EF4-FFF2-40B4-BE49-F238E27FC236}">
                <a16:creationId xmlns:a16="http://schemas.microsoft.com/office/drawing/2014/main" id="{46AD12FF-06D6-6C44-4B92-8F906D987D65}"/>
              </a:ext>
            </a:extLst>
          </xdr:cNvPr>
          <xdr:cNvPicPr>
            <a:picLocks noChangeAspect="1"/>
          </xdr:cNvPicPr>
        </xdr:nvPicPr>
        <xdr:blipFill>
          <a:blip xmlns:r="http://schemas.openxmlformats.org/officeDocument/2006/relationships" r:embed="rId5"/>
          <a:stretch>
            <a:fillRect/>
          </a:stretch>
        </xdr:blipFill>
        <xdr:spPr>
          <a:xfrm>
            <a:off x="20344249" y="3714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rptipa-my.sharepoint.com/personal/michael_c_tipa-corp_com/Documents/Desktop/Study/2025%20Pricing%20calculator%20-%20Europe%20%20June%20draft_05.08.2026.xlsx" TargetMode="External"/><Relationship Id="rId1" Type="http://schemas.openxmlformats.org/officeDocument/2006/relationships/externalLinkPath" Target="2025%20Pricing%20calculator%20-%20Europe%20%20June%20draft_05.08.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rptipa.sharepoint.com/personal/guy_tipa-corp_com/Documents/Documents/WP-Macro%20-Test%20gf6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haharShani\AppData\Local\Microsoft\Windows\INetCache\Content.Outlook\0QYE2JO2\Films%20BOM%20simulato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Oren/Google%20Drive/Oren/Production/film%20construction%20tool%20-%2028.7.16.xlsx" TargetMode="External"/><Relationship Id="rId1" Type="http://schemas.openxmlformats.org/officeDocument/2006/relationships/externalLinkPath" Target="/Users/Oren/Google%20Drive/Oren/Production/film%20construction%20tool%20-%2028.7.1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shortcut-targets-by-id\0B5pGrJ7Xp-1_YmlKR1VBak03N0k\Finance\Internal\&#1514;&#1502;&#1495;&#1497;&#1512;\US%20Operation\Chat%20calculators\machine_hour_costs_pouches_USA_v2.xlsx" TargetMode="External"/><Relationship Id="rId1" Type="http://schemas.openxmlformats.org/officeDocument/2006/relationships/externalLinkPath" Target="file:///G:\.shortcut-targets-by-id\0B5pGrJ7Xp-1_YmlKR1VBak03N0k\Finance\Internal\&#1514;&#1502;&#1495;&#1497;&#1512;\US%20Operation\Chat%20calculators\machine_hour_costs_pouches_USA_v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shortcut-targets-by-id\0B5pGrJ7Xp-1_YmlKR1VBak03N0k\Finance\Internal\&#1514;&#1502;&#1495;&#1497;&#1512;\Price%20offer\Christian%20Kuipers\SURI\Updated%20Model_24.09.2026-%20428_720.xlsx" TargetMode="External"/><Relationship Id="rId1" Type="http://schemas.openxmlformats.org/officeDocument/2006/relationships/externalLinkPath" Target="file:///G:\.shortcut-targets-by-id\0B5pGrJ7Xp-1_YmlKR1VBak03N0k\Finance\Internal\&#1514;&#1502;&#1495;&#1497;&#1512;\Price%20offer\Christian%20Kuipers\SURI\Updated%20Model_24.09.2026-%20428_7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 val="2025 Pricing calculator - Europ"/>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F3">
            <v>1.1000000000000001</v>
          </cell>
        </row>
        <row r="10">
          <cell r="J10" t="str">
            <v>600-800</v>
          </cell>
          <cell r="K10" t="str">
            <v>900-1100</v>
          </cell>
        </row>
        <row r="11">
          <cell r="I11" t="str">
            <v>NKME</v>
          </cell>
          <cell r="J11">
            <v>9.92</v>
          </cell>
          <cell r="K11">
            <v>9.92</v>
          </cell>
        </row>
        <row r="12">
          <cell r="I12" t="str">
            <v>NKR</v>
          </cell>
          <cell r="J12">
            <v>7.95</v>
          </cell>
          <cell r="K12">
            <v>7.95</v>
          </cell>
        </row>
        <row r="13">
          <cell r="I13" t="str">
            <v>PBAT</v>
          </cell>
          <cell r="J13">
            <v>5.5</v>
          </cell>
          <cell r="K13">
            <v>5.5</v>
          </cell>
        </row>
        <row r="14">
          <cell r="I14" t="str">
            <v>Paper</v>
          </cell>
          <cell r="J14">
            <v>1.31</v>
          </cell>
        </row>
        <row r="15">
          <cell r="I15" t="str">
            <v>ADHISIVE</v>
          </cell>
          <cell r="J15">
            <v>12.25</v>
          </cell>
          <cell r="K15">
            <v>12.25</v>
          </cell>
        </row>
        <row r="16">
          <cell r="I16" t="str">
            <v>HARDENER</v>
          </cell>
          <cell r="J16">
            <v>8.9</v>
          </cell>
          <cell r="K16">
            <v>8.9</v>
          </cell>
        </row>
      </sheetData>
      <sheetData sheetId="8" refreshError="1"/>
      <sheetData sheetId="9" refreshError="1"/>
      <sheetData sheetId="10">
        <row r="35">
          <cell r="Q35">
            <v>8.7607248884411515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5">
          <cell r="Y5">
            <v>1000</v>
          </cell>
        </row>
        <row r="21">
          <cell r="Y21">
            <v>782</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2">
          <cell r="F2">
            <v>106</v>
          </cell>
          <cell r="G2" t="str">
            <v>NKME</v>
          </cell>
          <cell r="H2" t="str">
            <v>NKR</v>
          </cell>
          <cell r="L2" t="str">
            <v>PBAT</v>
          </cell>
          <cell r="M2">
            <v>0.2</v>
          </cell>
          <cell r="N2">
            <v>1.25</v>
          </cell>
        </row>
        <row r="3">
          <cell r="F3">
            <v>618</v>
          </cell>
          <cell r="G3" t="str">
            <v>NKR</v>
          </cell>
          <cell r="L3" t="str">
            <v>Tipa312Met</v>
          </cell>
          <cell r="M3">
            <v>0.2</v>
          </cell>
          <cell r="N3">
            <v>1.25</v>
          </cell>
        </row>
        <row r="4">
          <cell r="F4">
            <v>819</v>
          </cell>
          <cell r="G4" t="str">
            <v>NKR</v>
          </cell>
          <cell r="H4" t="str">
            <v>Paper</v>
          </cell>
          <cell r="L4" t="str">
            <v>NKME</v>
          </cell>
          <cell r="M4">
            <v>0.2</v>
          </cell>
          <cell r="N4">
            <v>1.44</v>
          </cell>
        </row>
        <row r="5">
          <cell r="F5">
            <v>823</v>
          </cell>
          <cell r="G5" t="str">
            <v>NKR</v>
          </cell>
          <cell r="H5" t="str">
            <v>Paper</v>
          </cell>
          <cell r="L5" t="str">
            <v>NKR</v>
          </cell>
          <cell r="M5">
            <v>0.35</v>
          </cell>
          <cell r="N5">
            <v>1.44</v>
          </cell>
        </row>
        <row r="6">
          <cell r="F6">
            <v>604</v>
          </cell>
          <cell r="G6" t="str">
            <v>NKR</v>
          </cell>
          <cell r="H6" t="str">
            <v>NKR</v>
          </cell>
          <cell r="L6" t="str">
            <v>Tipa302FG</v>
          </cell>
          <cell r="M6">
            <v>0.2</v>
          </cell>
          <cell r="N6">
            <v>1.25</v>
          </cell>
        </row>
        <row r="7">
          <cell r="F7">
            <v>608</v>
          </cell>
          <cell r="G7" t="str">
            <v>NKR</v>
          </cell>
          <cell r="H7" t="str">
            <v>PBAT</v>
          </cell>
          <cell r="L7" t="str">
            <v>Paper</v>
          </cell>
          <cell r="M7">
            <v>0.3</v>
          </cell>
          <cell r="N7">
            <v>1</v>
          </cell>
        </row>
        <row r="8">
          <cell r="F8">
            <v>607</v>
          </cell>
          <cell r="G8" t="str">
            <v>NKR</v>
          </cell>
          <cell r="L8" t="str">
            <v>Tipa302WFG</v>
          </cell>
          <cell r="M8">
            <v>0.2</v>
          </cell>
          <cell r="N8">
            <v>1.25</v>
          </cell>
        </row>
        <row r="9">
          <cell r="F9" t="str">
            <v>608W</v>
          </cell>
          <cell r="G9" t="str">
            <v>NKR</v>
          </cell>
          <cell r="H9" t="str">
            <v>PBAT</v>
          </cell>
        </row>
        <row r="10">
          <cell r="F10">
            <v>418</v>
          </cell>
          <cell r="G10" t="str">
            <v>NKR</v>
          </cell>
        </row>
        <row r="11">
          <cell r="F11">
            <v>428</v>
          </cell>
          <cell r="G11" t="str">
            <v>Tipa312Met</v>
          </cell>
          <cell r="H11" t="str">
            <v>NKR</v>
          </cell>
        </row>
        <row r="14">
          <cell r="P14" t="str">
            <v>Type of laminate in Sales calcultator</v>
          </cell>
          <cell r="Q14" t="str">
            <v>Laminate106</v>
          </cell>
          <cell r="R14" t="str">
            <v>Laminate608W</v>
          </cell>
          <cell r="S14" t="str">
            <v>Laminate618</v>
          </cell>
          <cell r="T14" t="str">
            <v>Laminate607</v>
          </cell>
          <cell r="U14" t="str">
            <v>Laminate418</v>
          </cell>
          <cell r="V14" t="str">
            <v>Laminate428</v>
          </cell>
          <cell r="W14" t="str">
            <v>Laminate819</v>
          </cell>
          <cell r="X14" t="str">
            <v>Laminate823</v>
          </cell>
        </row>
        <row r="15">
          <cell r="L15" t="str">
            <v>NKMATT</v>
          </cell>
          <cell r="M15" t="str">
            <v>Garment</v>
          </cell>
          <cell r="P15" t="str">
            <v>Laminate106</v>
          </cell>
          <cell r="Y15" t="str">
            <v>Tipa302FG</v>
          </cell>
        </row>
        <row r="16">
          <cell r="L16">
            <v>25</v>
          </cell>
          <cell r="M16">
            <v>18</v>
          </cell>
          <cell r="P16" t="str">
            <v>Laminate608W</v>
          </cell>
          <cell r="Y16" t="str">
            <v>Tipa317FG</v>
          </cell>
        </row>
        <row r="17">
          <cell r="M17">
            <v>20</v>
          </cell>
          <cell r="P17" t="str">
            <v>Laminate618</v>
          </cell>
        </row>
        <row r="18">
          <cell r="M18">
            <v>25</v>
          </cell>
          <cell r="P18" t="str">
            <v>Laminate607</v>
          </cell>
        </row>
        <row r="19">
          <cell r="M19">
            <v>30</v>
          </cell>
          <cell r="P19" t="str">
            <v>Laminate418</v>
          </cell>
        </row>
        <row r="20">
          <cell r="M20">
            <v>35</v>
          </cell>
          <cell r="P20" t="str">
            <v>Laminate428</v>
          </cell>
        </row>
        <row r="21">
          <cell r="M21">
            <v>40</v>
          </cell>
          <cell r="P21" t="str">
            <v>Laminate819</v>
          </cell>
        </row>
        <row r="22">
          <cell r="M22">
            <v>50</v>
          </cell>
          <cell r="P22" t="str">
            <v>Laminate823</v>
          </cell>
        </row>
        <row r="23">
          <cell r="M23">
            <v>60</v>
          </cell>
        </row>
        <row r="24">
          <cell r="M24">
            <v>70</v>
          </cell>
        </row>
        <row r="25">
          <cell r="M25">
            <v>80</v>
          </cell>
        </row>
        <row r="34">
          <cell r="D34">
            <v>55</v>
          </cell>
          <cell r="F34">
            <v>10</v>
          </cell>
        </row>
        <row r="35">
          <cell r="D35">
            <v>60</v>
          </cell>
          <cell r="F35">
            <v>15</v>
          </cell>
        </row>
        <row r="36">
          <cell r="D36">
            <v>65</v>
          </cell>
          <cell r="F36">
            <v>15</v>
          </cell>
        </row>
        <row r="37">
          <cell r="D37">
            <v>70</v>
          </cell>
          <cell r="F37">
            <v>15</v>
          </cell>
        </row>
        <row r="38">
          <cell r="D38">
            <v>80</v>
          </cell>
          <cell r="F38">
            <v>20</v>
          </cell>
        </row>
        <row r="39">
          <cell r="D39">
            <v>90</v>
          </cell>
          <cell r="F39">
            <v>20</v>
          </cell>
        </row>
        <row r="40">
          <cell r="D40">
            <v>100</v>
          </cell>
          <cell r="F40">
            <v>20</v>
          </cell>
        </row>
      </sheetData>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Cast Films"/>
      <sheetName val="GEF063 WP Sales"/>
      <sheetName val="Report"/>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price"/>
      <sheetName val="Product tree"/>
      <sheetName val="Raw materials prices"/>
    </sheetNames>
    <sheetDataSet>
      <sheetData sheetId="0" refreshError="1"/>
      <sheetData sheetId="1" refreshError="1"/>
      <sheetData sheetId="2">
        <row r="51">
          <cell r="L51" t="str">
            <v>PLA</v>
          </cell>
        </row>
        <row r="52">
          <cell r="L52" t="str">
            <v>PBAT</v>
          </cell>
        </row>
        <row r="53">
          <cell r="L53" t="str">
            <v>PBS</v>
          </cell>
        </row>
        <row r="54">
          <cell r="L54" t="str">
            <v>PCL</v>
          </cell>
        </row>
        <row r="55">
          <cell r="L55" t="str">
            <v>AO_PBS</v>
          </cell>
        </row>
        <row r="56">
          <cell r="L56" t="str">
            <v>SLAB_PBSA</v>
          </cell>
        </row>
        <row r="57">
          <cell r="L57" t="str">
            <v>AB_PLA</v>
          </cell>
        </row>
        <row r="58">
          <cell r="L58" t="str">
            <v>PGA</v>
          </cell>
        </row>
        <row r="59">
          <cell r="L59" t="str">
            <v>PBSA</v>
          </cell>
        </row>
        <row r="60">
          <cell r="L60" t="str">
            <v>PBAT_compound</v>
          </cell>
        </row>
        <row r="61">
          <cell r="L61" t="str">
            <v>TPS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m structure"/>
      <sheetName val="list for drop down menu"/>
    </sheetNames>
    <sheetDataSet>
      <sheetData sheetId="0"/>
      <sheetData sheetId="1">
        <row r="1">
          <cell r="A1" t="str">
            <v>17MIT</v>
          </cell>
        </row>
        <row r="2">
          <cell r="A2" t="str">
            <v>FD92</v>
          </cell>
        </row>
        <row r="3">
          <cell r="A3" t="str">
            <v>FZ91</v>
          </cell>
        </row>
        <row r="4">
          <cell r="A4" t="str">
            <v>B12</v>
          </cell>
        </row>
        <row r="5">
          <cell r="A5" t="str">
            <v>C2331</v>
          </cell>
        </row>
        <row r="6">
          <cell r="A6" t="str">
            <v>SL05</v>
          </cell>
        </row>
        <row r="7">
          <cell r="A7" t="str">
            <v>KAB</v>
          </cell>
        </row>
        <row r="8">
          <cell r="A8" t="str">
            <v>KS</v>
          </cell>
        </row>
        <row r="9">
          <cell r="A9" t="str">
            <v>MB14</v>
          </cell>
        </row>
        <row r="10">
          <cell r="A10" t="str">
            <v>Cell P</v>
          </cell>
        </row>
        <row r="11">
          <cell r="A11" t="str">
            <v>Cell M</v>
          </cell>
        </row>
        <row r="12">
          <cell r="A12" t="str">
            <v>Cell C</v>
          </cell>
        </row>
        <row r="13">
          <cell r="A13" t="str">
            <v>Epotal</v>
          </cell>
        </row>
        <row r="14">
          <cell r="A14">
            <v>8095</v>
          </cell>
        </row>
        <row r="15">
          <cell r="A15" t="str">
            <v>BTR</v>
          </cell>
        </row>
        <row r="16">
          <cell r="A16" t="str">
            <v>TPL18</v>
          </cell>
        </row>
        <row r="17">
          <cell r="A17" t="str">
            <v>TP20</v>
          </cell>
        </row>
        <row r="18">
          <cell r="A18">
            <v>4043</v>
          </cell>
        </row>
        <row r="19">
          <cell r="A19">
            <v>6800</v>
          </cell>
        </row>
        <row r="20">
          <cell r="A20" t="str">
            <v>MB13</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umptions"/>
      <sheetName val="Machine_hour_details"/>
      <sheetName val="Summary"/>
      <sheetName val="Notes_and_Formulas"/>
    </sheetNames>
    <sheetDataSet>
      <sheetData sheetId="0">
        <row r="3">
          <cell r="B3">
            <v>400</v>
          </cell>
        </row>
        <row r="8">
          <cell r="B8">
            <v>400</v>
          </cell>
        </row>
        <row r="9">
          <cell r="B9">
            <v>600</v>
          </cell>
        </row>
      </sheetData>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Laminate for reels  - Sales"/>
      <sheetName val="Step by Step"/>
      <sheetName val="Converting- Marma &amp; Bastin  (2)"/>
      <sheetName val="Lmntn &amp; Prntng- Marma &amp; Bas (2)"/>
      <sheetName val="BOM"/>
      <sheetName val="Film Pricing"/>
      <sheetName val="Bags Calculator"/>
      <sheetName val="Laminates"/>
      <sheetName val="Pouches"/>
      <sheetName val=" Laminate Email template (B4P)"/>
      <sheetName val="Pouches- copilot"/>
      <sheetName val="Laminates- copilot"/>
      <sheetName val="HELPER"/>
      <sheetName val="Matan &amp; Hagit 2"/>
      <sheetName val="Digital_per_meter- Quantum"/>
      <sheetName val="Converting- Quantum"/>
      <sheetName val="Lmntn &amp; Prntng- Marma &amp; Bastin "/>
      <sheetName val="Converting- Marma &amp; Bastin "/>
      <sheetName val="list TIPA &amp; B4P"/>
      <sheetName val="Laminates step by step"/>
      <sheetName val="BOM Resin Weighted QTY %"/>
      <sheetName val="Bom Laminates Weighted QTY %"/>
      <sheetName val="BOM Pouches  Weighted QTY"/>
      <sheetName val="copilot"/>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row r="1">
          <cell r="AP1" t="str">
            <v>Film Type</v>
          </cell>
          <cell r="AQ1" t="str">
            <v>Density</v>
          </cell>
          <cell r="DB1">
            <v>300</v>
          </cell>
          <cell r="DQ1">
            <v>0.5</v>
          </cell>
        </row>
        <row r="2">
          <cell r="A2" t="str">
            <v>PLA</v>
          </cell>
          <cell r="B2" t="str">
            <v>LX175</v>
          </cell>
          <cell r="C2" t="str">
            <v>RMLX175</v>
          </cell>
          <cell r="D2" t="str">
            <v>Resin 1A</v>
          </cell>
          <cell r="E2">
            <v>3.17</v>
          </cell>
          <cell r="AF2" t="str">
            <v>Europe to US</v>
          </cell>
          <cell r="AH2">
            <v>5.4</v>
          </cell>
          <cell r="AK2">
            <v>1.1599999999999999</v>
          </cell>
          <cell r="AP2" t="str">
            <v>TIPA 302FG</v>
          </cell>
          <cell r="AQ2">
            <v>1.25</v>
          </cell>
          <cell r="BW2" t="str">
            <v>NK</v>
          </cell>
          <cell r="BX2">
            <v>23</v>
          </cell>
          <cell r="BZ2">
            <v>608</v>
          </cell>
          <cell r="CC2">
            <v>100</v>
          </cell>
          <cell r="CH2">
            <v>0.103333333333333</v>
          </cell>
          <cell r="CK2" t="str">
            <v>TIPA 302FG</v>
          </cell>
          <cell r="CO2">
            <v>6.6535064000000004</v>
          </cell>
          <cell r="DI2" t="str">
            <v>Zipper bag</v>
          </cell>
          <cell r="DK2">
            <v>20</v>
          </cell>
          <cell r="DL2" t="str">
            <v>0</v>
          </cell>
          <cell r="DM2" t="str">
            <v>Marma</v>
          </cell>
          <cell r="DO2">
            <v>1</v>
          </cell>
        </row>
        <row r="3">
          <cell r="A3" t="str">
            <v>PLA</v>
          </cell>
          <cell r="B3" t="str">
            <v>N43</v>
          </cell>
          <cell r="C3" t="str">
            <v>RMN43</v>
          </cell>
          <cell r="D3" t="str">
            <v>Resin 1B</v>
          </cell>
          <cell r="E3">
            <v>3.17</v>
          </cell>
          <cell r="AF3" t="str">
            <v>Europe to Europe</v>
          </cell>
          <cell r="AH3">
            <v>0.2</v>
          </cell>
          <cell r="AP3" t="str">
            <v>TIPA 302FG W</v>
          </cell>
          <cell r="AQ3">
            <v>1.25</v>
          </cell>
          <cell r="BH3">
            <v>0</v>
          </cell>
          <cell r="BI3">
            <v>7.4999999999999997E-2</v>
          </cell>
          <cell r="BW3" t="str">
            <v>TIPA 302FG</v>
          </cell>
          <cell r="BX3">
            <v>60</v>
          </cell>
          <cell r="BZ3">
            <v>608</v>
          </cell>
          <cell r="CC3">
            <v>100</v>
          </cell>
          <cell r="CK3" t="str">
            <v>TIPA 302FG W</v>
          </cell>
          <cell r="CO3">
            <v>7.2467043000000002</v>
          </cell>
          <cell r="DI3" t="str">
            <v>Open Bag</v>
          </cell>
          <cell r="DK3">
            <v>25</v>
          </cell>
          <cell r="DL3" t="str">
            <v>1-2</v>
          </cell>
          <cell r="DM3" t="str">
            <v>Bastin</v>
          </cell>
          <cell r="DO3">
            <v>1</v>
          </cell>
        </row>
        <row r="4">
          <cell r="A4" t="str">
            <v>PBAT</v>
          </cell>
          <cell r="B4" t="str">
            <v>B12</v>
          </cell>
          <cell r="C4" t="str">
            <v>RMB12</v>
          </cell>
          <cell r="D4" t="str">
            <v>Resin 2A</v>
          </cell>
          <cell r="E4">
            <v>1.81</v>
          </cell>
          <cell r="AF4" t="str">
            <v>Europe to Canada</v>
          </cell>
          <cell r="AP4" t="str">
            <v>TIPA 306M</v>
          </cell>
          <cell r="AQ4">
            <v>1.25</v>
          </cell>
          <cell r="BH4">
            <v>26</v>
          </cell>
          <cell r="BI4">
            <v>0.05</v>
          </cell>
          <cell r="BW4" t="str">
            <v>PBAT</v>
          </cell>
          <cell r="BX4">
            <v>17</v>
          </cell>
          <cell r="BZ4">
            <v>608</v>
          </cell>
          <cell r="CC4">
            <v>100</v>
          </cell>
          <cell r="CK4" t="str">
            <v>TIPA 306M</v>
          </cell>
          <cell r="CO4">
            <v>7.2316977500000004</v>
          </cell>
          <cell r="DI4" t="str">
            <v>Resealable bag</v>
          </cell>
          <cell r="DK4">
            <v>30</v>
          </cell>
          <cell r="DL4" t="str">
            <v>3-4</v>
          </cell>
          <cell r="DM4" t="str">
            <v>Hackbarth</v>
          </cell>
        </row>
        <row r="5">
          <cell r="A5" t="str">
            <v>PBAT</v>
          </cell>
          <cell r="B5" t="str">
            <v>Jin-Eco</v>
          </cell>
          <cell r="C5" t="str">
            <v>RM ECO</v>
          </cell>
          <cell r="D5" t="str">
            <v>Resin 2B</v>
          </cell>
          <cell r="E5">
            <v>4.2</v>
          </cell>
          <cell r="AP5" t="str">
            <v>TIPA 306W</v>
          </cell>
          <cell r="AQ5">
            <v>1.25</v>
          </cell>
          <cell r="BH5">
            <v>31</v>
          </cell>
          <cell r="BI5">
            <v>0</v>
          </cell>
          <cell r="BW5" t="str">
            <v>NK</v>
          </cell>
          <cell r="BX5">
            <v>23</v>
          </cell>
          <cell r="BZ5" t="str">
            <v>608 W</v>
          </cell>
          <cell r="CC5">
            <v>100</v>
          </cell>
          <cell r="CK5" t="str">
            <v>TIPA 306W</v>
          </cell>
          <cell r="CO5">
            <v>8.4419841499999997</v>
          </cell>
          <cell r="DI5" t="str">
            <v>Wicketed bag</v>
          </cell>
          <cell r="DJ5" t="str">
            <v>TIPA 302FG</v>
          </cell>
          <cell r="DK5">
            <v>35</v>
          </cell>
          <cell r="DL5" t="str">
            <v>5-8</v>
          </cell>
        </row>
        <row r="6">
          <cell r="A6" t="str">
            <v>PBAT</v>
          </cell>
          <cell r="B6" t="str">
            <v>TH801T</v>
          </cell>
          <cell r="C6" t="str">
            <v>RMT801</v>
          </cell>
          <cell r="D6" t="str">
            <v>Resin 2C</v>
          </cell>
          <cell r="E6">
            <v>1.81</v>
          </cell>
          <cell r="AP6" t="str">
            <v>TIPA 312 MET</v>
          </cell>
          <cell r="AQ6">
            <v>1.25</v>
          </cell>
          <cell r="BW6" t="str">
            <v>TIPA 302FG W</v>
          </cell>
          <cell r="BX6">
            <v>60</v>
          </cell>
          <cell r="BZ6" t="str">
            <v>608 W</v>
          </cell>
          <cell r="CC6">
            <v>100</v>
          </cell>
          <cell r="CK6" t="str">
            <v>TIPA 312 MFG</v>
          </cell>
          <cell r="CO6">
            <v>6.1697202999999998</v>
          </cell>
          <cell r="DI6" t="str">
            <v>Garment Bag</v>
          </cell>
          <cell r="DJ6" t="str">
            <v>TIPA 302FG W</v>
          </cell>
          <cell r="DK6">
            <v>40</v>
          </cell>
        </row>
        <row r="7">
          <cell r="A7" t="str">
            <v>PBS</v>
          </cell>
          <cell r="B7" t="str">
            <v>A200</v>
          </cell>
          <cell r="C7" t="str">
            <v>RMA200</v>
          </cell>
          <cell r="D7" t="str">
            <v>TBD</v>
          </cell>
          <cell r="E7">
            <v>7.62</v>
          </cell>
          <cell r="AP7" t="str">
            <v>TIPA 312 MFG</v>
          </cell>
          <cell r="AQ7">
            <v>1.25</v>
          </cell>
          <cell r="BW7" t="str">
            <v>PBAT</v>
          </cell>
          <cell r="BX7">
            <v>17</v>
          </cell>
          <cell r="BZ7" t="str">
            <v>608 W</v>
          </cell>
          <cell r="CC7">
            <v>100</v>
          </cell>
          <cell r="CK7" t="str">
            <v>TIPA 312MFGW</v>
          </cell>
          <cell r="CO7">
            <v>6.7887103</v>
          </cell>
          <cell r="DJ7" t="str">
            <v>TIPA 306M</v>
          </cell>
          <cell r="DK7">
            <v>45</v>
          </cell>
        </row>
        <row r="8">
          <cell r="A8" t="str">
            <v>PCL</v>
          </cell>
          <cell r="B8" t="str">
            <v>P65D</v>
          </cell>
          <cell r="C8" t="str">
            <v>RMP65D</v>
          </cell>
          <cell r="D8" t="str">
            <v>Resin 4A</v>
          </cell>
          <cell r="E8">
            <v>7.3</v>
          </cell>
          <cell r="AP8" t="str">
            <v>Billerud Kraft White Paper</v>
          </cell>
          <cell r="AQ8">
            <v>1</v>
          </cell>
          <cell r="BW8" t="str">
            <v>NK</v>
          </cell>
          <cell r="BX8">
            <v>23</v>
          </cell>
          <cell r="BZ8">
            <v>618</v>
          </cell>
          <cell r="CC8">
            <v>51</v>
          </cell>
          <cell r="CK8" t="str">
            <v>TIPA 312 MET</v>
          </cell>
          <cell r="CO8">
            <v>8.1897202999999994</v>
          </cell>
          <cell r="DJ8" t="str">
            <v>TIPA 306W</v>
          </cell>
          <cell r="DK8">
            <v>50</v>
          </cell>
        </row>
        <row r="9">
          <cell r="A9" t="str">
            <v>AO-PBS</v>
          </cell>
          <cell r="B9" t="str">
            <v>S723</v>
          </cell>
          <cell r="C9" t="str">
            <v>RM TA45-08 S723</v>
          </cell>
          <cell r="D9" t="str">
            <v>Resin 6</v>
          </cell>
          <cell r="E9">
            <v>16.16</v>
          </cell>
          <cell r="AP9" t="str">
            <v>NK</v>
          </cell>
          <cell r="AQ9">
            <v>1.44</v>
          </cell>
          <cell r="BW9" t="str">
            <v>TIPA 302FG</v>
          </cell>
          <cell r="BX9">
            <v>25</v>
          </cell>
          <cell r="BZ9">
            <v>618</v>
          </cell>
          <cell r="CC9">
            <v>51</v>
          </cell>
          <cell r="DJ9" t="str">
            <v>TIPA 312 MFG</v>
          </cell>
          <cell r="DK9">
            <v>55</v>
          </cell>
        </row>
        <row r="10">
          <cell r="A10" t="str">
            <v>SLAB-PBSA</v>
          </cell>
          <cell r="B10" t="str">
            <v>S724</v>
          </cell>
          <cell r="C10" t="str">
            <v>RM TA45-08 S724</v>
          </cell>
          <cell r="D10" t="str">
            <v>Resin 7</v>
          </cell>
          <cell r="E10">
            <v>14.7</v>
          </cell>
          <cell r="AP10" t="str">
            <v>TIPA 312 MET</v>
          </cell>
          <cell r="AQ10">
            <v>1.25</v>
          </cell>
          <cell r="BW10" t="str">
            <v>RM G Epotal ECO 3675</v>
          </cell>
          <cell r="BX10">
            <v>3</v>
          </cell>
          <cell r="BZ10">
            <v>618</v>
          </cell>
          <cell r="CC10">
            <v>51</v>
          </cell>
          <cell r="DJ10" t="str">
            <v>TIPA 312MFGW</v>
          </cell>
          <cell r="DK10">
            <v>60</v>
          </cell>
        </row>
        <row r="11">
          <cell r="A11" t="str">
            <v>AB-PLA</v>
          </cell>
          <cell r="B11" t="str">
            <v>KAB59A</v>
          </cell>
          <cell r="C11" t="str">
            <v>RM A KAB59A</v>
          </cell>
          <cell r="D11" t="str">
            <v>Resin 8</v>
          </cell>
          <cell r="E11">
            <v>7.55</v>
          </cell>
          <cell r="AP11" t="str">
            <v>PBAT</v>
          </cell>
          <cell r="AQ11">
            <v>1.25</v>
          </cell>
          <cell r="BW11" t="str">
            <v>NK</v>
          </cell>
          <cell r="BX11">
            <v>23</v>
          </cell>
          <cell r="BZ11">
            <v>618</v>
          </cell>
          <cell r="CC11">
            <v>56</v>
          </cell>
          <cell r="DJ11" t="str">
            <v>TIPA 312 MET</v>
          </cell>
          <cell r="DK11">
            <v>65</v>
          </cell>
        </row>
        <row r="12">
          <cell r="A12" t="str">
            <v>PVOH</v>
          </cell>
          <cell r="B12" t="str">
            <v>BVE8049P</v>
          </cell>
          <cell r="C12" t="str">
            <v>BVE8049P</v>
          </cell>
          <cell r="D12" t="str">
            <v>BVE8049P</v>
          </cell>
          <cell r="E12">
            <v>18.5</v>
          </cell>
          <cell r="AP12" t="str">
            <v>RM G Epotal Eco 3702</v>
          </cell>
          <cell r="AQ12">
            <v>1</v>
          </cell>
          <cell r="BW12" t="str">
            <v>TIPA 302FG</v>
          </cell>
          <cell r="BX12">
            <v>30</v>
          </cell>
          <cell r="BZ12">
            <v>618</v>
          </cell>
          <cell r="CC12">
            <v>56</v>
          </cell>
          <cell r="DK12">
            <v>70</v>
          </cell>
        </row>
        <row r="13">
          <cell r="A13" t="str">
            <v>PBSA</v>
          </cell>
          <cell r="B13" t="str">
            <v>FD92PM</v>
          </cell>
          <cell r="C13" t="str">
            <v>RMPM2</v>
          </cell>
          <cell r="D13" t="str">
            <v>Resin 9C</v>
          </cell>
          <cell r="E13">
            <v>6.75</v>
          </cell>
          <cell r="AP13" t="str">
            <v>RM G Epotal ECO 3675</v>
          </cell>
          <cell r="AQ13">
            <v>1</v>
          </cell>
          <cell r="BW13" t="str">
            <v>RM G Epotal ECO 3675</v>
          </cell>
          <cell r="BX13">
            <v>3</v>
          </cell>
          <cell r="BZ13">
            <v>618</v>
          </cell>
          <cell r="CC13">
            <v>56</v>
          </cell>
          <cell r="DK13">
            <v>75</v>
          </cell>
        </row>
        <row r="14">
          <cell r="A14" t="str">
            <v>ECOMP WHITE</v>
          </cell>
          <cell r="B14" t="str">
            <v>RM WHITE BIO8153</v>
          </cell>
          <cell r="C14" t="str">
            <v>RM WHITE BIO8153</v>
          </cell>
          <cell r="D14" t="str">
            <v>Resin 13B</v>
          </cell>
          <cell r="E14">
            <v>6.15</v>
          </cell>
          <cell r="AP14" t="str">
            <v>RM G Basonat HW 2270</v>
          </cell>
          <cell r="AQ14">
            <v>1</v>
          </cell>
          <cell r="BW14" t="str">
            <v>NK</v>
          </cell>
          <cell r="BX14">
            <v>23</v>
          </cell>
          <cell r="BZ14">
            <v>618</v>
          </cell>
          <cell r="CC14">
            <v>61</v>
          </cell>
        </row>
        <row r="15">
          <cell r="A15" t="str">
            <v>PBAT</v>
          </cell>
          <cell r="B15" t="str">
            <v>EX52A0</v>
          </cell>
          <cell r="C15" t="str">
            <v>RM Mbi-EX52A0</v>
          </cell>
          <cell r="D15" t="str">
            <v>Resin 2N</v>
          </cell>
          <cell r="E15">
            <v>5.5</v>
          </cell>
          <cell r="AP15" t="str">
            <v> NK MATT</v>
          </cell>
          <cell r="AQ15">
            <v>1.44</v>
          </cell>
          <cell r="BW15" t="str">
            <v>TIPA 302FG</v>
          </cell>
          <cell r="BX15">
            <v>35</v>
          </cell>
          <cell r="BZ15">
            <v>618</v>
          </cell>
          <cell r="CC15">
            <v>61</v>
          </cell>
        </row>
        <row r="16">
          <cell r="A16" t="str">
            <v>Epotal 3702</v>
          </cell>
          <cell r="C16" t="str">
            <v>RM G Epotal Eco 3702</v>
          </cell>
          <cell r="E16">
            <v>5.6</v>
          </cell>
          <cell r="AP16" t="str">
            <v>NK White</v>
          </cell>
          <cell r="AQ16">
            <v>1.44</v>
          </cell>
          <cell r="BW16" t="str">
            <v>RM G Epotal ECO 3675</v>
          </cell>
          <cell r="BX16">
            <v>3</v>
          </cell>
          <cell r="BZ16">
            <v>618</v>
          </cell>
          <cell r="CC16">
            <v>61</v>
          </cell>
        </row>
        <row r="17">
          <cell r="A17" t="str">
            <v>Epotal 3675</v>
          </cell>
          <cell r="C17" t="str">
            <v>RM G Epotal ECO 3675</v>
          </cell>
          <cell r="E17">
            <v>4.6500000000000004</v>
          </cell>
          <cell r="AP17" t="str">
            <v>ALU</v>
          </cell>
          <cell r="AQ17">
            <v>2.27</v>
          </cell>
          <cell r="BW17" t="str">
            <v>NK</v>
          </cell>
          <cell r="BX17">
            <v>23</v>
          </cell>
          <cell r="BZ17">
            <v>618</v>
          </cell>
          <cell r="CC17">
            <v>66</v>
          </cell>
        </row>
        <row r="18">
          <cell r="A18" t="str">
            <v>Basonat</v>
          </cell>
          <cell r="C18" t="str">
            <v>RM G Basonat HW 2270</v>
          </cell>
          <cell r="E18">
            <v>10.45</v>
          </cell>
          <cell r="AP18" t="str">
            <v>Samtack adhesive</v>
          </cell>
          <cell r="AQ18">
            <v>1</v>
          </cell>
          <cell r="BW18" t="str">
            <v>TIPA 302FG</v>
          </cell>
          <cell r="BX18">
            <v>40</v>
          </cell>
          <cell r="BZ18">
            <v>618</v>
          </cell>
          <cell r="CC18">
            <v>66</v>
          </cell>
        </row>
        <row r="19">
          <cell r="A19" t="str">
            <v>NK</v>
          </cell>
          <cell r="B19" t="str">
            <v>NK</v>
          </cell>
          <cell r="C19" t="str">
            <v>NK</v>
          </cell>
          <cell r="D19" t="str">
            <v>NK</v>
          </cell>
          <cell r="E19">
            <v>7.95</v>
          </cell>
          <cell r="AP19" t="str">
            <v>Nuvita coating</v>
          </cell>
          <cell r="AQ19">
            <v>1</v>
          </cell>
          <cell r="BW19" t="str">
            <v>RM G Epotal ECO 3675</v>
          </cell>
          <cell r="BX19">
            <v>3</v>
          </cell>
          <cell r="BZ19">
            <v>618</v>
          </cell>
          <cell r="CC19">
            <v>66</v>
          </cell>
        </row>
        <row r="20">
          <cell r="A20" t="str">
            <v xml:space="preserve">MET LUX </v>
          </cell>
          <cell r="B20" t="str">
            <v xml:space="preserve">MET LUX </v>
          </cell>
          <cell r="C20" t="str">
            <v xml:space="preserve">MET LUX </v>
          </cell>
          <cell r="D20" t="str">
            <v xml:space="preserve">MET LUX </v>
          </cell>
          <cell r="E20">
            <v>2.02</v>
          </cell>
          <cell r="AP20" t="str">
            <v>PL202.2</v>
          </cell>
          <cell r="BW20" t="str">
            <v>NK</v>
          </cell>
          <cell r="BX20">
            <v>23</v>
          </cell>
          <cell r="BZ20">
            <v>618</v>
          </cell>
          <cell r="CC20">
            <v>77</v>
          </cell>
        </row>
        <row r="21">
          <cell r="A21" t="str">
            <v>Billerud Kraft White Paper</v>
          </cell>
          <cell r="B21" t="str">
            <v>Billerud Kraft White Paper</v>
          </cell>
          <cell r="C21" t="str">
            <v>Billerud Kraft White Paper</v>
          </cell>
          <cell r="D21" t="str">
            <v>Billerud Kraft White Paper</v>
          </cell>
          <cell r="E21">
            <v>1.31</v>
          </cell>
          <cell r="AP21" t="str">
            <v>NVS</v>
          </cell>
          <cell r="AQ21">
            <v>1.44</v>
          </cell>
          <cell r="BW21" t="str">
            <v>TIPA 302FG</v>
          </cell>
          <cell r="BX21">
            <v>50</v>
          </cell>
          <cell r="BZ21">
            <v>618</v>
          </cell>
          <cell r="CC21">
            <v>77</v>
          </cell>
        </row>
        <row r="22">
          <cell r="A22" t="str">
            <v> NK MATT</v>
          </cell>
          <cell r="B22" t="str">
            <v> NK MATT</v>
          </cell>
          <cell r="C22" t="str">
            <v> NK MATT</v>
          </cell>
          <cell r="D22" t="str">
            <v> NK MATT</v>
          </cell>
          <cell r="E22">
            <v>8.52</v>
          </cell>
          <cell r="BW22" t="str">
            <v>RM G Epotal ECO 3675</v>
          </cell>
          <cell r="BX22">
            <v>4</v>
          </cell>
          <cell r="BZ22">
            <v>618</v>
          </cell>
          <cell r="CC22">
            <v>77</v>
          </cell>
        </row>
        <row r="23">
          <cell r="A23" t="str">
            <v>NK White</v>
          </cell>
          <cell r="B23" t="str">
            <v>NK White</v>
          </cell>
          <cell r="C23" t="str">
            <v>NK White</v>
          </cell>
          <cell r="D23" t="str">
            <v>NK White</v>
          </cell>
          <cell r="E23">
            <v>9.52</v>
          </cell>
          <cell r="BW23" t="str">
            <v>NK</v>
          </cell>
          <cell r="BX23">
            <v>23</v>
          </cell>
          <cell r="BZ23">
            <v>618</v>
          </cell>
          <cell r="CC23">
            <v>86</v>
          </cell>
        </row>
        <row r="24">
          <cell r="A24" t="str">
            <v>ALU</v>
          </cell>
          <cell r="B24" t="str">
            <v>ALU</v>
          </cell>
          <cell r="C24" t="str">
            <v>ALU</v>
          </cell>
          <cell r="D24" t="str">
            <v>ALU</v>
          </cell>
          <cell r="E24">
            <v>9.1999999999999993</v>
          </cell>
          <cell r="BW24" t="str">
            <v>TIPA 302FG</v>
          </cell>
          <cell r="BX24">
            <v>60</v>
          </cell>
          <cell r="BZ24">
            <v>618</v>
          </cell>
          <cell r="CC24">
            <v>86</v>
          </cell>
        </row>
        <row r="25">
          <cell r="A25" t="str">
            <v>Nuvita coating</v>
          </cell>
          <cell r="B25" t="str">
            <v>Nuvita</v>
          </cell>
          <cell r="C25" t="str">
            <v>Nuvita coating</v>
          </cell>
          <cell r="D25" t="str">
            <v>Compound - new group</v>
          </cell>
          <cell r="E25">
            <v>5.2</v>
          </cell>
          <cell r="BW25" t="str">
            <v>RM G Epotal ECO 3675</v>
          </cell>
          <cell r="BX25">
            <v>3</v>
          </cell>
          <cell r="BZ25">
            <v>618</v>
          </cell>
          <cell r="CC25">
            <v>86</v>
          </cell>
        </row>
        <row r="26">
          <cell r="A26" t="str">
            <v>NVS</v>
          </cell>
          <cell r="B26" t="str">
            <v>NVS</v>
          </cell>
          <cell r="C26" t="str">
            <v>NVS</v>
          </cell>
          <cell r="D26" t="str">
            <v>NK family</v>
          </cell>
          <cell r="E26">
            <v>7.95</v>
          </cell>
          <cell r="BW26" t="str">
            <v>NK</v>
          </cell>
          <cell r="BX26">
            <v>23</v>
          </cell>
          <cell r="BZ26">
            <v>618</v>
          </cell>
          <cell r="CC26">
            <v>100</v>
          </cell>
        </row>
        <row r="27">
          <cell r="A27" t="str">
            <v>Samtack adhesive</v>
          </cell>
          <cell r="B27" t="str">
            <v>Samtack</v>
          </cell>
          <cell r="C27" t="str">
            <v>Samtack adhesive</v>
          </cell>
          <cell r="D27" t="str">
            <v>Adhesive - Epotal family</v>
          </cell>
          <cell r="E27">
            <v>6.07</v>
          </cell>
          <cell r="BW27" t="str">
            <v>TIPA 302FG</v>
          </cell>
          <cell r="BX27">
            <v>73</v>
          </cell>
          <cell r="BZ27">
            <v>618</v>
          </cell>
          <cell r="CC27">
            <v>100</v>
          </cell>
        </row>
        <row r="28">
          <cell r="BW28" t="str">
            <v>RM G Epotal ECO 3675</v>
          </cell>
          <cell r="BX28">
            <v>4</v>
          </cell>
          <cell r="BZ28">
            <v>618</v>
          </cell>
          <cell r="CC28">
            <v>100</v>
          </cell>
        </row>
        <row r="29">
          <cell r="BW29" t="str">
            <v>NK</v>
          </cell>
          <cell r="BX29">
            <v>23</v>
          </cell>
          <cell r="BZ29" t="str">
            <v>618 W</v>
          </cell>
          <cell r="CC29">
            <v>51</v>
          </cell>
        </row>
        <row r="30">
          <cell r="BW30" t="str">
            <v>TIPA 302FG W</v>
          </cell>
          <cell r="BX30">
            <v>25</v>
          </cell>
          <cell r="BZ30" t="str">
            <v>618 W</v>
          </cell>
          <cell r="CC30">
            <v>51</v>
          </cell>
        </row>
        <row r="31">
          <cell r="BW31" t="str">
            <v>RM G Epotal ECO 3675</v>
          </cell>
          <cell r="BX31">
            <v>3</v>
          </cell>
          <cell r="BZ31" t="str">
            <v>618 W</v>
          </cell>
          <cell r="CC31">
            <v>51</v>
          </cell>
        </row>
        <row r="32">
          <cell r="BW32" t="str">
            <v>NK</v>
          </cell>
          <cell r="BX32">
            <v>23</v>
          </cell>
          <cell r="BZ32" t="str">
            <v>618 W</v>
          </cell>
          <cell r="CC32">
            <v>56</v>
          </cell>
        </row>
        <row r="33">
          <cell r="BW33" t="str">
            <v>TIPA 302FG W</v>
          </cell>
          <cell r="BX33">
            <v>30</v>
          </cell>
          <cell r="BZ33" t="str">
            <v>618 W</v>
          </cell>
          <cell r="CC33">
            <v>56</v>
          </cell>
        </row>
        <row r="34">
          <cell r="BW34" t="str">
            <v>RM G Epotal ECO 3675</v>
          </cell>
          <cell r="BX34">
            <v>3</v>
          </cell>
          <cell r="BZ34" t="str">
            <v>618 W</v>
          </cell>
          <cell r="CC34">
            <v>56</v>
          </cell>
        </row>
        <row r="35">
          <cell r="BW35" t="str">
            <v>NK</v>
          </cell>
          <cell r="BX35">
            <v>23</v>
          </cell>
          <cell r="BZ35" t="str">
            <v>618 W</v>
          </cell>
          <cell r="CC35">
            <v>61</v>
          </cell>
        </row>
        <row r="36">
          <cell r="BW36" t="str">
            <v>TIPA 302FG W</v>
          </cell>
          <cell r="BX36">
            <v>35</v>
          </cell>
          <cell r="BZ36" t="str">
            <v>618 W</v>
          </cell>
          <cell r="CC36">
            <v>61</v>
          </cell>
        </row>
        <row r="37">
          <cell r="BW37" t="str">
            <v>RM G Epotal ECO 3675</v>
          </cell>
          <cell r="BX37">
            <v>3</v>
          </cell>
          <cell r="BZ37" t="str">
            <v>618 W</v>
          </cell>
          <cell r="CC37">
            <v>61</v>
          </cell>
        </row>
        <row r="38">
          <cell r="BW38" t="str">
            <v>NK</v>
          </cell>
          <cell r="BX38">
            <v>23</v>
          </cell>
          <cell r="BZ38" t="str">
            <v>618 W</v>
          </cell>
          <cell r="CC38">
            <v>66</v>
          </cell>
        </row>
        <row r="39">
          <cell r="BW39" t="str">
            <v>TIPA 302FG W</v>
          </cell>
          <cell r="BX39">
            <v>40</v>
          </cell>
          <cell r="BZ39" t="str">
            <v>618 W</v>
          </cell>
          <cell r="CC39">
            <v>66</v>
          </cell>
        </row>
        <row r="40">
          <cell r="BW40" t="str">
            <v>RM G Epotal ECO 3675</v>
          </cell>
          <cell r="BX40">
            <v>3</v>
          </cell>
          <cell r="BZ40" t="str">
            <v>618 W</v>
          </cell>
          <cell r="CC40">
            <v>66</v>
          </cell>
        </row>
        <row r="41">
          <cell r="BW41" t="str">
            <v>NK</v>
          </cell>
          <cell r="BX41">
            <v>23</v>
          </cell>
          <cell r="BZ41" t="str">
            <v>618 W</v>
          </cell>
          <cell r="CC41">
            <v>78</v>
          </cell>
        </row>
        <row r="42">
          <cell r="BW42" t="str">
            <v>TIPA 302FG W</v>
          </cell>
          <cell r="BX42">
            <v>52</v>
          </cell>
          <cell r="BZ42" t="str">
            <v>618 W</v>
          </cell>
          <cell r="CC42">
            <v>78</v>
          </cell>
        </row>
        <row r="43">
          <cell r="BW43" t="str">
            <v>RM G Epotal ECO 3675</v>
          </cell>
          <cell r="BX43">
            <v>3</v>
          </cell>
          <cell r="BZ43" t="str">
            <v>618 W</v>
          </cell>
          <cell r="CC43">
            <v>78</v>
          </cell>
        </row>
        <row r="44">
          <cell r="BW44" t="str">
            <v>NK</v>
          </cell>
          <cell r="BX44">
            <v>23</v>
          </cell>
          <cell r="BZ44" t="str">
            <v>618 W</v>
          </cell>
          <cell r="CC44">
            <v>86</v>
          </cell>
        </row>
        <row r="45">
          <cell r="BW45" t="str">
            <v>TIPA 302FG W</v>
          </cell>
          <cell r="BX45">
            <v>60</v>
          </cell>
          <cell r="BZ45" t="str">
            <v>618 W</v>
          </cell>
          <cell r="CC45">
            <v>86</v>
          </cell>
        </row>
        <row r="46">
          <cell r="BW46" t="str">
            <v>RM G Epotal ECO 3675</v>
          </cell>
          <cell r="BX46">
            <v>3</v>
          </cell>
          <cell r="BZ46" t="str">
            <v>618 W</v>
          </cell>
          <cell r="CC46">
            <v>86</v>
          </cell>
        </row>
        <row r="47">
          <cell r="BW47" t="str">
            <v>NK</v>
          </cell>
          <cell r="BX47">
            <v>23</v>
          </cell>
          <cell r="BZ47" t="str">
            <v>618 W</v>
          </cell>
          <cell r="CC47">
            <v>106</v>
          </cell>
        </row>
        <row r="48">
          <cell r="BW48" t="str">
            <v>TIPA 302FG W</v>
          </cell>
          <cell r="BX48">
            <v>80</v>
          </cell>
          <cell r="BZ48" t="str">
            <v>618 W</v>
          </cell>
          <cell r="CC48">
            <v>106</v>
          </cell>
        </row>
        <row r="49">
          <cell r="BW49" t="str">
            <v>RM G Epotal ECO 3675</v>
          </cell>
          <cell r="BX49">
            <v>3</v>
          </cell>
          <cell r="BZ49" t="str">
            <v>618 W</v>
          </cell>
          <cell r="CC49">
            <v>106</v>
          </cell>
        </row>
        <row r="50">
          <cell r="BW50" t="str">
            <v>NK</v>
          </cell>
          <cell r="BX50">
            <v>23</v>
          </cell>
          <cell r="BZ50">
            <v>418</v>
          </cell>
          <cell r="CC50">
            <v>51</v>
          </cell>
        </row>
        <row r="51">
          <cell r="BW51" t="str">
            <v>TIPA 312 MET</v>
          </cell>
          <cell r="BX51">
            <v>25</v>
          </cell>
          <cell r="BZ51">
            <v>418</v>
          </cell>
          <cell r="CC51">
            <v>51</v>
          </cell>
        </row>
        <row r="52">
          <cell r="BW52" t="str">
            <v>RM G Epotal ECO 3675</v>
          </cell>
          <cell r="BX52">
            <v>3</v>
          </cell>
          <cell r="BZ52">
            <v>418</v>
          </cell>
          <cell r="CC52">
            <v>51</v>
          </cell>
        </row>
        <row r="53">
          <cell r="BW53" t="str">
            <v>NK</v>
          </cell>
          <cell r="BX53">
            <v>23</v>
          </cell>
          <cell r="BZ53">
            <v>648</v>
          </cell>
          <cell r="CC53">
            <v>100</v>
          </cell>
        </row>
        <row r="54">
          <cell r="BW54" t="str">
            <v>TIPA 302FG</v>
          </cell>
          <cell r="BX54">
            <v>73</v>
          </cell>
          <cell r="BZ54">
            <v>648</v>
          </cell>
          <cell r="CC54">
            <v>100</v>
          </cell>
        </row>
        <row r="55">
          <cell r="BW55" t="str">
            <v>RM G Epotal Eco 3702</v>
          </cell>
          <cell r="BX55">
            <v>4</v>
          </cell>
          <cell r="BZ55">
            <v>648</v>
          </cell>
          <cell r="CC55">
            <v>100</v>
          </cell>
        </row>
        <row r="56">
          <cell r="BW56" t="str">
            <v>RM G Basonat HW 2270</v>
          </cell>
          <cell r="BX56">
            <v>8.99999999999999E-2</v>
          </cell>
          <cell r="BZ56">
            <v>648</v>
          </cell>
          <cell r="CC56">
            <v>100</v>
          </cell>
        </row>
        <row r="57">
          <cell r="BW57" t="str">
            <v>NK</v>
          </cell>
          <cell r="BX57">
            <v>23</v>
          </cell>
          <cell r="BZ57">
            <v>648</v>
          </cell>
          <cell r="CC57">
            <v>63</v>
          </cell>
        </row>
        <row r="58">
          <cell r="BW58" t="str">
            <v>TIPA 302FG</v>
          </cell>
          <cell r="BX58">
            <v>35</v>
          </cell>
          <cell r="BZ58">
            <v>648</v>
          </cell>
          <cell r="CC58">
            <v>63</v>
          </cell>
        </row>
        <row r="59">
          <cell r="BW59" t="str">
            <v>RM G Epotal Eco 3702</v>
          </cell>
          <cell r="BX59">
            <v>5</v>
          </cell>
          <cell r="BZ59">
            <v>648</v>
          </cell>
          <cell r="CC59">
            <v>63</v>
          </cell>
        </row>
        <row r="60">
          <cell r="BW60" t="str">
            <v>RM G Basonat HW 2270</v>
          </cell>
          <cell r="BX60">
            <v>8.99999999999999E-2</v>
          </cell>
          <cell r="BZ60">
            <v>648</v>
          </cell>
          <cell r="CC60">
            <v>63</v>
          </cell>
        </row>
        <row r="61">
          <cell r="BW61" t="str">
            <v>NK</v>
          </cell>
          <cell r="BX61">
            <v>23</v>
          </cell>
          <cell r="BZ61">
            <v>428</v>
          </cell>
          <cell r="CC61">
            <v>80</v>
          </cell>
        </row>
        <row r="62">
          <cell r="BW62" t="str">
            <v>TIPA 312 MET</v>
          </cell>
          <cell r="BX62">
            <v>25</v>
          </cell>
          <cell r="BZ62">
            <v>428</v>
          </cell>
          <cell r="CC62">
            <v>80</v>
          </cell>
        </row>
        <row r="63">
          <cell r="BW63" t="str">
            <v>TIPA 312 MET</v>
          </cell>
          <cell r="BX63">
            <v>25</v>
          </cell>
          <cell r="BZ63">
            <v>428</v>
          </cell>
          <cell r="CC63">
            <v>80</v>
          </cell>
        </row>
        <row r="64">
          <cell r="BW64" t="str">
            <v>RM G Epotal ECO 3675</v>
          </cell>
          <cell r="BX64">
            <v>7</v>
          </cell>
          <cell r="BZ64">
            <v>428</v>
          </cell>
          <cell r="CC64">
            <v>80</v>
          </cell>
        </row>
        <row r="65">
          <cell r="BW65" t="str">
            <v>NK</v>
          </cell>
          <cell r="BX65">
            <v>23</v>
          </cell>
          <cell r="BZ65">
            <v>918</v>
          </cell>
          <cell r="CC65">
            <v>51</v>
          </cell>
        </row>
        <row r="66">
          <cell r="BW66" t="str">
            <v>TIPA 312 MET</v>
          </cell>
          <cell r="BX66">
            <v>25</v>
          </cell>
          <cell r="BZ66">
            <v>918</v>
          </cell>
          <cell r="CC66">
            <v>51</v>
          </cell>
        </row>
        <row r="67">
          <cell r="BW67" t="str">
            <v>RM G Epotal Eco 3702</v>
          </cell>
          <cell r="BX67">
            <v>2.91</v>
          </cell>
          <cell r="BZ67">
            <v>918</v>
          </cell>
          <cell r="CC67">
            <v>51</v>
          </cell>
        </row>
        <row r="68">
          <cell r="BW68" t="str">
            <v>RM G Basonat HW 2270</v>
          </cell>
          <cell r="BX68">
            <v>0.09</v>
          </cell>
          <cell r="BZ68">
            <v>918</v>
          </cell>
          <cell r="CC68">
            <v>51</v>
          </cell>
        </row>
        <row r="69">
          <cell r="BW69" t="str">
            <v>NK</v>
          </cell>
          <cell r="BX69">
            <v>23</v>
          </cell>
          <cell r="BZ69">
            <v>928</v>
          </cell>
          <cell r="CC69">
            <v>79</v>
          </cell>
        </row>
        <row r="70">
          <cell r="BW70" t="str">
            <v>TIPA 312 MET</v>
          </cell>
          <cell r="BX70">
            <v>25</v>
          </cell>
          <cell r="BZ70">
            <v>928</v>
          </cell>
          <cell r="CC70">
            <v>79</v>
          </cell>
        </row>
        <row r="71">
          <cell r="BW71" t="str">
            <v>RM G Epotal Eco 3702</v>
          </cell>
          <cell r="BX71">
            <v>5.82</v>
          </cell>
          <cell r="BZ71">
            <v>928</v>
          </cell>
          <cell r="CC71">
            <v>79</v>
          </cell>
        </row>
        <row r="72">
          <cell r="BW72" t="str">
            <v>RM G Basonat HW 2270</v>
          </cell>
          <cell r="BX72">
            <v>0.18</v>
          </cell>
          <cell r="BZ72">
            <v>928</v>
          </cell>
          <cell r="CC72">
            <v>79</v>
          </cell>
        </row>
        <row r="73">
          <cell r="BW73" t="str">
            <v>NK</v>
          </cell>
          <cell r="BX73">
            <v>23</v>
          </cell>
          <cell r="BZ73">
            <v>819</v>
          </cell>
          <cell r="CC73">
            <v>121</v>
          </cell>
        </row>
        <row r="74">
          <cell r="BW74" t="str">
            <v>TIPA 302FG</v>
          </cell>
          <cell r="BX74">
            <v>25</v>
          </cell>
          <cell r="BZ74">
            <v>819</v>
          </cell>
          <cell r="CC74">
            <v>121</v>
          </cell>
        </row>
        <row r="75">
          <cell r="BW75" t="str">
            <v>Billerud Kraft White Paper</v>
          </cell>
          <cell r="BX75">
            <v>67</v>
          </cell>
          <cell r="BZ75">
            <v>819</v>
          </cell>
          <cell r="CC75">
            <v>121</v>
          </cell>
        </row>
        <row r="76">
          <cell r="BW76" t="str">
            <v>RM G Epotal ECO 3675</v>
          </cell>
          <cell r="BX76">
            <v>6</v>
          </cell>
          <cell r="BZ76">
            <v>819</v>
          </cell>
          <cell r="CC76">
            <v>121</v>
          </cell>
        </row>
        <row r="77">
          <cell r="BW77" t="str">
            <v>NK</v>
          </cell>
          <cell r="BX77">
            <v>23</v>
          </cell>
          <cell r="BZ77">
            <v>919</v>
          </cell>
          <cell r="CC77">
            <v>121</v>
          </cell>
        </row>
        <row r="78">
          <cell r="BW78" t="str">
            <v>TIPA 302FG</v>
          </cell>
          <cell r="BX78">
            <v>25</v>
          </cell>
          <cell r="BZ78">
            <v>919</v>
          </cell>
          <cell r="CC78">
            <v>121</v>
          </cell>
        </row>
        <row r="79">
          <cell r="BW79" t="str">
            <v>Billerud Kraft White Paper</v>
          </cell>
          <cell r="BX79">
            <v>67</v>
          </cell>
          <cell r="BZ79">
            <v>919</v>
          </cell>
          <cell r="CC79">
            <v>121</v>
          </cell>
        </row>
        <row r="80">
          <cell r="BW80" t="str">
            <v>RM G Epotal Eco 3702</v>
          </cell>
          <cell r="BX80">
            <v>5.82</v>
          </cell>
          <cell r="BZ80">
            <v>919</v>
          </cell>
          <cell r="CC80">
            <v>121</v>
          </cell>
        </row>
        <row r="81">
          <cell r="BW81" t="str">
            <v>RM G Basonat HW 2270</v>
          </cell>
          <cell r="BX81">
            <v>0.18</v>
          </cell>
          <cell r="BZ81">
            <v>919</v>
          </cell>
          <cell r="CC81">
            <v>121</v>
          </cell>
        </row>
        <row r="82">
          <cell r="BW82" t="str">
            <v>NK</v>
          </cell>
          <cell r="BX82">
            <v>23</v>
          </cell>
          <cell r="BZ82">
            <v>823</v>
          </cell>
          <cell r="CC82">
            <v>121</v>
          </cell>
        </row>
        <row r="83">
          <cell r="BW83" t="str">
            <v>TIPA 312 MET</v>
          </cell>
          <cell r="BX83">
            <v>25</v>
          </cell>
          <cell r="BZ83">
            <v>823</v>
          </cell>
          <cell r="CC83">
            <v>121</v>
          </cell>
        </row>
        <row r="84">
          <cell r="BW84" t="str">
            <v>Billerud Kraft White Paper</v>
          </cell>
          <cell r="BX84">
            <v>67</v>
          </cell>
          <cell r="BZ84">
            <v>823</v>
          </cell>
          <cell r="CC84">
            <v>121</v>
          </cell>
        </row>
        <row r="85">
          <cell r="BW85" t="str">
            <v>RM G Epotal ECO 3675</v>
          </cell>
          <cell r="BX85">
            <v>6</v>
          </cell>
          <cell r="BZ85">
            <v>823</v>
          </cell>
          <cell r="CC85">
            <v>121</v>
          </cell>
        </row>
        <row r="86">
          <cell r="BW86" t="str">
            <v>NK</v>
          </cell>
          <cell r="BX86">
            <v>23</v>
          </cell>
          <cell r="BZ86">
            <v>923</v>
          </cell>
          <cell r="CC86">
            <v>121</v>
          </cell>
        </row>
        <row r="87">
          <cell r="BW87" t="str">
            <v>TIPA 312 MET</v>
          </cell>
          <cell r="BX87">
            <v>25</v>
          </cell>
          <cell r="BZ87">
            <v>923</v>
          </cell>
          <cell r="CC87">
            <v>121</v>
          </cell>
        </row>
        <row r="88">
          <cell r="BW88" t="str">
            <v>Billerud Kraft White Paper</v>
          </cell>
          <cell r="BX88">
            <v>67</v>
          </cell>
          <cell r="BZ88">
            <v>923</v>
          </cell>
          <cell r="CC88">
            <v>121</v>
          </cell>
        </row>
        <row r="89">
          <cell r="BW89" t="str">
            <v>RM G Epotal Eco 3702</v>
          </cell>
          <cell r="BX89">
            <v>5.82</v>
          </cell>
          <cell r="BZ89">
            <v>923</v>
          </cell>
          <cell r="CC89">
            <v>121</v>
          </cell>
        </row>
        <row r="90">
          <cell r="BW90" t="str">
            <v>RM G Basonat HW 2270</v>
          </cell>
          <cell r="BX90">
            <v>0.18</v>
          </cell>
          <cell r="BZ90">
            <v>923</v>
          </cell>
          <cell r="CC90">
            <v>121</v>
          </cell>
        </row>
        <row r="91">
          <cell r="BW91" t="str">
            <v>TIPA 302FG</v>
          </cell>
          <cell r="BX91">
            <v>25</v>
          </cell>
          <cell r="BZ91" t="str">
            <v>821M</v>
          </cell>
          <cell r="CC91">
            <v>79</v>
          </cell>
        </row>
        <row r="92">
          <cell r="BW92" t="str">
            <v>NK White</v>
          </cell>
          <cell r="BX92">
            <v>22</v>
          </cell>
          <cell r="BZ92" t="str">
            <v>821M</v>
          </cell>
          <cell r="CC92">
            <v>79</v>
          </cell>
        </row>
        <row r="93">
          <cell r="BW93" t="str">
            <v> NK MATT</v>
          </cell>
          <cell r="BX93">
            <v>25</v>
          </cell>
          <cell r="BZ93" t="str">
            <v>821M</v>
          </cell>
          <cell r="CC93">
            <v>79</v>
          </cell>
        </row>
        <row r="94">
          <cell r="BW94" t="str">
            <v>RM G Epotal ECO 3675</v>
          </cell>
          <cell r="BX94">
            <v>6</v>
          </cell>
          <cell r="BZ94" t="str">
            <v>821M</v>
          </cell>
          <cell r="CC94">
            <v>79</v>
          </cell>
        </row>
        <row r="95">
          <cell r="BW95" t="str">
            <v>TIPA 302FG</v>
          </cell>
          <cell r="BX95">
            <v>25</v>
          </cell>
          <cell r="BZ95">
            <v>120</v>
          </cell>
          <cell r="CC95">
            <v>98</v>
          </cell>
        </row>
        <row r="96">
          <cell r="BW96" t="str">
            <v>ALU</v>
          </cell>
          <cell r="BX96">
            <v>7</v>
          </cell>
          <cell r="BZ96">
            <v>120</v>
          </cell>
          <cell r="CC96">
            <v>98</v>
          </cell>
        </row>
        <row r="97">
          <cell r="BW97" t="str">
            <v>Billerud Kraft White Paper</v>
          </cell>
          <cell r="BX97">
            <v>60</v>
          </cell>
          <cell r="BZ97">
            <v>120</v>
          </cell>
          <cell r="CC97">
            <v>98</v>
          </cell>
        </row>
        <row r="98">
          <cell r="BW98" t="str">
            <v>RM G Epotal ECO 3675</v>
          </cell>
          <cell r="BX98">
            <v>6</v>
          </cell>
          <cell r="BZ98">
            <v>120</v>
          </cell>
          <cell r="CC98">
            <v>98</v>
          </cell>
        </row>
        <row r="99">
          <cell r="BW99" t="str">
            <v>TIPA 306M</v>
          </cell>
          <cell r="BX99">
            <v>20</v>
          </cell>
          <cell r="BZ99">
            <v>748</v>
          </cell>
          <cell r="CC99">
            <v>55</v>
          </cell>
        </row>
        <row r="100">
          <cell r="BW100" t="str">
            <v>NVS</v>
          </cell>
          <cell r="BX100">
            <v>23</v>
          </cell>
          <cell r="BZ100">
            <v>748</v>
          </cell>
          <cell r="CC100">
            <v>55</v>
          </cell>
        </row>
        <row r="101">
          <cell r="BW101" t="str">
            <v>RM G Epotal Eco 3702</v>
          </cell>
          <cell r="BX101">
            <v>6</v>
          </cell>
          <cell r="BZ101">
            <v>748</v>
          </cell>
          <cell r="CC101">
            <v>55</v>
          </cell>
        </row>
        <row r="102">
          <cell r="BW102" t="str">
            <v>ALU</v>
          </cell>
          <cell r="BX102">
            <v>6</v>
          </cell>
          <cell r="BZ102">
            <v>748</v>
          </cell>
          <cell r="CC102">
            <v>55</v>
          </cell>
        </row>
        <row r="103">
          <cell r="BW103" t="str">
            <v>RM G Basonat HW 2270</v>
          </cell>
          <cell r="BX103">
            <v>0.18</v>
          </cell>
          <cell r="BZ103">
            <v>748</v>
          </cell>
          <cell r="CC103">
            <v>55</v>
          </cell>
        </row>
        <row r="104">
          <cell r="BW104" t="str">
            <v>NK</v>
          </cell>
          <cell r="BX104">
            <v>23</v>
          </cell>
          <cell r="BZ104">
            <v>648</v>
          </cell>
          <cell r="CC104">
            <v>77</v>
          </cell>
        </row>
        <row r="105">
          <cell r="BW105" t="str">
            <v>TIPA 302FG</v>
          </cell>
          <cell r="BX105">
            <v>50</v>
          </cell>
          <cell r="BZ105">
            <v>648</v>
          </cell>
          <cell r="CC105">
            <v>77</v>
          </cell>
        </row>
        <row r="106">
          <cell r="BW106" t="str">
            <v>RM G Epotal Eco 3702</v>
          </cell>
          <cell r="BX106">
            <v>4</v>
          </cell>
          <cell r="BZ106">
            <v>648</v>
          </cell>
          <cell r="CC106">
            <v>77</v>
          </cell>
        </row>
        <row r="107">
          <cell r="BW107" t="str">
            <v>RM G Basonat HW 2270</v>
          </cell>
          <cell r="BX107">
            <v>0.09</v>
          </cell>
          <cell r="BZ107">
            <v>648</v>
          </cell>
          <cell r="CC107">
            <v>77</v>
          </cell>
        </row>
        <row r="108">
          <cell r="BW108" t="str">
            <v>NK</v>
          </cell>
          <cell r="BX108">
            <v>23</v>
          </cell>
          <cell r="BZ108">
            <v>648</v>
          </cell>
          <cell r="CC108">
            <v>53</v>
          </cell>
        </row>
        <row r="109">
          <cell r="BW109" t="str">
            <v>TIPA 302FG</v>
          </cell>
          <cell r="BX109">
            <v>27</v>
          </cell>
          <cell r="BZ109">
            <v>648</v>
          </cell>
          <cell r="CC109">
            <v>53</v>
          </cell>
        </row>
        <row r="110">
          <cell r="BW110" t="str">
            <v>RM G Epotal Eco 3702</v>
          </cell>
          <cell r="BX110">
            <v>3</v>
          </cell>
          <cell r="BZ110">
            <v>648</v>
          </cell>
          <cell r="CC110">
            <v>53</v>
          </cell>
        </row>
        <row r="111">
          <cell r="BW111" t="str">
            <v>RM G Basonat HW 2270</v>
          </cell>
          <cell r="BX111">
            <v>8.99999999999999E-2</v>
          </cell>
          <cell r="BZ111">
            <v>648</v>
          </cell>
          <cell r="CC111">
            <v>53</v>
          </cell>
        </row>
        <row r="112">
          <cell r="BW112" t="str">
            <v>TIPA 302FG W</v>
          </cell>
          <cell r="BX112">
            <v>25</v>
          </cell>
          <cell r="BZ112" t="str">
            <v>818W</v>
          </cell>
          <cell r="CC112">
            <v>103</v>
          </cell>
        </row>
        <row r="113">
          <cell r="BW113" t="str">
            <v> NK MATT</v>
          </cell>
          <cell r="BX113">
            <v>23</v>
          </cell>
          <cell r="BZ113" t="str">
            <v>818W</v>
          </cell>
          <cell r="CC113">
            <v>103</v>
          </cell>
        </row>
        <row r="114">
          <cell r="BW114" t="str">
            <v>Billerud Kraft White Paper</v>
          </cell>
          <cell r="BX114">
            <v>50</v>
          </cell>
          <cell r="BZ114" t="str">
            <v>818W</v>
          </cell>
          <cell r="CC114">
            <v>103</v>
          </cell>
        </row>
        <row r="115">
          <cell r="BW115" t="str">
            <v>RM G Epotal ECO 3675</v>
          </cell>
          <cell r="BX115">
            <v>5</v>
          </cell>
          <cell r="BZ115" t="str">
            <v>818W</v>
          </cell>
          <cell r="CC115">
            <v>103</v>
          </cell>
        </row>
        <row r="116">
          <cell r="BW116" t="str">
            <v>TIPA 306M</v>
          </cell>
          <cell r="BX116">
            <v>30</v>
          </cell>
          <cell r="BZ116">
            <v>724</v>
          </cell>
          <cell r="CC116">
            <v>68.349999999999994</v>
          </cell>
        </row>
        <row r="117">
          <cell r="BW117" t="str">
            <v>Samtack adhesive</v>
          </cell>
          <cell r="BX117">
            <v>5</v>
          </cell>
          <cell r="BZ117">
            <v>724</v>
          </cell>
          <cell r="CC117">
            <v>68.349999999999994</v>
          </cell>
        </row>
        <row r="118">
          <cell r="BW118" t="str">
            <v>ALU</v>
          </cell>
          <cell r="BX118">
            <v>6.35</v>
          </cell>
          <cell r="BZ118">
            <v>724</v>
          </cell>
          <cell r="CC118">
            <v>68.349999999999994</v>
          </cell>
        </row>
        <row r="119">
          <cell r="BW119" t="str">
            <v>Nuvita coating</v>
          </cell>
          <cell r="BX119">
            <v>4</v>
          </cell>
          <cell r="BZ119">
            <v>724</v>
          </cell>
          <cell r="CC119">
            <v>68.349999999999994</v>
          </cell>
        </row>
        <row r="120">
          <cell r="BW120" t="str">
            <v>NVS</v>
          </cell>
          <cell r="BX120">
            <v>23</v>
          </cell>
          <cell r="BZ120">
            <v>724</v>
          </cell>
          <cell r="CC120">
            <v>68.349999999999994</v>
          </cell>
        </row>
        <row r="121">
          <cell r="BW121">
            <v>0</v>
          </cell>
          <cell r="BX121">
            <v>0</v>
          </cell>
          <cell r="BZ121">
            <v>0</v>
          </cell>
          <cell r="CC121">
            <v>0</v>
          </cell>
        </row>
        <row r="122">
          <cell r="BW122">
            <v>0</v>
          </cell>
          <cell r="BX122">
            <v>0</v>
          </cell>
          <cell r="BZ122">
            <v>0</v>
          </cell>
          <cell r="CC122">
            <v>0</v>
          </cell>
        </row>
        <row r="123">
          <cell r="BW123">
            <v>0</v>
          </cell>
          <cell r="BX123">
            <v>0</v>
          </cell>
          <cell r="BZ123">
            <v>0</v>
          </cell>
          <cell r="CC123">
            <v>0</v>
          </cell>
        </row>
        <row r="124">
          <cell r="BW124">
            <v>0</v>
          </cell>
          <cell r="BX124">
            <v>0</v>
          </cell>
          <cell r="BZ124">
            <v>0</v>
          </cell>
          <cell r="CC124">
            <v>0</v>
          </cell>
        </row>
        <row r="125">
          <cell r="BW125">
            <v>0</v>
          </cell>
          <cell r="BX125">
            <v>0</v>
          </cell>
          <cell r="BZ125">
            <v>0</v>
          </cell>
          <cell r="CC125">
            <v>0</v>
          </cell>
        </row>
        <row r="126">
          <cell r="BW126">
            <v>0</v>
          </cell>
          <cell r="BX126">
            <v>0</v>
          </cell>
          <cell r="BZ126">
            <v>0</v>
          </cell>
          <cell r="CC126">
            <v>0</v>
          </cell>
        </row>
        <row r="127">
          <cell r="BW127">
            <v>0</v>
          </cell>
          <cell r="BX127">
            <v>0</v>
          </cell>
          <cell r="BZ127">
            <v>0</v>
          </cell>
          <cell r="CC127">
            <v>0</v>
          </cell>
        </row>
        <row r="128">
          <cell r="BW128">
            <v>0</v>
          </cell>
          <cell r="BX128">
            <v>0</v>
          </cell>
          <cell r="BZ128">
            <v>0</v>
          </cell>
          <cell r="CC128">
            <v>0</v>
          </cell>
        </row>
        <row r="129">
          <cell r="BW129">
            <v>0</v>
          </cell>
          <cell r="BX129">
            <v>0</v>
          </cell>
          <cell r="BZ129">
            <v>0</v>
          </cell>
          <cell r="CC129">
            <v>0</v>
          </cell>
        </row>
        <row r="130">
          <cell r="BW130">
            <v>0</v>
          </cell>
          <cell r="BX130">
            <v>0</v>
          </cell>
          <cell r="BZ130">
            <v>0</v>
          </cell>
          <cell r="CC130">
            <v>0</v>
          </cell>
        </row>
        <row r="131">
          <cell r="BW131">
            <v>0</v>
          </cell>
          <cell r="BX131">
            <v>0</v>
          </cell>
          <cell r="BZ131">
            <v>0</v>
          </cell>
          <cell r="CC131">
            <v>0</v>
          </cell>
        </row>
        <row r="132">
          <cell r="BW132">
            <v>0</v>
          </cell>
          <cell r="BX132">
            <v>0</v>
          </cell>
          <cell r="BZ132">
            <v>0</v>
          </cell>
          <cell r="CC132">
            <v>0</v>
          </cell>
        </row>
        <row r="133">
          <cell r="BW133">
            <v>0</v>
          </cell>
          <cell r="BX133">
            <v>0</v>
          </cell>
          <cell r="BZ133">
            <v>0</v>
          </cell>
          <cell r="CC133">
            <v>0</v>
          </cell>
        </row>
        <row r="134">
          <cell r="BW134">
            <v>0</v>
          </cell>
          <cell r="BX134">
            <v>0</v>
          </cell>
          <cell r="BZ134">
            <v>0</v>
          </cell>
          <cell r="CC134">
            <v>0</v>
          </cell>
        </row>
        <row r="135">
          <cell r="BW135">
            <v>0</v>
          </cell>
          <cell r="BX135">
            <v>0</v>
          </cell>
          <cell r="BZ135">
            <v>0</v>
          </cell>
          <cell r="CC135">
            <v>0</v>
          </cell>
        </row>
        <row r="136">
          <cell r="BW136">
            <v>0</v>
          </cell>
          <cell r="BX136">
            <v>0</v>
          </cell>
          <cell r="BZ136">
            <v>0</v>
          </cell>
          <cell r="CC136">
            <v>0</v>
          </cell>
        </row>
        <row r="137">
          <cell r="BW137">
            <v>0</v>
          </cell>
          <cell r="BX137">
            <v>0</v>
          </cell>
          <cell r="BZ137">
            <v>0</v>
          </cell>
          <cell r="CC137">
            <v>0</v>
          </cell>
        </row>
        <row r="138">
          <cell r="BW138">
            <v>0</v>
          </cell>
          <cell r="BX138">
            <v>0</v>
          </cell>
          <cell r="BZ138">
            <v>0</v>
          </cell>
          <cell r="CC138">
            <v>0</v>
          </cell>
        </row>
        <row r="139">
          <cell r="BW139">
            <v>0</v>
          </cell>
          <cell r="BX139">
            <v>0</v>
          </cell>
          <cell r="BZ139">
            <v>0</v>
          </cell>
          <cell r="CC139">
            <v>0</v>
          </cell>
        </row>
        <row r="140">
          <cell r="BW140">
            <v>0</v>
          </cell>
          <cell r="BX140">
            <v>0</v>
          </cell>
          <cell r="BZ140">
            <v>0</v>
          </cell>
          <cell r="CC140">
            <v>0</v>
          </cell>
        </row>
        <row r="141">
          <cell r="BW141">
            <v>0</v>
          </cell>
          <cell r="BX141">
            <v>0</v>
          </cell>
          <cell r="BZ141">
            <v>0</v>
          </cell>
          <cell r="CC141">
            <v>0</v>
          </cell>
        </row>
        <row r="142">
          <cell r="BW142">
            <v>0</v>
          </cell>
          <cell r="BX142">
            <v>0</v>
          </cell>
          <cell r="BZ142">
            <v>0</v>
          </cell>
          <cell r="CC142">
            <v>0</v>
          </cell>
        </row>
        <row r="143">
          <cell r="BW143">
            <v>0</v>
          </cell>
          <cell r="BX143">
            <v>0</v>
          </cell>
          <cell r="BZ143">
            <v>0</v>
          </cell>
          <cell r="CC143">
            <v>0</v>
          </cell>
        </row>
        <row r="144">
          <cell r="BW144">
            <v>0</v>
          </cell>
          <cell r="BX144">
            <v>0</v>
          </cell>
          <cell r="BZ144">
            <v>0</v>
          </cell>
          <cell r="CC144">
            <v>0</v>
          </cell>
        </row>
        <row r="145">
          <cell r="BW145">
            <v>0</v>
          </cell>
          <cell r="BX145">
            <v>0</v>
          </cell>
          <cell r="BZ145">
            <v>0</v>
          </cell>
          <cell r="CC145">
            <v>0</v>
          </cell>
        </row>
        <row r="146">
          <cell r="BW146">
            <v>0</v>
          </cell>
          <cell r="BX146">
            <v>0</v>
          </cell>
          <cell r="BZ146">
            <v>0</v>
          </cell>
          <cell r="CC146">
            <v>0</v>
          </cell>
        </row>
        <row r="147">
          <cell r="BW147">
            <v>0</v>
          </cell>
          <cell r="BX147">
            <v>0</v>
          </cell>
          <cell r="BZ147">
            <v>0</v>
          </cell>
          <cell r="CC147">
            <v>0</v>
          </cell>
        </row>
        <row r="148">
          <cell r="BW148">
            <v>0</v>
          </cell>
          <cell r="BX148">
            <v>0</v>
          </cell>
          <cell r="BZ148">
            <v>0</v>
          </cell>
          <cell r="CC148">
            <v>0</v>
          </cell>
        </row>
        <row r="149">
          <cell r="BW149">
            <v>0</v>
          </cell>
          <cell r="BX149">
            <v>0</v>
          </cell>
          <cell r="BZ149">
            <v>0</v>
          </cell>
          <cell r="CC149">
            <v>0</v>
          </cell>
        </row>
        <row r="150">
          <cell r="BW150">
            <v>0</v>
          </cell>
          <cell r="BX150">
            <v>0</v>
          </cell>
          <cell r="BZ150">
            <v>0</v>
          </cell>
          <cell r="CC150">
            <v>0</v>
          </cell>
        </row>
        <row r="151">
          <cell r="BW151">
            <v>0</v>
          </cell>
          <cell r="BX151">
            <v>0</v>
          </cell>
          <cell r="BZ151">
            <v>0</v>
          </cell>
          <cell r="CC151">
            <v>0</v>
          </cell>
        </row>
        <row r="152">
          <cell r="BW152">
            <v>0</v>
          </cell>
          <cell r="BX152">
            <v>0</v>
          </cell>
          <cell r="BZ152">
            <v>0</v>
          </cell>
          <cell r="CC152">
            <v>0</v>
          </cell>
        </row>
        <row r="153">
          <cell r="BW153">
            <v>0</v>
          </cell>
          <cell r="BX153">
            <v>0</v>
          </cell>
          <cell r="BZ153">
            <v>0</v>
          </cell>
          <cell r="CC153">
            <v>0</v>
          </cell>
        </row>
        <row r="154">
          <cell r="BW154">
            <v>0</v>
          </cell>
          <cell r="BX154">
            <v>0</v>
          </cell>
          <cell r="BZ154">
            <v>0</v>
          </cell>
          <cell r="CC154">
            <v>0</v>
          </cell>
        </row>
        <row r="155">
          <cell r="BW155">
            <v>0</v>
          </cell>
          <cell r="BX155">
            <v>0</v>
          </cell>
          <cell r="BZ155">
            <v>0</v>
          </cell>
          <cell r="CC155">
            <v>0</v>
          </cell>
        </row>
        <row r="156">
          <cell r="BW156">
            <v>0</v>
          </cell>
          <cell r="BX156">
            <v>0</v>
          </cell>
          <cell r="BZ156">
            <v>0</v>
          </cell>
          <cell r="CC156">
            <v>0</v>
          </cell>
        </row>
        <row r="157">
          <cell r="BW157">
            <v>0</v>
          </cell>
          <cell r="BX157">
            <v>0</v>
          </cell>
          <cell r="BZ157">
            <v>0</v>
          </cell>
          <cell r="CC157">
            <v>0</v>
          </cell>
        </row>
        <row r="158">
          <cell r="BW158">
            <v>0</v>
          </cell>
          <cell r="BX158">
            <v>0</v>
          </cell>
          <cell r="BZ158">
            <v>0</v>
          </cell>
          <cell r="CC158">
            <v>0</v>
          </cell>
        </row>
        <row r="159">
          <cell r="BW159">
            <v>0</v>
          </cell>
          <cell r="BX159">
            <v>0</v>
          </cell>
          <cell r="BZ159">
            <v>0</v>
          </cell>
          <cell r="CC159">
            <v>0</v>
          </cell>
        </row>
        <row r="160">
          <cell r="BW160">
            <v>0</v>
          </cell>
          <cell r="BX160">
            <v>0</v>
          </cell>
          <cell r="BZ160">
            <v>0</v>
          </cell>
          <cell r="CC160">
            <v>0</v>
          </cell>
        </row>
        <row r="161">
          <cell r="BW161">
            <v>0</v>
          </cell>
          <cell r="BX161">
            <v>0</v>
          </cell>
          <cell r="BZ161">
            <v>0</v>
          </cell>
          <cell r="CC161">
            <v>0</v>
          </cell>
        </row>
        <row r="162">
          <cell r="BW162">
            <v>0</v>
          </cell>
          <cell r="BX162">
            <v>0</v>
          </cell>
          <cell r="BZ162">
            <v>0</v>
          </cell>
          <cell r="CC162">
            <v>0</v>
          </cell>
        </row>
        <row r="163">
          <cell r="BW163">
            <v>0</v>
          </cell>
          <cell r="BX163">
            <v>0</v>
          </cell>
          <cell r="BZ163">
            <v>0</v>
          </cell>
          <cell r="CC163">
            <v>0</v>
          </cell>
        </row>
        <row r="164">
          <cell r="BW164">
            <v>0</v>
          </cell>
          <cell r="BX164">
            <v>0</v>
          </cell>
          <cell r="BZ164">
            <v>0</v>
          </cell>
          <cell r="CC164">
            <v>0</v>
          </cell>
        </row>
        <row r="165">
          <cell r="BW165">
            <v>0</v>
          </cell>
          <cell r="BX165">
            <v>0</v>
          </cell>
          <cell r="BZ165">
            <v>0</v>
          </cell>
          <cell r="CC165">
            <v>0</v>
          </cell>
        </row>
        <row r="166">
          <cell r="BW166">
            <v>0</v>
          </cell>
          <cell r="BX166">
            <v>0</v>
          </cell>
          <cell r="BZ166">
            <v>0</v>
          </cell>
          <cell r="CC166">
            <v>0</v>
          </cell>
        </row>
        <row r="167">
          <cell r="BW167">
            <v>0</v>
          </cell>
          <cell r="BX167">
            <v>0</v>
          </cell>
          <cell r="BZ167">
            <v>0</v>
          </cell>
          <cell r="CC167">
            <v>0</v>
          </cell>
        </row>
        <row r="168">
          <cell r="BW168">
            <v>0</v>
          </cell>
          <cell r="BX168">
            <v>0</v>
          </cell>
          <cell r="BZ168">
            <v>0</v>
          </cell>
          <cell r="CC168">
            <v>0</v>
          </cell>
        </row>
        <row r="169">
          <cell r="BW169" t="str">
            <v>NK</v>
          </cell>
          <cell r="BX169">
            <v>23</v>
          </cell>
          <cell r="BZ169" t="str">
            <v>648W</v>
          </cell>
          <cell r="CC169">
            <v>106</v>
          </cell>
        </row>
        <row r="170">
          <cell r="BW170" t="str">
            <v>TIPA 302FG W</v>
          </cell>
          <cell r="BX170">
            <v>80</v>
          </cell>
          <cell r="BZ170" t="str">
            <v>648W</v>
          </cell>
          <cell r="CC170">
            <v>106</v>
          </cell>
        </row>
        <row r="171">
          <cell r="BW171" t="str">
            <v>RM G Epotal Eco 3702</v>
          </cell>
          <cell r="BX171">
            <v>2.91</v>
          </cell>
          <cell r="BZ171" t="str">
            <v>648W</v>
          </cell>
          <cell r="CC171">
            <v>106</v>
          </cell>
        </row>
        <row r="172">
          <cell r="BW172" t="str">
            <v>RM G Basonat HW 2270</v>
          </cell>
          <cell r="BX172">
            <v>8.99999999999999E-2</v>
          </cell>
          <cell r="BZ172" t="str">
            <v>648W</v>
          </cell>
          <cell r="CC172">
            <v>106</v>
          </cell>
        </row>
        <row r="173">
          <cell r="BW173" t="str">
            <v>NK</v>
          </cell>
          <cell r="BX173">
            <v>23</v>
          </cell>
          <cell r="BZ173" t="str">
            <v>648W</v>
          </cell>
          <cell r="CC173">
            <v>63</v>
          </cell>
        </row>
        <row r="174">
          <cell r="BW174" t="str">
            <v>TIPA 302FG W</v>
          </cell>
          <cell r="BX174">
            <v>35</v>
          </cell>
          <cell r="BZ174" t="str">
            <v>648W</v>
          </cell>
          <cell r="CC174">
            <v>63</v>
          </cell>
        </row>
        <row r="175">
          <cell r="BW175" t="str">
            <v>RM G Epotal Eco 3702</v>
          </cell>
          <cell r="BX175">
            <v>5</v>
          </cell>
          <cell r="BZ175" t="str">
            <v>648W</v>
          </cell>
          <cell r="CC175">
            <v>63</v>
          </cell>
        </row>
        <row r="176">
          <cell r="BW176" t="str">
            <v>RM G Basonat HW 2270</v>
          </cell>
          <cell r="BX176">
            <v>8.99999999999999E-2</v>
          </cell>
          <cell r="BZ176" t="str">
            <v>648W</v>
          </cell>
          <cell r="CC176">
            <v>63</v>
          </cell>
        </row>
        <row r="177">
          <cell r="BW177" t="str">
            <v/>
          </cell>
          <cell r="BX177" t="str">
            <v/>
          </cell>
          <cell r="BZ177" t="str">
            <v/>
          </cell>
          <cell r="CC177" t="str">
            <v/>
          </cell>
        </row>
        <row r="178">
          <cell r="BW178" t="str">
            <v/>
          </cell>
          <cell r="BX178" t="str">
            <v/>
          </cell>
          <cell r="BZ178" t="str">
            <v/>
          </cell>
          <cell r="CC178" t="str">
            <v/>
          </cell>
        </row>
        <row r="179">
          <cell r="BW179" t="str">
            <v/>
          </cell>
          <cell r="BX179" t="str">
            <v/>
          </cell>
          <cell r="BZ179" t="str">
            <v/>
          </cell>
          <cell r="CC179" t="str">
            <v/>
          </cell>
        </row>
        <row r="180">
          <cell r="BW180" t="str">
            <v/>
          </cell>
          <cell r="BX180" t="str">
            <v/>
          </cell>
          <cell r="BZ180" t="str">
            <v/>
          </cell>
          <cell r="CC180" t="str">
            <v/>
          </cell>
        </row>
        <row r="181">
          <cell r="BW181" t="str">
            <v/>
          </cell>
          <cell r="BX181" t="str">
            <v/>
          </cell>
          <cell r="BZ181" t="str">
            <v/>
          </cell>
          <cell r="CC181" t="str">
            <v/>
          </cell>
        </row>
        <row r="182">
          <cell r="BW182" t="str">
            <v/>
          </cell>
          <cell r="BX182" t="str">
            <v/>
          </cell>
          <cell r="BZ182" t="str">
            <v/>
          </cell>
          <cell r="CC182" t="str">
            <v/>
          </cell>
        </row>
        <row r="183">
          <cell r="BW183" t="str">
            <v/>
          </cell>
          <cell r="BX183" t="str">
            <v/>
          </cell>
          <cell r="BZ183" t="str">
            <v/>
          </cell>
          <cell r="CC183" t="str">
            <v/>
          </cell>
        </row>
        <row r="184">
          <cell r="BW184" t="str">
            <v/>
          </cell>
          <cell r="BX184" t="str">
            <v/>
          </cell>
          <cell r="BZ184" t="str">
            <v/>
          </cell>
          <cell r="CC184" t="str">
            <v/>
          </cell>
        </row>
        <row r="185">
          <cell r="BW185" t="str">
            <v/>
          </cell>
          <cell r="BX185" t="str">
            <v/>
          </cell>
          <cell r="BZ185" t="str">
            <v/>
          </cell>
          <cell r="CC185" t="str">
            <v/>
          </cell>
        </row>
        <row r="186">
          <cell r="BW186" t="str">
            <v/>
          </cell>
          <cell r="BX186" t="str">
            <v/>
          </cell>
          <cell r="BZ186" t="str">
            <v/>
          </cell>
          <cell r="CC186" t="str">
            <v/>
          </cell>
        </row>
        <row r="187">
          <cell r="BW187" t="str">
            <v/>
          </cell>
          <cell r="BX187" t="str">
            <v/>
          </cell>
          <cell r="BZ187" t="str">
            <v/>
          </cell>
          <cell r="CC187" t="str">
            <v/>
          </cell>
        </row>
        <row r="188">
          <cell r="BW188" t="str">
            <v/>
          </cell>
          <cell r="BX188" t="str">
            <v/>
          </cell>
          <cell r="BZ188" t="str">
            <v/>
          </cell>
          <cell r="CC188" t="str">
            <v/>
          </cell>
        </row>
        <row r="189">
          <cell r="BW189" t="str">
            <v/>
          </cell>
          <cell r="BX189" t="str">
            <v/>
          </cell>
          <cell r="BZ189" t="str">
            <v/>
          </cell>
          <cell r="CC189" t="str">
            <v/>
          </cell>
        </row>
        <row r="190">
          <cell r="BW190" t="str">
            <v/>
          </cell>
          <cell r="BX190" t="str">
            <v/>
          </cell>
          <cell r="BZ190" t="str">
            <v/>
          </cell>
          <cell r="CC190" t="str">
            <v/>
          </cell>
        </row>
        <row r="191">
          <cell r="BW191" t="str">
            <v/>
          </cell>
          <cell r="BX191" t="str">
            <v/>
          </cell>
          <cell r="BZ191" t="str">
            <v/>
          </cell>
          <cell r="CC191" t="str">
            <v/>
          </cell>
        </row>
        <row r="192">
          <cell r="BW192" t="str">
            <v/>
          </cell>
          <cell r="BX192" t="str">
            <v/>
          </cell>
          <cell r="BZ192" t="str">
            <v/>
          </cell>
          <cell r="CC192" t="str">
            <v/>
          </cell>
        </row>
        <row r="193">
          <cell r="BW193" t="str">
            <v/>
          </cell>
          <cell r="BX193" t="str">
            <v/>
          </cell>
          <cell r="BZ193" t="str">
            <v/>
          </cell>
          <cell r="CC193" t="str">
            <v/>
          </cell>
        </row>
        <row r="194">
          <cell r="BW194" t="str">
            <v/>
          </cell>
          <cell r="BX194" t="str">
            <v/>
          </cell>
          <cell r="BZ194" t="str">
            <v/>
          </cell>
          <cell r="CC194" t="str">
            <v/>
          </cell>
        </row>
        <row r="195">
          <cell r="BW195" t="str">
            <v/>
          </cell>
          <cell r="BX195" t="str">
            <v/>
          </cell>
          <cell r="BZ195" t="str">
            <v/>
          </cell>
          <cell r="CC195" t="str">
            <v/>
          </cell>
        </row>
        <row r="196">
          <cell r="BW196" t="str">
            <v/>
          </cell>
          <cell r="BX196" t="str">
            <v/>
          </cell>
          <cell r="BZ196" t="str">
            <v/>
          </cell>
          <cell r="CC196" t="str">
            <v/>
          </cell>
        </row>
        <row r="197">
          <cell r="BW197" t="str">
            <v/>
          </cell>
          <cell r="BX197" t="str">
            <v/>
          </cell>
          <cell r="BZ197" t="str">
            <v/>
          </cell>
          <cell r="CC197" t="str">
            <v/>
          </cell>
        </row>
        <row r="198">
          <cell r="BW198" t="str">
            <v/>
          </cell>
          <cell r="BX198" t="str">
            <v/>
          </cell>
          <cell r="BZ198" t="str">
            <v/>
          </cell>
          <cell r="CC198" t="str">
            <v/>
          </cell>
        </row>
        <row r="199">
          <cell r="BW199" t="str">
            <v/>
          </cell>
          <cell r="BX199" t="str">
            <v/>
          </cell>
          <cell r="BZ199" t="str">
            <v/>
          </cell>
          <cell r="CC199" t="str">
            <v/>
          </cell>
        </row>
        <row r="200">
          <cell r="BW200" t="str">
            <v/>
          </cell>
          <cell r="BX200" t="str">
            <v/>
          </cell>
          <cell r="BZ200" t="str">
            <v/>
          </cell>
          <cell r="CC200" t="str">
            <v/>
          </cell>
        </row>
        <row r="201">
          <cell r="BW201" t="str">
            <v/>
          </cell>
          <cell r="BX201" t="str">
            <v/>
          </cell>
          <cell r="BZ201" t="str">
            <v/>
          </cell>
          <cell r="CC201" t="str">
            <v/>
          </cell>
        </row>
        <row r="202">
          <cell r="BW202" t="str">
            <v/>
          </cell>
          <cell r="BX202" t="str">
            <v/>
          </cell>
          <cell r="BZ202" t="str">
            <v/>
          </cell>
          <cell r="CC202" t="str">
            <v/>
          </cell>
        </row>
        <row r="203">
          <cell r="BW203" t="str">
            <v/>
          </cell>
          <cell r="BX203" t="str">
            <v/>
          </cell>
          <cell r="BZ203" t="str">
            <v/>
          </cell>
          <cell r="CC203" t="str">
            <v/>
          </cell>
        </row>
        <row r="204">
          <cell r="BW204" t="str">
            <v/>
          </cell>
          <cell r="BX204" t="str">
            <v/>
          </cell>
          <cell r="BZ204" t="str">
            <v/>
          </cell>
          <cell r="CC204" t="str">
            <v/>
          </cell>
        </row>
        <row r="205">
          <cell r="BW205" t="str">
            <v/>
          </cell>
          <cell r="BX205" t="str">
            <v/>
          </cell>
          <cell r="BZ205" t="str">
            <v/>
          </cell>
          <cell r="CC205" t="str">
            <v/>
          </cell>
        </row>
        <row r="206">
          <cell r="BW206" t="str">
            <v/>
          </cell>
          <cell r="BX206" t="str">
            <v/>
          </cell>
          <cell r="BZ206" t="str">
            <v/>
          </cell>
          <cell r="CC206" t="str">
            <v/>
          </cell>
        </row>
        <row r="207">
          <cell r="BW207" t="str">
            <v/>
          </cell>
          <cell r="BX207" t="str">
            <v/>
          </cell>
          <cell r="BZ207" t="str">
            <v/>
          </cell>
          <cell r="CC207" t="str">
            <v/>
          </cell>
        </row>
        <row r="208">
          <cell r="BW208" t="str">
            <v/>
          </cell>
          <cell r="BX208" t="str">
            <v/>
          </cell>
          <cell r="BZ208" t="str">
            <v/>
          </cell>
          <cell r="CC208" t="str">
            <v/>
          </cell>
        </row>
        <row r="209">
          <cell r="BW209" t="str">
            <v/>
          </cell>
          <cell r="BX209" t="str">
            <v/>
          </cell>
          <cell r="BZ209" t="str">
            <v/>
          </cell>
          <cell r="CC209" t="str">
            <v/>
          </cell>
        </row>
        <row r="210">
          <cell r="BW210" t="str">
            <v/>
          </cell>
          <cell r="BX210" t="str">
            <v/>
          </cell>
          <cell r="BZ210" t="str">
            <v/>
          </cell>
          <cell r="CC210" t="str">
            <v/>
          </cell>
        </row>
        <row r="211">
          <cell r="BW211" t="str">
            <v/>
          </cell>
          <cell r="BX211" t="str">
            <v/>
          </cell>
          <cell r="BZ211" t="str">
            <v/>
          </cell>
          <cell r="CC211" t="str">
            <v/>
          </cell>
        </row>
        <row r="212">
          <cell r="BW212" t="str">
            <v/>
          </cell>
          <cell r="BX212" t="str">
            <v/>
          </cell>
          <cell r="BZ212" t="str">
            <v/>
          </cell>
          <cell r="CC212" t="str">
            <v/>
          </cell>
        </row>
        <row r="213">
          <cell r="BW213" t="str">
            <v/>
          </cell>
          <cell r="BX213" t="str">
            <v/>
          </cell>
          <cell r="BZ213" t="str">
            <v/>
          </cell>
          <cell r="CC213" t="str">
            <v/>
          </cell>
        </row>
        <row r="214">
          <cell r="BW214" t="str">
            <v/>
          </cell>
          <cell r="BX214" t="str">
            <v/>
          </cell>
          <cell r="BZ214" t="str">
            <v/>
          </cell>
          <cell r="CC214" t="str">
            <v/>
          </cell>
        </row>
        <row r="215">
          <cell r="BW215" t="str">
            <v/>
          </cell>
          <cell r="BX215" t="str">
            <v/>
          </cell>
          <cell r="BZ215" t="str">
            <v/>
          </cell>
          <cell r="CC215" t="str">
            <v/>
          </cell>
        </row>
        <row r="216">
          <cell r="BW216" t="str">
            <v/>
          </cell>
          <cell r="BX216" t="str">
            <v/>
          </cell>
          <cell r="BZ216" t="str">
            <v/>
          </cell>
          <cell r="CC216" t="str">
            <v/>
          </cell>
        </row>
        <row r="217">
          <cell r="BW217" t="str">
            <v/>
          </cell>
          <cell r="BX217" t="str">
            <v/>
          </cell>
          <cell r="BZ217" t="str">
            <v/>
          </cell>
          <cell r="CC217" t="str">
            <v/>
          </cell>
        </row>
        <row r="218">
          <cell r="BW218" t="str">
            <v/>
          </cell>
          <cell r="BX218" t="str">
            <v/>
          </cell>
          <cell r="BZ218" t="str">
            <v/>
          </cell>
          <cell r="CC218" t="str">
            <v/>
          </cell>
        </row>
        <row r="219">
          <cell r="BW219" t="str">
            <v/>
          </cell>
          <cell r="BX219" t="str">
            <v/>
          </cell>
          <cell r="BZ219" t="str">
            <v/>
          </cell>
          <cell r="CC219" t="str">
            <v/>
          </cell>
        </row>
        <row r="220">
          <cell r="BW220" t="str">
            <v/>
          </cell>
          <cell r="BX220" t="str">
            <v/>
          </cell>
          <cell r="BZ220" t="str">
            <v/>
          </cell>
          <cell r="CC220" t="str">
            <v/>
          </cell>
        </row>
        <row r="221">
          <cell r="BW221" t="str">
            <v/>
          </cell>
          <cell r="BX221" t="str">
            <v/>
          </cell>
          <cell r="BZ221" t="str">
            <v/>
          </cell>
          <cell r="CC221" t="str">
            <v/>
          </cell>
        </row>
        <row r="222">
          <cell r="BW222" t="str">
            <v/>
          </cell>
          <cell r="BX222" t="str">
            <v/>
          </cell>
          <cell r="BZ222" t="str">
            <v/>
          </cell>
          <cell r="CC222" t="str">
            <v/>
          </cell>
        </row>
        <row r="223">
          <cell r="BW223" t="str">
            <v/>
          </cell>
          <cell r="BX223" t="str">
            <v/>
          </cell>
          <cell r="BZ223" t="str">
            <v/>
          </cell>
          <cell r="CC223" t="str">
            <v/>
          </cell>
        </row>
        <row r="224">
          <cell r="BW224" t="str">
            <v/>
          </cell>
          <cell r="BX224" t="str">
            <v/>
          </cell>
          <cell r="BZ224" t="str">
            <v/>
          </cell>
          <cell r="CC224" t="str">
            <v/>
          </cell>
        </row>
        <row r="225">
          <cell r="BW225" t="str">
            <v/>
          </cell>
          <cell r="BX225" t="str">
            <v/>
          </cell>
          <cell r="BZ225" t="str">
            <v/>
          </cell>
          <cell r="CC225" t="str">
            <v/>
          </cell>
        </row>
        <row r="226">
          <cell r="BW226" t="str">
            <v/>
          </cell>
          <cell r="BX226" t="str">
            <v/>
          </cell>
          <cell r="BZ226" t="str">
            <v/>
          </cell>
          <cell r="CC226" t="str">
            <v/>
          </cell>
        </row>
        <row r="227">
          <cell r="BW227" t="str">
            <v/>
          </cell>
          <cell r="BX227" t="str">
            <v/>
          </cell>
          <cell r="BZ227" t="str">
            <v/>
          </cell>
          <cell r="CC227" t="str">
            <v/>
          </cell>
        </row>
        <row r="228">
          <cell r="BW228" t="str">
            <v/>
          </cell>
          <cell r="BX228" t="str">
            <v/>
          </cell>
          <cell r="BZ228" t="str">
            <v/>
          </cell>
          <cell r="CC228" t="str">
            <v/>
          </cell>
        </row>
        <row r="229">
          <cell r="BW229" t="str">
            <v/>
          </cell>
          <cell r="BX229" t="str">
            <v/>
          </cell>
          <cell r="BZ229" t="str">
            <v/>
          </cell>
          <cell r="CC229" t="str">
            <v/>
          </cell>
        </row>
        <row r="230">
          <cell r="BW230" t="str">
            <v/>
          </cell>
          <cell r="BX230" t="str">
            <v/>
          </cell>
          <cell r="BZ230" t="str">
            <v/>
          </cell>
          <cell r="CC230" t="str">
            <v/>
          </cell>
        </row>
        <row r="231">
          <cell r="BW231" t="str">
            <v/>
          </cell>
          <cell r="BX231" t="str">
            <v/>
          </cell>
          <cell r="BZ231" t="str">
            <v/>
          </cell>
          <cell r="CC231" t="str">
            <v/>
          </cell>
        </row>
        <row r="232">
          <cell r="BW232" t="str">
            <v/>
          </cell>
          <cell r="BX232" t="str">
            <v/>
          </cell>
          <cell r="BZ232" t="str">
            <v/>
          </cell>
          <cell r="CC232" t="str">
            <v/>
          </cell>
        </row>
        <row r="233">
          <cell r="BW233" t="str">
            <v/>
          </cell>
          <cell r="BX233" t="str">
            <v/>
          </cell>
          <cell r="BZ233" t="str">
            <v/>
          </cell>
          <cell r="CC233" t="str">
            <v/>
          </cell>
        </row>
        <row r="234">
          <cell r="BW234" t="str">
            <v/>
          </cell>
          <cell r="BX234" t="str">
            <v/>
          </cell>
          <cell r="BZ234" t="str">
            <v/>
          </cell>
          <cell r="CC234" t="str">
            <v/>
          </cell>
        </row>
        <row r="235">
          <cell r="BW235" t="str">
            <v/>
          </cell>
          <cell r="BX235" t="str">
            <v/>
          </cell>
          <cell r="BZ235" t="str">
            <v/>
          </cell>
          <cell r="CC235" t="str">
            <v/>
          </cell>
        </row>
        <row r="236">
          <cell r="BW236" t="str">
            <v/>
          </cell>
          <cell r="BX236" t="str">
            <v/>
          </cell>
          <cell r="BZ236" t="str">
            <v/>
          </cell>
          <cell r="CC236" t="str">
            <v/>
          </cell>
        </row>
        <row r="237">
          <cell r="BW237" t="str">
            <v/>
          </cell>
          <cell r="BX237" t="str">
            <v/>
          </cell>
          <cell r="BZ237" t="str">
            <v/>
          </cell>
          <cell r="CC237" t="str">
            <v/>
          </cell>
        </row>
        <row r="238">
          <cell r="BW238" t="str">
            <v/>
          </cell>
          <cell r="BX238" t="str">
            <v/>
          </cell>
          <cell r="BZ238" t="str">
            <v/>
          </cell>
          <cell r="CC238" t="str">
            <v/>
          </cell>
        </row>
        <row r="239">
          <cell r="BW239" t="str">
            <v/>
          </cell>
          <cell r="BX239" t="str">
            <v/>
          </cell>
          <cell r="BZ239" t="str">
            <v/>
          </cell>
          <cell r="CC239" t="str">
            <v/>
          </cell>
        </row>
        <row r="240">
          <cell r="BW240" t="str">
            <v/>
          </cell>
          <cell r="BX240" t="str">
            <v/>
          </cell>
          <cell r="BZ240" t="str">
            <v/>
          </cell>
          <cell r="CC240" t="str">
            <v/>
          </cell>
        </row>
        <row r="241">
          <cell r="BW241" t="str">
            <v/>
          </cell>
          <cell r="BX241" t="str">
            <v/>
          </cell>
          <cell r="BZ241" t="str">
            <v/>
          </cell>
          <cell r="CC241" t="str">
            <v/>
          </cell>
        </row>
        <row r="242">
          <cell r="BW242" t="str">
            <v/>
          </cell>
          <cell r="BX242" t="str">
            <v/>
          </cell>
          <cell r="BZ242" t="str">
            <v/>
          </cell>
          <cell r="CC242" t="str">
            <v/>
          </cell>
        </row>
        <row r="243">
          <cell r="BW243" t="str">
            <v/>
          </cell>
          <cell r="BX243" t="str">
            <v/>
          </cell>
          <cell r="BZ243" t="str">
            <v/>
          </cell>
          <cell r="CC243" t="str">
            <v/>
          </cell>
        </row>
        <row r="244">
          <cell r="BW244" t="str">
            <v/>
          </cell>
          <cell r="BX244" t="str">
            <v/>
          </cell>
          <cell r="BZ244" t="str">
            <v/>
          </cell>
          <cell r="CC244" t="str">
            <v/>
          </cell>
        </row>
        <row r="245">
          <cell r="BW245" t="str">
            <v/>
          </cell>
          <cell r="BX245" t="str">
            <v/>
          </cell>
          <cell r="BZ245" t="str">
            <v/>
          </cell>
          <cell r="CC245" t="str">
            <v/>
          </cell>
        </row>
        <row r="246">
          <cell r="BW246" t="str">
            <v/>
          </cell>
          <cell r="BX246" t="str">
            <v/>
          </cell>
          <cell r="BZ246" t="str">
            <v/>
          </cell>
          <cell r="CC246" t="str">
            <v/>
          </cell>
        </row>
        <row r="247">
          <cell r="BW247" t="str">
            <v/>
          </cell>
          <cell r="BX247" t="str">
            <v/>
          </cell>
          <cell r="BZ247" t="str">
            <v/>
          </cell>
          <cell r="CC247" t="str">
            <v/>
          </cell>
        </row>
        <row r="248">
          <cell r="BW248" t="str">
            <v/>
          </cell>
          <cell r="BX248" t="str">
            <v/>
          </cell>
          <cell r="BZ248" t="str">
            <v/>
          </cell>
          <cell r="CC248" t="str">
            <v/>
          </cell>
        </row>
        <row r="249">
          <cell r="BW249" t="str">
            <v/>
          </cell>
          <cell r="BX249" t="str">
            <v/>
          </cell>
          <cell r="BZ249" t="str">
            <v/>
          </cell>
          <cell r="CC249" t="str">
            <v/>
          </cell>
        </row>
        <row r="250">
          <cell r="BW250" t="str">
            <v/>
          </cell>
          <cell r="BX250" t="str">
            <v/>
          </cell>
          <cell r="BZ250" t="str">
            <v/>
          </cell>
          <cell r="CC250" t="str">
            <v/>
          </cell>
        </row>
      </sheetData>
      <sheetData sheetId="14" refreshError="1"/>
      <sheetData sheetId="15">
        <row r="32">
          <cell r="A32">
            <v>1200</v>
          </cell>
          <cell r="C32" t="str">
            <v>1</v>
          </cell>
          <cell r="D32">
            <v>5000</v>
          </cell>
          <cell r="H32">
            <v>1.6248000000000002</v>
          </cell>
        </row>
        <row r="33">
          <cell r="A33">
            <v>1200</v>
          </cell>
          <cell r="C33" t="str">
            <v>2-3</v>
          </cell>
          <cell r="D33">
            <v>5000</v>
          </cell>
          <cell r="H33">
            <v>1.7520000000000002</v>
          </cell>
        </row>
        <row r="34">
          <cell r="A34">
            <v>1200</v>
          </cell>
          <cell r="C34" t="str">
            <v>4-5</v>
          </cell>
          <cell r="D34">
            <v>5000</v>
          </cell>
          <cell r="H34">
            <v>2.0700000000000003</v>
          </cell>
        </row>
        <row r="35">
          <cell r="A35">
            <v>1200</v>
          </cell>
          <cell r="C35" t="str">
            <v>6-8</v>
          </cell>
          <cell r="D35">
            <v>5000</v>
          </cell>
          <cell r="H35">
            <v>2.2290000000000001</v>
          </cell>
        </row>
        <row r="36">
          <cell r="A36">
            <v>1200</v>
          </cell>
          <cell r="C36" t="str">
            <v>1</v>
          </cell>
          <cell r="D36">
            <v>10000</v>
          </cell>
          <cell r="H36">
            <v>1.3848000000000003</v>
          </cell>
        </row>
        <row r="37">
          <cell r="A37">
            <v>1200</v>
          </cell>
          <cell r="C37" t="str">
            <v>2-3</v>
          </cell>
          <cell r="D37">
            <v>10000</v>
          </cell>
          <cell r="H37">
            <v>1.5120000000000002</v>
          </cell>
        </row>
        <row r="38">
          <cell r="A38">
            <v>1200</v>
          </cell>
          <cell r="C38" t="str">
            <v>4-5</v>
          </cell>
          <cell r="D38">
            <v>10000</v>
          </cell>
          <cell r="H38">
            <v>1.83</v>
          </cell>
        </row>
        <row r="39">
          <cell r="A39">
            <v>1200</v>
          </cell>
          <cell r="C39" t="str">
            <v>6-8</v>
          </cell>
          <cell r="D39">
            <v>10000</v>
          </cell>
          <cell r="H39">
            <v>1.9890000000000003</v>
          </cell>
        </row>
        <row r="40">
          <cell r="A40">
            <v>1200</v>
          </cell>
          <cell r="C40" t="str">
            <v>1</v>
          </cell>
          <cell r="D40">
            <v>20000</v>
          </cell>
          <cell r="H40">
            <v>1.2648000000000001</v>
          </cell>
        </row>
        <row r="41">
          <cell r="A41">
            <v>1200</v>
          </cell>
          <cell r="C41" t="str">
            <v>2-3</v>
          </cell>
          <cell r="D41">
            <v>20000</v>
          </cell>
          <cell r="H41">
            <v>1.3920000000000003</v>
          </cell>
        </row>
        <row r="42">
          <cell r="A42">
            <v>1200</v>
          </cell>
          <cell r="C42" t="str">
            <v>4-5</v>
          </cell>
          <cell r="D42">
            <v>20000</v>
          </cell>
          <cell r="H42">
            <v>1.71</v>
          </cell>
        </row>
        <row r="43">
          <cell r="A43">
            <v>1200</v>
          </cell>
          <cell r="C43" t="str">
            <v>6-8</v>
          </cell>
          <cell r="D43">
            <v>20000</v>
          </cell>
          <cell r="H43">
            <v>1.8690000000000002</v>
          </cell>
        </row>
        <row r="44">
          <cell r="A44">
            <v>1200</v>
          </cell>
          <cell r="C44" t="str">
            <v>1</v>
          </cell>
          <cell r="D44">
            <v>50000</v>
          </cell>
          <cell r="H44">
            <v>1.1928000000000003</v>
          </cell>
        </row>
        <row r="45">
          <cell r="A45">
            <v>1200</v>
          </cell>
          <cell r="C45" t="str">
            <v>2-3</v>
          </cell>
          <cell r="D45">
            <v>50000</v>
          </cell>
          <cell r="H45">
            <v>1.3200000000000003</v>
          </cell>
        </row>
        <row r="46">
          <cell r="A46">
            <v>1200</v>
          </cell>
          <cell r="C46" t="str">
            <v>4-5</v>
          </cell>
          <cell r="D46">
            <v>50000</v>
          </cell>
          <cell r="H46">
            <v>1.6380000000000001</v>
          </cell>
        </row>
        <row r="47">
          <cell r="A47">
            <v>1200</v>
          </cell>
          <cell r="C47" t="str">
            <v>6-8</v>
          </cell>
          <cell r="D47">
            <v>50000</v>
          </cell>
          <cell r="H47">
            <v>1.7970000000000004</v>
          </cell>
        </row>
        <row r="48">
          <cell r="A48">
            <v>1200</v>
          </cell>
          <cell r="C48" t="str">
            <v>1</v>
          </cell>
          <cell r="D48">
            <v>200000</v>
          </cell>
          <cell r="H48">
            <v>1.1568000000000003</v>
          </cell>
        </row>
        <row r="49">
          <cell r="A49">
            <v>1200</v>
          </cell>
          <cell r="C49" t="str">
            <v>2-3</v>
          </cell>
          <cell r="D49">
            <v>200000</v>
          </cell>
          <cell r="H49">
            <v>1.2840000000000003</v>
          </cell>
        </row>
        <row r="50">
          <cell r="A50">
            <v>1200</v>
          </cell>
          <cell r="C50" t="str">
            <v>4-5</v>
          </cell>
          <cell r="D50">
            <v>200000</v>
          </cell>
          <cell r="H50">
            <v>1.6020000000000001</v>
          </cell>
        </row>
        <row r="51">
          <cell r="A51">
            <v>1200</v>
          </cell>
          <cell r="C51" t="str">
            <v>6-8</v>
          </cell>
          <cell r="D51">
            <v>200000</v>
          </cell>
          <cell r="H51">
            <v>1.7610000000000003</v>
          </cell>
        </row>
        <row r="52">
          <cell r="A52">
            <v>760</v>
          </cell>
          <cell r="C52" t="str">
            <v>1</v>
          </cell>
          <cell r="D52">
            <v>5000</v>
          </cell>
          <cell r="H52">
            <v>1.0920000000000001</v>
          </cell>
        </row>
        <row r="53">
          <cell r="A53">
            <v>760</v>
          </cell>
          <cell r="C53" t="str">
            <v>2-3</v>
          </cell>
          <cell r="D53">
            <v>5000</v>
          </cell>
          <cell r="H53">
            <v>1.1600000000000001</v>
          </cell>
        </row>
        <row r="54">
          <cell r="A54">
            <v>760</v>
          </cell>
          <cell r="C54" t="str">
            <v>4-5</v>
          </cell>
          <cell r="D54">
            <v>5000</v>
          </cell>
          <cell r="H54">
            <v>1.33</v>
          </cell>
        </row>
        <row r="55">
          <cell r="A55">
            <v>760</v>
          </cell>
          <cell r="C55" t="str">
            <v>6-8</v>
          </cell>
          <cell r="D55">
            <v>5000</v>
          </cell>
          <cell r="H55">
            <v>1.415</v>
          </cell>
        </row>
        <row r="56">
          <cell r="A56">
            <v>760</v>
          </cell>
          <cell r="C56" t="str">
            <v>1</v>
          </cell>
          <cell r="D56">
            <v>10000</v>
          </cell>
          <cell r="H56">
            <v>0.85200000000000009</v>
          </cell>
        </row>
        <row r="57">
          <cell r="A57">
            <v>760</v>
          </cell>
          <cell r="C57" t="str">
            <v>2-3</v>
          </cell>
          <cell r="D57">
            <v>10000</v>
          </cell>
          <cell r="H57">
            <v>0.92</v>
          </cell>
        </row>
        <row r="58">
          <cell r="A58">
            <v>760</v>
          </cell>
          <cell r="C58" t="str">
            <v>4-5</v>
          </cell>
          <cell r="D58">
            <v>10000</v>
          </cell>
          <cell r="H58">
            <v>1.0899999999999999</v>
          </cell>
        </row>
        <row r="59">
          <cell r="A59">
            <v>760</v>
          </cell>
          <cell r="C59" t="str">
            <v>6-8</v>
          </cell>
          <cell r="D59">
            <v>10000</v>
          </cell>
          <cell r="H59">
            <v>1.175</v>
          </cell>
        </row>
        <row r="60">
          <cell r="A60">
            <v>760</v>
          </cell>
          <cell r="C60" t="str">
            <v>1</v>
          </cell>
          <cell r="D60">
            <v>20000</v>
          </cell>
          <cell r="H60">
            <v>0.7320000000000001</v>
          </cell>
        </row>
        <row r="61">
          <cell r="A61">
            <v>760</v>
          </cell>
          <cell r="C61" t="str">
            <v>2-3</v>
          </cell>
          <cell r="D61">
            <v>20000</v>
          </cell>
          <cell r="H61">
            <v>0.8</v>
          </cell>
        </row>
        <row r="62">
          <cell r="A62">
            <v>760</v>
          </cell>
          <cell r="C62" t="str">
            <v>4-5</v>
          </cell>
          <cell r="D62">
            <v>20000</v>
          </cell>
          <cell r="H62">
            <v>0.97</v>
          </cell>
        </row>
        <row r="63">
          <cell r="A63">
            <v>760</v>
          </cell>
          <cell r="C63" t="str">
            <v>6-8</v>
          </cell>
          <cell r="D63">
            <v>20000</v>
          </cell>
          <cell r="H63">
            <v>1.0550000000000002</v>
          </cell>
        </row>
        <row r="64">
          <cell r="A64">
            <v>760</v>
          </cell>
          <cell r="C64" t="str">
            <v>1</v>
          </cell>
          <cell r="D64">
            <v>50000</v>
          </cell>
          <cell r="H64">
            <v>0.66000000000000014</v>
          </cell>
        </row>
        <row r="65">
          <cell r="A65">
            <v>760</v>
          </cell>
          <cell r="C65" t="str">
            <v>2-3</v>
          </cell>
          <cell r="D65">
            <v>50000</v>
          </cell>
          <cell r="H65">
            <v>0.72800000000000009</v>
          </cell>
        </row>
        <row r="66">
          <cell r="A66">
            <v>760</v>
          </cell>
          <cell r="C66" t="str">
            <v>4-5</v>
          </cell>
          <cell r="D66">
            <v>50000</v>
          </cell>
          <cell r="H66">
            <v>0.89800000000000002</v>
          </cell>
        </row>
        <row r="67">
          <cell r="A67">
            <v>760</v>
          </cell>
          <cell r="C67" t="str">
            <v>6-8</v>
          </cell>
          <cell r="D67">
            <v>50000</v>
          </cell>
          <cell r="H67">
            <v>0.9830000000000001</v>
          </cell>
        </row>
        <row r="68">
          <cell r="A68">
            <v>760</v>
          </cell>
          <cell r="C68" t="str">
            <v>1</v>
          </cell>
          <cell r="D68">
            <v>200000</v>
          </cell>
          <cell r="H68">
            <v>0.62400000000000011</v>
          </cell>
        </row>
        <row r="69">
          <cell r="A69">
            <v>760</v>
          </cell>
          <cell r="C69" t="str">
            <v>2-3</v>
          </cell>
          <cell r="D69">
            <v>200000</v>
          </cell>
          <cell r="H69">
            <v>0.69200000000000006</v>
          </cell>
        </row>
        <row r="70">
          <cell r="A70">
            <v>760</v>
          </cell>
          <cell r="C70" t="str">
            <v>4-5</v>
          </cell>
          <cell r="D70">
            <v>200000</v>
          </cell>
          <cell r="H70">
            <v>0.86199999999999999</v>
          </cell>
        </row>
        <row r="71">
          <cell r="A71">
            <v>760</v>
          </cell>
          <cell r="C71" t="str">
            <v>6-8</v>
          </cell>
          <cell r="D71">
            <v>200000</v>
          </cell>
          <cell r="H71">
            <v>0.94700000000000006</v>
          </cell>
        </row>
        <row r="72">
          <cell r="A72">
            <v>450</v>
          </cell>
          <cell r="C72" t="str">
            <v>1</v>
          </cell>
          <cell r="D72">
            <v>5000</v>
          </cell>
          <cell r="H72">
            <v>1.0920000000000001</v>
          </cell>
        </row>
        <row r="73">
          <cell r="A73">
            <v>450</v>
          </cell>
          <cell r="C73" t="str">
            <v>2-3</v>
          </cell>
          <cell r="D73">
            <v>5000</v>
          </cell>
          <cell r="H73">
            <v>1.1600000000000001</v>
          </cell>
        </row>
        <row r="74">
          <cell r="A74">
            <v>450</v>
          </cell>
          <cell r="C74" t="str">
            <v>4-5</v>
          </cell>
          <cell r="D74">
            <v>5000</v>
          </cell>
          <cell r="H74">
            <v>1.33</v>
          </cell>
        </row>
        <row r="75">
          <cell r="A75">
            <v>450</v>
          </cell>
          <cell r="C75" t="str">
            <v>6-8</v>
          </cell>
          <cell r="D75">
            <v>5000</v>
          </cell>
          <cell r="H75">
            <v>1.415</v>
          </cell>
        </row>
        <row r="76">
          <cell r="A76">
            <v>450</v>
          </cell>
          <cell r="C76" t="str">
            <v>1</v>
          </cell>
          <cell r="D76">
            <v>10000</v>
          </cell>
          <cell r="H76">
            <v>0.85200000000000009</v>
          </cell>
        </row>
        <row r="77">
          <cell r="A77">
            <v>450</v>
          </cell>
          <cell r="C77" t="str">
            <v>2-3</v>
          </cell>
          <cell r="D77">
            <v>10000</v>
          </cell>
          <cell r="H77">
            <v>0.92</v>
          </cell>
        </row>
        <row r="78">
          <cell r="A78">
            <v>450</v>
          </cell>
          <cell r="C78" t="str">
            <v>4-5</v>
          </cell>
          <cell r="D78">
            <v>10000</v>
          </cell>
          <cell r="H78">
            <v>1.0899999999999999</v>
          </cell>
        </row>
        <row r="79">
          <cell r="A79">
            <v>450</v>
          </cell>
          <cell r="C79" t="str">
            <v>6-8</v>
          </cell>
          <cell r="D79">
            <v>10000</v>
          </cell>
          <cell r="H79">
            <v>1.175</v>
          </cell>
        </row>
        <row r="80">
          <cell r="A80">
            <v>450</v>
          </cell>
          <cell r="C80" t="str">
            <v>1</v>
          </cell>
          <cell r="D80">
            <v>20000</v>
          </cell>
          <cell r="H80">
            <v>0.7320000000000001</v>
          </cell>
        </row>
        <row r="81">
          <cell r="A81">
            <v>450</v>
          </cell>
          <cell r="C81" t="str">
            <v>2-3</v>
          </cell>
          <cell r="D81">
            <v>20000</v>
          </cell>
          <cell r="H81">
            <v>0.8</v>
          </cell>
        </row>
        <row r="82">
          <cell r="A82">
            <v>450</v>
          </cell>
          <cell r="C82" t="str">
            <v>4-5</v>
          </cell>
          <cell r="D82">
            <v>20000</v>
          </cell>
          <cell r="H82">
            <v>0.97</v>
          </cell>
        </row>
        <row r="83">
          <cell r="A83">
            <v>450</v>
          </cell>
          <cell r="C83" t="str">
            <v>6-8</v>
          </cell>
          <cell r="D83">
            <v>20000</v>
          </cell>
          <cell r="H83">
            <v>1.0550000000000002</v>
          </cell>
        </row>
        <row r="84">
          <cell r="A84">
            <v>450</v>
          </cell>
          <cell r="C84" t="str">
            <v>1</v>
          </cell>
          <cell r="D84">
            <v>50000</v>
          </cell>
          <cell r="H84">
            <v>0.66000000000000014</v>
          </cell>
        </row>
        <row r="85">
          <cell r="A85">
            <v>450</v>
          </cell>
          <cell r="C85" t="str">
            <v>2-3</v>
          </cell>
          <cell r="D85">
            <v>50000</v>
          </cell>
          <cell r="H85">
            <v>0.72800000000000009</v>
          </cell>
        </row>
        <row r="86">
          <cell r="A86">
            <v>450</v>
          </cell>
          <cell r="C86" t="str">
            <v>4-5</v>
          </cell>
          <cell r="D86">
            <v>50000</v>
          </cell>
          <cell r="H86">
            <v>0.89800000000000002</v>
          </cell>
        </row>
        <row r="87">
          <cell r="A87">
            <v>450</v>
          </cell>
          <cell r="C87" t="str">
            <v>6-8</v>
          </cell>
          <cell r="D87">
            <v>50000</v>
          </cell>
          <cell r="H87">
            <v>0.9830000000000001</v>
          </cell>
        </row>
        <row r="88">
          <cell r="A88">
            <v>450</v>
          </cell>
          <cell r="C88" t="str">
            <v>1</v>
          </cell>
          <cell r="D88">
            <v>200000</v>
          </cell>
          <cell r="H88">
            <v>0.62400000000000011</v>
          </cell>
        </row>
        <row r="89">
          <cell r="A89">
            <v>450</v>
          </cell>
          <cell r="C89" t="str">
            <v>2-3</v>
          </cell>
          <cell r="D89">
            <v>200000</v>
          </cell>
          <cell r="H89">
            <v>0.69200000000000006</v>
          </cell>
        </row>
        <row r="90">
          <cell r="A90">
            <v>450</v>
          </cell>
          <cell r="C90" t="str">
            <v>4-5</v>
          </cell>
          <cell r="D90">
            <v>200000</v>
          </cell>
          <cell r="H90">
            <v>0.86199999999999999</v>
          </cell>
        </row>
        <row r="91">
          <cell r="A91">
            <v>450</v>
          </cell>
          <cell r="C91" t="str">
            <v>6-8</v>
          </cell>
          <cell r="D91">
            <v>200000</v>
          </cell>
          <cell r="H91">
            <v>0.94700000000000006</v>
          </cell>
        </row>
      </sheetData>
      <sheetData sheetId="16" refreshError="1"/>
      <sheetData sheetId="17">
        <row r="2">
          <cell r="D2" t="str">
            <v>up to 3k Meters (*) ( **)</v>
          </cell>
          <cell r="E2" t="str">
            <v>3-10k</v>
          </cell>
          <cell r="F2" t="str">
            <v>10-25k</v>
          </cell>
          <cell r="G2" t="str">
            <v>25k-50k</v>
          </cell>
          <cell r="H2" t="str">
            <v>50-100k</v>
          </cell>
          <cell r="I2" t="str">
            <v>100-250k</v>
          </cell>
          <cell r="J2" t="str">
            <v>250-500k</v>
          </cell>
          <cell r="K2" t="str">
            <v>500k+</v>
          </cell>
        </row>
        <row r="3">
          <cell r="D3">
            <v>0.11673</v>
          </cell>
          <cell r="E3">
            <v>0.10413</v>
          </cell>
          <cell r="F3">
            <v>9.153E-2</v>
          </cell>
          <cell r="G3">
            <v>8.6489999999999997E-2</v>
          </cell>
          <cell r="H3">
            <v>8.4809999999999997E-2</v>
          </cell>
          <cell r="I3">
            <v>8.3970000000000003E-2</v>
          </cell>
          <cell r="J3">
            <v>8.3459999999999993E-2</v>
          </cell>
          <cell r="K3">
            <v>8.3140000000000006E-2</v>
          </cell>
        </row>
        <row r="4">
          <cell r="D4">
            <v>0.19644</v>
          </cell>
          <cell r="E4">
            <v>0.15437000000000001</v>
          </cell>
          <cell r="F4">
            <v>0.11229</v>
          </cell>
          <cell r="G4">
            <v>9.5459999999999989E-2</v>
          </cell>
          <cell r="H4">
            <v>8.9849999999999999E-2</v>
          </cell>
          <cell r="I4">
            <v>8.7050000000000002E-2</v>
          </cell>
          <cell r="J4">
            <v>8.5360000000000005E-2</v>
          </cell>
          <cell r="K4">
            <v>8.43E-2</v>
          </cell>
        </row>
        <row r="5">
          <cell r="D5">
            <v>0.22741999999999998</v>
          </cell>
          <cell r="E5">
            <v>0.17702000000000001</v>
          </cell>
          <cell r="F5">
            <v>0.12662000000000001</v>
          </cell>
          <cell r="G5">
            <v>0.10646</v>
          </cell>
          <cell r="H5">
            <v>9.9739999999999995E-2</v>
          </cell>
          <cell r="I5">
            <v>9.6379999999999993E-2</v>
          </cell>
          <cell r="J5">
            <v>9.4359999999999999E-2</v>
          </cell>
          <cell r="K5">
            <v>9.3090000000000006E-2</v>
          </cell>
        </row>
        <row r="6">
          <cell r="D6">
            <v>0.27620999999999996</v>
          </cell>
          <cell r="E6">
            <v>0.20915999999999998</v>
          </cell>
          <cell r="F6">
            <v>0.14211000000000001</v>
          </cell>
          <cell r="G6">
            <v>0.11529</v>
          </cell>
          <cell r="H6">
            <v>0.10635</v>
          </cell>
          <cell r="I6">
            <v>0.10188</v>
          </cell>
          <cell r="J6">
            <v>9.9199999999999997E-2</v>
          </cell>
          <cell r="K6">
            <v>9.7500000000000003E-2</v>
          </cell>
        </row>
        <row r="7">
          <cell r="D7">
            <v>3.492E-2</v>
          </cell>
          <cell r="E7">
            <v>3.0420000000000003E-2</v>
          </cell>
          <cell r="F7">
            <v>2.5920000000000002E-2</v>
          </cell>
          <cell r="G7">
            <v>2.4120000000000003E-2</v>
          </cell>
          <cell r="H7">
            <v>2.3519999999999999E-2</v>
          </cell>
          <cell r="I7">
            <v>2.3219999999999998E-2</v>
          </cell>
          <cell r="J7">
            <v>2.3039999999999998E-2</v>
          </cell>
          <cell r="K7">
            <v>2.2920000000000003E-2</v>
          </cell>
        </row>
        <row r="8">
          <cell r="D8">
            <v>0.11673</v>
          </cell>
          <cell r="E8">
            <v>0.10413</v>
          </cell>
          <cell r="F8">
            <v>9.153E-2</v>
          </cell>
          <cell r="G8">
            <v>8.6489999999999997E-2</v>
          </cell>
          <cell r="H8">
            <v>8.4809999999999997E-2</v>
          </cell>
          <cell r="I8">
            <v>8.3970000000000003E-2</v>
          </cell>
          <cell r="J8">
            <v>8.3459999999999993E-2</v>
          </cell>
          <cell r="K8">
            <v>8.3140000000000006E-2</v>
          </cell>
        </row>
        <row r="9">
          <cell r="D9">
            <v>0.21503701851851853</v>
          </cell>
          <cell r="E9">
            <v>0.1729620185185185</v>
          </cell>
          <cell r="F9">
            <v>0.13088701851851853</v>
          </cell>
          <cell r="G9">
            <v>0.1140570185185185</v>
          </cell>
          <cell r="H9">
            <v>0.10844701851851851</v>
          </cell>
          <cell r="I9">
            <v>0.10564201851851851</v>
          </cell>
          <cell r="J9">
            <v>0.10395901851851852</v>
          </cell>
          <cell r="K9">
            <v>0.10289311851851853</v>
          </cell>
        </row>
        <row r="10">
          <cell r="D10">
            <v>0.25132801851851849</v>
          </cell>
          <cell r="E10">
            <v>0.20092801851851855</v>
          </cell>
          <cell r="F10">
            <v>0.15052801851851855</v>
          </cell>
          <cell r="G10">
            <v>0.13036801851851851</v>
          </cell>
          <cell r="H10">
            <v>0.12364801851851852</v>
          </cell>
          <cell r="I10">
            <v>0.12028801851851853</v>
          </cell>
          <cell r="J10">
            <v>0.11827201851851853</v>
          </cell>
          <cell r="K10">
            <v>0.11699521851851853</v>
          </cell>
        </row>
        <row r="11">
          <cell r="D11">
            <v>0.30277351851851847</v>
          </cell>
          <cell r="E11">
            <v>0.23572351851851853</v>
          </cell>
          <cell r="F11">
            <v>0.1686735185185185</v>
          </cell>
          <cell r="G11">
            <v>0.14185351851851852</v>
          </cell>
          <cell r="H11">
            <v>0.13291351851851851</v>
          </cell>
          <cell r="I11">
            <v>0.12844351851851851</v>
          </cell>
          <cell r="J11">
            <v>0.12576151851851852</v>
          </cell>
          <cell r="K11">
            <v>0.12406291851851851</v>
          </cell>
        </row>
        <row r="12">
          <cell r="D12">
            <v>3.4916666666666672E-2</v>
          </cell>
          <cell r="E12">
            <v>3.0416666666666668E-2</v>
          </cell>
          <cell r="F12">
            <v>2.5916666666666668E-2</v>
          </cell>
          <cell r="G12">
            <v>2.4116666666666668E-2</v>
          </cell>
          <cell r="H12">
            <v>2.3516666666666665E-2</v>
          </cell>
          <cell r="I12">
            <v>2.321666666666667E-2</v>
          </cell>
          <cell r="J12">
            <v>2.3036666666666671E-2</v>
          </cell>
          <cell r="K12">
            <v>2.2922666666666668E-2</v>
          </cell>
        </row>
        <row r="13">
          <cell r="D13">
            <v>0.151749</v>
          </cell>
          <cell r="E13">
            <v>0.13536900000000002</v>
          </cell>
          <cell r="F13">
            <v>0.118989</v>
          </cell>
          <cell r="G13">
            <v>0.112437</v>
          </cell>
          <cell r="H13">
            <v>0.110253</v>
          </cell>
          <cell r="I13">
            <v>0.10916100000000001</v>
          </cell>
          <cell r="J13">
            <v>0.108498</v>
          </cell>
          <cell r="K13">
            <v>0.10808200000000001</v>
          </cell>
        </row>
        <row r="14">
          <cell r="D14">
            <v>0.29466000000000003</v>
          </cell>
          <cell r="E14">
            <v>0.23155500000000001</v>
          </cell>
          <cell r="F14">
            <v>0.168435</v>
          </cell>
          <cell r="G14">
            <v>0.14318999999999998</v>
          </cell>
          <cell r="H14">
            <v>0.13477500000000001</v>
          </cell>
          <cell r="I14">
            <v>0.130575</v>
          </cell>
          <cell r="J14">
            <v>0.12804000000000001</v>
          </cell>
          <cell r="K14">
            <v>0.12645000000000001</v>
          </cell>
        </row>
        <row r="15">
          <cell r="D15">
            <v>0.34112999999999999</v>
          </cell>
          <cell r="E15">
            <v>0.26553000000000004</v>
          </cell>
          <cell r="F15">
            <v>0.18993000000000002</v>
          </cell>
          <cell r="G15">
            <v>0.15969</v>
          </cell>
          <cell r="H15">
            <v>0.14960999999999999</v>
          </cell>
          <cell r="I15">
            <v>0.14456999999999998</v>
          </cell>
          <cell r="J15">
            <v>0.14154</v>
          </cell>
          <cell r="K15">
            <v>0.13963500000000001</v>
          </cell>
        </row>
        <row r="16">
          <cell r="D16">
            <v>0.41431499999999993</v>
          </cell>
          <cell r="E16">
            <v>0.31373999999999996</v>
          </cell>
          <cell r="F16">
            <v>0.21316500000000002</v>
          </cell>
          <cell r="G16">
            <v>0.17293500000000001</v>
          </cell>
          <cell r="H16">
            <v>0.159525</v>
          </cell>
          <cell r="I16">
            <v>0.15282000000000001</v>
          </cell>
          <cell r="J16">
            <v>0.14879999999999999</v>
          </cell>
          <cell r="K16">
            <v>0.14624999999999999</v>
          </cell>
        </row>
        <row r="17">
          <cell r="D17">
            <v>4.5395999999999999E-2</v>
          </cell>
          <cell r="E17">
            <v>3.9546000000000005E-2</v>
          </cell>
          <cell r="F17">
            <v>3.3696000000000004E-2</v>
          </cell>
          <cell r="G17">
            <v>3.1356000000000002E-2</v>
          </cell>
          <cell r="H17">
            <v>3.0575999999999999E-2</v>
          </cell>
          <cell r="I17">
            <v>3.0185999999999998E-2</v>
          </cell>
          <cell r="J17">
            <v>2.9951999999999999E-2</v>
          </cell>
          <cell r="K17">
            <v>2.9796000000000003E-2</v>
          </cell>
        </row>
        <row r="18">
          <cell r="D18">
            <v>0.151749</v>
          </cell>
          <cell r="E18">
            <v>0.13536900000000002</v>
          </cell>
          <cell r="F18">
            <v>0.118989</v>
          </cell>
          <cell r="G18">
            <v>0.112437</v>
          </cell>
          <cell r="H18">
            <v>0.110253</v>
          </cell>
          <cell r="I18">
            <v>0.10916100000000001</v>
          </cell>
          <cell r="J18">
            <v>0.108498</v>
          </cell>
          <cell r="K18">
            <v>0.10808200000000001</v>
          </cell>
        </row>
        <row r="19">
          <cell r="D19">
            <v>0.3225555277777778</v>
          </cell>
          <cell r="E19">
            <v>0.25944302777777772</v>
          </cell>
          <cell r="F19">
            <v>0.19633052777777779</v>
          </cell>
          <cell r="G19">
            <v>0.17108552777777775</v>
          </cell>
          <cell r="H19">
            <v>0.16267052777777777</v>
          </cell>
          <cell r="I19">
            <v>0.15846302777777777</v>
          </cell>
          <cell r="J19">
            <v>0.15593852777777778</v>
          </cell>
          <cell r="K19">
            <v>0.1543396777777778</v>
          </cell>
        </row>
        <row r="20">
          <cell r="D20">
            <v>0.37699202777777774</v>
          </cell>
          <cell r="E20">
            <v>0.30139202777777785</v>
          </cell>
          <cell r="F20">
            <v>0.22579202777777782</v>
          </cell>
          <cell r="G20">
            <v>0.19555202777777775</v>
          </cell>
          <cell r="H20">
            <v>0.18547202777777777</v>
          </cell>
          <cell r="I20">
            <v>0.18043202777777778</v>
          </cell>
          <cell r="J20">
            <v>0.17740802777777778</v>
          </cell>
          <cell r="K20">
            <v>0.1754928277777778</v>
          </cell>
        </row>
        <row r="21">
          <cell r="D21">
            <v>0.45416027777777768</v>
          </cell>
          <cell r="E21">
            <v>0.35358527777777782</v>
          </cell>
          <cell r="F21">
            <v>0.25301027777777774</v>
          </cell>
          <cell r="G21">
            <v>0.21278027777777778</v>
          </cell>
          <cell r="H21">
            <v>0.19937027777777777</v>
          </cell>
          <cell r="I21">
            <v>0.19266527777777775</v>
          </cell>
          <cell r="J21">
            <v>0.18864227777777778</v>
          </cell>
          <cell r="K21">
            <v>0.18609437777777776</v>
          </cell>
        </row>
        <row r="22">
          <cell r="D22">
            <v>4.5391666666666677E-2</v>
          </cell>
          <cell r="E22">
            <v>3.9541666666666669E-2</v>
          </cell>
          <cell r="F22">
            <v>3.3691666666666668E-2</v>
          </cell>
          <cell r="G22">
            <v>3.1351666666666667E-2</v>
          </cell>
          <cell r="H22">
            <v>3.0571666666666667E-2</v>
          </cell>
          <cell r="I22">
            <v>3.0181666666666673E-2</v>
          </cell>
          <cell r="J22">
            <v>2.9947666666666671E-2</v>
          </cell>
          <cell r="K22">
            <v>2.979946666666667E-2</v>
          </cell>
        </row>
      </sheetData>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persons/person.xml><?xml version="1.0" encoding="utf-8"?>
<personList xmlns="http://schemas.microsoft.com/office/spreadsheetml/2018/threadedcomments" xmlns:x="http://schemas.openxmlformats.org/spreadsheetml/2006/main">
  <person displayName="Michael Chervets" id="{95EE1FF2-A61D-4869-B6C9-829E1A9FD12C}" userId="S::michael.c@tipa-corp.com::de7e936c-a13e-477f-bad6-2ce402cf61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ervets" refreshedDate="46181.437911458335" createdVersion="8" refreshedVersion="8" minRefreshableVersion="3" recordCount="390" xr:uid="{9D2953ED-50EA-47E5-9196-866F9B1CCC30}">
  <cacheSource type="worksheet">
    <worksheetSource name="Table2"/>
  </cacheSource>
  <cacheFields count="4">
    <cacheField name="Film" numFmtId="0">
      <sharedItems count="10">
        <s v="PL202.1"/>
        <s v="PL202.2"/>
        <s v="PL202.3"/>
        <s v="TIPA 302FG"/>
        <s v="TIPA 302FG W"/>
        <s v="TIPA 306M"/>
        <s v="TIPA 306W"/>
        <s v="TIPA 312 MFG"/>
        <s v="TIPA 312MFGW"/>
        <s v=""/>
      </sharedItems>
    </cacheField>
    <cacheField name="Grade" numFmtId="43">
      <sharedItems count="9">
        <s v="FD92PM"/>
        <s v="LX175"/>
        <s v="S723"/>
        <s v="S724"/>
        <s v="KAB59A"/>
        <s v="BVE8049P"/>
        <s v="B12"/>
        <s v="RM WHITE BIO8153"/>
        <s v=""/>
      </sharedItems>
    </cacheField>
    <cacheField name="Serial Number" numFmtId="43">
      <sharedItems/>
    </cacheField>
    <cacheField name="Price Calculated(€) Thickness &amp; QTY related" numFmtId="4">
      <sharedItems containsMixedTypes="1" containsNumber="1" minValue="2.265E-2" maxValue="4.6989999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ervets" refreshedDate="46254.606648611109" createdVersion="8" refreshedVersion="8" minRefreshableVersion="3" recordCount="253" xr:uid="{53B73CF0-7A10-4F53-9A24-956E129F0A33}">
  <cacheSource type="worksheet">
    <worksheetSource name="tblLaminateWeightedQty"/>
  </cacheSource>
  <cacheFields count="12">
    <cacheField name="Laminate" numFmtId="0">
      <sharedItems containsMixedTypes="1" containsNumber="1" containsInteger="1" minValue="120" maxValue="928" count="17">
        <n v="608"/>
        <s v="608 W"/>
        <n v="618"/>
        <s v="618 W"/>
        <n v="418"/>
        <n v="648"/>
        <n v="428"/>
        <n v="918"/>
        <n v="928"/>
        <n v="819"/>
        <n v="919"/>
        <n v="823"/>
        <n v="923"/>
        <s v="821M"/>
        <n v="120"/>
        <n v="748"/>
        <s v="818W"/>
      </sharedItems>
    </cacheField>
    <cacheField name="Total Thickness (µ)" numFmtId="0">
      <sharedItems containsSemiMixedTypes="0" containsString="0" containsNumber="1" containsInteger="1" minValue="51" maxValue="121" count="16">
        <n v="100"/>
        <n v="51"/>
        <n v="56"/>
        <n v="61"/>
        <n v="66"/>
        <n v="77"/>
        <n v="86"/>
        <n v="78"/>
        <n v="106"/>
        <n v="63"/>
        <n v="79"/>
        <n v="121"/>
        <n v="98"/>
        <n v="55"/>
        <n v="53"/>
        <n v="103"/>
      </sharedItems>
    </cacheField>
    <cacheField name="Film / Ingredient" numFmtId="0">
      <sharedItems count="14">
        <s v="NK"/>
        <s v="TIPA 302FG"/>
        <s v="PBAT"/>
        <s v="TIPA 302FG W"/>
        <s v="RM G Epotal ECO 3675"/>
        <s v="TIPA 312 MET"/>
        <s v="RM G Epotal Eco 3702"/>
        <s v="RM G Basonat HW 2270"/>
        <s v="Billerud Kraft White Paper"/>
        <s v="NK White"/>
        <s v="NK MATT"/>
        <s v="ALU"/>
        <s v="TIPA 306M"/>
        <s v="Unallocated layer (HELPER gap)"/>
      </sharedItems>
    </cacheField>
    <cacheField name="Material" numFmtId="0">
      <sharedItems/>
    </cacheField>
    <cacheField name="Grade" numFmtId="0">
      <sharedItems containsBlank="1"/>
    </cacheField>
    <cacheField name="Serial Number" numFmtId="0">
      <sharedItems containsBlank="1"/>
    </cacheField>
    <cacheField name="Resin / Raw Material" numFmtId="0">
      <sharedItems count="19">
        <s v="NK"/>
        <s v="Resin 1A"/>
        <s v="Resin 2A"/>
        <s v="Resin 6"/>
        <s v="Resin 7"/>
        <s v="Resin 8"/>
        <s v="Resin 9C"/>
        <s v="PBAT"/>
        <s v="Resin 13B"/>
        <s v="RM G Epotal ECO 3675"/>
        <s v="TIPA 312 MET"/>
        <s v="RM G Epotal Eco 3702"/>
        <s v="RM G Basonat HW 2270"/>
        <s v="Billerud Kraft White Paper"/>
        <s v="NK White"/>
        <s v="NK MATT"/>
        <s v="ALU"/>
        <s v="Resin 4A"/>
        <s v="Unallocated layer (HELPER gap)"/>
      </sharedItems>
    </cacheField>
    <cacheField name="Weighted QTY %" numFmtId="164">
      <sharedItems containsSemiMixedTypes="0" containsString="0" containsNumber="1" minValue="3.3057851239669429E-4" maxValue="0.61224489795918369"/>
    </cacheField>
    <cacheField name="Laminate Total Check" numFmtId="164">
      <sharedItems containsSemiMixedTypes="0" containsString="0" containsNumber="1" minValue="0.99999999999999989" maxValue="1.0000000000000002"/>
    </cacheField>
    <cacheField name="Source Row" numFmtId="0">
      <sharedItems containsString="0" containsBlank="1" containsNumber="1" containsInteger="1" minValue="2" maxValue="115"/>
    </cacheField>
    <cacheField name="Layer Thickness" numFmtId="0">
      <sharedItems containsSemiMixedTypes="0" containsString="0" containsNumber="1" minValue="8.99999999999999E-2" maxValue="80"/>
    </cacheField>
    <cacheField name="Structure Check" numFmtId="0">
      <sharedItems containsSemiMixedTypes="0" containsString="0" containsNumber="1" minValue="51" maxValue="1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x v="0"/>
    <x v="0"/>
    <s v="RMPM2"/>
    <n v="3.2521499999999999"/>
  </r>
  <r>
    <x v="0"/>
    <x v="1"/>
    <s v="RMLX175"/>
    <n v="0.27008399999999999"/>
  </r>
  <r>
    <x v="0"/>
    <x v="2"/>
    <s v="RM TA45-08 S723"/>
    <n v="0.32320000000000004"/>
  </r>
  <r>
    <x v="0"/>
    <x v="3"/>
    <s v="RM TA45-08 S724"/>
    <n v="0.17639999999999997"/>
  </r>
  <r>
    <x v="0"/>
    <x v="4"/>
    <s v="RM A KAB59A"/>
    <n v="6.7949999999999983E-2"/>
  </r>
  <r>
    <x v="0"/>
    <x v="5"/>
    <s v="BVE8049P"/>
    <n v="4.6989999999999998"/>
  </r>
  <r>
    <x v="0"/>
    <x v="6"/>
    <s v="RMB12"/>
    <n v="0.20700000000000002"/>
  </r>
  <r>
    <x v="1"/>
    <x v="1"/>
    <s v="RMLX175"/>
    <n v="1.50258"/>
  </r>
  <r>
    <x v="1"/>
    <x v="2"/>
    <s v="RM TA45-08 S723"/>
    <n v="0.32320000000000004"/>
  </r>
  <r>
    <x v="1"/>
    <x v="5"/>
    <s v="BVE8049P"/>
    <n v="4.6989999999999998"/>
  </r>
  <r>
    <x v="1"/>
    <x v="6"/>
    <s v="RMB12"/>
    <n v="0.20700000000000002"/>
  </r>
  <r>
    <x v="2"/>
    <x v="1"/>
    <s v="RMLX175"/>
    <n v="1.50258"/>
  </r>
  <r>
    <x v="2"/>
    <x v="2"/>
    <s v="RM TA45-08 S723"/>
    <n v="0.32320000000000004"/>
  </r>
  <r>
    <x v="2"/>
    <x v="5"/>
    <s v="BVE8049P"/>
    <n v="3.6259999999999999"/>
  </r>
  <r>
    <x v="2"/>
    <x v="6"/>
    <s v="RMB12"/>
    <n v="0.29400000000000004"/>
  </r>
  <r>
    <x v="3"/>
    <x v="0"/>
    <s v="RMPM2"/>
    <n v="2.2194000000000003"/>
  </r>
  <r>
    <x v="3"/>
    <x v="1"/>
    <s v="RMLX175"/>
    <n v="0.18259199999999998"/>
  </r>
  <r>
    <x v="3"/>
    <x v="4"/>
    <s v="RM A KAB59A"/>
    <n v="4.53E-2"/>
  </r>
  <r>
    <x v="3"/>
    <x v="2"/>
    <s v="RM TA45-08 S723"/>
    <n v="0.24239999999999998"/>
  </r>
  <r>
    <x v="3"/>
    <x v="6"/>
    <s v="RMB12"/>
    <n v="0.88649999999999995"/>
  </r>
  <r>
    <x v="3"/>
    <x v="3"/>
    <s v="RM TA45-08 S724"/>
    <n v="2.3519999999999999E-2"/>
  </r>
  <r>
    <x v="4"/>
    <x v="0"/>
    <s v="RMPM2"/>
    <n v="2.1870000000000003"/>
  </r>
  <r>
    <x v="4"/>
    <x v="1"/>
    <s v="RMLX175"/>
    <n v="0.18259199999999998"/>
  </r>
  <r>
    <x v="4"/>
    <x v="4"/>
    <s v="RM A KAB59A"/>
    <n v="4.53E-2"/>
  </r>
  <r>
    <x v="4"/>
    <x v="2"/>
    <s v="RM TA45-08 S723"/>
    <n v="0.24239999999999998"/>
  </r>
  <r>
    <x v="4"/>
    <x v="3"/>
    <s v="RM TA45-08 S724"/>
    <n v="9.4079999999999997E-2"/>
  </r>
  <r>
    <x v="4"/>
    <x v="7"/>
    <s v="RM WHITE BIO8153"/>
    <n v="0.36899999999999999"/>
  </r>
  <r>
    <x v="4"/>
    <x v="6"/>
    <s v="RMB12"/>
    <n v="0.79649999999999987"/>
  </r>
  <r>
    <x v="5"/>
    <x v="1"/>
    <s v="RMLX175"/>
    <n v="2.1061480000000001"/>
  </r>
  <r>
    <x v="5"/>
    <x v="2"/>
    <s v="RM TA45-08 S723"/>
    <n v="0.24239999999999998"/>
  </r>
  <r>
    <x v="5"/>
    <x v="0"/>
    <s v="RMPM2"/>
    <n v="1.0908000000000002"/>
  </r>
  <r>
    <x v="5"/>
    <x v="4"/>
    <s v="RM A KAB59A"/>
    <n v="2.265E-2"/>
  </r>
  <r>
    <x v="5"/>
    <x v="3"/>
    <s v="RM TA45-08 S724"/>
    <n v="5.8799999999999998E-2"/>
  </r>
  <r>
    <x v="6"/>
    <x v="1"/>
    <s v="RMLX175"/>
    <n v="1.9406739999999998"/>
  </r>
  <r>
    <x v="6"/>
    <x v="2"/>
    <s v="RM TA45-08 S723"/>
    <n v="0.24239999999999998"/>
  </r>
  <r>
    <x v="6"/>
    <x v="4"/>
    <s v="RM A KAB59A"/>
    <n v="4.53E-2"/>
  </r>
  <r>
    <x v="6"/>
    <x v="3"/>
    <s v="RM TA45-08 S724"/>
    <n v="0.1176"/>
  </r>
  <r>
    <x v="6"/>
    <x v="7"/>
    <s v="RM WHITE BIO8153"/>
    <n v="0.36899999999999999"/>
  </r>
  <r>
    <x v="6"/>
    <x v="0"/>
    <s v="RMPM2"/>
    <n v="1.0908000000000002"/>
  </r>
  <r>
    <x v="7"/>
    <x v="1"/>
    <s v="RMLX175"/>
    <n v="0.59405799999999997"/>
  </r>
  <r>
    <x v="7"/>
    <x v="2"/>
    <s v="RM TA45-08 S723"/>
    <n v="0.24239999999999998"/>
  </r>
  <r>
    <x v="7"/>
    <x v="6"/>
    <s v="RMB12"/>
    <n v="0.88649999999999995"/>
  </r>
  <r>
    <x v="7"/>
    <x v="0"/>
    <s v="RMPM2"/>
    <n v="1.0867500000000001"/>
  </r>
  <r>
    <x v="7"/>
    <x v="4"/>
    <s v="RM A KAB59A"/>
    <n v="2.265E-2"/>
  </r>
  <r>
    <x v="7"/>
    <x v="3"/>
    <s v="RM TA45-08 S724"/>
    <n v="6.762E-2"/>
  </r>
  <r>
    <x v="8"/>
    <x v="1"/>
    <s v="RMLX175"/>
    <n v="0.59405799999999997"/>
  </r>
  <r>
    <x v="8"/>
    <x v="2"/>
    <s v="RM TA45-08 S723"/>
    <n v="0.24239999999999998"/>
  </r>
  <r>
    <x v="8"/>
    <x v="7"/>
    <s v="RM WHITE BIO8153"/>
    <n v="0.36899999999999999"/>
  </r>
  <r>
    <x v="8"/>
    <x v="6"/>
    <s v="RMB12"/>
    <n v="0.79649999999999987"/>
  </r>
  <r>
    <x v="8"/>
    <x v="0"/>
    <s v="RMPM2"/>
    <n v="1.0867500000000001"/>
  </r>
  <r>
    <x v="8"/>
    <x v="4"/>
    <s v="RM A KAB59A"/>
    <n v="2.265E-2"/>
  </r>
  <r>
    <x v="8"/>
    <x v="3"/>
    <s v="RM TA45-08 S724"/>
    <n v="6.762E-2"/>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x v="0"/>
    <x v="0"/>
    <x v="0"/>
    <s v="Direct raw material"/>
    <m/>
    <m/>
    <x v="0"/>
    <n v="0.23"/>
    <n v="1"/>
    <n v="2"/>
    <n v="23"/>
    <n v="100"/>
  </r>
  <r>
    <x v="0"/>
    <x v="0"/>
    <x v="1"/>
    <s v="PLA"/>
    <s v="LX175"/>
    <s v="RMLX175"/>
    <x v="1"/>
    <n v="3.456E-2"/>
    <n v="1"/>
    <n v="3"/>
    <n v="60"/>
    <n v="100"/>
  </r>
  <r>
    <x v="0"/>
    <x v="0"/>
    <x v="1"/>
    <s v="PBAT"/>
    <s v="B12"/>
    <s v="RMB12"/>
    <x v="2"/>
    <n v="0.35460000000000003"/>
    <n v="1"/>
    <n v="3"/>
    <n v="60"/>
    <n v="100"/>
  </r>
  <r>
    <x v="0"/>
    <x v="0"/>
    <x v="1"/>
    <s v="AO-PBS"/>
    <s v="S723"/>
    <s v="RM TA45-08 S723"/>
    <x v="3"/>
    <n v="9.0000000000000011E-3"/>
    <n v="1"/>
    <n v="3"/>
    <n v="60"/>
    <n v="100"/>
  </r>
  <r>
    <x v="0"/>
    <x v="0"/>
    <x v="1"/>
    <s v="SLAB-PBSA"/>
    <s v="S724"/>
    <s v="RM TA45-08 S724"/>
    <x v="4"/>
    <n v="9.6000000000000013E-4"/>
    <n v="1"/>
    <n v="3"/>
    <n v="60"/>
    <n v="100"/>
  </r>
  <r>
    <x v="0"/>
    <x v="0"/>
    <x v="1"/>
    <s v="AB-PLA"/>
    <s v="KAB59A"/>
    <s v="RM A KAB59A"/>
    <x v="5"/>
    <n v="3.6000000000000003E-3"/>
    <n v="1"/>
    <n v="3"/>
    <n v="60"/>
    <n v="100"/>
  </r>
  <r>
    <x v="0"/>
    <x v="0"/>
    <x v="1"/>
    <s v="PBSA"/>
    <s v="FD92PM"/>
    <s v="RMPM2"/>
    <x v="6"/>
    <n v="0.19728000000000001"/>
    <n v="1"/>
    <n v="3"/>
    <n v="60"/>
    <n v="100"/>
  </r>
  <r>
    <x v="0"/>
    <x v="0"/>
    <x v="2"/>
    <s v="Direct raw material"/>
    <m/>
    <m/>
    <x v="7"/>
    <n v="0.17"/>
    <n v="1"/>
    <n v="4"/>
    <n v="17"/>
    <n v="100"/>
  </r>
  <r>
    <x v="1"/>
    <x v="0"/>
    <x v="0"/>
    <s v="Direct raw material"/>
    <m/>
    <m/>
    <x v="0"/>
    <n v="0.23"/>
    <n v="1"/>
    <n v="5"/>
    <n v="23"/>
    <n v="100"/>
  </r>
  <r>
    <x v="1"/>
    <x v="0"/>
    <x v="3"/>
    <s v="ECOMP WHITE"/>
    <s v="RM WHITE BIO8153"/>
    <s v="RM WHITE BIO8153"/>
    <x v="8"/>
    <n v="3.6000000000000004E-2"/>
    <n v="1"/>
    <n v="6"/>
    <n v="60"/>
    <n v="100"/>
  </r>
  <r>
    <x v="1"/>
    <x v="0"/>
    <x v="3"/>
    <s v="PLA"/>
    <s v="LX175"/>
    <s v="RMLX175"/>
    <x v="1"/>
    <n v="3.456E-2"/>
    <n v="1"/>
    <n v="6"/>
    <n v="60"/>
    <n v="100"/>
  </r>
  <r>
    <x v="1"/>
    <x v="0"/>
    <x v="3"/>
    <s v="PBAT"/>
    <s v="B12"/>
    <s v="RMB12"/>
    <x v="2"/>
    <n v="0.31859999999999999"/>
    <n v="1"/>
    <n v="6"/>
    <n v="60"/>
    <n v="100"/>
  </r>
  <r>
    <x v="1"/>
    <x v="0"/>
    <x v="3"/>
    <s v="AO-PBS"/>
    <s v="S723"/>
    <s v="RM TA45-08 S723"/>
    <x v="3"/>
    <n v="8.9999999999999993E-3"/>
    <n v="1"/>
    <n v="6"/>
    <n v="60"/>
    <n v="100"/>
  </r>
  <r>
    <x v="1"/>
    <x v="0"/>
    <x v="3"/>
    <s v="SLAB-PBSA"/>
    <s v="S724"/>
    <s v="RM TA45-08 S724"/>
    <x v="4"/>
    <n v="3.8400000000000001E-3"/>
    <n v="1"/>
    <n v="6"/>
    <n v="60"/>
    <n v="100"/>
  </r>
  <r>
    <x v="1"/>
    <x v="0"/>
    <x v="3"/>
    <s v="AB-PLA"/>
    <s v="KAB59A"/>
    <s v="RM A KAB59A"/>
    <x v="5"/>
    <n v="3.5999999999999999E-3"/>
    <n v="1"/>
    <n v="6"/>
    <n v="60"/>
    <n v="100"/>
  </r>
  <r>
    <x v="1"/>
    <x v="0"/>
    <x v="3"/>
    <s v="PBSA"/>
    <s v="FD92PM"/>
    <s v="RMPM2"/>
    <x v="6"/>
    <n v="0.19439999999999999"/>
    <n v="1"/>
    <n v="6"/>
    <n v="60"/>
    <n v="100"/>
  </r>
  <r>
    <x v="1"/>
    <x v="0"/>
    <x v="2"/>
    <s v="Direct raw material"/>
    <m/>
    <m/>
    <x v="7"/>
    <n v="0.17"/>
    <n v="1"/>
    <n v="7"/>
    <n v="17"/>
    <n v="100"/>
  </r>
  <r>
    <x v="2"/>
    <x v="1"/>
    <x v="0"/>
    <s v="Direct raw material"/>
    <m/>
    <m/>
    <x v="0"/>
    <n v="0.45098039215686275"/>
    <n v="1"/>
    <n v="8"/>
    <n v="23"/>
    <n v="51"/>
  </r>
  <r>
    <x v="2"/>
    <x v="1"/>
    <x v="1"/>
    <s v="PLA"/>
    <s v="LX175"/>
    <s v="RMLX175"/>
    <x v="1"/>
    <n v="2.823529411764706E-2"/>
    <n v="1"/>
    <n v="9"/>
    <n v="25"/>
    <n v="51"/>
  </r>
  <r>
    <x v="2"/>
    <x v="1"/>
    <x v="1"/>
    <s v="PBAT"/>
    <s v="B12"/>
    <s v="RMB12"/>
    <x v="2"/>
    <n v="0.2897058823529412"/>
    <n v="1"/>
    <n v="9"/>
    <n v="25"/>
    <n v="51"/>
  </r>
  <r>
    <x v="2"/>
    <x v="1"/>
    <x v="1"/>
    <s v="AO-PBS"/>
    <s v="S723"/>
    <s v="RM TA45-08 S723"/>
    <x v="3"/>
    <n v="7.352941176470589E-3"/>
    <n v="1"/>
    <n v="9"/>
    <n v="25"/>
    <n v="51"/>
  </r>
  <r>
    <x v="2"/>
    <x v="1"/>
    <x v="1"/>
    <s v="SLAB-PBSA"/>
    <s v="S724"/>
    <s v="RM TA45-08 S724"/>
    <x v="4"/>
    <n v="7.8431372549019615E-4"/>
    <n v="1"/>
    <n v="9"/>
    <n v="25"/>
    <n v="51"/>
  </r>
  <r>
    <x v="2"/>
    <x v="1"/>
    <x v="1"/>
    <s v="AB-PLA"/>
    <s v="KAB59A"/>
    <s v="RM A KAB59A"/>
    <x v="5"/>
    <n v="2.9411764705882357E-3"/>
    <n v="1"/>
    <n v="9"/>
    <n v="25"/>
    <n v="51"/>
  </r>
  <r>
    <x v="2"/>
    <x v="1"/>
    <x v="1"/>
    <s v="PBSA"/>
    <s v="FD92PM"/>
    <s v="RMPM2"/>
    <x v="6"/>
    <n v="0.16117647058823531"/>
    <n v="1"/>
    <n v="9"/>
    <n v="25"/>
    <n v="51"/>
  </r>
  <r>
    <x v="2"/>
    <x v="1"/>
    <x v="4"/>
    <s v="Direct raw material"/>
    <m/>
    <m/>
    <x v="9"/>
    <n v="5.8823529411764705E-2"/>
    <n v="1"/>
    <n v="10"/>
    <n v="3"/>
    <n v="51"/>
  </r>
  <r>
    <x v="2"/>
    <x v="2"/>
    <x v="0"/>
    <s v="Direct raw material"/>
    <m/>
    <m/>
    <x v="0"/>
    <n v="0.4107142857142857"/>
    <n v="1"/>
    <n v="11"/>
    <n v="23"/>
    <n v="56"/>
  </r>
  <r>
    <x v="2"/>
    <x v="2"/>
    <x v="1"/>
    <s v="PLA"/>
    <s v="LX175"/>
    <s v="RMLX175"/>
    <x v="1"/>
    <n v="3.0857142857142861E-2"/>
    <n v="1"/>
    <n v="12"/>
    <n v="30"/>
    <n v="56"/>
  </r>
  <r>
    <x v="2"/>
    <x v="2"/>
    <x v="1"/>
    <s v="PBAT"/>
    <s v="B12"/>
    <s v="RMB12"/>
    <x v="2"/>
    <n v="0.31660714285714286"/>
    <n v="1"/>
    <n v="12"/>
    <n v="30"/>
    <n v="56"/>
  </r>
  <r>
    <x v="2"/>
    <x v="2"/>
    <x v="1"/>
    <s v="AO-PBS"/>
    <s v="S723"/>
    <s v="RM TA45-08 S723"/>
    <x v="3"/>
    <n v="8.0357142857142867E-3"/>
    <n v="1"/>
    <n v="12"/>
    <n v="30"/>
    <n v="56"/>
  </r>
  <r>
    <x v="2"/>
    <x v="2"/>
    <x v="1"/>
    <s v="SLAB-PBSA"/>
    <s v="S724"/>
    <s v="RM TA45-08 S724"/>
    <x v="4"/>
    <n v="8.5714285714285732E-4"/>
    <n v="1"/>
    <n v="12"/>
    <n v="30"/>
    <n v="56"/>
  </r>
  <r>
    <x v="2"/>
    <x v="2"/>
    <x v="1"/>
    <s v="AB-PLA"/>
    <s v="KAB59A"/>
    <s v="RM A KAB59A"/>
    <x v="5"/>
    <n v="3.2142857142857147E-3"/>
    <n v="1"/>
    <n v="12"/>
    <n v="30"/>
    <n v="56"/>
  </r>
  <r>
    <x v="2"/>
    <x v="2"/>
    <x v="1"/>
    <s v="PBSA"/>
    <s v="FD92PM"/>
    <s v="RMPM2"/>
    <x v="6"/>
    <n v="0.17614285714285716"/>
    <n v="1"/>
    <n v="12"/>
    <n v="30"/>
    <n v="56"/>
  </r>
  <r>
    <x v="2"/>
    <x v="2"/>
    <x v="4"/>
    <s v="Direct raw material"/>
    <m/>
    <m/>
    <x v="9"/>
    <n v="5.3571428571428568E-2"/>
    <n v="1"/>
    <n v="13"/>
    <n v="3"/>
    <n v="56"/>
  </r>
  <r>
    <x v="2"/>
    <x v="3"/>
    <x v="0"/>
    <s v="Direct raw material"/>
    <m/>
    <m/>
    <x v="0"/>
    <n v="0.37704918032786883"/>
    <n v="1"/>
    <n v="14"/>
    <n v="23"/>
    <n v="61"/>
  </r>
  <r>
    <x v="2"/>
    <x v="3"/>
    <x v="1"/>
    <s v="PLA"/>
    <s v="LX175"/>
    <s v="RMLX175"/>
    <x v="1"/>
    <n v="3.3049180327868855E-2"/>
    <n v="1"/>
    <n v="15"/>
    <n v="35"/>
    <n v="61"/>
  </r>
  <r>
    <x v="2"/>
    <x v="3"/>
    <x v="1"/>
    <s v="PBAT"/>
    <s v="B12"/>
    <s v="RMB12"/>
    <x v="2"/>
    <n v="0.33909836065573773"/>
    <n v="1"/>
    <n v="15"/>
    <n v="35"/>
    <n v="61"/>
  </r>
  <r>
    <x v="2"/>
    <x v="3"/>
    <x v="1"/>
    <s v="AO-PBS"/>
    <s v="S723"/>
    <s v="RM TA45-08 S723"/>
    <x v="3"/>
    <n v="8.6065573770491809E-3"/>
    <n v="1"/>
    <n v="15"/>
    <n v="35"/>
    <n v="61"/>
  </r>
  <r>
    <x v="2"/>
    <x v="3"/>
    <x v="1"/>
    <s v="SLAB-PBSA"/>
    <s v="S724"/>
    <s v="RM TA45-08 S724"/>
    <x v="4"/>
    <n v="9.1803278688524603E-4"/>
    <n v="1"/>
    <n v="15"/>
    <n v="35"/>
    <n v="61"/>
  </r>
  <r>
    <x v="2"/>
    <x v="3"/>
    <x v="1"/>
    <s v="AB-PLA"/>
    <s v="KAB59A"/>
    <s v="RM A KAB59A"/>
    <x v="5"/>
    <n v="3.4426229508196723E-3"/>
    <n v="1"/>
    <n v="15"/>
    <n v="35"/>
    <n v="61"/>
  </r>
  <r>
    <x v="2"/>
    <x v="3"/>
    <x v="1"/>
    <s v="PBSA"/>
    <s v="FD92PM"/>
    <s v="RMPM2"/>
    <x v="6"/>
    <n v="0.18865573770491803"/>
    <n v="1"/>
    <n v="15"/>
    <n v="35"/>
    <n v="61"/>
  </r>
  <r>
    <x v="2"/>
    <x v="3"/>
    <x v="4"/>
    <s v="Direct raw material"/>
    <m/>
    <m/>
    <x v="9"/>
    <n v="4.9180327868852458E-2"/>
    <n v="1"/>
    <n v="16"/>
    <n v="3"/>
    <n v="61"/>
  </r>
  <r>
    <x v="2"/>
    <x v="4"/>
    <x v="0"/>
    <s v="Direct raw material"/>
    <m/>
    <m/>
    <x v="0"/>
    <n v="0.34848484848484851"/>
    <n v="1"/>
    <n v="17"/>
    <n v="23"/>
    <n v="66"/>
  </r>
  <r>
    <x v="2"/>
    <x v="4"/>
    <x v="1"/>
    <s v="PLA"/>
    <s v="LX175"/>
    <s v="RMLX175"/>
    <x v="1"/>
    <n v="3.490909090909091E-2"/>
    <n v="1"/>
    <n v="18"/>
    <n v="40"/>
    <n v="66"/>
  </r>
  <r>
    <x v="2"/>
    <x v="4"/>
    <x v="1"/>
    <s v="PBAT"/>
    <s v="B12"/>
    <s v="RMB12"/>
    <x v="2"/>
    <n v="0.35818181818181827"/>
    <n v="1"/>
    <n v="18"/>
    <n v="40"/>
    <n v="66"/>
  </r>
  <r>
    <x v="2"/>
    <x v="4"/>
    <x v="1"/>
    <s v="AO-PBS"/>
    <s v="S723"/>
    <s v="RM TA45-08 S723"/>
    <x v="3"/>
    <n v="9.0909090909090922E-3"/>
    <n v="1"/>
    <n v="18"/>
    <n v="40"/>
    <n v="66"/>
  </r>
  <r>
    <x v="2"/>
    <x v="4"/>
    <x v="1"/>
    <s v="SLAB-PBSA"/>
    <s v="S724"/>
    <s v="RM TA45-08 S724"/>
    <x v="4"/>
    <n v="9.6969696969696989E-4"/>
    <n v="1"/>
    <n v="18"/>
    <n v="40"/>
    <n v="66"/>
  </r>
  <r>
    <x v="2"/>
    <x v="4"/>
    <x v="1"/>
    <s v="AB-PLA"/>
    <s v="KAB59A"/>
    <s v="RM A KAB59A"/>
    <x v="5"/>
    <n v="3.6363636363636372E-3"/>
    <n v="1"/>
    <n v="18"/>
    <n v="40"/>
    <n v="66"/>
  </r>
  <r>
    <x v="2"/>
    <x v="4"/>
    <x v="1"/>
    <s v="PBSA"/>
    <s v="FD92PM"/>
    <s v="RMPM2"/>
    <x v="6"/>
    <n v="0.1992727272727273"/>
    <n v="1"/>
    <n v="18"/>
    <n v="40"/>
    <n v="66"/>
  </r>
  <r>
    <x v="2"/>
    <x v="4"/>
    <x v="4"/>
    <s v="Direct raw material"/>
    <m/>
    <m/>
    <x v="9"/>
    <n v="4.5454545454545456E-2"/>
    <n v="1"/>
    <n v="19"/>
    <n v="3"/>
    <n v="66"/>
  </r>
  <r>
    <x v="2"/>
    <x v="5"/>
    <x v="0"/>
    <s v="Direct raw material"/>
    <m/>
    <m/>
    <x v="0"/>
    <n v="0.29870129870129869"/>
    <n v="1"/>
    <n v="20"/>
    <n v="23"/>
    <n v="77"/>
  </r>
  <r>
    <x v="2"/>
    <x v="5"/>
    <x v="1"/>
    <s v="PLA"/>
    <s v="LX175"/>
    <s v="RMLX175"/>
    <x v="1"/>
    <n v="3.7402597402597403E-2"/>
    <n v="1"/>
    <n v="21"/>
    <n v="50"/>
    <n v="77"/>
  </r>
  <r>
    <x v="2"/>
    <x v="5"/>
    <x v="1"/>
    <s v="PBAT"/>
    <s v="B12"/>
    <s v="RMB12"/>
    <x v="2"/>
    <n v="0.38376623376623381"/>
    <n v="1"/>
    <n v="21"/>
    <n v="50"/>
    <n v="77"/>
  </r>
  <r>
    <x v="2"/>
    <x v="5"/>
    <x v="1"/>
    <s v="AO-PBS"/>
    <s v="S723"/>
    <s v="RM TA45-08 S723"/>
    <x v="3"/>
    <n v="9.7402597402597418E-3"/>
    <n v="1"/>
    <n v="21"/>
    <n v="50"/>
    <n v="77"/>
  </r>
  <r>
    <x v="2"/>
    <x v="5"/>
    <x v="1"/>
    <s v="SLAB-PBSA"/>
    <s v="S724"/>
    <s v="RM TA45-08 S724"/>
    <x v="4"/>
    <n v="1.0389610389610392E-3"/>
    <n v="1"/>
    <n v="21"/>
    <n v="50"/>
    <n v="77"/>
  </r>
  <r>
    <x v="2"/>
    <x v="5"/>
    <x v="1"/>
    <s v="AB-PLA"/>
    <s v="KAB59A"/>
    <s v="RM A KAB59A"/>
    <x v="5"/>
    <n v="3.8961038961038965E-3"/>
    <n v="1"/>
    <n v="21"/>
    <n v="50"/>
    <n v="77"/>
  </r>
  <r>
    <x v="2"/>
    <x v="5"/>
    <x v="1"/>
    <s v="PBSA"/>
    <s v="FD92PM"/>
    <s v="RMPM2"/>
    <x v="6"/>
    <n v="0.21350649350649353"/>
    <n v="1"/>
    <n v="21"/>
    <n v="50"/>
    <n v="77"/>
  </r>
  <r>
    <x v="2"/>
    <x v="5"/>
    <x v="4"/>
    <s v="Direct raw material"/>
    <m/>
    <m/>
    <x v="9"/>
    <n v="5.1948051948051951E-2"/>
    <n v="1"/>
    <n v="22"/>
    <n v="4"/>
    <n v="77"/>
  </r>
  <r>
    <x v="2"/>
    <x v="6"/>
    <x v="0"/>
    <s v="Direct raw material"/>
    <m/>
    <m/>
    <x v="0"/>
    <n v="0.26744186046511625"/>
    <n v="1"/>
    <n v="23"/>
    <n v="23"/>
    <n v="86"/>
  </r>
  <r>
    <x v="2"/>
    <x v="6"/>
    <x v="1"/>
    <s v="PLA"/>
    <s v="LX175"/>
    <s v="RMLX175"/>
    <x v="1"/>
    <n v="4.018604651162791E-2"/>
    <n v="1"/>
    <n v="24"/>
    <n v="60"/>
    <n v="86"/>
  </r>
  <r>
    <x v="2"/>
    <x v="6"/>
    <x v="1"/>
    <s v="PBAT"/>
    <s v="B12"/>
    <s v="RMB12"/>
    <x v="2"/>
    <n v="0.41232558139534892"/>
    <n v="1"/>
    <n v="24"/>
    <n v="60"/>
    <n v="86"/>
  </r>
  <r>
    <x v="2"/>
    <x v="6"/>
    <x v="1"/>
    <s v="AO-PBS"/>
    <s v="S723"/>
    <s v="RM TA45-08 S723"/>
    <x v="3"/>
    <n v="1.0465116279069769E-2"/>
    <n v="1"/>
    <n v="24"/>
    <n v="60"/>
    <n v="86"/>
  </r>
  <r>
    <x v="2"/>
    <x v="6"/>
    <x v="1"/>
    <s v="SLAB-PBSA"/>
    <s v="S724"/>
    <s v="RM TA45-08 S724"/>
    <x v="4"/>
    <n v="1.116279069767442E-3"/>
    <n v="1"/>
    <n v="24"/>
    <n v="60"/>
    <n v="86"/>
  </r>
  <r>
    <x v="2"/>
    <x v="6"/>
    <x v="1"/>
    <s v="AB-PLA"/>
    <s v="KAB59A"/>
    <s v="RM A KAB59A"/>
    <x v="5"/>
    <n v="4.1860465116279081E-3"/>
    <n v="1"/>
    <n v="24"/>
    <n v="60"/>
    <n v="86"/>
  </r>
  <r>
    <x v="2"/>
    <x v="6"/>
    <x v="1"/>
    <s v="PBSA"/>
    <s v="FD92PM"/>
    <s v="RMPM2"/>
    <x v="6"/>
    <n v="0.22939534883720933"/>
    <n v="1"/>
    <n v="24"/>
    <n v="60"/>
    <n v="86"/>
  </r>
  <r>
    <x v="2"/>
    <x v="6"/>
    <x v="4"/>
    <s v="Direct raw material"/>
    <m/>
    <m/>
    <x v="9"/>
    <n v="3.4883720930232558E-2"/>
    <n v="1"/>
    <n v="25"/>
    <n v="3"/>
    <n v="86"/>
  </r>
  <r>
    <x v="2"/>
    <x v="0"/>
    <x v="0"/>
    <s v="Direct raw material"/>
    <m/>
    <m/>
    <x v="0"/>
    <n v="0.23"/>
    <n v="1"/>
    <n v="26"/>
    <n v="23"/>
    <n v="100"/>
  </r>
  <r>
    <x v="2"/>
    <x v="0"/>
    <x v="1"/>
    <s v="PLA"/>
    <s v="LX175"/>
    <s v="RMLX175"/>
    <x v="1"/>
    <n v="4.2048000000000002E-2"/>
    <n v="1"/>
    <n v="27"/>
    <n v="73"/>
    <n v="100"/>
  </r>
  <r>
    <x v="2"/>
    <x v="0"/>
    <x v="1"/>
    <s v="PBAT"/>
    <s v="B12"/>
    <s v="RMB12"/>
    <x v="2"/>
    <n v="0.43143000000000004"/>
    <n v="1"/>
    <n v="27"/>
    <n v="73"/>
    <n v="100"/>
  </r>
  <r>
    <x v="2"/>
    <x v="0"/>
    <x v="1"/>
    <s v="AO-PBS"/>
    <s v="S723"/>
    <s v="RM TA45-08 S723"/>
    <x v="3"/>
    <n v="1.0950000000000001E-2"/>
    <n v="1"/>
    <n v="27"/>
    <n v="73"/>
    <n v="100"/>
  </r>
  <r>
    <x v="2"/>
    <x v="0"/>
    <x v="1"/>
    <s v="SLAB-PBSA"/>
    <s v="S724"/>
    <s v="RM TA45-08 S724"/>
    <x v="4"/>
    <n v="1.1680000000000002E-3"/>
    <n v="1"/>
    <n v="27"/>
    <n v="73"/>
    <n v="100"/>
  </r>
  <r>
    <x v="2"/>
    <x v="0"/>
    <x v="1"/>
    <s v="AB-PLA"/>
    <s v="KAB59A"/>
    <s v="RM A KAB59A"/>
    <x v="5"/>
    <n v="4.3800000000000002E-3"/>
    <n v="1"/>
    <n v="27"/>
    <n v="73"/>
    <n v="100"/>
  </r>
  <r>
    <x v="2"/>
    <x v="0"/>
    <x v="1"/>
    <s v="PBSA"/>
    <s v="FD92PM"/>
    <s v="RMPM2"/>
    <x v="6"/>
    <n v="0.24002400000000002"/>
    <n v="1"/>
    <n v="27"/>
    <n v="73"/>
    <n v="100"/>
  </r>
  <r>
    <x v="2"/>
    <x v="0"/>
    <x v="4"/>
    <s v="Direct raw material"/>
    <m/>
    <m/>
    <x v="9"/>
    <n v="0.04"/>
    <n v="1"/>
    <n v="28"/>
    <n v="4"/>
    <n v="100"/>
  </r>
  <r>
    <x v="3"/>
    <x v="1"/>
    <x v="0"/>
    <s v="Direct raw material"/>
    <m/>
    <m/>
    <x v="0"/>
    <n v="0.45098039215686275"/>
    <n v="1"/>
    <n v="29"/>
    <n v="23"/>
    <n v="51"/>
  </r>
  <r>
    <x v="3"/>
    <x v="1"/>
    <x v="3"/>
    <s v="ECOMP WHITE"/>
    <s v="RM WHITE BIO8153"/>
    <s v="RM WHITE BIO8153"/>
    <x v="8"/>
    <n v="2.9411764705882356E-2"/>
    <n v="1"/>
    <n v="30"/>
    <n v="25"/>
    <n v="51"/>
  </r>
  <r>
    <x v="3"/>
    <x v="1"/>
    <x v="3"/>
    <s v="PLA"/>
    <s v="LX175"/>
    <s v="RMLX175"/>
    <x v="1"/>
    <n v="2.8235294117647056E-2"/>
    <n v="1"/>
    <n v="30"/>
    <n v="25"/>
    <n v="51"/>
  </r>
  <r>
    <x v="3"/>
    <x v="1"/>
    <x v="3"/>
    <s v="PBAT"/>
    <s v="B12"/>
    <s v="RMB12"/>
    <x v="2"/>
    <n v="0.26029411764705884"/>
    <n v="1"/>
    <n v="30"/>
    <n v="25"/>
    <n v="51"/>
  </r>
  <r>
    <x v="3"/>
    <x v="1"/>
    <x v="3"/>
    <s v="AO-PBS"/>
    <s v="S723"/>
    <s v="RM TA45-08 S723"/>
    <x v="3"/>
    <n v="7.3529411764705873E-3"/>
    <n v="1"/>
    <n v="30"/>
    <n v="25"/>
    <n v="51"/>
  </r>
  <r>
    <x v="3"/>
    <x v="1"/>
    <x v="3"/>
    <s v="SLAB-PBSA"/>
    <s v="S724"/>
    <s v="RM TA45-08 S724"/>
    <x v="4"/>
    <n v="3.1372549019607842E-3"/>
    <n v="1"/>
    <n v="30"/>
    <n v="25"/>
    <n v="51"/>
  </r>
  <r>
    <x v="3"/>
    <x v="1"/>
    <x v="3"/>
    <s v="AB-PLA"/>
    <s v="KAB59A"/>
    <s v="RM A KAB59A"/>
    <x v="5"/>
    <n v="2.9411764705882353E-3"/>
    <n v="1"/>
    <n v="30"/>
    <n v="25"/>
    <n v="51"/>
  </r>
  <r>
    <x v="3"/>
    <x v="1"/>
    <x v="3"/>
    <s v="PBSA"/>
    <s v="FD92PM"/>
    <s v="RMPM2"/>
    <x v="6"/>
    <n v="0.1588235294117647"/>
    <n v="1"/>
    <n v="30"/>
    <n v="25"/>
    <n v="51"/>
  </r>
  <r>
    <x v="3"/>
    <x v="1"/>
    <x v="4"/>
    <s v="Direct raw material"/>
    <m/>
    <m/>
    <x v="9"/>
    <n v="5.8823529411764705E-2"/>
    <n v="1"/>
    <n v="31"/>
    <n v="3"/>
    <n v="51"/>
  </r>
  <r>
    <x v="3"/>
    <x v="2"/>
    <x v="0"/>
    <s v="Direct raw material"/>
    <m/>
    <m/>
    <x v="0"/>
    <n v="0.4107142857142857"/>
    <n v="1"/>
    <n v="32"/>
    <n v="23"/>
    <n v="56"/>
  </r>
  <r>
    <x v="3"/>
    <x v="2"/>
    <x v="3"/>
    <s v="ECOMP WHITE"/>
    <s v="RM WHITE BIO8153"/>
    <s v="RM WHITE BIO8153"/>
    <x v="8"/>
    <n v="3.2142857142857147E-2"/>
    <n v="1"/>
    <n v="33"/>
    <n v="30"/>
    <n v="56"/>
  </r>
  <r>
    <x v="3"/>
    <x v="2"/>
    <x v="3"/>
    <s v="PLA"/>
    <s v="LX175"/>
    <s v="RMLX175"/>
    <x v="1"/>
    <n v="3.0857142857142854E-2"/>
    <n v="1"/>
    <n v="33"/>
    <n v="30"/>
    <n v="56"/>
  </r>
  <r>
    <x v="3"/>
    <x v="2"/>
    <x v="3"/>
    <s v="PBAT"/>
    <s v="B12"/>
    <s v="RMB12"/>
    <x v="2"/>
    <n v="0.28446428571428573"/>
    <n v="1"/>
    <n v="33"/>
    <n v="30"/>
    <n v="56"/>
  </r>
  <r>
    <x v="3"/>
    <x v="2"/>
    <x v="3"/>
    <s v="AO-PBS"/>
    <s v="S723"/>
    <s v="RM TA45-08 S723"/>
    <x v="3"/>
    <n v="8.0357142857142849E-3"/>
    <n v="1"/>
    <n v="33"/>
    <n v="30"/>
    <n v="56"/>
  </r>
  <r>
    <x v="3"/>
    <x v="2"/>
    <x v="3"/>
    <s v="SLAB-PBSA"/>
    <s v="S724"/>
    <s v="RM TA45-08 S724"/>
    <x v="4"/>
    <n v="3.4285714285714288E-3"/>
    <n v="1"/>
    <n v="33"/>
    <n v="30"/>
    <n v="56"/>
  </r>
  <r>
    <x v="3"/>
    <x v="2"/>
    <x v="3"/>
    <s v="AB-PLA"/>
    <s v="KAB59A"/>
    <s v="RM A KAB59A"/>
    <x v="5"/>
    <n v="3.2142857142857142E-3"/>
    <n v="1"/>
    <n v="33"/>
    <n v="30"/>
    <n v="56"/>
  </r>
  <r>
    <x v="3"/>
    <x v="2"/>
    <x v="3"/>
    <s v="PBSA"/>
    <s v="FD92PM"/>
    <s v="RMPM2"/>
    <x v="6"/>
    <n v="0.17357142857142857"/>
    <n v="1"/>
    <n v="33"/>
    <n v="30"/>
    <n v="56"/>
  </r>
  <r>
    <x v="3"/>
    <x v="2"/>
    <x v="4"/>
    <s v="Direct raw material"/>
    <m/>
    <m/>
    <x v="9"/>
    <n v="5.3571428571428568E-2"/>
    <n v="1"/>
    <n v="34"/>
    <n v="3"/>
    <n v="56"/>
  </r>
  <r>
    <x v="3"/>
    <x v="3"/>
    <x v="0"/>
    <s v="Direct raw material"/>
    <m/>
    <m/>
    <x v="0"/>
    <n v="0.37704918032786883"/>
    <n v="1"/>
    <n v="35"/>
    <n v="23"/>
    <n v="61"/>
  </r>
  <r>
    <x v="3"/>
    <x v="3"/>
    <x v="3"/>
    <s v="ECOMP WHITE"/>
    <s v="RM WHITE BIO8153"/>
    <s v="RM WHITE BIO8153"/>
    <x v="8"/>
    <n v="3.4426229508196723E-2"/>
    <n v="1"/>
    <n v="36"/>
    <n v="35"/>
    <n v="61"/>
  </r>
  <r>
    <x v="3"/>
    <x v="3"/>
    <x v="3"/>
    <s v="PLA"/>
    <s v="LX175"/>
    <s v="RMLX175"/>
    <x v="1"/>
    <n v="3.3049180327868848E-2"/>
    <n v="1"/>
    <n v="36"/>
    <n v="35"/>
    <n v="61"/>
  </r>
  <r>
    <x v="3"/>
    <x v="3"/>
    <x v="3"/>
    <s v="PBAT"/>
    <s v="B12"/>
    <s v="RMB12"/>
    <x v="2"/>
    <n v="0.30467213114754099"/>
    <n v="1"/>
    <n v="36"/>
    <n v="35"/>
    <n v="61"/>
  </r>
  <r>
    <x v="3"/>
    <x v="3"/>
    <x v="3"/>
    <s v="AO-PBS"/>
    <s v="S723"/>
    <s v="RM TA45-08 S723"/>
    <x v="3"/>
    <n v="8.6065573770491791E-3"/>
    <n v="1"/>
    <n v="36"/>
    <n v="35"/>
    <n v="61"/>
  </r>
  <r>
    <x v="3"/>
    <x v="3"/>
    <x v="3"/>
    <s v="SLAB-PBSA"/>
    <s v="S724"/>
    <s v="RM TA45-08 S724"/>
    <x v="4"/>
    <n v="3.6721311475409837E-3"/>
    <n v="1"/>
    <n v="36"/>
    <n v="35"/>
    <n v="61"/>
  </r>
  <r>
    <x v="3"/>
    <x v="3"/>
    <x v="3"/>
    <s v="AB-PLA"/>
    <s v="KAB59A"/>
    <s v="RM A KAB59A"/>
    <x v="5"/>
    <n v="3.4426229508196719E-3"/>
    <n v="1"/>
    <n v="36"/>
    <n v="35"/>
    <n v="61"/>
  </r>
  <r>
    <x v="3"/>
    <x v="3"/>
    <x v="3"/>
    <s v="PBSA"/>
    <s v="FD92PM"/>
    <s v="RMPM2"/>
    <x v="6"/>
    <n v="0.18590163934426229"/>
    <n v="1"/>
    <n v="36"/>
    <n v="35"/>
    <n v="61"/>
  </r>
  <r>
    <x v="3"/>
    <x v="3"/>
    <x v="4"/>
    <s v="Direct raw material"/>
    <m/>
    <m/>
    <x v="9"/>
    <n v="4.9180327868852458E-2"/>
    <n v="1"/>
    <n v="37"/>
    <n v="3"/>
    <n v="61"/>
  </r>
  <r>
    <x v="3"/>
    <x v="4"/>
    <x v="0"/>
    <s v="Direct raw material"/>
    <m/>
    <m/>
    <x v="0"/>
    <n v="0.34848484848484851"/>
    <n v="1"/>
    <n v="38"/>
    <n v="23"/>
    <n v="66"/>
  </r>
  <r>
    <x v="3"/>
    <x v="4"/>
    <x v="3"/>
    <s v="ECOMP WHITE"/>
    <s v="RM WHITE BIO8153"/>
    <s v="RM WHITE BIO8153"/>
    <x v="8"/>
    <n v="3.6363636363636369E-2"/>
    <n v="1"/>
    <n v="39"/>
    <n v="40"/>
    <n v="66"/>
  </r>
  <r>
    <x v="3"/>
    <x v="4"/>
    <x v="3"/>
    <s v="PLA"/>
    <s v="LX175"/>
    <s v="RMLX175"/>
    <x v="1"/>
    <n v="3.490909090909091E-2"/>
    <n v="1"/>
    <n v="39"/>
    <n v="40"/>
    <n v="66"/>
  </r>
  <r>
    <x v="3"/>
    <x v="4"/>
    <x v="3"/>
    <s v="PBAT"/>
    <s v="B12"/>
    <s v="RMB12"/>
    <x v="2"/>
    <n v="0.32181818181818184"/>
    <n v="1"/>
    <n v="39"/>
    <n v="40"/>
    <n v="66"/>
  </r>
  <r>
    <x v="3"/>
    <x v="4"/>
    <x v="3"/>
    <s v="AO-PBS"/>
    <s v="S723"/>
    <s v="RM TA45-08 S723"/>
    <x v="3"/>
    <n v="9.0909090909090905E-3"/>
    <n v="1"/>
    <n v="39"/>
    <n v="40"/>
    <n v="66"/>
  </r>
  <r>
    <x v="3"/>
    <x v="4"/>
    <x v="3"/>
    <s v="SLAB-PBSA"/>
    <s v="S724"/>
    <s v="RM TA45-08 S724"/>
    <x v="4"/>
    <n v="3.8787878787878791E-3"/>
    <n v="1"/>
    <n v="39"/>
    <n v="40"/>
    <n v="66"/>
  </r>
  <r>
    <x v="3"/>
    <x v="4"/>
    <x v="3"/>
    <s v="AB-PLA"/>
    <s v="KAB59A"/>
    <s v="RM A KAB59A"/>
    <x v="5"/>
    <n v="3.6363636363636364E-3"/>
    <n v="1"/>
    <n v="39"/>
    <n v="40"/>
    <n v="66"/>
  </r>
  <r>
    <x v="3"/>
    <x v="4"/>
    <x v="3"/>
    <s v="PBSA"/>
    <s v="FD92PM"/>
    <s v="RMPM2"/>
    <x v="6"/>
    <n v="0.19636363636363638"/>
    <n v="1"/>
    <n v="39"/>
    <n v="40"/>
    <n v="66"/>
  </r>
  <r>
    <x v="3"/>
    <x v="4"/>
    <x v="4"/>
    <s v="Direct raw material"/>
    <m/>
    <m/>
    <x v="9"/>
    <n v="4.5454545454545456E-2"/>
    <n v="1"/>
    <n v="40"/>
    <n v="3"/>
    <n v="66"/>
  </r>
  <r>
    <x v="3"/>
    <x v="7"/>
    <x v="0"/>
    <s v="Direct raw material"/>
    <m/>
    <m/>
    <x v="0"/>
    <n v="0.29487179487179488"/>
    <n v="0.99999999999999989"/>
    <n v="41"/>
    <n v="23"/>
    <n v="78"/>
  </r>
  <r>
    <x v="3"/>
    <x v="7"/>
    <x v="3"/>
    <s v="ECOMP WHITE"/>
    <s v="RM WHITE BIO8153"/>
    <s v="RM WHITE BIO8153"/>
    <x v="8"/>
    <n v="4.0000000000000008E-2"/>
    <n v="0.99999999999999989"/>
    <n v="42"/>
    <n v="52"/>
    <n v="78"/>
  </r>
  <r>
    <x v="3"/>
    <x v="7"/>
    <x v="3"/>
    <s v="PLA"/>
    <s v="LX175"/>
    <s v="RMLX175"/>
    <x v="1"/>
    <n v="3.8399999999999997E-2"/>
    <n v="0.99999999999999989"/>
    <n v="42"/>
    <n v="52"/>
    <n v="78"/>
  </r>
  <r>
    <x v="3"/>
    <x v="7"/>
    <x v="3"/>
    <s v="PBAT"/>
    <s v="B12"/>
    <s v="RMB12"/>
    <x v="2"/>
    <n v="0.35399999999999998"/>
    <n v="0.99999999999999989"/>
    <n v="42"/>
    <n v="52"/>
    <n v="78"/>
  </r>
  <r>
    <x v="3"/>
    <x v="7"/>
    <x v="3"/>
    <s v="AO-PBS"/>
    <s v="S723"/>
    <s v="RM TA45-08 S723"/>
    <x v="3"/>
    <n v="9.9999999999999985E-3"/>
    <n v="0.99999999999999989"/>
    <n v="42"/>
    <n v="52"/>
    <n v="78"/>
  </r>
  <r>
    <x v="3"/>
    <x v="7"/>
    <x v="3"/>
    <s v="SLAB-PBSA"/>
    <s v="S724"/>
    <s v="RM TA45-08 S724"/>
    <x v="4"/>
    <n v="4.2666666666666669E-3"/>
    <n v="0.99999999999999989"/>
    <n v="42"/>
    <n v="52"/>
    <n v="78"/>
  </r>
  <r>
    <x v="3"/>
    <x v="7"/>
    <x v="3"/>
    <s v="AB-PLA"/>
    <s v="KAB59A"/>
    <s v="RM A KAB59A"/>
    <x v="5"/>
    <n v="4.0000000000000001E-3"/>
    <n v="0.99999999999999989"/>
    <n v="42"/>
    <n v="52"/>
    <n v="78"/>
  </r>
  <r>
    <x v="3"/>
    <x v="7"/>
    <x v="3"/>
    <s v="PBSA"/>
    <s v="FD92PM"/>
    <s v="RMPM2"/>
    <x v="6"/>
    <n v="0.216"/>
    <n v="0.99999999999999989"/>
    <n v="42"/>
    <n v="52"/>
    <n v="78"/>
  </r>
  <r>
    <x v="3"/>
    <x v="7"/>
    <x v="4"/>
    <s v="Direct raw material"/>
    <m/>
    <m/>
    <x v="9"/>
    <n v="3.8461538461538464E-2"/>
    <n v="0.99999999999999989"/>
    <n v="43"/>
    <n v="3"/>
    <n v="78"/>
  </r>
  <r>
    <x v="3"/>
    <x v="6"/>
    <x v="0"/>
    <s v="Direct raw material"/>
    <m/>
    <m/>
    <x v="0"/>
    <n v="0.26744186046511625"/>
    <n v="1"/>
    <n v="44"/>
    <n v="23"/>
    <n v="86"/>
  </r>
  <r>
    <x v="3"/>
    <x v="6"/>
    <x v="3"/>
    <s v="ECOMP WHITE"/>
    <s v="RM WHITE BIO8153"/>
    <s v="RM WHITE BIO8153"/>
    <x v="8"/>
    <n v="4.1860465116279076E-2"/>
    <n v="1"/>
    <n v="45"/>
    <n v="60"/>
    <n v="86"/>
  </r>
  <r>
    <x v="3"/>
    <x v="6"/>
    <x v="3"/>
    <s v="PLA"/>
    <s v="LX175"/>
    <s v="RMLX175"/>
    <x v="1"/>
    <n v="4.018604651162791E-2"/>
    <n v="1"/>
    <n v="45"/>
    <n v="60"/>
    <n v="86"/>
  </r>
  <r>
    <x v="3"/>
    <x v="6"/>
    <x v="3"/>
    <s v="PBAT"/>
    <s v="B12"/>
    <s v="RMB12"/>
    <x v="2"/>
    <n v="0.37046511627906981"/>
    <n v="1"/>
    <n v="45"/>
    <n v="60"/>
    <n v="86"/>
  </r>
  <r>
    <x v="3"/>
    <x v="6"/>
    <x v="3"/>
    <s v="AO-PBS"/>
    <s v="S723"/>
    <s v="RM TA45-08 S723"/>
    <x v="3"/>
    <n v="1.0465116279069767E-2"/>
    <n v="1"/>
    <n v="45"/>
    <n v="60"/>
    <n v="86"/>
  </r>
  <r>
    <x v="3"/>
    <x v="6"/>
    <x v="3"/>
    <s v="SLAB-PBSA"/>
    <s v="S724"/>
    <s v="RM TA45-08 S724"/>
    <x v="4"/>
    <n v="4.465116279069768E-3"/>
    <n v="1"/>
    <n v="45"/>
    <n v="60"/>
    <n v="86"/>
  </r>
  <r>
    <x v="3"/>
    <x v="6"/>
    <x v="3"/>
    <s v="AB-PLA"/>
    <s v="KAB59A"/>
    <s v="RM A KAB59A"/>
    <x v="5"/>
    <n v="4.1860465116279073E-3"/>
    <n v="1"/>
    <n v="45"/>
    <n v="60"/>
    <n v="86"/>
  </r>
  <r>
    <x v="3"/>
    <x v="6"/>
    <x v="3"/>
    <s v="PBSA"/>
    <s v="FD92PM"/>
    <s v="RMPM2"/>
    <x v="6"/>
    <n v="0.22604651162790698"/>
    <n v="1"/>
    <n v="45"/>
    <n v="60"/>
    <n v="86"/>
  </r>
  <r>
    <x v="3"/>
    <x v="6"/>
    <x v="4"/>
    <s v="Direct raw material"/>
    <m/>
    <m/>
    <x v="9"/>
    <n v="3.4883720930232558E-2"/>
    <n v="1"/>
    <n v="46"/>
    <n v="3"/>
    <n v="86"/>
  </r>
  <r>
    <x v="3"/>
    <x v="8"/>
    <x v="0"/>
    <s v="Direct raw material"/>
    <m/>
    <m/>
    <x v="0"/>
    <n v="0.21698113207547171"/>
    <n v="0.99999999999999989"/>
    <n v="47"/>
    <n v="23"/>
    <n v="106"/>
  </r>
  <r>
    <x v="3"/>
    <x v="8"/>
    <x v="3"/>
    <s v="ECOMP WHITE"/>
    <s v="RM WHITE BIO8153"/>
    <s v="RM WHITE BIO8153"/>
    <x v="8"/>
    <n v="4.5283018867924539E-2"/>
    <n v="0.99999999999999989"/>
    <n v="48"/>
    <n v="80"/>
    <n v="106"/>
  </r>
  <r>
    <x v="3"/>
    <x v="8"/>
    <x v="3"/>
    <s v="PLA"/>
    <s v="LX175"/>
    <s v="RMLX175"/>
    <x v="1"/>
    <n v="4.3471698113207551E-2"/>
    <n v="0.99999999999999989"/>
    <n v="48"/>
    <n v="80"/>
    <n v="106"/>
  </r>
  <r>
    <x v="3"/>
    <x v="8"/>
    <x v="3"/>
    <s v="PBAT"/>
    <s v="B12"/>
    <s v="RMB12"/>
    <x v="2"/>
    <n v="0.40075471698113213"/>
    <n v="0.99999999999999989"/>
    <n v="48"/>
    <n v="80"/>
    <n v="106"/>
  </r>
  <r>
    <x v="3"/>
    <x v="8"/>
    <x v="3"/>
    <s v="AO-PBS"/>
    <s v="S723"/>
    <s v="RM TA45-08 S723"/>
    <x v="3"/>
    <n v="1.1320754716981133E-2"/>
    <n v="0.99999999999999989"/>
    <n v="48"/>
    <n v="80"/>
    <n v="106"/>
  </r>
  <r>
    <x v="3"/>
    <x v="8"/>
    <x v="3"/>
    <s v="SLAB-PBSA"/>
    <s v="S724"/>
    <s v="RM TA45-08 S724"/>
    <x v="4"/>
    <n v="4.8301886792452833E-3"/>
    <n v="0.99999999999999989"/>
    <n v="48"/>
    <n v="80"/>
    <n v="106"/>
  </r>
  <r>
    <x v="3"/>
    <x v="8"/>
    <x v="3"/>
    <s v="AB-PLA"/>
    <s v="KAB59A"/>
    <s v="RM A KAB59A"/>
    <x v="5"/>
    <n v="4.528301886792453E-3"/>
    <n v="0.99999999999999989"/>
    <n v="48"/>
    <n v="80"/>
    <n v="106"/>
  </r>
  <r>
    <x v="3"/>
    <x v="8"/>
    <x v="3"/>
    <s v="PBSA"/>
    <s v="FD92PM"/>
    <s v="RMPM2"/>
    <x v="6"/>
    <n v="0.24452830188679248"/>
    <n v="0.99999999999999989"/>
    <n v="48"/>
    <n v="80"/>
    <n v="106"/>
  </r>
  <r>
    <x v="3"/>
    <x v="8"/>
    <x v="4"/>
    <s v="Direct raw material"/>
    <m/>
    <m/>
    <x v="9"/>
    <n v="2.8301886792452831E-2"/>
    <n v="0.99999999999999989"/>
    <n v="49"/>
    <n v="3"/>
    <n v="106"/>
  </r>
  <r>
    <x v="4"/>
    <x v="1"/>
    <x v="0"/>
    <s v="Direct raw material"/>
    <m/>
    <m/>
    <x v="0"/>
    <n v="0.45098039215686275"/>
    <n v="1"/>
    <n v="50"/>
    <n v="23"/>
    <n v="51"/>
  </r>
  <r>
    <x v="4"/>
    <x v="1"/>
    <x v="5"/>
    <s v="Direct raw material"/>
    <m/>
    <m/>
    <x v="10"/>
    <n v="0.49019607843137253"/>
    <n v="1"/>
    <n v="51"/>
    <n v="25"/>
    <n v="51"/>
  </r>
  <r>
    <x v="4"/>
    <x v="1"/>
    <x v="4"/>
    <s v="Direct raw material"/>
    <m/>
    <m/>
    <x v="9"/>
    <n v="5.8823529411764705E-2"/>
    <n v="1"/>
    <n v="52"/>
    <n v="3"/>
    <n v="51"/>
  </r>
  <r>
    <x v="5"/>
    <x v="0"/>
    <x v="0"/>
    <s v="Direct raw material"/>
    <m/>
    <m/>
    <x v="0"/>
    <n v="0.22979318613248076"/>
    <n v="0.99999999999999989"/>
    <n v="53"/>
    <n v="23"/>
    <n v="100.09"/>
  </r>
  <r>
    <x v="5"/>
    <x v="0"/>
    <x v="1"/>
    <s v="PLA"/>
    <s v="LX175"/>
    <s v="RMLX175"/>
    <x v="1"/>
    <n v="4.2010190828254572E-2"/>
    <n v="0.99999999999999989"/>
    <n v="54"/>
    <n v="73"/>
    <n v="100.09"/>
  </r>
  <r>
    <x v="5"/>
    <x v="0"/>
    <x v="1"/>
    <s v="PBAT"/>
    <s v="B12"/>
    <s v="RMB12"/>
    <x v="2"/>
    <n v="0.43104206214407037"/>
    <n v="0.99999999999999989"/>
    <n v="54"/>
    <n v="73"/>
    <n v="100.09"/>
  </r>
  <r>
    <x v="5"/>
    <x v="0"/>
    <x v="1"/>
    <s v="AO-PBS"/>
    <s v="S723"/>
    <s v="RM TA45-08 S723"/>
    <x v="3"/>
    <n v="1.0940153861524629E-2"/>
    <n v="0.99999999999999989"/>
    <n v="54"/>
    <n v="73"/>
    <n v="100.09"/>
  </r>
  <r>
    <x v="5"/>
    <x v="0"/>
    <x v="1"/>
    <s v="SLAB-PBSA"/>
    <s v="S724"/>
    <s v="RM TA45-08 S724"/>
    <x v="4"/>
    <n v="1.1669497452292937E-3"/>
    <n v="0.99999999999999989"/>
    <n v="54"/>
    <n v="73"/>
    <n v="100.09"/>
  </r>
  <r>
    <x v="5"/>
    <x v="0"/>
    <x v="1"/>
    <s v="AB-PLA"/>
    <s v="KAB59A"/>
    <s v="RM A KAB59A"/>
    <x v="5"/>
    <n v="4.3760615446098517E-3"/>
    <n v="0.99999999999999989"/>
    <n v="54"/>
    <n v="73"/>
    <n v="100.09"/>
  </r>
  <r>
    <x v="5"/>
    <x v="0"/>
    <x v="1"/>
    <s v="PBSA"/>
    <s v="FD92PM"/>
    <s v="RMPM2"/>
    <x v="6"/>
    <n v="0.23980817264461984"/>
    <n v="0.99999999999999989"/>
    <n v="54"/>
    <n v="73"/>
    <n v="100.09"/>
  </r>
  <r>
    <x v="5"/>
    <x v="0"/>
    <x v="6"/>
    <s v="Direct raw material"/>
    <m/>
    <m/>
    <x v="11"/>
    <n v="3.9964032370866216E-2"/>
    <n v="0.99999999999999989"/>
    <n v="55"/>
    <n v="4"/>
    <n v="100.09"/>
  </r>
  <r>
    <x v="5"/>
    <x v="0"/>
    <x v="7"/>
    <s v="Direct raw material"/>
    <m/>
    <m/>
    <x v="12"/>
    <n v="8.991907283444889E-4"/>
    <n v="0.99999999999999989"/>
    <n v="56"/>
    <n v="8.99999999999999E-2"/>
    <n v="100.09"/>
  </r>
  <r>
    <x v="5"/>
    <x v="9"/>
    <x v="0"/>
    <s v="Direct raw material"/>
    <m/>
    <m/>
    <x v="0"/>
    <n v="0.36455856712632745"/>
    <n v="1"/>
    <n v="57"/>
    <n v="23"/>
    <n v="63.09"/>
  </r>
  <r>
    <x v="5"/>
    <x v="9"/>
    <x v="1"/>
    <s v="PLA"/>
    <s v="LX175"/>
    <s v="RMLX175"/>
    <x v="1"/>
    <n v="3.1954350927246793E-2"/>
    <n v="1"/>
    <n v="58"/>
    <n v="35"/>
    <n v="63.09"/>
  </r>
  <r>
    <x v="5"/>
    <x v="9"/>
    <x v="1"/>
    <s v="PBAT"/>
    <s v="B12"/>
    <s v="RMB12"/>
    <x v="2"/>
    <n v="0.32786495482643846"/>
    <n v="1"/>
    <n v="58"/>
    <n v="35"/>
    <n v="63.09"/>
  </r>
  <r>
    <x v="5"/>
    <x v="9"/>
    <x v="1"/>
    <s v="AO-PBS"/>
    <s v="S723"/>
    <s v="RM TA45-08 S723"/>
    <x v="3"/>
    <n v="8.321445553970519E-3"/>
    <n v="1"/>
    <n v="58"/>
    <n v="35"/>
    <n v="63.09"/>
  </r>
  <r>
    <x v="5"/>
    <x v="9"/>
    <x v="1"/>
    <s v="SLAB-PBSA"/>
    <s v="S724"/>
    <s v="RM TA45-08 S724"/>
    <x v="4"/>
    <n v="8.8762085909018873E-4"/>
    <n v="1"/>
    <n v="58"/>
    <n v="35"/>
    <n v="63.09"/>
  </r>
  <r>
    <x v="5"/>
    <x v="9"/>
    <x v="1"/>
    <s v="AB-PLA"/>
    <s v="KAB59A"/>
    <s v="RM A KAB59A"/>
    <x v="5"/>
    <n v="3.3285782215882079E-3"/>
    <n v="1"/>
    <n v="58"/>
    <n v="35"/>
    <n v="63.09"/>
  </r>
  <r>
    <x v="5"/>
    <x v="9"/>
    <x v="1"/>
    <s v="PBSA"/>
    <s v="FD92PM"/>
    <s v="RMPM2"/>
    <x v="6"/>
    <n v="0.18240608654303378"/>
    <n v="1"/>
    <n v="58"/>
    <n v="35"/>
    <n v="63.09"/>
  </r>
  <r>
    <x v="5"/>
    <x v="9"/>
    <x v="6"/>
    <s v="Direct raw material"/>
    <m/>
    <m/>
    <x v="11"/>
    <n v="7.9251862418766833E-2"/>
    <n v="1"/>
    <n v="59"/>
    <n v="5"/>
    <n v="63.09"/>
  </r>
  <r>
    <x v="5"/>
    <x v="9"/>
    <x v="7"/>
    <s v="Direct raw material"/>
    <m/>
    <m/>
    <x v="12"/>
    <n v="1.4265335235378014E-3"/>
    <n v="1"/>
    <n v="60"/>
    <n v="8.99999999999999E-2"/>
    <n v="63.09"/>
  </r>
  <r>
    <x v="6"/>
    <x v="10"/>
    <x v="0"/>
    <s v="Direct raw material"/>
    <m/>
    <m/>
    <x v="0"/>
    <n v="0.29113924050632911"/>
    <n v="1"/>
    <n v="61"/>
    <n v="23"/>
    <n v="79"/>
  </r>
  <r>
    <x v="6"/>
    <x v="10"/>
    <x v="5"/>
    <s v="Direct raw material"/>
    <m/>
    <m/>
    <x v="10"/>
    <n v="0.31645569620253167"/>
    <n v="1"/>
    <n v="62"/>
    <n v="25"/>
    <n v="79"/>
  </r>
  <r>
    <x v="6"/>
    <x v="10"/>
    <x v="4"/>
    <s v="Direct raw material"/>
    <m/>
    <m/>
    <x v="9"/>
    <n v="7.5949367088607597E-2"/>
    <n v="1"/>
    <n v="64"/>
    <n v="6"/>
    <n v="79"/>
  </r>
  <r>
    <x v="7"/>
    <x v="1"/>
    <x v="0"/>
    <s v="Direct raw material"/>
    <m/>
    <m/>
    <x v="0"/>
    <n v="0.45098039215686275"/>
    <n v="0.99999999999999989"/>
    <n v="65"/>
    <n v="23"/>
    <n v="51"/>
  </r>
  <r>
    <x v="7"/>
    <x v="1"/>
    <x v="5"/>
    <s v="Direct raw material"/>
    <m/>
    <m/>
    <x v="10"/>
    <n v="0.49019607843137253"/>
    <n v="0.99999999999999989"/>
    <n v="66"/>
    <n v="25"/>
    <n v="51"/>
  </r>
  <r>
    <x v="7"/>
    <x v="1"/>
    <x v="6"/>
    <s v="Direct raw material"/>
    <m/>
    <m/>
    <x v="11"/>
    <n v="5.7058823529411766E-2"/>
    <n v="0.99999999999999989"/>
    <n v="67"/>
    <n v="2.91"/>
    <n v="51"/>
  </r>
  <r>
    <x v="7"/>
    <x v="1"/>
    <x v="7"/>
    <s v="Direct raw material"/>
    <m/>
    <m/>
    <x v="12"/>
    <n v="1.764705882352941E-3"/>
    <n v="0.99999999999999989"/>
    <n v="68"/>
    <n v="0.09"/>
    <n v="51"/>
  </r>
  <r>
    <x v="8"/>
    <x v="10"/>
    <x v="0"/>
    <s v="Direct raw material"/>
    <m/>
    <m/>
    <x v="0"/>
    <n v="0.42592592592592593"/>
    <n v="0.99999999999999989"/>
    <n v="69"/>
    <n v="23"/>
    <n v="54"/>
  </r>
  <r>
    <x v="8"/>
    <x v="10"/>
    <x v="5"/>
    <s v="Direct raw material"/>
    <m/>
    <m/>
    <x v="10"/>
    <n v="0.46296296296296297"/>
    <n v="0.99999999999999989"/>
    <n v="70"/>
    <n v="25"/>
    <n v="54"/>
  </r>
  <r>
    <x v="8"/>
    <x v="10"/>
    <x v="6"/>
    <s v="Direct raw material"/>
    <m/>
    <m/>
    <x v="11"/>
    <n v="0.10777777777777778"/>
    <n v="0.99999999999999989"/>
    <n v="71"/>
    <n v="5.82"/>
    <n v="54"/>
  </r>
  <r>
    <x v="8"/>
    <x v="10"/>
    <x v="7"/>
    <s v="Direct raw material"/>
    <m/>
    <m/>
    <x v="12"/>
    <n v="3.3333333333333331E-3"/>
    <n v="0.99999999999999989"/>
    <n v="72"/>
    <n v="0.18"/>
    <n v="54"/>
  </r>
  <r>
    <x v="9"/>
    <x v="11"/>
    <x v="0"/>
    <s v="Direct raw material"/>
    <m/>
    <m/>
    <x v="0"/>
    <n v="0.19008264462809918"/>
    <n v="1.0000000000000002"/>
    <n v="73"/>
    <n v="23"/>
    <n v="121"/>
  </r>
  <r>
    <x v="9"/>
    <x v="11"/>
    <x v="1"/>
    <s v="PLA"/>
    <s v="LX175"/>
    <s v="RMLX175"/>
    <x v="1"/>
    <n v="1.1900826446280993E-2"/>
    <n v="1.0000000000000002"/>
    <n v="74"/>
    <n v="25"/>
    <n v="121"/>
  </r>
  <r>
    <x v="9"/>
    <x v="11"/>
    <x v="1"/>
    <s v="PBAT"/>
    <s v="B12"/>
    <s v="RMB12"/>
    <x v="2"/>
    <n v="0.12210743801652894"/>
    <n v="1.0000000000000002"/>
    <n v="74"/>
    <n v="25"/>
    <n v="121"/>
  </r>
  <r>
    <x v="9"/>
    <x v="11"/>
    <x v="1"/>
    <s v="AO-PBS"/>
    <s v="S723"/>
    <s v="RM TA45-08 S723"/>
    <x v="3"/>
    <n v="3.0991735537190088E-3"/>
    <n v="1.0000000000000002"/>
    <n v="74"/>
    <n v="25"/>
    <n v="121"/>
  </r>
  <r>
    <x v="9"/>
    <x v="11"/>
    <x v="1"/>
    <s v="SLAB-PBSA"/>
    <s v="S724"/>
    <s v="RM TA45-08 S724"/>
    <x v="4"/>
    <n v="3.3057851239669429E-4"/>
    <n v="1.0000000000000002"/>
    <n v="74"/>
    <n v="25"/>
    <n v="121"/>
  </r>
  <r>
    <x v="9"/>
    <x v="11"/>
    <x v="1"/>
    <s v="AB-PLA"/>
    <s v="KAB59A"/>
    <s v="RM A KAB59A"/>
    <x v="5"/>
    <n v="1.2396694214876036E-3"/>
    <n v="1.0000000000000002"/>
    <n v="74"/>
    <n v="25"/>
    <n v="121"/>
  </r>
  <r>
    <x v="9"/>
    <x v="11"/>
    <x v="1"/>
    <s v="PBSA"/>
    <s v="FD92PM"/>
    <s v="RMPM2"/>
    <x v="6"/>
    <n v="6.7933884297520675E-2"/>
    <n v="1.0000000000000002"/>
    <n v="74"/>
    <n v="25"/>
    <n v="121"/>
  </r>
  <r>
    <x v="9"/>
    <x v="11"/>
    <x v="8"/>
    <s v="Direct raw material"/>
    <m/>
    <m/>
    <x v="13"/>
    <n v="0.55371900826446285"/>
    <n v="1.0000000000000002"/>
    <n v="75"/>
    <n v="67"/>
    <n v="121"/>
  </r>
  <r>
    <x v="9"/>
    <x v="11"/>
    <x v="4"/>
    <s v="Direct raw material"/>
    <m/>
    <m/>
    <x v="9"/>
    <n v="4.9586776859504134E-2"/>
    <n v="1.0000000000000002"/>
    <n v="76"/>
    <n v="6"/>
    <n v="121"/>
  </r>
  <r>
    <x v="10"/>
    <x v="11"/>
    <x v="0"/>
    <s v="Direct raw material"/>
    <m/>
    <m/>
    <x v="0"/>
    <n v="0.19008264462809918"/>
    <n v="1.0000000000000002"/>
    <n v="77"/>
    <n v="23"/>
    <n v="121"/>
  </r>
  <r>
    <x v="10"/>
    <x v="11"/>
    <x v="1"/>
    <s v="PLA"/>
    <s v="LX175"/>
    <s v="RMLX175"/>
    <x v="1"/>
    <n v="1.1900826446280993E-2"/>
    <n v="1.0000000000000002"/>
    <n v="78"/>
    <n v="25"/>
    <n v="121"/>
  </r>
  <r>
    <x v="10"/>
    <x v="11"/>
    <x v="1"/>
    <s v="PBAT"/>
    <s v="B12"/>
    <s v="RMB12"/>
    <x v="2"/>
    <n v="0.12210743801652894"/>
    <n v="1.0000000000000002"/>
    <n v="78"/>
    <n v="25"/>
    <n v="121"/>
  </r>
  <r>
    <x v="10"/>
    <x v="11"/>
    <x v="1"/>
    <s v="AO-PBS"/>
    <s v="S723"/>
    <s v="RM TA45-08 S723"/>
    <x v="3"/>
    <n v="3.0991735537190088E-3"/>
    <n v="1.0000000000000002"/>
    <n v="78"/>
    <n v="25"/>
    <n v="121"/>
  </r>
  <r>
    <x v="10"/>
    <x v="11"/>
    <x v="1"/>
    <s v="SLAB-PBSA"/>
    <s v="S724"/>
    <s v="RM TA45-08 S724"/>
    <x v="4"/>
    <n v="3.3057851239669429E-4"/>
    <n v="1.0000000000000002"/>
    <n v="78"/>
    <n v="25"/>
    <n v="121"/>
  </r>
  <r>
    <x v="10"/>
    <x v="11"/>
    <x v="1"/>
    <s v="AB-PLA"/>
    <s v="KAB59A"/>
    <s v="RM A KAB59A"/>
    <x v="5"/>
    <n v="1.2396694214876036E-3"/>
    <n v="1.0000000000000002"/>
    <n v="78"/>
    <n v="25"/>
    <n v="121"/>
  </r>
  <r>
    <x v="10"/>
    <x v="11"/>
    <x v="1"/>
    <s v="PBSA"/>
    <s v="FD92PM"/>
    <s v="RMPM2"/>
    <x v="6"/>
    <n v="6.7933884297520675E-2"/>
    <n v="1.0000000000000002"/>
    <n v="78"/>
    <n v="25"/>
    <n v="121"/>
  </r>
  <r>
    <x v="10"/>
    <x v="11"/>
    <x v="8"/>
    <s v="Direct raw material"/>
    <m/>
    <m/>
    <x v="13"/>
    <n v="0.55371900826446285"/>
    <n v="1.0000000000000002"/>
    <n v="79"/>
    <n v="67"/>
    <n v="121"/>
  </r>
  <r>
    <x v="10"/>
    <x v="11"/>
    <x v="6"/>
    <s v="Direct raw material"/>
    <m/>
    <m/>
    <x v="11"/>
    <n v="4.809917355371901E-2"/>
    <n v="1.0000000000000002"/>
    <n v="80"/>
    <n v="5.82"/>
    <n v="121"/>
  </r>
  <r>
    <x v="10"/>
    <x v="11"/>
    <x v="7"/>
    <s v="Direct raw material"/>
    <m/>
    <m/>
    <x v="12"/>
    <n v="1.4876033057851239E-3"/>
    <n v="1.0000000000000002"/>
    <n v="81"/>
    <n v="0.18"/>
    <n v="121"/>
  </r>
  <r>
    <x v="11"/>
    <x v="11"/>
    <x v="0"/>
    <s v="Direct raw material"/>
    <m/>
    <m/>
    <x v="0"/>
    <n v="0.19008264462809918"/>
    <n v="1"/>
    <n v="82"/>
    <n v="23"/>
    <n v="121"/>
  </r>
  <r>
    <x v="11"/>
    <x v="11"/>
    <x v="5"/>
    <s v="Direct raw material"/>
    <m/>
    <m/>
    <x v="10"/>
    <n v="0.20661157024793389"/>
    <n v="1"/>
    <n v="83"/>
    <n v="25"/>
    <n v="121"/>
  </r>
  <r>
    <x v="11"/>
    <x v="11"/>
    <x v="8"/>
    <s v="Direct raw material"/>
    <m/>
    <m/>
    <x v="13"/>
    <n v="0.55371900826446285"/>
    <n v="1"/>
    <n v="84"/>
    <n v="67"/>
    <n v="121"/>
  </r>
  <r>
    <x v="11"/>
    <x v="11"/>
    <x v="4"/>
    <s v="Direct raw material"/>
    <m/>
    <m/>
    <x v="9"/>
    <n v="4.9586776859504134E-2"/>
    <n v="1"/>
    <n v="85"/>
    <n v="6"/>
    <n v="121"/>
  </r>
  <r>
    <x v="12"/>
    <x v="11"/>
    <x v="0"/>
    <s v="Direct raw material"/>
    <m/>
    <m/>
    <x v="0"/>
    <n v="0.19008264462809918"/>
    <n v="1"/>
    <n v="86"/>
    <n v="23"/>
    <n v="121"/>
  </r>
  <r>
    <x v="12"/>
    <x v="11"/>
    <x v="5"/>
    <s v="Direct raw material"/>
    <m/>
    <m/>
    <x v="10"/>
    <n v="0.20661157024793389"/>
    <n v="1"/>
    <n v="87"/>
    <n v="25"/>
    <n v="121"/>
  </r>
  <r>
    <x v="12"/>
    <x v="11"/>
    <x v="8"/>
    <s v="Direct raw material"/>
    <m/>
    <m/>
    <x v="13"/>
    <n v="0.55371900826446285"/>
    <n v="1"/>
    <n v="88"/>
    <n v="67"/>
    <n v="121"/>
  </r>
  <r>
    <x v="12"/>
    <x v="11"/>
    <x v="6"/>
    <s v="Direct raw material"/>
    <m/>
    <m/>
    <x v="11"/>
    <n v="4.809917355371901E-2"/>
    <n v="1"/>
    <n v="89"/>
    <n v="5.82"/>
    <n v="121"/>
  </r>
  <r>
    <x v="12"/>
    <x v="11"/>
    <x v="7"/>
    <s v="Direct raw material"/>
    <m/>
    <m/>
    <x v="12"/>
    <n v="1.4876033057851239E-3"/>
    <n v="1"/>
    <n v="90"/>
    <n v="0.18"/>
    <n v="121"/>
  </r>
  <r>
    <x v="13"/>
    <x v="10"/>
    <x v="1"/>
    <s v="PLA"/>
    <s v="LX175"/>
    <s v="RMLX175"/>
    <x v="1"/>
    <n v="1.8461538461538463E-2"/>
    <n v="1"/>
    <n v="91"/>
    <n v="25"/>
    <n v="78"/>
  </r>
  <r>
    <x v="13"/>
    <x v="10"/>
    <x v="1"/>
    <s v="PBAT"/>
    <s v="B12"/>
    <s v="RMB12"/>
    <x v="2"/>
    <n v="0.18942307692307697"/>
    <n v="1"/>
    <n v="91"/>
    <n v="25"/>
    <n v="78"/>
  </r>
  <r>
    <x v="13"/>
    <x v="10"/>
    <x v="1"/>
    <s v="AO-PBS"/>
    <s v="S723"/>
    <s v="RM TA45-08 S723"/>
    <x v="3"/>
    <n v="4.8076923076923088E-3"/>
    <n v="1"/>
    <n v="91"/>
    <n v="25"/>
    <n v="78"/>
  </r>
  <r>
    <x v="13"/>
    <x v="10"/>
    <x v="1"/>
    <s v="SLAB-PBSA"/>
    <s v="S724"/>
    <s v="RM TA45-08 S724"/>
    <x v="4"/>
    <n v="5.1282051282051293E-4"/>
    <n v="1"/>
    <n v="91"/>
    <n v="25"/>
    <n v="78"/>
  </r>
  <r>
    <x v="13"/>
    <x v="10"/>
    <x v="1"/>
    <s v="AB-PLA"/>
    <s v="KAB59A"/>
    <s v="RM A KAB59A"/>
    <x v="5"/>
    <n v="1.9230769230769236E-3"/>
    <n v="1"/>
    <n v="91"/>
    <n v="25"/>
    <n v="78"/>
  </r>
  <r>
    <x v="13"/>
    <x v="10"/>
    <x v="1"/>
    <s v="PBSA"/>
    <s v="FD92PM"/>
    <s v="RMPM2"/>
    <x v="6"/>
    <n v="0.10538461538461541"/>
    <n v="1"/>
    <n v="91"/>
    <n v="25"/>
    <n v="78"/>
  </r>
  <r>
    <x v="13"/>
    <x v="10"/>
    <x v="9"/>
    <s v="Direct raw material"/>
    <m/>
    <m/>
    <x v="14"/>
    <n v="0.28205128205128205"/>
    <n v="1"/>
    <n v="92"/>
    <n v="22"/>
    <n v="78"/>
  </r>
  <r>
    <x v="13"/>
    <x v="10"/>
    <x v="10"/>
    <s v="Direct raw material"/>
    <m/>
    <m/>
    <x v="15"/>
    <n v="0.32051282051282054"/>
    <n v="1"/>
    <n v="93"/>
    <n v="25"/>
    <n v="78"/>
  </r>
  <r>
    <x v="13"/>
    <x v="10"/>
    <x v="4"/>
    <s v="Direct raw material"/>
    <m/>
    <m/>
    <x v="9"/>
    <n v="7.6923076923076927E-2"/>
    <n v="1"/>
    <n v="94"/>
    <n v="6"/>
    <n v="78"/>
  </r>
  <r>
    <x v="14"/>
    <x v="12"/>
    <x v="1"/>
    <s v="PLA"/>
    <s v="LX175"/>
    <s v="RMLX175"/>
    <x v="1"/>
    <n v="1.4693877551020409E-2"/>
    <n v="1"/>
    <n v="95"/>
    <n v="25"/>
    <n v="98"/>
  </r>
  <r>
    <x v="14"/>
    <x v="12"/>
    <x v="1"/>
    <s v="PBAT"/>
    <s v="B12"/>
    <s v="RMB12"/>
    <x v="2"/>
    <n v="0.15076530612244901"/>
    <n v="1"/>
    <n v="95"/>
    <n v="25"/>
    <n v="98"/>
  </r>
  <r>
    <x v="14"/>
    <x v="12"/>
    <x v="1"/>
    <s v="AO-PBS"/>
    <s v="S723"/>
    <s v="RM TA45-08 S723"/>
    <x v="3"/>
    <n v="3.8265306122448987E-3"/>
    <n v="1"/>
    <n v="95"/>
    <n v="25"/>
    <n v="98"/>
  </r>
  <r>
    <x v="14"/>
    <x v="12"/>
    <x v="1"/>
    <s v="SLAB-PBSA"/>
    <s v="S724"/>
    <s v="RM TA45-08 S724"/>
    <x v="4"/>
    <n v="4.0816326530612252E-4"/>
    <n v="1"/>
    <n v="95"/>
    <n v="25"/>
    <n v="98"/>
  </r>
  <r>
    <x v="14"/>
    <x v="12"/>
    <x v="1"/>
    <s v="AB-PLA"/>
    <s v="KAB59A"/>
    <s v="RM A KAB59A"/>
    <x v="5"/>
    <n v="1.5306122448979595E-3"/>
    <n v="1"/>
    <n v="95"/>
    <n v="25"/>
    <n v="98"/>
  </r>
  <r>
    <x v="14"/>
    <x v="12"/>
    <x v="1"/>
    <s v="PBSA"/>
    <s v="FD92PM"/>
    <s v="RMPM2"/>
    <x v="6"/>
    <n v="8.387755102040817E-2"/>
    <n v="1"/>
    <n v="95"/>
    <n v="25"/>
    <n v="98"/>
  </r>
  <r>
    <x v="14"/>
    <x v="12"/>
    <x v="11"/>
    <s v="Direct raw material"/>
    <m/>
    <m/>
    <x v="16"/>
    <n v="7.1428571428571425E-2"/>
    <n v="1"/>
    <n v="96"/>
    <n v="7"/>
    <n v="98"/>
  </r>
  <r>
    <x v="14"/>
    <x v="12"/>
    <x v="8"/>
    <s v="Direct raw material"/>
    <m/>
    <m/>
    <x v="13"/>
    <n v="0.61224489795918369"/>
    <n v="1"/>
    <n v="97"/>
    <n v="60"/>
    <n v="98"/>
  </r>
  <r>
    <x v="14"/>
    <x v="12"/>
    <x v="4"/>
    <s v="Direct raw material"/>
    <m/>
    <m/>
    <x v="9"/>
    <n v="6.1224489795918366E-2"/>
    <n v="1"/>
    <n v="98"/>
    <n v="6"/>
    <n v="98"/>
  </r>
  <r>
    <x v="15"/>
    <x v="13"/>
    <x v="12"/>
    <s v="PLA"/>
    <s v="LX175"/>
    <s v="RMLX175"/>
    <x v="1"/>
    <n v="0.24081188836534981"/>
    <n v="1.0000000000000002"/>
    <n v="99"/>
    <n v="20"/>
    <n v="55.18"/>
  </r>
  <r>
    <x v="15"/>
    <x v="13"/>
    <x v="12"/>
    <s v="PCL"/>
    <s v="P65D"/>
    <s v="RMP65D"/>
    <x v="17"/>
    <n v="5.5092424791591162E-2"/>
    <n v="1.0000000000000002"/>
    <n v="99"/>
    <n v="20"/>
    <n v="55.18"/>
  </r>
  <r>
    <x v="15"/>
    <x v="13"/>
    <x v="12"/>
    <s v="AO-PBS"/>
    <s v="S723"/>
    <s v="RM TA45-08 S723"/>
    <x v="3"/>
    <n v="5.4367524465386017E-3"/>
    <n v="1.0000000000000002"/>
    <n v="99"/>
    <n v="20"/>
    <n v="55.18"/>
  </r>
  <r>
    <x v="15"/>
    <x v="13"/>
    <x v="12"/>
    <s v="SLAB-PBSA"/>
    <s v="S724"/>
    <s v="RM TA45-08 S724"/>
    <x v="4"/>
    <n v="1.449800652410294E-3"/>
    <n v="1.0000000000000002"/>
    <n v="99"/>
    <n v="20"/>
    <n v="55.18"/>
  </r>
  <r>
    <x v="15"/>
    <x v="13"/>
    <x v="12"/>
    <s v="AB-PLA"/>
    <s v="KAB59A"/>
    <s v="RM A KAB59A"/>
    <x v="5"/>
    <n v="1.0873504893077204E-3"/>
    <n v="1.0000000000000002"/>
    <n v="99"/>
    <n v="20"/>
    <n v="55.18"/>
  </r>
  <r>
    <x v="15"/>
    <x v="13"/>
    <x v="12"/>
    <s v="PBSA"/>
    <s v="FD92PM"/>
    <s v="RMPM2"/>
    <x v="6"/>
    <n v="5.8571946357375879E-2"/>
    <n v="1.0000000000000002"/>
    <n v="99"/>
    <n v="20"/>
    <n v="55.18"/>
  </r>
  <r>
    <x v="15"/>
    <x v="13"/>
    <x v="0"/>
    <s v="Direct raw material"/>
    <m/>
    <m/>
    <x v="0"/>
    <n v="0.41681768756795939"/>
    <n v="1.0000000000000002"/>
    <n v="100"/>
    <n v="23"/>
    <n v="55.18"/>
  </r>
  <r>
    <x v="15"/>
    <x v="13"/>
    <x v="6"/>
    <s v="Direct raw material"/>
    <m/>
    <m/>
    <x v="11"/>
    <n v="0.10873504893077202"/>
    <n v="1.0000000000000002"/>
    <n v="101"/>
    <n v="6"/>
    <n v="55.18"/>
  </r>
  <r>
    <x v="15"/>
    <x v="13"/>
    <x v="11"/>
    <s v="Direct raw material"/>
    <m/>
    <m/>
    <x v="16"/>
    <n v="0.10873504893077202"/>
    <n v="1.0000000000000002"/>
    <n v="102"/>
    <n v="6"/>
    <n v="55.18"/>
  </r>
  <r>
    <x v="15"/>
    <x v="13"/>
    <x v="7"/>
    <s v="Direct raw material"/>
    <m/>
    <m/>
    <x v="12"/>
    <n v="3.2620514679231605E-3"/>
    <n v="1.0000000000000002"/>
    <n v="103"/>
    <n v="0.18"/>
    <n v="55.18"/>
  </r>
  <r>
    <x v="5"/>
    <x v="5"/>
    <x v="0"/>
    <s v="Direct raw material"/>
    <m/>
    <m/>
    <x v="0"/>
    <n v="0.29835257491243999"/>
    <n v="1.0000000000000002"/>
    <n v="104"/>
    <n v="23"/>
    <n v="77.09"/>
  </r>
  <r>
    <x v="5"/>
    <x v="5"/>
    <x v="1"/>
    <s v="PLA"/>
    <s v="LX175"/>
    <s v="RMLX175"/>
    <x v="1"/>
    <n v="3.7358931119470751E-2"/>
    <n v="1.0000000000000002"/>
    <n v="105"/>
    <n v="50"/>
    <n v="77.09"/>
  </r>
  <r>
    <x v="5"/>
    <x v="5"/>
    <x v="1"/>
    <s v="PBAT"/>
    <s v="B12"/>
    <s v="RMB12"/>
    <x v="2"/>
    <n v="0.38331819950706975"/>
    <n v="1.0000000000000002"/>
    <n v="105"/>
    <n v="50"/>
    <n v="77.09"/>
  </r>
  <r>
    <x v="5"/>
    <x v="5"/>
    <x v="1"/>
    <s v="AO-PBS"/>
    <s v="S723"/>
    <s v="RM TA45-08 S723"/>
    <x v="3"/>
    <n v="9.7288883123621758E-3"/>
    <n v="1.0000000000000002"/>
    <n v="105"/>
    <n v="50"/>
    <n v="77.09"/>
  </r>
  <r>
    <x v="5"/>
    <x v="5"/>
    <x v="1"/>
    <s v="SLAB-PBSA"/>
    <s v="S724"/>
    <s v="RM TA45-08 S724"/>
    <x v="4"/>
    <n v="1.0377480866519656E-3"/>
    <n v="1.0000000000000002"/>
    <n v="105"/>
    <n v="50"/>
    <n v="77.09"/>
  </r>
  <r>
    <x v="5"/>
    <x v="5"/>
    <x v="1"/>
    <s v="AB-PLA"/>
    <s v="KAB59A"/>
    <s v="RM A KAB59A"/>
    <x v="5"/>
    <n v="3.8915553249448706E-3"/>
    <n v="1.0000000000000002"/>
    <n v="105"/>
    <n v="50"/>
    <n v="77.09"/>
  </r>
  <r>
    <x v="5"/>
    <x v="5"/>
    <x v="1"/>
    <s v="PBSA"/>
    <s v="FD92PM"/>
    <s v="RMPM2"/>
    <x v="6"/>
    <n v="0.21325723180697889"/>
    <n v="1.0000000000000002"/>
    <n v="105"/>
    <n v="50"/>
    <n v="77.09"/>
  </r>
  <r>
    <x v="5"/>
    <x v="5"/>
    <x v="6"/>
    <s v="Direct raw material"/>
    <m/>
    <m/>
    <x v="11"/>
    <n v="5.188740433259826E-2"/>
    <n v="1.0000000000000002"/>
    <n v="106"/>
    <n v="4"/>
    <n v="77.09"/>
  </r>
  <r>
    <x v="5"/>
    <x v="5"/>
    <x v="7"/>
    <s v="Direct raw material"/>
    <m/>
    <m/>
    <x v="12"/>
    <n v="1.1674665974834607E-3"/>
    <n v="1.0000000000000002"/>
    <n v="107"/>
    <n v="0.09"/>
    <n v="77.09"/>
  </r>
  <r>
    <x v="5"/>
    <x v="14"/>
    <x v="0"/>
    <s v="Direct raw material"/>
    <m/>
    <m/>
    <x v="0"/>
    <n v="0.43322659634582783"/>
    <n v="1"/>
    <n v="108"/>
    <n v="23"/>
    <n v="53.09"/>
  </r>
  <r>
    <x v="5"/>
    <x v="14"/>
    <x v="1"/>
    <s v="PLA"/>
    <s v="LX175"/>
    <s v="RMLX175"/>
    <x v="1"/>
    <n v="2.9293652288566584E-2"/>
    <n v="1"/>
    <n v="109"/>
    <n v="27"/>
    <n v="53.09"/>
  </r>
  <r>
    <x v="5"/>
    <x v="14"/>
    <x v="1"/>
    <s v="PBAT"/>
    <s v="B12"/>
    <s v="RMB12"/>
    <x v="2"/>
    <n v="0.30056507816914674"/>
    <n v="1"/>
    <n v="109"/>
    <n v="27"/>
    <n v="53.09"/>
  </r>
  <r>
    <x v="5"/>
    <x v="14"/>
    <x v="1"/>
    <s v="AO-PBS"/>
    <s v="S723"/>
    <s v="RM TA45-08 S723"/>
    <x v="3"/>
    <n v="7.6285552834808824E-3"/>
    <n v="1"/>
    <n v="109"/>
    <n v="27"/>
    <n v="53.09"/>
  </r>
  <r>
    <x v="5"/>
    <x v="14"/>
    <x v="1"/>
    <s v="SLAB-PBSA"/>
    <s v="S724"/>
    <s v="RM TA45-08 S724"/>
    <x v="4"/>
    <n v="8.1371256357129409E-4"/>
    <n v="1"/>
    <n v="109"/>
    <n v="27"/>
    <n v="53.09"/>
  </r>
  <r>
    <x v="5"/>
    <x v="14"/>
    <x v="1"/>
    <s v="AB-PLA"/>
    <s v="KAB59A"/>
    <s v="RM A KAB59A"/>
    <x v="5"/>
    <n v="3.0514221133923526E-3"/>
    <n v="1"/>
    <n v="109"/>
    <n v="27"/>
    <n v="53.09"/>
  </r>
  <r>
    <x v="5"/>
    <x v="14"/>
    <x v="1"/>
    <s v="PBSA"/>
    <s v="FD92PM"/>
    <s v="RMPM2"/>
    <x v="6"/>
    <n v="0.16721793181390093"/>
    <n v="1"/>
    <n v="109"/>
    <n v="27"/>
    <n v="53.09"/>
  </r>
  <r>
    <x v="5"/>
    <x v="14"/>
    <x v="6"/>
    <s v="Direct raw material"/>
    <m/>
    <m/>
    <x v="11"/>
    <n v="5.6507816914673194E-2"/>
    <n v="1"/>
    <n v="110"/>
    <n v="3"/>
    <n v="53.09"/>
  </r>
  <r>
    <x v="5"/>
    <x v="14"/>
    <x v="7"/>
    <s v="Direct raw material"/>
    <m/>
    <m/>
    <x v="12"/>
    <n v="1.6952345074401939E-3"/>
    <n v="1"/>
    <n v="111"/>
    <n v="8.99999999999999E-2"/>
    <n v="53.09"/>
  </r>
  <r>
    <x v="16"/>
    <x v="15"/>
    <x v="3"/>
    <s v="ECOMP WHITE"/>
    <s v="RM WHITE BIO8153"/>
    <s v="RM WHITE BIO8153"/>
    <x v="8"/>
    <n v="1.4563106796116507E-2"/>
    <n v="1"/>
    <n v="112"/>
    <n v="25"/>
    <n v="103"/>
  </r>
  <r>
    <x v="16"/>
    <x v="15"/>
    <x v="3"/>
    <s v="PLA"/>
    <s v="LX175"/>
    <s v="RMLX175"/>
    <x v="1"/>
    <n v="1.3980582524271845E-2"/>
    <n v="1"/>
    <n v="112"/>
    <n v="25"/>
    <n v="103"/>
  </r>
  <r>
    <x v="16"/>
    <x v="15"/>
    <x v="3"/>
    <s v="PBAT"/>
    <s v="B12"/>
    <s v="RMB12"/>
    <x v="2"/>
    <n v="0.12888349514563108"/>
    <n v="1"/>
    <n v="112"/>
    <n v="25"/>
    <n v="103"/>
  </r>
  <r>
    <x v="16"/>
    <x v="15"/>
    <x v="3"/>
    <s v="AO-PBS"/>
    <s v="S723"/>
    <s v="RM TA45-08 S723"/>
    <x v="3"/>
    <n v="3.6407766990291263E-3"/>
    <n v="1"/>
    <n v="112"/>
    <n v="25"/>
    <n v="103"/>
  </r>
  <r>
    <x v="16"/>
    <x v="15"/>
    <x v="3"/>
    <s v="SLAB-PBSA"/>
    <s v="S724"/>
    <s v="RM TA45-08 S724"/>
    <x v="4"/>
    <n v="1.5533980582524273E-3"/>
    <n v="1"/>
    <n v="112"/>
    <n v="25"/>
    <n v="103"/>
  </r>
  <r>
    <x v="16"/>
    <x v="15"/>
    <x v="3"/>
    <s v="AB-PLA"/>
    <s v="KAB59A"/>
    <s v="RM A KAB59A"/>
    <x v="5"/>
    <n v="1.4563106796116505E-3"/>
    <n v="1"/>
    <n v="112"/>
    <n v="25"/>
    <n v="103"/>
  </r>
  <r>
    <x v="16"/>
    <x v="15"/>
    <x v="3"/>
    <s v="PBSA"/>
    <s v="FD92PM"/>
    <s v="RMPM2"/>
    <x v="6"/>
    <n v="7.8640776699029136E-2"/>
    <n v="1"/>
    <n v="112"/>
    <n v="25"/>
    <n v="103"/>
  </r>
  <r>
    <x v="16"/>
    <x v="15"/>
    <x v="10"/>
    <s v="Direct raw material"/>
    <m/>
    <m/>
    <x v="15"/>
    <n v="0.22330097087378642"/>
    <n v="1"/>
    <n v="113"/>
    <n v="23"/>
    <n v="103"/>
  </r>
  <r>
    <x v="16"/>
    <x v="15"/>
    <x v="8"/>
    <s v="Direct raw material"/>
    <m/>
    <m/>
    <x v="13"/>
    <n v="0.4854368932038835"/>
    <n v="1"/>
    <n v="114"/>
    <n v="50"/>
    <n v="103"/>
  </r>
  <r>
    <x v="16"/>
    <x v="15"/>
    <x v="4"/>
    <s v="Direct raw material"/>
    <m/>
    <m/>
    <x v="9"/>
    <n v="4.8543689320388349E-2"/>
    <n v="1"/>
    <n v="115"/>
    <n v="5"/>
    <n v="103"/>
  </r>
  <r>
    <x v="6"/>
    <x v="10"/>
    <x v="13"/>
    <s v="Direct raw material"/>
    <m/>
    <m/>
    <x v="18"/>
    <n v="0.31645569620253167"/>
    <n v="1"/>
    <m/>
    <n v="25"/>
    <n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067FC7-B38F-4397-A07D-F44A9D734DF6}"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6" firstHeaderRow="1" firstDataRow="1" firstDataCol="2"/>
  <pivotFields count="4">
    <pivotField axis="axisRow" compact="0" outline="0" showAll="0" defaultSubtotal="0">
      <items count="10">
        <item h="1" x="9"/>
        <item h="1" x="0"/>
        <item h="1" x="1"/>
        <item h="1" x="2"/>
        <item x="3"/>
        <item x="4"/>
        <item x="5"/>
        <item x="6"/>
        <item x="7"/>
        <item x="8"/>
      </items>
    </pivotField>
    <pivotField axis="axisRow" compact="0" outline="0" showAll="0">
      <items count="10">
        <item h="1" x="8"/>
        <item h="1" x="6"/>
        <item h="1" x="5"/>
        <item h="1" x="0"/>
        <item h="1" x="4"/>
        <item h="1" x="1"/>
        <item h="1" x="7"/>
        <item x="2"/>
        <item x="3"/>
        <item t="default"/>
      </items>
    </pivotField>
    <pivotField compact="0" outline="0" showAll="0"/>
    <pivotField dataField="1" compact="0" outline="0" showAll="0"/>
  </pivotFields>
  <rowFields count="2">
    <field x="0"/>
    <field x="1"/>
  </rowFields>
  <rowItems count="13">
    <i>
      <x v="4"/>
      <x v="7"/>
    </i>
    <i r="1">
      <x v="8"/>
    </i>
    <i>
      <x v="5"/>
      <x v="7"/>
    </i>
    <i r="1">
      <x v="8"/>
    </i>
    <i>
      <x v="6"/>
      <x v="7"/>
    </i>
    <i r="1">
      <x v="8"/>
    </i>
    <i>
      <x v="7"/>
      <x v="7"/>
    </i>
    <i r="1">
      <x v="8"/>
    </i>
    <i>
      <x v="8"/>
      <x v="7"/>
    </i>
    <i r="1">
      <x v="8"/>
    </i>
    <i>
      <x v="9"/>
      <x v="7"/>
    </i>
    <i r="1">
      <x v="8"/>
    </i>
    <i t="grand">
      <x/>
    </i>
  </rowItems>
  <colItems count="1">
    <i/>
  </colItems>
  <dataFields count="1">
    <dataField name="Sum of Price Calculated(€) Thickness &amp; QTY related" fld="3" baseField="1" baseItem="8" numFmtId="170"/>
  </dataFields>
  <formats count="1">
    <format dxfId="3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82A81-B106-46CD-929D-275F6B5924E4}" name="PivotTable2" cacheId="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264:C273" firstHeaderRow="1" firstDataRow="1" firstDataCol="2" rowPageCount="2" colPageCount="1"/>
  <pivotFields count="12">
    <pivotField axis="axisPage" compact="0" outline="0" showAll="0">
      <items count="18">
        <item x="14"/>
        <item x="4"/>
        <item x="6"/>
        <item x="0"/>
        <item x="2"/>
        <item x="5"/>
        <item x="15"/>
        <item x="9"/>
        <item x="11"/>
        <item x="7"/>
        <item x="10"/>
        <item x="12"/>
        <item x="8"/>
        <item x="1"/>
        <item x="3"/>
        <item x="16"/>
        <item x="13"/>
        <item t="default"/>
      </items>
      <extLst>
        <ext xmlns:x14="http://schemas.microsoft.com/office/spreadsheetml/2009/9/main" uri="{2946ED86-A175-432a-8AC1-64E0C546D7DE}">
          <x14:pivotField fillDownLabels="1"/>
        </ext>
      </extLst>
    </pivotField>
    <pivotField axis="axisPage" compact="0" outline="0" showAll="0">
      <items count="17">
        <item x="1"/>
        <item x="14"/>
        <item x="13"/>
        <item x="2"/>
        <item x="3"/>
        <item x="9"/>
        <item x="4"/>
        <item x="5"/>
        <item x="7"/>
        <item x="10"/>
        <item x="6"/>
        <item x="12"/>
        <item x="0"/>
        <item x="15"/>
        <item x="8"/>
        <item x="11"/>
        <item t="default"/>
      </items>
      <extLst>
        <ext xmlns:x14="http://schemas.microsoft.com/office/spreadsheetml/2009/9/main" uri="{2946ED86-A175-432a-8AC1-64E0C546D7DE}">
          <x14:pivotField fillDownLabels="1"/>
        </ext>
      </extLst>
    </pivotField>
    <pivotField axis="axisRow" compact="0" outline="0" showAll="0" defaultSubtotal="0">
      <items count="14">
        <item x="11"/>
        <item x="8"/>
        <item x="0"/>
        <item x="10"/>
        <item x="9"/>
        <item x="2"/>
        <item x="7"/>
        <item x="4"/>
        <item x="6"/>
        <item x="1"/>
        <item x="3"/>
        <item x="12"/>
        <item x="5"/>
        <item x="1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9">
        <item x="16"/>
        <item x="13"/>
        <item x="0"/>
        <item x="15"/>
        <item x="14"/>
        <item x="7"/>
        <item x="8"/>
        <item x="1"/>
        <item x="2"/>
        <item x="17"/>
        <item x="3"/>
        <item x="4"/>
        <item x="5"/>
        <item x="6"/>
        <item x="12"/>
        <item x="9"/>
        <item x="11"/>
        <item x="10"/>
        <item x="18"/>
      </items>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2"/>
    <field x="6"/>
  </rowFields>
  <rowItems count="9">
    <i>
      <x v="2"/>
      <x v="2"/>
    </i>
    <i>
      <x v="6"/>
      <x v="14"/>
    </i>
    <i>
      <x v="8"/>
      <x v="16"/>
    </i>
    <i>
      <x v="9"/>
      <x v="7"/>
    </i>
    <i r="1">
      <x v="8"/>
    </i>
    <i r="1">
      <x v="10"/>
    </i>
    <i r="1">
      <x v="11"/>
    </i>
    <i r="1">
      <x v="12"/>
    </i>
    <i r="1">
      <x v="13"/>
    </i>
  </rowItems>
  <colItems count="1">
    <i/>
  </colItems>
  <pageFields count="2">
    <pageField fld="0" item="5" hier="-1"/>
    <pageField fld="1" item="5" hier="-1"/>
  </pageFields>
  <dataFields count="1">
    <dataField name="Sum of Weighted QTY %" fld="7" baseField="0" baseItem="0" numFmtId="164"/>
  </dataFields>
  <formats count="10">
    <format dxfId="370">
      <pivotArea type="all" dataOnly="0" outline="0" fieldPosition="0"/>
    </format>
    <format dxfId="369">
      <pivotArea outline="0" collapsedLevelsAreSubtotals="1" fieldPosition="0"/>
    </format>
    <format dxfId="368">
      <pivotArea field="2" type="button" dataOnly="0" labelOnly="1" outline="0" axis="axisRow" fieldPosition="0"/>
    </format>
    <format dxfId="367">
      <pivotArea field="6" type="button" dataOnly="0" labelOnly="1" outline="0" axis="axisRow" fieldPosition="1"/>
    </format>
    <format dxfId="366">
      <pivotArea dataOnly="0" labelOnly="1" outline="0" fieldPosition="0">
        <references count="1">
          <reference field="2" count="4">
            <x v="2"/>
            <x v="6"/>
            <x v="8"/>
            <x v="9"/>
          </reference>
        </references>
      </pivotArea>
    </format>
    <format dxfId="365">
      <pivotArea dataOnly="0" labelOnly="1" outline="0" fieldPosition="0">
        <references count="2">
          <reference field="2" count="1" selected="0">
            <x v="2"/>
          </reference>
          <reference field="6" count="1">
            <x v="2"/>
          </reference>
        </references>
      </pivotArea>
    </format>
    <format dxfId="364">
      <pivotArea dataOnly="0" labelOnly="1" outline="0" fieldPosition="0">
        <references count="2">
          <reference field="2" count="1" selected="0">
            <x v="6"/>
          </reference>
          <reference field="6" count="1">
            <x v="14"/>
          </reference>
        </references>
      </pivotArea>
    </format>
    <format dxfId="363">
      <pivotArea dataOnly="0" labelOnly="1" outline="0" fieldPosition="0">
        <references count="2">
          <reference field="2" count="1" selected="0">
            <x v="8"/>
          </reference>
          <reference field="6" count="1">
            <x v="16"/>
          </reference>
        </references>
      </pivotArea>
    </format>
    <format dxfId="362">
      <pivotArea dataOnly="0" labelOnly="1" outline="0" fieldPosition="0">
        <references count="2">
          <reference field="2" count="1" selected="0">
            <x v="9"/>
          </reference>
          <reference field="6" count="6">
            <x v="7"/>
            <x v="8"/>
            <x v="10"/>
            <x v="11"/>
            <x v="12"/>
            <x v="13"/>
          </reference>
        </references>
      </pivotArea>
    </format>
    <format dxfId="3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0BB59-01EB-4F66-9C2C-D13D5D368703}" name="Table2" displayName="Table2" ref="L1:O391" totalsRowShown="0" headerRowDxfId="357" dataDxfId="355" headerRowBorderDxfId="356" headerRowCellStyle="Comma" dataCellStyle="Comma">
  <autoFilter ref="L1:O391" xr:uid="{A210BB59-01EB-4F66-9C2C-D13D5D368703}"/>
  <tableColumns count="4">
    <tableColumn id="1" xr3:uid="{B8157A9A-E1D2-4B25-9E22-F5FCFF066906}" name="Film" dataDxfId="354">
      <calculatedColumnFormula array="1">IFERROR(_xlfn.LET(_xlpm.films,Table4[Film],_xlpm.grades,Table4[Grade],_xlpm.pairs,_xlfn._xlws.FILTER(_xlfn.HSTACK(_xlpm.films,_xlpm.grades),(_xlpm.films&lt;&gt;"")*(TRIM(_xlpm.grades)&lt;&gt;"")),_xlpm.uniquePairs,_xlfn.UNIQUE(_xlpm.pairs),_xlpm.sortedPairs,_xlfn._xlws.SORT(_xlpm.uniquePairs,1,1),INDEX(_xlpm.sortedPairs,ROWS($L$2:L2),1)),"")</calculatedColumnFormula>
    </tableColumn>
    <tableColumn id="2" xr3:uid="{93BBE4B7-71F6-48CB-8BD1-31522AEFC8BF}" name="Grade" dataDxfId="353" dataCellStyle="Comma">
      <calculatedColumnFormula array="1">IFERROR(_xlfn.LET(_xlpm.films,Table4[Film],_xlpm.grades,Table4[Grade],_xlpm.pairs,_xlfn._xlws.FILTER(_xlfn.HSTACK(_xlpm.films,_xlpm.grades),(_xlpm.films&lt;&gt;"")*(TRIM(_xlpm.grades)&lt;&gt;"")),_xlpm.uniquePairs,_xlfn.UNIQUE(_xlpm.pairs),_xlpm.sortedPairs,_xlfn._xlws.SORT(_xlpm.uniquePairs,1,1),INDEX(_xlpm.sortedPairs,ROWS($M$2:M2),2)),"")</calculatedColumnFormula>
    </tableColumn>
    <tableColumn id="3" xr3:uid="{AD4A6A29-1375-4638-9FE3-BF71052C17FE}" name="Serial Number" dataDxfId="352" dataCellStyle="Comma">
      <calculatedColumnFormula array="1">IF(OR(Table2[[#This Row],[Film]]="",Table2[[#This Row],[Grade]]=""),"",IFERROR(INDEX(Table4[Serial Number],MATCH(1,(Table4[Film]=Table2[[#This Row],[Film]])*(Table4[Grade]=Table2[[#This Row],[Grade]]),0)),""))</calculatedColumnFormula>
    </tableColumn>
    <tableColumn id="4" xr3:uid="{BA695A86-1106-4297-9C41-E29B95787D36}" name="Price Calculated(€) Thickness &amp; QTY related" dataDxfId="351" dataCellStyle="Comma">
      <calculatedColumnFormula>IF(OR(Table2[[#This Row],[Film]]="",Table2[[#This Row],[Grade]]=""),"",SUMIFS(Table4[Price Calculated(€) Thickness &amp; QTY related],Table4[Film],Table2[[#This Row],[Film]],Table4[Grade],Table2[[#This Row],[Grade]]))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FF937A-A26F-4298-9554-862CA3C037B2}" name="Table3" displayName="Table3" ref="Q1:S50" totalsRowShown="0" headerRowDxfId="350" dataDxfId="348" headerRowBorderDxfId="349">
  <autoFilter ref="Q1:S50" xr:uid="{C8FF937A-A26F-4298-9554-862CA3C037B2}"/>
  <tableColumns count="3">
    <tableColumn id="1" xr3:uid="{5C509461-E427-4AB1-B3A8-6A4526B9E1CD}" name="Film" dataDxfId="347">
      <calculatedColumnFormula array="1">IFERROR(INDEX(Table2[Film],MATCH(0,COUNTIF($Q$1:Q1,Table2[Film])+IF(Table2[Film]="",1,0),0)),"")</calculatedColumnFormula>
    </tableColumn>
    <tableColumn id="2" xr3:uid="{F1DBA7B1-DCF1-4777-A1B9-C0741A90A778}" name="Price (€/kg)" dataDxfId="346">
      <calculatedColumnFormula>SUMIF(Table2[Film],"TIPA 312 MFG",Table2[Price Calculated(€) Thickness &amp; QTY related])+_xlfn.XLOOKUP("MET LUX ",HELPER!$A:$A,HELPER!$E:$E,0)</calculatedColumnFormula>
    </tableColumn>
    <tableColumn id="3" xr3:uid="{680F993F-691F-44CD-A4E6-2265B27F0AE6}" name="Price ($/kg)" dataDxfId="345">
      <calculatedColumnFormula>IFERROR(R2*HELPER!$AK$2," ")</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B2C1C2-89AD-4929-9D83-49EF2602D1A8}" name="Table4" displayName="Table4" ref="A1:J391" totalsRowShown="0" headerRowDxfId="344" dataDxfId="342" headerRowBorderDxfId="343" tableBorderDxfId="341" headerRowCellStyle="Comma">
  <autoFilter ref="A1:J391" xr:uid="{6A314183-9BBC-41E8-BE28-37F672F38505}">
    <filterColumn colId="0">
      <filters>
        <filter val="TIPA 312 MFG"/>
      </filters>
    </filterColumn>
  </autoFilter>
  <tableColumns count="10">
    <tableColumn id="1" xr3:uid="{E3FB1A5E-315A-4234-BF63-198D4E00776D}" name="Film" dataDxfId="340"/>
    <tableColumn id="2" xr3:uid="{322B5675-435F-4FF6-8ED5-A1434C736285}" name="Ext" dataDxfId="339"/>
    <tableColumn id="3" xr3:uid="{1082B3B1-6217-4379-B6A0-DC12079E2B4B}" name="Material" dataDxfId="338" dataCellStyle="Comma"/>
    <tableColumn id="4" xr3:uid="{1071BCF4-B364-4150-8310-A4BA492C71E2}" name="Grade" dataDxfId="337" dataCellStyle="Comma">
      <calculatedColumnFormula>IF(C2="","",IFERROR(_xlfn.XLOOKUP(C2,HELPER!$A$2:$A$81,HELPER!$B$2:$B$81,""),D2))</calculatedColumnFormula>
    </tableColumn>
    <tableColumn id="5" xr3:uid="{37861497-0DAE-4BAF-93CE-B409D6CF91BE}" name="Serial Number" dataDxfId="336" dataCellStyle="Comma">
      <calculatedColumnFormula>IFERROR(_xlfn.XLOOKUP(D2,HELPER!$B:$B,HELPER!$C:$C,""),"")</calculatedColumnFormula>
    </tableColumn>
    <tableColumn id="6" xr3:uid="{9AC20643-0FB6-4F03-847A-921BBF19C756}" name="Resin" dataDxfId="335" dataCellStyle="Comma">
      <calculatedColumnFormula>IFERROR(_xlfn.XLOOKUP(D2,HELPER!$B:$B,HELPER!$D:$D,""),"")</calculatedColumnFormula>
    </tableColumn>
    <tableColumn id="7" xr3:uid="{2DA36AAA-469D-44C5-8A9A-5A0A33CE5510}" name="Thickness (µ)" dataDxfId="334" dataCellStyle="Comma"/>
    <tableColumn id="8" xr3:uid="{4E09E9BA-79EC-4C24-AEE9-4D3E7A772FEE}" name="QTY" dataDxfId="333" dataCellStyle="Percent"/>
    <tableColumn id="9" xr3:uid="{3FAC0EC2-1EAB-44D4-9F88-A9904E6EC436}" name="Price (€/kg)" dataDxfId="332" dataCellStyle="Comma">
      <calculatedColumnFormula>IF(AND(H2&lt;&gt;"",IFERROR(_xlfn.XLOOKUP(D2,HELPER!$B:$B,HELPER!$E:$E,""),"")=""),"Missing price",IFERROR(_xlfn.XLOOKUP(D2,HELPER!$B:$B,HELPER!$E:$E,"")," "))</calculatedColumnFormula>
    </tableColumn>
    <tableColumn id="10" xr3:uid="{8DCF83D9-0A0F-43A7-B0FA-DAF26ECBD971}" name="Price Calculated(€) Thickness &amp; QTY related" dataDxfId="331" dataCellStyle="Comma">
      <calculatedColumnFormula>IFERROR(H2*(IF(G2=8,I2*HELPER!$G$2,BOM!I2*HELPER!$G$3))," ")</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D069BB6-A559-4A8C-B82A-0F379FB4E9B2}" name="tblResinWeightedQty12" displayName="tblResinWeightedQty12" ref="U1:AA64" totalsRowShown="0" headerRowDxfId="330">
  <autoFilter ref="U1:AA64" xr:uid="{BD069BB6-A559-4A8C-B82A-0F379FB4E9B2}"/>
  <tableColumns count="7">
    <tableColumn id="1" xr3:uid="{DBAC9458-440F-455D-88F4-38843B254EBA}" name="Film" dataDxfId="329"/>
    <tableColumn id="2" xr3:uid="{2D9426AB-4BBF-49C8-AAE3-317E77B226E6}" name="Material" dataDxfId="328"/>
    <tableColumn id="3" xr3:uid="{B79B99F7-C14D-4754-AFED-0E29B08057F5}" name="Grade" dataDxfId="327"/>
    <tableColumn id="4" xr3:uid="{A24DB38D-0CEB-4E77-943B-F4653966CBD9}" name="Serial Number" dataDxfId="326"/>
    <tableColumn id="5" xr3:uid="{746703C1-6479-47E6-A128-4B610EBB7307}" name="Resin" dataDxfId="325"/>
    <tableColumn id="6" xr3:uid="{AAFCB3BA-C55C-486B-958F-952649148985}" name="Weighted QTY %" dataDxfId="324">
      <calculatedColumnFormula array="1">SUMPRODUCT((BOM!$A$2:$A$391=U2)*(BOM!$F$2:$F$391=Y2)*BOM!$H$2:$H$391*BOM!$G$2:$G$391)/SUMPRODUCT((BOM!$A$2:$A$391=U2)*BOM!$H$2:$H$391*BOM!$G$2:$G$391)</calculatedColumnFormula>
    </tableColumn>
    <tableColumn id="7" xr3:uid="{26EF1EC7-956B-4E74-B510-D61CDCD29930}" name="Film Total Check" dataDxfId="323" dataCellStyle="Percent">
      <calculatedColumnFormula>SUMIF(tblResinWeightedQty12[Film],tblResinWeightedQty12[[#This Row],[Film]],tblResinWeightedQty12[Weighted QTY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BD348-FE81-425A-840D-0DE45BD229EB}" name="Table1" displayName="Table1" ref="A2:AC8" totalsRowShown="0" headerRowDxfId="322" dataDxfId="320" headerRowBorderDxfId="321" tableBorderDxfId="319" totalsRowBorderDxfId="318" headerRowCellStyle="Comma">
  <autoFilter ref="A2:AC8" xr:uid="{62FBD348-FE81-425A-840D-0DE45BD229EB}"/>
  <tableColumns count="29">
    <tableColumn id="1" xr3:uid="{D1A4722B-1151-4FA6-86AB-465AB5FABC8E}" name="Film Type" dataDxfId="317" totalsRowDxfId="316" dataCellStyle="Comma" totalsRowCellStyle="Comma">
      <calculatedColumnFormula array="1">CHOOSE(ROW()-ROW(Table1[#Headers]),$AH$4,$AL$4,$AP$4,$AT$4,$AX$4,$BB$4)</calculatedColumnFormula>
    </tableColumn>
    <tableColumn id="2" xr3:uid="{8141F56B-E930-4F2A-8C03-499EAE5B524C}" name="Width (mm)" dataDxfId="315" totalsRowDxfId="314" dataCellStyle="Comma" totalsRowCellStyle="Comma">
      <calculatedColumnFormula array="1">CHOOSE(ROW()-ROW(Table1[#Headers]),$AH$5,$AL$5,$AP$5,$AT$5,$AX$5,$BB$5)</calculatedColumnFormula>
    </tableColumn>
    <tableColumn id="3" xr3:uid="{D8E07A67-F44D-4E2F-9D20-D0C93EB33FAD}" name="Thickness (µ)" dataDxfId="313" totalsRowDxfId="312" dataCellStyle="Comma" totalsRowCellStyle="Comma">
      <calculatedColumnFormula array="1">CHOOSE(ROW()-ROW(Table1[#Headers]),$AH$6,$AL$6,$AP$6,$AT$6,$AX$6,$BB$6)</calculatedColumnFormula>
    </tableColumn>
    <tableColumn id="4" xr3:uid="{CACACA4A-A054-4C52-A856-3F40ECE723B3}" name="Density" dataDxfId="311" totalsRowDxfId="310" dataCellStyle="Comma" totalsRowCellStyle="Comma">
      <calculatedColumnFormula array="1">CHOOSE(ROW()-ROW(Table1[#Headers]),$AH$7,$AL$7,$AP$7,$AT$7,$AX$7,$BB$7)</calculatedColumnFormula>
    </tableColumn>
    <tableColumn id="5" xr3:uid="{B2F9B46D-F8FD-4065-BD82-CB680BC55074}" name="Weight (Kg)" dataDxfId="309" totalsRowDxfId="308" dataCellStyle="Comma" totalsRowCellStyle="Comma">
      <calculatedColumnFormula>IF(OR(A3="",A3="-"),"",IF(AND(G3&lt;&gt;"",H3&lt;&gt;""),G3*H3,""))</calculatedColumnFormula>
    </tableColumn>
    <tableColumn id="6" xr3:uid="{9F4BBF5B-9924-49A3-9946-D665FE5994CA}" name="Weight Override" dataDxfId="307" totalsRowDxfId="306" dataCellStyle="Comma" totalsRowCellStyle="Comma">
      <calculatedColumnFormula array="1">CHOOSE(ROW()-ROW(Table1[#Headers]),IF($AH$21="By Length",$AH$22*$H$3,$AH$8),IF($AL$21="By Length",$AL$22*$H$4,$AL$8),IF($AP$21="By Length",$AP$22*$H$5,$AP$8),IF($AT$21="By Length",$AT$22*$H$6,$AT$8),IF($AX$21="By Length",$AX$22*$H$7,$AX$8),IF($BB$21="By Length",$BB$22*$H$8,$BB$8))</calculatedColumnFormula>
    </tableColumn>
    <tableColumn id="7" xr3:uid="{020A8F63-8E11-4CD2-8CFF-94D09109919B}" name="Length (Mr)" dataDxfId="305" totalsRowDxfId="304" totalsRowCellStyle="Comma">
      <calculatedColumnFormula array="1">CHOOSE(ROW()-ROW(Table1[#Headers]),$AH$9,$AL$9,$AP$9,$AT$9,$AX$9,$BB$9)</calculatedColumnFormula>
    </tableColumn>
    <tableColumn id="8" xr3:uid="{BB0C58E6-A237-426D-8196-5A0250F67CF8}" name="Total KG in one Meter" dataDxfId="303" totalsRowDxfId="302" dataCellStyle="Comma" totalsRowCellStyle="Comma">
      <calculatedColumnFormula>IF(OR(A3="",A3="-"),"",IF(AND(B3&lt;&gt;"",C3&lt;&gt;"",D3&lt;&gt;""),D3*(C3/1000)*(B3/1000),""))</calculatedColumnFormula>
    </tableColumn>
    <tableColumn id="9" xr3:uid="{9D2C3595-E622-44E7-BBDF-08B90618CA2B}" name="Total Kg Produced" dataDxfId="301" totalsRowDxfId="300" dataCellStyle="Comma" totalsRowCellStyle="Comma">
      <calculatedColumnFormula>IF(OR(A3="",A3="-"),"",IF(F3&lt;&gt;"",F3,IF(AND(G3&lt;&gt;"",H3&lt;&gt;""),G3*H3,"")))</calculatedColumnFormula>
    </tableColumn>
    <tableColumn id="10" xr3:uid="{529E6D3C-868D-4EDA-BCA3-0AEC07BC958D}" name="Hourly rate" dataDxfId="299" totalsRowDxfId="298"/>
    <tableColumn id="11" xr3:uid="{88CC362C-A6B7-466A-A6DE-A8F0EBDC43E4}" name="1Kg production cost" dataDxfId="297">
      <calculatedColumnFormula>IFERROR((Table1[[#This Row],[Hourly rate]]*(Table1[[#This Row],[Total Kg Produced]]/500))/Table1[[#This Row],[Total Kg Produced]],0)+0.2</calculatedColumnFormula>
    </tableColumn>
    <tableColumn id="12" xr3:uid="{950EA6DD-2569-4998-AF21-BD171B4AF35D}" name="RM cost in 1 Kg" dataDxfId="296" totalsRowDxfId="295" dataCellStyle="Comma" totalsRowCellStyle="Comma">
      <calculatedColumnFormula>IFERROR(_xlfn.XLOOKUP(Table1[[#This Row],[Film Type]],Table3[Film],Table3[Price (€/kg)],0),0)</calculatedColumnFormula>
    </tableColumn>
    <tableColumn id="13" xr3:uid="{496DC5B3-E2F7-4714-AED6-125F2D4D837D}" name="Total RM and Production" dataDxfId="294" totalsRowDxfId="293">
      <calculatedColumnFormula>IFERROR((L3+K3),0)</calculatedColumnFormula>
    </tableColumn>
    <tableColumn id="14" xr3:uid="{783368BD-1CE3-45F4-B7C2-3A17363FE511}" name="Depreciation" dataDxfId="292" totalsRowDxfId="291" dataCellStyle="Percent" totalsRowCellStyle="Percent">
      <calculatedColumnFormula>IF(OR(I3="",I3=0),"",VLOOKUP(I3,HELPER!$AM$2:$AN$6,2,TRUE))</calculatedColumnFormula>
    </tableColumn>
    <tableColumn id="15" xr3:uid="{40C00A28-F2D1-495F-AF34-F83C7F879928}" name="Total Cost and depreciation" dataDxfId="290" totalsRowDxfId="289">
      <calculatedColumnFormula>IF(AND(M3&lt;&gt;"",N3&lt;&gt;""),M3*(1+N3),"")</calculatedColumnFormula>
    </tableColumn>
    <tableColumn id="23" xr3:uid="{9B46D828-BA52-4516-84DD-0BFE154FA4AE}" name="Thickness waste" dataDxfId="288" totalsRowDxfId="287">
      <calculatedColumnFormula>IF(AND(Table1[[#This Row],[Thickness (µ)]]&lt;&gt;"",Table1[[#This Row],[RM cost in 1 Kg]]&lt;&gt;""), VLOOKUP(Table1[[#This Row],[Thickness (µ)]], HELPER!$BH$3:$BI$5, 2, TRUE) * Table1[[#This Row],[RM cost in 1 Kg]], "")</calculatedColumnFormula>
    </tableColumn>
    <tableColumn id="16" xr3:uid="{B234D0CA-A250-44F3-89E0-45397F5D91D8}" name="Other costs" dataDxfId="286" totalsRowDxfId="285" dataCellStyle="Comma" totalsRowCellStyle="Percent"/>
    <tableColumn id="24" xr3:uid="{200DCE32-023E-4D2F-B0EB-26D6E73AFB11}" name="Supplier" dataDxfId="284" totalsRowDxfId="283" dataCellStyle="Percent" totalsRowCellStyle="Percent">
      <calculatedColumnFormula array="1">CHOOSE(ROW()-ROW(Table1[#Headers]),$AH$13,$AL$13,$AP$13,$AT$13,$AX$13,$BB$13)</calculatedColumnFormula>
    </tableColumn>
    <tableColumn id="25" xr3:uid="{80E16401-5CC1-43A0-8AB7-81D6C58AE508}" name="Printing" dataDxfId="282" totalsRowDxfId="281" dataCellStyle="Percent" totalsRowCellStyle="Percent">
      <calculatedColumnFormula array="1">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calculatedColumnFormula>
    </tableColumn>
    <tableColumn id="28" xr3:uid="{D1BB92CF-198C-430D-8A65-2B4080581309}" name="Printing per KG" dataDxfId="280" totalsRowDxfId="279" dataCellStyle="Percent" totalsRowCellStyle="Percent">
      <calculatedColumnFormula>IFERROR(Table1[[#This Row],[Printing]]*Table1[[#This Row],[Length (Mr)]]/Table1[[#This Row],[Weight Override]],0)</calculatedColumnFormula>
    </tableColumn>
    <tableColumn id="26" xr3:uid="{8F67B75D-5F96-4414-A27D-206EA9559B2C}" name="Printing Waste" dataDxfId="278" totalsRowDxfId="277" dataCellStyle="Percent" totalsRowCellStyle="Percent">
      <calculatedColumnFormula>IF(Table1[[#This Row],[Printing]]&gt;0,Table1[[#This Row],[RM cost in 1 Kg]]*0.028,0)</calculatedColumnFormula>
    </tableColumn>
    <tableColumn id="17" xr3:uid="{8A96E7E7-00FF-4686-8282-70F568F922D7}" name="Setup" dataDxfId="276" totalsRowDxfId="275">
      <calculatedColumnFormula>IF(Table1[[#This Row],[RM cost in 1 Kg]]&gt;0,((1500+3000)/30000),0)</calculatedColumnFormula>
    </tableColumn>
    <tableColumn id="27" xr3:uid="{60B6E3B6-62C2-49CB-8F53-FC83FB8C0017}" name="Setup for colored Films" dataDxfId="274" totalsRowDxfId="273" dataCellStyle="Percent">
      <calculatedColumnFormula>IF(AND(Table1[[#This Row],[Weight Override]]&gt;0,ISNUMBER(SEARCH("W",Table1[[#This Row],[Film Type]]))),1500/Table1[[#This Row],[Weight Override]],0)</calculatedColumnFormula>
    </tableColumn>
    <tableColumn id="18" xr3:uid="{51BFC1CD-F6BF-49A4-A0FB-3A1BC43D05FB}" name="Shiping Destination" dataDxfId="272" totalsRowDxfId="271" dataCellStyle="Percent" totalsRowCellStyle="60% - Accent1">
      <calculatedColumnFormula array="1">CHOOSE(ROW()-ROW(Table1[#Headers]),$AH$10,$AL$10,$AP$10,$AT$10,$AX$10,$BB$10)</calculatedColumnFormula>
    </tableColumn>
    <tableColumn id="19" xr3:uid="{3FC6B0EB-7EE8-439E-9D72-A67EC92CDDD8}" name="Shiping cost" dataDxfId="270" totalsRowDxfId="269" dataCellStyle="Comma" totalsRowCellStyle="60% - Accent1">
      <calculatedColumnFormula>IF(I3&lt;=0,"",IFERROR(IF(X3="Europe to US",IF(I3&lt;500,10,IF(I3&lt;1000,8,IF(I3&lt;2500,6,IF(I3&lt;5000,5,4)))),IF(X3="Europe to Canada",IF(I3&lt;1000,(I3/1000)*VLOOKUP(1000,HELPER!$AG$4:$AH$8,2,FALSE)/I3,VLOOKUP(I3,HELPER!$AG$4:$AH$8,2,TRUE)/I3),VLOOKUP(X3,HELPER!$AF$2:$AH$3,3,FALSE))),0))</calculatedColumnFormula>
    </tableColumn>
    <tableColumn id="20" xr3:uid="{C37A9B68-BAE9-4A37-A33F-C969F1BFD646}" name="Total Cost" dataDxfId="268" totalsRowDxfId="267" dataCellStyle="60% - Accent1" totalsRowCellStyle="60% - Accent1">
      <calculatedColumnFormula>IFERROR((Table1[[#This Row],[Total Cost and depreciation]]+Table1[[#This Row],[Thickness waste]]+Table1[[#This Row],[Other costs]]+Table1[[#This Row],[Setup]]+Table1[[#This Row],[Setup for colored Films]]+Table1[[#This Row],[Shiping cost]]+Table1[[#This Row],[Printing Waste]]+Table1[[#This Row],[Printing per KG]]),0)</calculatedColumnFormula>
    </tableColumn>
    <tableColumn id="21" xr3:uid="{F5E1E897-191E-475A-B360-80598F255192}" name="Margin" dataDxfId="266" totalsRowDxfId="265" dataCellStyle="Percent">
      <calculatedColumnFormula array="1">Table1[[#This Row],[Total Cost]]/(1-CHOOSE(ROW()-ROW(Table1[#Headers]),$AH$2,$AL$2,$AP$2,$AT$2,$AX$2,$BB$2))-Table1[[#This Row],[Total Cost]]</calculatedColumnFormula>
    </tableColumn>
    <tableColumn id="22" xr3:uid="{7F0D95BC-178C-4181-969A-8D7A6E3BF97B}" name="Sell Price" dataDxfId="264" totalsRowDxfId="263" dataCellStyle="60% - Accent1" totalsRowCellStyle="60% - Accent1">
      <calculatedColumnFormula array="1">Table1[[#This Row],[Total Cost]]/(1-CHOOSE(ROW()-ROW(Table1[#Headers]),$AH$2,$AL$2,$AP$2,$AT$2,$AX$2,$BB$2))</calculatedColumnFormula>
    </tableColumn>
    <tableColumn id="29" xr3:uid="{43AB3D2F-1322-42C1-AE53-64DFB7E8EBF3}" name="For Laminates calculation purposes" dataDxfId="262">
      <calculatedColumnFormula>Table1[[#This Row],[Total Cost and depreciation]]+Table1[[#This Row],[Thickness waste]]+Table1[[#This Row],[Other costs]]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21668-D282-408C-8D5D-90D0652FA0FF}" name="tblBagFilmPricing" displayName="tblBagFilmPricing" ref="A2:AC5" totalsRowShown="0" headerRowDxfId="261" dataDxfId="259" headerRowBorderDxfId="260" tableBorderDxfId="258" totalsRowBorderDxfId="257" headerRowCellStyle="Comma">
  <autoFilter ref="A2:AC5" xr:uid="{71F21668-D282-408C-8D5D-90D0652FA0FF}"/>
  <tableColumns count="29">
    <tableColumn id="1" xr3:uid="{9A6AD448-6D1C-4D2A-AA83-F6D1F0EAF873}" name="Film Type" dataDxfId="256" totalsRowDxfId="255" dataCellStyle="Comma" totalsRowCellStyle="Comma">
      <calculatedColumnFormula array="1">CHOOSE(ROW()-ROW(tblBagFilmPricing[#Headers]),$AG$3,$AK$3,$AO$3,$AT$4,$AX$4,$BB$4)</calculatedColumnFormula>
    </tableColumn>
    <tableColumn id="2" xr3:uid="{EA362DCD-1374-43A5-BBC7-FCB611537F90}" name="Width (mm)" dataDxfId="254" totalsRowDxfId="253" dataCellStyle="Comma" totalsRowCellStyle="Comma">
      <calculatedColumnFormula array="1">CHOOSE(ROW()-ROW(tblBagFilmPricing[#Headers]),$AG$4,$AK$4,$AO$4,$AT$5,$AX$5,$BB$5)</calculatedColumnFormula>
    </tableColumn>
    <tableColumn id="3" xr3:uid="{E325C283-80B1-4A62-B717-BB5FEEFEEA34}" name="Thickness (µ)" dataDxfId="252" totalsRowDxfId="251" dataCellStyle="Comma" totalsRowCellStyle="Comma">
      <calculatedColumnFormula array="1">CHOOSE(ROW()-ROW(tblBagFilmPricing[#Headers]),$AG$5,$AK$5,$AO$5,$AT$6,$AX$6,$BB$6)</calculatedColumnFormula>
    </tableColumn>
    <tableColumn id="4" xr3:uid="{BFD7AD86-00A2-491F-AE04-D670989AA877}" name="Density" dataDxfId="250" totalsRowDxfId="249" dataCellStyle="Comma" totalsRowCellStyle="Comma">
      <calculatedColumnFormula array="1">CHOOSE(ROW()-ROW(tblBagFilmPricing[#Headers]),$AG$6,$AK$6,$AO$6,$AT$7,$AX$7,$BB$7)</calculatedColumnFormula>
    </tableColumn>
    <tableColumn id="5" xr3:uid="{E3E49B5F-D311-411A-8D30-90A3840E9A2C}" name="Weight (Kg)" dataDxfId="248" totalsRowDxfId="247" dataCellStyle="Comma" totalsRowCellStyle="Comma">
      <calculatedColumnFormula>IF(OR(A3="",A3="-"),"",IF(AND(G3&lt;&gt;"",H3&lt;&gt;""),G3*H3,""))</calculatedColumnFormula>
    </tableColumn>
    <tableColumn id="6" xr3:uid="{F0384249-E21F-438B-BFFC-033E1E2DAF02}" name="Weight Override" dataDxfId="246" totalsRowDxfId="245" dataCellStyle="Comma" totalsRowCellStyle="Comma">
      <calculatedColumnFormula array="1">CHOOSE(ROW()-ROW(tblBagFilmPricing[#Headers]),IF($AG$20="By Length",$AG$21*$H$3,$AG$7),IF($AK$20="By Length",$AK$21*$H$4,$AK$7),IF($AO$20="By Length",$AO$21*$H$5,$AO$7),IF($AT$21="By Length",$AT$22*$H$6,$AT$8),IF($AX$21="By Length",$AX$22*$H$7,$AX$8),IF($BB$21="By Length",$BB$22*$H$8,$BB$8))</calculatedColumnFormula>
    </tableColumn>
    <tableColumn id="7" xr3:uid="{2434A9D3-C54E-4473-99F1-43C2A91183BF}" name="Length (Mr)" dataDxfId="244" totalsRowDxfId="243" totalsRowCellStyle="Comma">
      <calculatedColumnFormula array="1">CHOOSE(ROW()-ROW(tblBagFilmPricing[#Headers]),$AG$8,$AK$8,$AO$8,$AT$9,$AX$9,$BB$9)</calculatedColumnFormula>
    </tableColumn>
    <tableColumn id="8" xr3:uid="{2944F7EB-BDC1-481C-AD5A-7DF97B8474AB}" name="Total KG in one Meter" dataDxfId="242" totalsRowDxfId="241" dataCellStyle="Comma" totalsRowCellStyle="Comma">
      <calculatedColumnFormula>IF(OR(A3="",A3="-"),"",IF(AND(B3&lt;&gt;"",C3&lt;&gt;"",D3&lt;&gt;""),D3*(C3/1000)*(B3/1000),""))</calculatedColumnFormula>
    </tableColumn>
    <tableColumn id="9" xr3:uid="{ACCB49F5-FD9D-40C3-9673-20BBB04C6AE8}" name="Total Kg Produced" dataDxfId="240" totalsRowDxfId="239" dataCellStyle="Comma" totalsRowCellStyle="Comma">
      <calculatedColumnFormula>IF(OR(A3="",A3="-"),"",IF(F3&lt;&gt;"",F3,IF(AND(G3&lt;&gt;"",H3&lt;&gt;""),G3*H3,"")))</calculatedColumnFormula>
    </tableColumn>
    <tableColumn id="10" xr3:uid="{27053208-59DF-467C-A40A-2E6FB67144C4}" name="Hourly rate" dataDxfId="238" totalsRowDxfId="237"/>
    <tableColumn id="11" xr3:uid="{AC864FB2-537F-4220-8E19-7BE14DE9FC2F}" name="1Kg production cost" dataDxfId="236">
      <calculatedColumnFormula>IFERROR((tblBagFilmPricing[[#This Row],[Hourly rate]]*(tblBagFilmPricing[[#This Row],[Total Kg Produced]]/500))/tblBagFilmPricing[[#This Row],[Total Kg Produced]],0)+0.2</calculatedColumnFormula>
    </tableColumn>
    <tableColumn id="12" xr3:uid="{FC3EF0DC-C778-4294-9B67-3F8F18E58786}" name="RM cost in 1 Kg" dataDxfId="235" totalsRowDxfId="234" dataCellStyle="Comma" totalsRowCellStyle="Comma">
      <calculatedColumnFormula>IFERROR(_xlfn.XLOOKUP(tblBagFilmPricing[[#This Row],[Film Type]],Table3[Film],Table3[Price (€/kg)],0),0)</calculatedColumnFormula>
    </tableColumn>
    <tableColumn id="13" xr3:uid="{8BAC388F-A348-4DF0-B016-25E9B48BFDB4}" name="Total RM and Production" dataDxfId="233" totalsRowDxfId="232">
      <calculatedColumnFormula>IFERROR((L3+K3),0)</calculatedColumnFormula>
    </tableColumn>
    <tableColumn id="14" xr3:uid="{7F19F0F2-9E41-4A83-AC2B-DFDA56D80101}" name="Depreciation" dataDxfId="231" totalsRowDxfId="230" dataCellStyle="Percent" totalsRowCellStyle="Percent">
      <calculatedColumnFormula>IF(OR(I3="",I3=0),"",VLOOKUP(I3,HELPER!$AM$2:$AN$6,2,TRUE))</calculatedColumnFormula>
    </tableColumn>
    <tableColumn id="15" xr3:uid="{FB0F309A-CF1F-4BA5-BECE-78C1D33C9684}" name="Total Cost and depreciation" dataDxfId="229" totalsRowDxfId="228">
      <calculatedColumnFormula>IF(AND(M3&lt;&gt;"",N3&lt;&gt;""),M3*(1+N3),"")</calculatedColumnFormula>
    </tableColumn>
    <tableColumn id="23" xr3:uid="{28CC5CCC-B6D0-4AAA-A2B3-2D4D561B97A9}" name="Thickness waste" dataDxfId="227" totalsRowDxfId="226">
      <calculatedColumnFormula>IF(AND(tblBagFilmPricing[[#This Row],[Thickness (µ)]]&lt;&gt;"",tblBagFilmPricing[[#This Row],[RM cost in 1 Kg]]&lt;&gt;""), VLOOKUP(tblBagFilmPricing[[#This Row],[Thickness (µ)]], HELPER!$BH$3:$BI$5, 2, TRUE) * tblBagFilmPricing[[#This Row],[RM cost in 1 Kg]], "")</calculatedColumnFormula>
    </tableColumn>
    <tableColumn id="16" xr3:uid="{FB647A9E-BA86-4FF3-8FC1-C9991D85A72B}" name="Other costs" dataDxfId="225" totalsRowDxfId="224" dataCellStyle="Comma" totalsRowCellStyle="Percent"/>
    <tableColumn id="24" xr3:uid="{4A7692B2-29D0-4D37-849D-4C23E04089E0}" name="Supplier" dataDxfId="223" totalsRowDxfId="222" dataCellStyle="Percent" totalsRowCellStyle="Percent">
      <calculatedColumnFormula array="1">CHOOSE(ROW()-ROW(tblBagFilmPricing[#Headers]),$AG$12,$AK$12,$AO$12,$AT$13,$AX$13,$BB$13)</calculatedColumnFormula>
    </tableColumn>
    <tableColumn id="25" xr3:uid="{02C9893F-2A00-4095-B175-D95A852C1B19}" name="Printing" dataDxfId="221" totalsRowDxfId="220" dataCellStyle="Percent" totalsRowCellStyle="Percent">
      <calculatedColumnFormula array="1">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calculatedColumnFormula>
    </tableColumn>
    <tableColumn id="28" xr3:uid="{83986F16-647E-4210-8712-403E10E39716}" name="Printing per KG" dataDxfId="219" totalsRowDxfId="218" dataCellStyle="Percent" totalsRowCellStyle="Percent">
      <calculatedColumnFormula>IFERROR(tblBagFilmPricing[[#This Row],[Printing]]*tblBagFilmPricing[[#This Row],[Length (Mr)]]/tblBagFilmPricing[[#This Row],[Weight Override]],0)</calculatedColumnFormula>
    </tableColumn>
    <tableColumn id="26" xr3:uid="{0C90FAD4-C305-4816-8F33-E4F1BD82DAF5}" name="Printing Waste" dataDxfId="217" totalsRowDxfId="216" dataCellStyle="Percent" totalsRowCellStyle="Percent">
      <calculatedColumnFormula>IF(tblBagFilmPricing[[#This Row],[Printing]]&gt;0,tblBagFilmPricing[[#This Row],[RM cost in 1 Kg]]*0.028,0)</calculatedColumnFormula>
    </tableColumn>
    <tableColumn id="17" xr3:uid="{E1A437C4-701F-4DC0-9FDA-E26534DE8DAB}" name="Setup" dataDxfId="215" totalsRowDxfId="214">
      <calculatedColumnFormula array="1">IF(tblBagFilmPricing[[#This Row],[RM cost in 1 Kg]]&gt;0,((1500+3000)/30000)*CHOOSE(ROW()-ROW(tblBagFilmPricing[#Headers]),$AG$31,$AK$31,$AO$31),0)</calculatedColumnFormula>
    </tableColumn>
    <tableColumn id="27" xr3:uid="{D6496D99-618A-4FC3-8427-56A057A82E82}" name="Setup for colored Films" dataDxfId="213" totalsRowDxfId="212" dataCellStyle="Percent">
      <calculatedColumnFormula>IF(AND(tblBagFilmPricing[[#This Row],[Weight Override]]&gt;0,ISNUMBER(SEARCH("W",tblBagFilmPricing[[#This Row],[Film Type]]))),1500/tblBagFilmPricing[[#This Row],[Weight Override]],0)</calculatedColumnFormula>
    </tableColumn>
    <tableColumn id="18" xr3:uid="{B659B913-00B5-4B7E-B478-CBE6BFE97D92}" name="Shiping Destination" dataDxfId="211" totalsRowDxfId="210" dataCellStyle="Percent" totalsRowCellStyle="60% - Accent1">
      <calculatedColumnFormula array="1">CHOOSE(ROW()-ROW(tblBagFilmPricing[#Headers]),$AG$9,$AK$9,$AO$9,$AT$10,$AX$10,$BB$10)</calculatedColumnFormula>
    </tableColumn>
    <tableColumn id="19" xr3:uid="{1F827937-A1D8-48A9-AFB9-90B683381E85}" name="Shiping cost" dataDxfId="209" totalsRowDxfId="208" dataCellStyle="Comma" totalsRowCellStyle="60% - Accent1">
      <calculatedColumnFormula>IF(I3&lt;=0,"",IFERROR(IF(X3="Europe to US",IF(I3&lt;500,10,IF(I3&lt;1000,8,IF(I3&lt;2500,6,IF(I3&lt;5000,5,4)))),IF(X3="Europe to Canada",IF(I3&lt;1000,(I3/1000)*VLOOKUP(1000,HELPER!$AG$4:$AH$8,2,FALSE)/I3,VLOOKUP(I3,HELPER!$AG$4:$AH$8,2,TRUE)/I3),VLOOKUP(X3,HELPER!$AF$2:$AH$3,3,FALSE))),0))</calculatedColumnFormula>
    </tableColumn>
    <tableColumn id="20" xr3:uid="{ED016458-9898-44C5-B306-62C7EABA96C4}" name="Total Cost" dataDxfId="207" totalsRowDxfId="206" dataCellStyle="60% - Accent1" totalsRowCellStyle="60% - Accent1">
      <calculatedColumnFormula>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calculatedColumnFormula>
    </tableColumn>
    <tableColumn id="21" xr3:uid="{E0306D70-F068-44B9-B00D-D0A0326A65AB}" name="Margin" dataDxfId="205" totalsRowDxfId="204" dataCellStyle="Percent">
      <calculatedColumnFormula array="1">tblBagFilmPricing[[#This Row],[Total Cost]]/(1-CHOOSE(ROW()-ROW(tblBagFilmPricing[#Headers]),$AH$26,$AL$26,$AP$26))-tblBagFilmPricing[[#This Row],[Total Cost]]</calculatedColumnFormula>
    </tableColumn>
    <tableColumn id="22" xr3:uid="{799D927C-C3AD-4B5A-A01F-1A1448E85F3D}" name="Sell Price" dataDxfId="203" totalsRowDxfId="202" dataCellStyle="60% - Accent1" totalsRowCellStyle="60% - Accent1">
      <calculatedColumnFormula array="1">tblBagFilmPricing[[#This Row],[Total Cost]]/(1-CHOOSE(ROW()-ROW(tblBagFilmPricing[#Headers]),$AH$26,$AL$26,$AP$26))</calculatedColumnFormula>
    </tableColumn>
    <tableColumn id="29" xr3:uid="{6C604568-65C3-47EC-9D7C-CCC1D1BDD6A3}" name="For Laminates calculation purposes" dataDxfId="201">
      <calculatedColumnFormula>tblBagFilmPricing[[#This Row],[Total Cost and depreciation]]+tblBagFilmPricing[[#This Row],[Thickness waste]]+tblBagFilmPricing[[#This Row],[Other costs]]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1001F9-296F-462D-8873-14B73972B0B4}" name="tblPouchLaminateCoverage" displayName="tblPouchLaminateCoverage" ref="A5:AM617" totalsRowShown="0">
  <autoFilter ref="A5:AM617" xr:uid="{BA1001F9-296F-462D-8873-14B73972B0B4}">
    <filterColumn colId="5">
      <filters>
        <filter val="300.00"/>
      </filters>
    </filterColumn>
  </autoFilter>
  <tableColumns count="39">
    <tableColumn id="1" xr3:uid="{F2672959-BB2E-4980-9B34-AD107FDDCF6B}" name="Scenario ID"/>
    <tableColumn id="2" xr3:uid="{BE2228DD-812B-480C-81A5-0F9CAC31EB03}" name="Pouch Type"/>
    <tableColumn id="3" xr3:uid="{3CB82F0E-9158-4C07-94E7-F7DA6E7F0E37}" name="Edge Case" dataDxfId="200"/>
    <tableColumn id="4" xr3:uid="{C9BE0E81-69E0-4AF2-8D84-6D02815F34BE}" name="Laminate"/>
    <tableColumn id="5" xr3:uid="{AB625FCE-9C2A-407E-8AD4-686333664A6C}" name="Thickness (µ)" dataDxfId="199"/>
    <tableColumn id="6" xr3:uid="{01E89CB5-325D-43C1-A6C6-AA5D3E5FCB40}" name="Bag Height (mm)" dataDxfId="198"/>
    <tableColumn id="7" xr3:uid="{2995A416-59B2-4FFE-ADF1-108891788FBB}" name="Bag Width (mm)" dataDxfId="197"/>
    <tableColumn id="8" xr3:uid="{705E8F3E-4D35-4E7D-BC57-4C4DE046902D}" name="Base Gusset / 2 (mm)" dataDxfId="196"/>
    <tableColumn id="9" xr3:uid="{FD174791-618A-4F0E-83EF-E4C0D671F14E}" name="Flap (mm)" dataDxfId="195"/>
    <tableColumn id="10" xr3:uid="{9A498D7C-84B0-4B7A-B32F-B81CDC25E2D8}" name="Web Width (mm)" dataDxfId="194"/>
    <tableColumn id="11" xr3:uid="{3337145B-CBCE-45D9-A19A-E1A619AF688F}" name="Amount (bags)" dataDxfId="193"/>
    <tableColumn id="12" xr3:uid="{E7FB6E26-46A8-4C11-A572-9B5E76D7D896}" name="PR / NonPR" dataDxfId="192"/>
    <tableColumn id="13" xr3:uid="{57B06BF3-279F-4653-A217-E01220A127B8}" name="Colors" dataDxfId="191"/>
    <tableColumn id="14" xr3:uid="{E259B970-06DD-48B3-8346-D96AE1A1A537}" name="Designs" dataDxfId="190"/>
    <tableColumn id="15" xr3:uid="{6E45FB0D-74D7-4BE4-A05F-30FD3CC30E40}" name="Supplier" dataDxfId="189"/>
    <tableColumn id="16" xr3:uid="{2B71604B-DDFC-4F48-8A0B-76A5EA32727B}" name="Shipment" dataDxfId="188"/>
    <tableColumn id="17" xr3:uid="{C4CCEFF8-C3CB-47B7-AA57-CC7CE6BD2978}" name="Laminate Length Needed (m)" dataDxfId="187">
      <calculatedColumnFormula>K6*G6/1000</calculatedColumnFormula>
    </tableColumn>
    <tableColumn id="18" xr3:uid="{20301E84-6818-4ADE-9A13-5262A59938A2}" name="Calculated Laminate Length (m)" dataDxfId="186">
      <calculatedColumnFormula>Q6</calculatedColumnFormula>
    </tableColumn>
    <tableColumn id="19" xr3:uid="{48A9C0AA-08B9-4013-A604-9590BEED3B33}" name="Total KG" dataDxfId="185"/>
    <tableColumn id="20" xr3:uid="{8F0432E4-4056-4448-BFE8-BDF7B0F9903F}" name="Laminate Total Cost (€)" dataDxfId="184"/>
    <tableColumn id="21" xr3:uid="{E2AFAD6C-A6CF-4511-8C7E-38BAB1DB07FC}" name="Laminate Total Cost ($)" dataDxfId="183"/>
    <tableColumn id="22" xr3:uid="{27B3E6D2-0B6E-4FBC-A9B9-142803507C70}" name="Laminate Cost/KG (€)" dataDxfId="182">
      <calculatedColumnFormula>IFERROR(T6/S6,"")</calculatedColumnFormula>
    </tableColumn>
    <tableColumn id="23" xr3:uid="{452D7D23-A1C1-4664-83D3-CCC97758083D}" name="Laminate Cost/KG ($)" dataDxfId="181">
      <calculatedColumnFormula>IFERROR(U6/S6,"")</calculatedColumnFormula>
    </tableColumn>
    <tableColumn id="24" xr3:uid="{C81C8254-53F8-4EF8-AFC0-0E515849F85D}" name="Laminate Cost / m (€)" dataDxfId="180">
      <calculatedColumnFormula>IFERROR(T6/Q6,"")</calculatedColumnFormula>
    </tableColumn>
    <tableColumn id="25" xr3:uid="{0721E4C1-09B5-4AD9-B76B-4845936CEB32}" name="Laminate Cost / KG (€)" dataDxfId="179">
      <calculatedColumnFormula>V6</calculatedColumnFormula>
    </tableColumn>
    <tableColumn id="26" xr3:uid="{5853D625-F2F4-41DD-BF7B-4E2989C049B7}" name="Bag MOQ" dataDxfId="178">
      <calculatedColumnFormula>IFERROR(ROUNDUP((500*Q6/S6)*1000/G6,0),"")</calculatedColumnFormula>
    </tableColumn>
    <tableColumn id="27" xr3:uid="{52F726E4-7919-49BC-8055-73A496E4FAFE}" name="MOQ Status" dataDxfId="177">
      <calculatedColumnFormula>IF(OR(K6="",Z6=""),"MOQ data missing",IF(K6&gt;=Z6,"MOQ OK","Below MOQ by "&amp;TEXT(Z6-K6,"#,##0")&amp;" bags"))</calculatedColumnFormula>
    </tableColumn>
    <tableColumn id="28" xr3:uid="{88F681AA-F46E-4BDD-8B65-AC28FCD9B1F6}" name="Price / Bag (€)" dataDxfId="176">
      <calculatedColumnFormula>IFERROR(AJ6/(1-25%),"Data is missing")</calculatedColumnFormula>
    </tableColumn>
    <tableColumn id="29" xr3:uid="{BB4FF5A9-4982-419E-8E39-10F87D6EF344}" name="Price / Bag ($)" dataDxfId="175">
      <calculatedColumnFormula>IFERROR(AB6*1.16,"Data is missing")</calculatedColumnFormula>
    </tableColumn>
    <tableColumn id="30" xr3:uid="{D904E9C6-73C3-4003-BE8B-C0DD8F11F7FE}" name="Total Order (€)" dataDxfId="174">
      <calculatedColumnFormula>IFERROR(AB6*K6,"Data is missing")</calculatedColumnFormula>
    </tableColumn>
    <tableColumn id="31" xr3:uid="{E4506A81-0CCC-43DE-938E-CD4EE0AE551E}" name="Total Order ($)" dataDxfId="173">
      <calculatedColumnFormula>IFERROR(AD6*1.16,"Data is missing")</calculatedColumnFormula>
    </tableColumn>
    <tableColumn id="32" xr3:uid="{E7D964D0-4371-417D-AC9C-73FB16B935CA}" name="Production €/pouch" dataDxfId="172">
      <calculatedColumnFormula array="1">IF(O6="Quantum",IFERROR(_xlfn.LET(_xlpm.b,_xlfn.SWITCH(LOWER(B6),"zipper bag","Zipper pouch","open bag","Open pouch","sup with zipper","Stand-up pouch","stand-up pouch","Stand-up pouch",B6),_xlpm.w,G6,_xlpm.q,K6,_xlpm.types,'Converting-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missing"),IFERROR(_xlfn.LET(_xlpm.s,O6,_xlpm.b,_xlfn.SWITCH(LOWER(B6),"zipper bag","Zipper pouch","open bag","Open pouch",B6),_xlpm.w,G6,_xlpm.q,K6,_xlpm.src,'Converting-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calculatedColumnFormula>
    </tableColumn>
    <tableColumn id="33" xr3:uid="{6FEC2D4C-747C-4F4C-8635-1DD9F4C7F844}" name="Setup Fallout €/pouch" dataDxfId="171">
      <calculatedColumnFormula>IFERROR(IF(OR(B6="Zipper pouch",B6="SUP with zipper"),HELPER!$DE$2*(AH6+AI6)/K6,HELPER!$DE$2*AH6/K6),"Data is missing")</calculatedColumnFormula>
    </tableColumn>
    <tableColumn id="34" xr3:uid="{A5BF433F-A65B-44FA-BC2A-74C3EB7F069C}" name="Laminate €/m" dataDxfId="170">
      <calculatedColumnFormula>X6</calculatedColumnFormula>
    </tableColumn>
    <tableColumn id="35" xr3:uid="{F0C7A375-2E76-44C0-8E0A-844B2EDB4EB4}" name="Zipper €/pouch" dataDxfId="169">
      <calculatedColumnFormula>IF(OR(B6="Zipper pouch",B6="SUP with zipper"),HELPER!$DC$2*G6/1000,"")</calculatedColumnFormula>
    </tableColumn>
    <tableColumn id="36" xr3:uid="{D4442FFB-FA93-4150-8C04-9522687DF277}" name="Total Cost €/pouch" dataDxfId="168">
      <calculatedColumnFormula array="1">IF(INDEX('Laminates- copilot'!$E$6:$E$257,ROUNDUP((ROW()-5)/3,0))+50&gt;IF(O6="Quantum",760,1220),"Width exceeds supplier maximum",IFERROR(AF6+AG6+N(AI6)+AH6*G6/1000/MAX(1,MIN(MAX(2,INT(900/INDEX('Laminates- copilot'!$E$6:$E$257,ROUNDUP((ROW()-5)/3,0)))),INT((IF(O6="Quantum",760,1220)-50)/INDEX('Laminates- copilot'!$E$6:$E$257,ROUNDUP((ROW()-5)/3,0))))),"Data is missing"))</calculatedColumnFormula>
    </tableColumn>
    <tableColumn id="37" xr3:uid="{B771676A-1A56-4DFC-B0B2-5C659D8AF191}" name="B4P €/1,000" dataDxfId="167">
      <calculatedColumnFormula>IFERROR(AB6*1000,"Data is missing")</calculatedColumnFormula>
    </tableColumn>
    <tableColumn id="38" xr3:uid="{ED7A8151-0BEC-4D2A-942A-124453765DFE}" name="Model Check">
      <calculatedColumnFormula>IF(AND(ISNUMBER(AB6),ISNUMBER(AD6),K6&gt;0,ISNUMBER(AJ6),AM6=""),IF(AND(ABS(AD6-AB6*K6)&lt;0.05,ABS(AB6-AJ6/(1-25%))&lt;0.0001),"PASS","CHECK"),"CHECK")</calculatedColumnFormula>
    </tableColumn>
    <tableColumn id="39" xr3:uid="{BAAD2430-3ACA-4461-A81A-BF4F7099BDC5}" name="Error Detail" dataDxfId="166">
      <calculatedColumnFormula>_xlfn.TEXTJOIN("; ",TRUE,IF(OR(AF6="Data is missing",AG6="Data is missing",AJ6="Data is missing"),"Missing conversion data",""),IF(NOT(ISNUMBER(S6)),"Missing laminate weight",""),IF(NOT(ISNUMBER(T6)),"Missing laminate cost",""))</calculatedColumnFormula>
    </tableColumn>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F8677E-6A4C-4684-A01A-255BB4D557D8}" name="tblLaminateEdgeCases" displayName="tblLaminateEdgeCases" ref="A5:AZ257" totalsRowShown="0" headerRowDxfId="165" dataDxfId="164">
  <autoFilter ref="A5:AZ257" xr:uid="{2FF8677E-6A4C-4684-A01A-255BB4D557D8}"/>
  <tableColumns count="52">
    <tableColumn id="1" xr3:uid="{088DAD48-D34F-4BC7-9147-84E3F095CABC}" name="Scenario ID" dataDxfId="163"/>
    <tableColumn id="2" xr3:uid="{7744A83C-EC88-44E4-9F3D-A64BC93F69F1}" name="Laminate" dataDxfId="162"/>
    <tableColumn id="3" xr3:uid="{85AD8081-E3B5-4E95-A71D-E5F8DD7079FE}" name="Edge Case" dataDxfId="161"/>
    <tableColumn id="4" xr3:uid="{055B2174-D690-4BAE-B380-41F5688FD762}" name="Total Thickness (µ)" dataDxfId="160">
      <calculatedColumnFormula array="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calculatedColumnFormula>
    </tableColumn>
    <tableColumn id="5" xr3:uid="{F1FB1F51-C698-4541-85F7-6B7489A99E80}" name="Width Asked (mm)" dataDxfId="159"/>
    <tableColumn id="6" xr3:uid="{B8DF8F8B-B435-4160-871D-75C05940DAB0}" name="Input Mode" dataDxfId="158"/>
    <tableColumn id="7" xr3:uid="{F6AD453D-ADEC-4F0B-A7C1-BE38E8B8014B}" name="Input Quantity" dataDxfId="157"/>
    <tableColumn id="8" xr3:uid="{5E960DC7-370C-4362-B6CD-BCAA38A8B0C6}" name="Weight Input (Kg)" dataDxfId="156"/>
    <tableColumn id="9" xr3:uid="{2BA9725C-17CF-4D2D-9A66-7BF31968C064}" name="IMP Height (mm)" dataDxfId="155"/>
    <tableColumn id="10" xr3:uid="{DCC0608F-667E-4EA8-9AF1-B271E0F090BC}" name="IMP Width (mm)" dataDxfId="154"/>
    <tableColumn id="11" xr3:uid="{81CCEA70-13E5-47EF-970E-5D53B3E9FBAD}" name="PR / NonPR" dataDxfId="153"/>
    <tableColumn id="12" xr3:uid="{CADBB0F2-B260-42D3-A546-89F89E54832D}" name="Colors" dataDxfId="152"/>
    <tableColumn id="13" xr3:uid="{DB8A9D2A-D41D-4D2F-89C3-97298C91F50A}" name="Designs" dataDxfId="151"/>
    <tableColumn id="14" xr3:uid="{453426A1-A2B3-4C80-A95A-472AC514904D}" name="Shipment" dataDxfId="150"/>
    <tableColumn id="15" xr3:uid="{851ACEEE-9655-43C7-B9F0-A16B2C195C9F}" name="Supplier" dataDxfId="149"/>
    <tableColumn id="16" xr3:uid="{8A767B91-6909-444B-9208-E6732C211DE3}" name="Laminate Length (m)" dataDxfId="148">
      <calculatedColumnFormula array="1">IFERROR(_xlfn.SWITCH(F6,"By Weight",IF(H6&lt;&gt;"",H6,G6)/AR6,"By Length",G6,"By Imp",G6/MAX(1,ROUNDDOWN(E6/I6,0))*J6/1000,"IMP",G6/MAX(1,ROUNDDOWN(E6/I6,0))*J6/1000,""),"")</calculatedColumnFormula>
    </tableColumn>
    <tableColumn id="17" xr3:uid="{8C244B07-9B48-473B-9BBE-49F335017B39}" name="Total KG" dataDxfId="147">
      <calculatedColumnFormula>IFERROR(P6*AR6,"")</calculatedColumnFormula>
    </tableColumn>
    <tableColumn id="18" xr3:uid="{548341A3-FE6E-4BA3-A6EE-B43A086A7543}" name="Total Cost (€)" dataDxfId="146">
      <calculatedColumnFormula>IFERROR(Q6*T6,"")</calculatedColumnFormula>
    </tableColumn>
    <tableColumn id="19" xr3:uid="{B7CD4099-E0AE-461F-8DC2-D644C40F8934}" name="Total Cost ($)" dataDxfId="145">
      <calculatedColumnFormula>IFERROR(R6*1.16,"")</calculatedColumnFormula>
    </tableColumn>
    <tableColumn id="20" xr3:uid="{C4B1B2D8-28C3-4C78-A34C-E01DD950E58F}" name="Cost/KG (€)" dataDxfId="144">
      <calculatedColumnFormula>IFERROR(AF6+AG6+AI6+AS6,"")</calculatedColumnFormula>
    </tableColumn>
    <tableColumn id="21" xr3:uid="{FFED1135-E5AF-49C6-B11B-4BFB1F17C4C0}" name="Cost/KG ($)" dataDxfId="143">
      <calculatedColumnFormula>IFERROR(T6*1.16,"")</calculatedColumnFormula>
    </tableColumn>
    <tableColumn id="22" xr3:uid="{EC8330AA-9883-4E6F-9ADD-BF8C6CA24CD0}" name="Sell Price / m (€)" dataDxfId="142">
      <calculatedColumnFormula>IFERROR(W6*AR6,"")</calculatedColumnFormula>
    </tableColumn>
    <tableColumn id="23" xr3:uid="{09AC4CEA-E1DF-4E6D-A5E1-914871DFC446}" name="Sell Price / KG (€)" dataDxfId="141">
      <calculatedColumnFormula>IFERROR(T6/(1-AT6),"")</calculatedColumnFormula>
    </tableColumn>
    <tableColumn id="24" xr3:uid="{2313EC9A-7628-48FE-8EA2-9DC268D040FA}" name="Sell Price / IMP (€)" dataDxfId="140">
      <calculatedColumnFormula>IF(OR(I6="",J6=""),"",IFERROR(V6*(J6/1000)/MAX(1,ROUNDDOWN(E6/I6,0)),""))</calculatedColumnFormula>
    </tableColumn>
    <tableColumn id="25" xr3:uid="{79B9B858-3247-4814-8070-940F2B65B2BF}" name="Sell Price / m ($)" dataDxfId="139">
      <calculatedColumnFormula>IFERROR(V6*1.16,"")</calculatedColumnFormula>
    </tableColumn>
    <tableColumn id="26" xr3:uid="{67FC8DBE-2A28-497C-B1DF-60EDDA1C69A2}" name="Sell Price / KG ($)" dataDxfId="138">
      <calculatedColumnFormula>IFERROR(W6*1.16,"")</calculatedColumnFormula>
    </tableColumn>
    <tableColumn id="27" xr3:uid="{A11EBFD5-1D75-46E0-8546-A347B48715C9}" name="Sell Price / IMP ($)" dataDxfId="137">
      <calculatedColumnFormula>IFERROR(X6*1.16,"")</calculatedColumnFormula>
    </tableColumn>
    <tableColumn id="28" xr3:uid="{79FD8497-7634-4630-A1F3-C0E83A082C32}" name="Total Sell (€)" dataDxfId="136">
      <calculatedColumnFormula>IFERROR(W6*Q6,"")</calculatedColumnFormula>
    </tableColumn>
    <tableColumn id="29" xr3:uid="{1E594C80-BCD8-4FF3-AC2D-D8098D9DB397}" name="Total Sell ($)" dataDxfId="135">
      <calculatedColumnFormula>IFERROR(AB6*1.16,"")</calculatedColumnFormula>
    </tableColumn>
    <tableColumn id="30" xr3:uid="{FCE8E24F-82ED-4F9E-AB33-8CB0946768CD}" name="Meter MOQ" dataDxfId="134">
      <calculatedColumnFormula>IFERROR(AE6/AR6,"")</calculatedColumnFormula>
    </tableColumn>
    <tableColumn id="31" xr3:uid="{E43FEB9D-A859-4E4D-AE07-43286F13F7E3}" name="KG MOQ" dataDxfId="133">
      <calculatedColumnFormula>_xlfn.LET(_xlpm.lam,UPPER(SUBSTITUTE(B6&amp;"","LAMINATE","")),IF(_xlpm.lam="608W",2000,IF(_xlpm.lam="608",750,500)))</calculatedColumnFormula>
    </tableColumn>
    <tableColumn id="32" xr3:uid="{E9161EE0-9AD0-4918-899B-F712EB375746}" name="Raw Material €/kg" dataDxfId="132">
      <calculatedColumnFormula array="1">IFERROR(_xlfn.LET(_xlpm.lam,TEXT(B6,"0"),_xlpm.thick,D6,_xlpm.crit,(TEXT(HELPER!$BZ$2:$BZ$250,"0")=_xlpm.lam)*(HELPER!$CC$2:$CC$250=_xlpm.thick)*(HELPER!$BW$2:$BW$250&lt;&gt;""),_xlpm.mats,TRIM(SUBSTITUTE(_xlfn._xlws.FILTER(HELPER!$BW$2:$BW$250,_xlpm.crit),CHAR(160),"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calculatedColumnFormula>
    </tableColumn>
    <tableColumn id="33" xr3:uid="{765D4806-F429-4470-ABA6-630D5FA9EAD1}" name="Shipment €/kg" dataDxfId="131">
      <calculatedColumnFormula>IFERROR(IF(N6="Europe to Canada",IF(Q6&lt;1000,VLOOKUP(1000,HELPER!$AG$4:$AH$8,2,FALSE)/Q6,VLOOKUP(Q6,HELPER!$AG$4:$AH$8,2,TRUE)/Q6),IF(N6="Europe to US",HELPER!$AH$2,IF(N6="Europe to Europe",HELPER!$AH$3,0))),0)</calculatedColumnFormula>
    </tableColumn>
    <tableColumn id="34" xr3:uid="{66587499-514F-4CA5-89A2-DDE5EF228030}" name="Lamination €/kg" dataDxfId="130">
      <calculatedColumnFormula array="1">IFERROR(_xlfn.LET(_xlpm.cap,IF(O6="Quantum",760,1220),_xlpm.wUsed,E6*MAX(1,MIN(MAX(2,INT(900/E6)),INT((_xlpm.cap-50)/E6))),_xlpm.kgmUsed,AR6/E6*_xlpm.wUsed,_xlpm.lam,TEXT(B6,"0"),_xlpm.crit,(TEXT(HELPER!$BZ$2:$BZ$250,"0")=_xlpm.lam)*(HELPER!$CC$2:$CC$250=D6)*(HELPER!$BW$2:$BW$250&lt;&gt;""),_xlpm.mats,_xlfn._xlws.FILTER(HELPER!$BW$2:$BW$250,_xlpm.crit),_xlpm.realLayers,SUM((_xlpm.mats&lt;&gt;"")*ISERROR(SEARCH("EPOTAL",_xlpm.mats&amp;""))*ISERROR(SEARCH("BASONAT",_xlpm.mats&amp;""))*ISERROR(SEARCH("ADH",_xlpm.mats&amp;""))*ISERROR(SEARCH("HARDENER",_xlpm.mats&amp;""))),_xlpm.steps,MAX(0,_xlpm.realLayers-1),_xlpm.tier,IF(P6&lt;3000,1,IF(P6&lt;10000,2,IF(P6&lt;25000,3,IF(P6&lt;50000,4,IF(P6&lt;100000,5,IF(P6&lt;250000,6,7)))))),_xlpm.widthRow,IF(_xlpm.wUsed&lt;900,0,5),_xlpm.supplierRow,IF(O6="Marma",3,IF(OR(O6="Bastin",O6="Quantum"),13,0)),_xlpm.rate,INDEX('Lmntn &amp; Prntng- Marma &amp; Bastin '!$D$1:$K$22,_xlpm.supplierRow+_xlpm.widthRow,_xlpm.tier),_xlpm.rate*_xlpm.steps/_xlpm.kgmUsed),"")</calculatedColumnFormula>
    </tableColumn>
    <tableColumn id="35" xr3:uid="{FBA48C8A-7542-4D00-959A-85B175F7CB69}" name="Lam+Slit+Print €/kg" dataDxfId="129">
      <calculatedColumnFormula array="1">IFERROR(_xlfn.LET(_xlpm.cap,IF(O6="Quantum",760,1220),_xlpm.wUsed,E6*MAX(1,MIN(MAX(2,INT(900/E6)),INT((_xlpm.cap-50)/E6))),_xlpm.kgmUsed,AR6/E6*_xlpm.wUsed,_xlpm.tier,IF(P6&lt;3000,1,IF(P6&lt;10000,2,IF(P6&lt;25000,3,IF(P6&lt;50000,4,IF(P6&lt;100000,5,IF(P6&lt;250000,6,IF(P6&lt;500000,7,8))))))),_xlpm.widthRow,IF(_xlpm.wUsed&lt;900,0,5),_xlpm.slitRow,IF(O6="Marma",7,IF(OR(O6="Bastin",O6="Quantum"),17,0)),_xlpm.slitRate,INDEX('Lmntn &amp; Prntng- Marma &amp; Bastin '!$D$1:$K$22,_xlpm.slitRow+_xlpm.widthRow,_xlpm.tier),_xlpm.numColors,IF(ISNUMBER(L6),L6,IFERROR(--RIGHT(L6,LEN(L6)-FIND("-",L6)),0)),_xlpm.printRate,IF(OR(K6&lt;&gt;"Printed",_xlpm.numColors=0),0,IF(O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MAX(_xlfn._xlws.FILTER(_xlpm.meters,(_xlpm.widths=_xlpm.qWidth)*(_xlpm.bands=_xlpm.band)))),INDEX(_xlpm.rates,_xlfn.XMATCH(1,(_xlpm.widths=_xlpm.qWidth)*(_xlpm.bands=_xlpm.band)*(_xlpm.meters=_xlpm.targetM),0))/HELPER!$AK$2),_xlfn.LET(_xlpm.colorOffset,IF(_xlpm.numColors&lt;=2,1,IF(_xlpm.numColors&lt;=4,2,3)),_xlpm.supplierRow,IF(O6="Marma",3,IF(O6="Bastin",13,0)),INDEX('Lmntn &amp; Prntng- Marma &amp; Bastin '!$D$1:$K$22,_xlpm.supplierRow+_xlpm.widthRow+_xlpm.colorOffset,_xlpm.tier)))),AH6+_xlpm.slitRate/_xlpm.kgmUsed+_xlpm.printRate/_xlpm.kgmUsed+AJ6),"")</calculatedColumnFormula>
    </tableColumn>
    <tableColumn id="36" xr3:uid="{74129727-63A1-4C4E-B32D-8962FA71D84C}" name="Design Setup €/kg" dataDxfId="128">
      <calculatedColumnFormula array="1">IF(OR(K6&lt;&gt;"Printed",L6=0,L6="0",L6=""),0,IFERROR(_xlfn.LET(_xlpm.lam,TEXT(B6,"0"),_xlpm.crit,(TEXT(HELPER!$BZ$2:$BZ$250,"0")=_xlpm.lam)*(HELPER!$CC$2:$CC$250=D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WHITE"},0)))/ROWS(_xlpm.real),_xlpm.numColors,IF(ISNUMBER(L6),L6,IFERROR(--RIGHT(L6,LEN(L6)-FIND("-",L6)),0)),HELPER!$DB$1*_xlpm.numColors*MAX(1,M6)*1.05*_xlpm.nkRatio/Q6),0))</calculatedColumnFormula>
    </tableColumn>
    <tableColumn id="37" xr3:uid="{BDEBEFF9-034C-42B1-B63A-E1F7C44585C9}" name="MSI Price (€)" dataDxfId="127">
      <calculatedColumnFormula>IFERROR(V6/(E6/1000*1.55),"")</calculatedColumnFormula>
    </tableColumn>
    <tableColumn id="38" xr3:uid="{AE955232-6A5A-40F0-8F5F-D347DFA2E007}" name="B4P €/1000m" dataDxfId="126">
      <calculatedColumnFormula>IFERROR(V6*1000,"")</calculatedColumnFormula>
    </tableColumn>
    <tableColumn id="39" xr3:uid="{234D65A0-2E58-4859-B6CB-817EA7F6F62F}" name="Model Check" dataDxfId="125">
      <calculatedColumnFormula>IF(AND(ISNUMBER(P6),ISNUMBER(Q6),ISNUMBER(R6),ISNUMBER(T6),Q6&gt;0),IF(ABS(T6-R6/Q6)&lt;0.02,IF(AN6="","PASS","CHECK"),"CHECK"),"CHECK")</calculatedColumnFormula>
    </tableColumn>
    <tableColumn id="40" xr3:uid="{E0C14F66-002A-4D56-AD36-9D6B0B639BEE}" name="Error Detail" dataDxfId="124">
      <calculatedColumnFormula>_xlfn.TEXTJOIN("; ",TRUE,IF(AF6="","Missing BOM/price mapping",""),IF(AR6="","Missing thickness mapping",""),IF(E6+50&gt;IF(O6="Quantum",760,1220),"Lamination width exceeds supplier maximum",""))</calculatedColumnFormula>
    </tableColumn>
    <tableColumn id="41" xr3:uid="{77F89241-461A-45C9-B9B3-C3437386E95B}" name="Baseline Thickness" dataDxfId="123">
      <calculatedColumnFormula>D6</calculatedColumnFormula>
    </tableColumn>
    <tableColumn id="42" xr3:uid="{2908587F-0C49-4D00-9398-6A055097C24B}" name="Baseline Length" dataDxfId="122">
      <calculatedColumnFormula>P6</calculatedColumnFormula>
    </tableColumn>
    <tableColumn id="43" xr3:uid="{A8C1A4E2-0A6A-4F4F-AD84-A03FF9A5AB1B}" name="Thickness Rank" dataDxfId="121"/>
    <tableColumn id="44" xr3:uid="{0BEE6D5A-F6BF-4841-89CE-946E6622AB6A}" name="Kg/m/µ" dataDxfId="120">
      <calculatedColumnFormula array="1">IFERROR(_xlfn.LET(_xlpm.lam,TEXT(B6,"0"),_xlpm.thick,D6,_xlpm.crit,(TEXT(HELPER!$BZ$2:$BZ$250,"0")=_xlpm.lam)*(HELPER!$CC$2:$CC$250=_xlpm.thick)*(HELPER!$BW$2:$BW$250&lt;&gt;""),_xlpm.mats,TRIM(SUBSTITUTE(_xlfn._xlws.FILTER(HELPER!$BW$2:$BW$250,_xlpm.crit),CHAR(160),"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")),HELPER!$AQ$2:$AQ$20,1),_xlpm.mass,IF(ISNUMBER(SEARCH("paper",_xlpm.mats)),42,_xlpm.dens*_xlpm.ths),E6/1000000*SUM(_xlpm.mass)),"")</calculatedColumnFormula>
    </tableColumn>
    <tableColumn id="45" xr3:uid="{E4FE6B63-BBD6-4FE4-8DC5-8A9BD13C48D6}" name="Other Cost €/kg" dataDxfId="119">
      <calculatedColumnFormula>IFERROR(IF(D6&gt;31,(5%+250/P6)*AF6,VLOOKUP(D6,HELPER!$BH$3:$BI$5,2,TRUE)*AF6),0)</calculatedColumnFormula>
    </tableColumn>
    <tableColumn id="46" xr3:uid="{A951A020-ECCF-4750-85DE-CD12BA3F1657}" name="Margin" dataDxfId="118"/>
    <tableColumn id="47" xr3:uid="{309E2A46-C67F-4AC6-BB87-40C64441588D}" name="MSI/Sell-m Ratio" dataDxfId="117"/>
    <tableColumn id="48" xr3:uid="{AB18A91E-EE77-472F-9692-81EA1A2206BC}" name="Meter/Input Factor" dataDxfId="116"/>
    <tableColumn id="49" xr3:uid="{7D5D6E2D-00E6-4EFA-ADD1-84456EA918DA}" name="Baseline Shipping" dataDxfId="115"/>
    <tableColumn id="50" xr3:uid="{642A87FE-7BE8-44BF-BB7F-A6C7CCD95879}" name="Baseline Lamination" dataDxfId="114"/>
    <tableColumn id="51" xr3:uid="{39BC8460-9CC7-4704-93BE-A784D135CEDF}" name="Baseline Process" dataDxfId="113"/>
    <tableColumn id="52" xr3:uid="{40CCB863-16DE-46C0-8668-327CA33A5FA5}" name="Setup Total €" dataDxfId="112">
      <calculatedColumnFormula>IFERROR(AJ6*Q6,0)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314D92-EF22-4226-B823-7F80891FF192}" name="Table5" displayName="Table5" ref="A1:E32" totalsRowShown="0" headerRowDxfId="111" dataDxfId="109" headerRowBorderDxfId="110" tableBorderDxfId="108" headerRowCellStyle="Normal 4">
  <autoFilter ref="A1:E32" xr:uid="{70314D92-EF22-4226-B823-7F80891FF192}"/>
  <tableColumns count="5">
    <tableColumn id="1" xr3:uid="{7B8617A1-7A7C-4F6B-8575-03FF269C474F}" name="Material" dataDxfId="107"/>
    <tableColumn id="2" xr3:uid="{BEE98562-FABC-4718-B134-3AF01DD446E3}" name="Grade" dataDxfId="106"/>
    <tableColumn id="3" xr3:uid="{F7B44110-C31A-4400-88CF-B4FE30131E74}" name="Serial Number" dataDxfId="105"/>
    <tableColumn id="4" xr3:uid="{3D3E3B0A-4F3E-457D-A770-9D3699148171}" name="Resin" dataDxfId="104"/>
    <tableColumn id="5" xr3:uid="{4F37DFB8-3E64-4894-ACB1-9CBBCAACC431}" name="Price (€/kg)"/>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EC6F20-905F-4044-BF6A-9BC1C7225948}" name="tblFilmAdditivePricing" displayName="tblFilmAdditivePricing" ref="CK1:CQ9" totalsRowShown="0" headerRowDxfId="103">
  <autoFilter ref="CK1:CQ9" xr:uid="{EFEC6F20-905F-4044-BF6A-9BC1C7225948}"/>
  <tableColumns count="7">
    <tableColumn id="1" xr3:uid="{82029D4D-9990-4BBD-A280-A327E62116C6}" name="FILM"/>
    <tableColumn id="2" xr3:uid="{39BDFF5F-86B4-4A3C-83C9-A3E06B3501E4}" name="FILM Price" dataDxfId="102"/>
    <tableColumn id="3" xr3:uid="{A12AD279-EA03-47DE-8295-6BD14345A1E3}" name="Additive"/>
    <tableColumn id="4" xr3:uid="{C71338A1-C383-4485-8434-4D432864AF8F}" name="Additive Price" dataDxfId="101">
      <calculatedColumnFormula array="1">IF(tblFilmAdditivePricing[[#This Row],[Additive]]="",0,IFERROR(INDEX($E$2:$E$32,MATCH(TRUE,(TRIM($A$2:$A$32)=TRIM(tblFilmAdditivePricing[[#This Row],[Additive]]))+(TRIM($B$2:$B$32)=TRIM(tblFilmAdditivePricing[[#This Row],[Additive]]))+(TRIM($C$2:$C$32)=TRIM(tblFilmAdditivePricing[[#This Row],[Additive]]))+(TRIM($D$2:$D$32)=TRIM(tblFilmAdditivePricing[[#This Row],[Additive]]))&gt;0,0)),""))</calculatedColumnFormula>
    </tableColumn>
    <tableColumn id="5" xr3:uid="{BBCD2D1B-F86C-425C-B863-349E2C3FBE1E}" name="Total Price" dataDxfId="100">
      <calculatedColumnFormula>IF(tblFilmAdditivePricing[[#This Row],[FILM]]="","",IF(tblFilmAdditivePricing[[#This Row],[FILM Price]]="","",tblFilmAdditivePricing[[#This Row],[FILM Price]]+IF(tblFilmAdditivePricing[[#This Row],[Additive Price]]="",0,tblFilmAdditivePricing[[#This Row],[Additive Price]])))</calculatedColumnFormula>
    </tableColumn>
    <tableColumn id="6" xr3:uid="{8D720452-9667-4D15-92D2-764B2953D9DB}" name="Calculation Process" dataDxfId="99"/>
    <tableColumn id="7" xr3:uid="{912B749F-6169-4ACD-A39A-19EA3050EF21}" name="Pouch Calc3 Thickness Options" dataDxfId="98">
      <calculatedColumnFormula array="1">_xlfn._xlws.SORT(_xlfn.UNIQUE(_xlfn._xlws.FILTER($CC$2:$CC$250,(TRIM($BZ$2:$BZ$250&amp;"")=TRIM(Pouches!AP52&amp;""))*($CC$2:$CC$250&lt;&gt;""),"")))</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141CEE-9C83-4880-AB7E-E0E48A46EEAF}" name="tblLaminateImpConversion" displayName="tblLaminateImpConversion" ref="CR1:CY20" totalsRowShown="0">
  <autoFilter ref="CR1:CY20" xr:uid="{7E141CEE-9C83-4880-AB7E-E0E48A46EEAF}"/>
  <tableColumns count="8">
    <tableColumn id="1" xr3:uid="{B2061534-2E95-4C2B-A8C4-2BF4BC771F37}" name="Laminate">
      <calculatedColumnFormula>TRIM(#REF!)</calculatedColumnFormula>
    </tableColumn>
    <tableColumn id="2" xr3:uid="{844A2D26-A5EB-498F-85EE-ADB2C5D74D2F}" name="IMP" dataDxfId="97"/>
    <tableColumn id="3" xr3:uid="{E998B619-A833-4AA5-B76C-950E49363006}" name="Meters" dataDxfId="96">
      <calculatedColumnFormula>#REF!</calculatedColumnFormula>
    </tableColumn>
    <tableColumn id="4" xr3:uid="{8B3D1900-1E2B-421D-8CA7-04A51DF77692}" name="Kg" dataDxfId="95">
      <calculatedColumnFormula>#REF!</calculatedColumnFormula>
    </tableColumn>
    <tableColumn id="5" xr3:uid="{2B517B9F-5CBB-425F-84AB-103F181CE9BF}" name="Rule / source" dataDxfId="94"/>
    <tableColumn id="6" xr3:uid="{62D926C9-7E95-4D14-A07A-8F79722A1F6B}" name="Pouch Calc1 Thickness Options" dataDxfId="93">
      <calculatedColumnFormula array="1">IF(OR(TRIM(Pouches!$AH$52&amp;"")="618",TRIM(Pouches!$AH$52&amp;"")="618 W"),106,IF(5=1,IFERROR(INDEX(_xlfn._xlws.FILTER(tblLaminateStructures[Total Thickness (µ)],(TRIM(tblLaminateStructures[Laminate]&amp;"")=TRIM(Pouches!$AH$52&amp;""))*(tblLaminateStructures[Total Thickness (µ)]&lt;&gt;"")),1),""),""))</calculatedColumnFormula>
    </tableColumn>
    <tableColumn id="7" xr3:uid="{7684B29B-B042-4175-B079-1814D4861716}" name="Pouch Calc2 Thickness Options" dataDxfId="92">
      <calculatedColumnFormula array="1">IF(OR(TRIM(Pouches!$AL$52&amp;"")="618",TRIM(Pouches!$AL$52&amp;"")="618 W"),106,IF(5=1,IFERROR(INDEX(_xlfn._xlws.FILTER(tblLaminateStructures[Total Thickness (µ)],(TRIM(tblLaminateStructures[Laminate]&amp;"")=TRIM(Pouches!$AL$52&amp;""))*(tblLaminateStructures[Total Thickness (µ)]&lt;&gt;"")),1),""),""))</calculatedColumnFormula>
    </tableColumn>
    <tableColumn id="8" xr3:uid="{387E715D-9831-4AD4-A0C1-BB0BA695D5A0}" name="Pouch Calc3 Thickness Options" dataDxfId="91">
      <calculatedColumnFormula array="1">IF(OR(TRIM(Pouches!$AP$52&amp;"")="618",TRIM(Pouches!$AP$52&amp;"")="618 W"),106,IF(5=1,IFERROR(INDEX(_xlfn._xlws.FILTER(tblLaminateStructures[Total Thickness (µ)],(TRIM(tblLaminateStructures[Laminate]&amp;"")=TRIM(Pouches!$AP$52&amp;""))*(tblLaminateStructures[Total Thickness (µ)]&lt;&gt;"")),1),""),""))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146774-63CF-44BD-9FEE-F3F9C5CADA73}" name="tblLaminateStructures" displayName="tblLaminateStructures" ref="AV1:BD176" totalsRowShown="0" headerRowDxfId="90" dataDxfId="89">
  <autoFilter ref="AV1:BD176" xr:uid="{D7146774-63CF-44BD-9FEE-F3F9C5CADA73}"/>
  <tableColumns count="9">
    <tableColumn id="1" xr3:uid="{CBC76488-035A-4F27-A282-D0E6619A8E7C}" name="Laminate" dataDxfId="88"/>
    <tableColumn id="2" xr3:uid="{8433B7BE-06B2-4C86-BF1F-D5BCC01B31E0}" name="Total Thickness (µ)" dataDxfId="87"/>
    <tableColumn id="3" xr3:uid="{E6E24A4C-B812-4503-BF02-99AA8FFE6131}" name="Material / Layer" dataDxfId="86"/>
    <tableColumn id="4" xr3:uid="{E25CF676-0F37-4076-A67A-9D366FA2574F}" name="Layer Thickness (µ)" dataDxfId="85"/>
    <tableColumn id="5" xr3:uid="{E432D6BE-556D-4C34-8428-5278C4614F57}" name="Structure Check" dataDxfId="84">
      <calculatedColumnFormula>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calculatedColumnFormula>
    </tableColumn>
    <tableColumn id="6" xr3:uid="{C3915DA9-87E9-4DC3-8E3C-698FB99CE717}" name="Layer Type / Info" dataDxfId="83"/>
    <tableColumn id="7" xr3:uid="{930AE417-9203-48F8-874D-82A79320A5BB}" name="Remarks" dataDxfId="82"/>
    <tableColumn id="8" xr3:uid="{2CE72154-1F14-4FE7-8DC1-F3E8174365AF}" name="Status" dataDxfId="81"/>
    <tableColumn id="9" xr3:uid="{FD5934DD-6FBB-4059-8BA0-FD891876E7BF}" name="MET setup factor" dataDxfId="8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61FAF7-72FB-406C-90AB-9C6B7D50C177}" name="tblResinWeightedQty" displayName="tblResinWeightedQty" ref="A4:G69" totalsRowShown="0" headerRowDxfId="79">
  <autoFilter ref="A4:G69" xr:uid="{6661FAF7-72FB-406C-90AB-9C6B7D50C177}"/>
  <tableColumns count="7">
    <tableColumn id="1" xr3:uid="{51123DDF-3EA3-4A78-B29C-2CBFC19008D3}" name="Film" dataDxfId="78"/>
    <tableColumn id="2" xr3:uid="{67F3A041-25DC-4E4C-AB53-29B59B673BE8}" name="Material" dataDxfId="77"/>
    <tableColumn id="3" xr3:uid="{AA854D13-2ACC-49A1-8D90-BBB065C3BF4A}" name="Grade" dataDxfId="76"/>
    <tableColumn id="4" xr3:uid="{0BFEBDD5-2161-4D71-A327-DCFE12773DA4}" name="Serial Number" dataDxfId="75"/>
    <tableColumn id="5" xr3:uid="{5EE5C10A-D548-43A4-A0A9-61657E9B6738}" name="Resin" dataDxfId="74"/>
    <tableColumn id="6" xr3:uid="{79FFD91E-B35F-44F9-AE61-BCBF05891B06}" name="Weighted QTY %" dataDxfId="73">
      <calculatedColumnFormula array="1">SUMPRODUCT((BOM!$A$2:$A$404=A5)*(BOM!$F$2:$F$404=E5)*BOM!$H$2:$H$404*BOM!$G$2:$G$404)/SUMPRODUCT((BOM!$A$2:$A$404=A5)*BOM!$H$2:$H$404*BOM!$G$2:$G$404)</calculatedColumnFormula>
    </tableColumn>
    <tableColumn id="7" xr3:uid="{3EE438EE-4B89-4BB0-BA85-767C19A2E8EB}" name="Film Total Check" dataDxfId="72">
      <calculatedColumnFormula>SUMIF(tblResinWeightedQty[Film],tblResinWeightedQty[[#This Row],[Film]],tblResinWeightedQty[Weighted QTY %])</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A1C37BA-5558-4C50-B99C-128654F9F053}" name="tblLaminateWeightedQty" displayName="tblLaminateWeightedQty" ref="A4:L257" totalsRowShown="0">
  <autoFilter ref="A4:L257" xr:uid="{DA1C37BA-5558-4C50-B99C-128654F9F053}"/>
  <tableColumns count="12">
    <tableColumn id="1" xr3:uid="{70070EC8-4E01-4CFD-BD72-84A589EBDA72}" name="Laminate"/>
    <tableColumn id="2" xr3:uid="{75F73D27-884C-4035-9A89-C51FE63EF850}" name="Total Thickness (µ)"/>
    <tableColumn id="3" xr3:uid="{205FEA33-774E-4A10-BDA9-76646B0D11A0}" name="Film / Ingredient"/>
    <tableColumn id="4" xr3:uid="{2CC176B5-DA50-4664-A347-F82F8CA5C5DC}" name="Material"/>
    <tableColumn id="5" xr3:uid="{F2AD030A-E3AA-4C68-89BF-4A9611F12912}" name="Grade"/>
    <tableColumn id="6" xr3:uid="{BD0466F7-0E46-44FB-B547-C6020B9538B9}" name="Serial Number"/>
    <tableColumn id="7" xr3:uid="{89F51670-806A-4E81-AD4D-49334360CD3D}" name="Resin / Raw Material"/>
    <tableColumn id="8" xr3:uid="{CD365DA3-7A1E-401B-859D-2438749607D2}" name="Weighted QTY %" dataDxfId="360">
      <calculatedColumnFormula>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calculatedColumnFormula>
    </tableColumn>
    <tableColumn id="9" xr3:uid="{48D21F0C-3C6F-49EF-A09F-24D8695EDD48}" name="Laminate Total Check" dataDxfId="359">
      <calculatedColumnFormula>SUMIFS(tblLaminateWeightedQty[Weighted QTY %],tblLaminateWeightedQty[Laminate],tblLaminateWeightedQty[[#This Row],[Laminate]],tblLaminateWeightedQty[Total Thickness (µ)],tblLaminateWeightedQty[[#This Row],[Total Thickness (µ)]])</calculatedColumnFormula>
    </tableColumn>
    <tableColumn id="10" xr3:uid="{123E9903-24AE-42E9-B3FD-0DCFC2BA087A}" name="Source Row"/>
    <tableColumn id="11" xr3:uid="{932337E7-B586-4DF1-A464-CC95A393ADC8}" name="Layer Thickness"/>
    <tableColumn id="12" xr3:uid="{701203CC-5584-4B95-97C3-41537132A158}" name="Structure Check"/>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E98C131-CC73-4E52-99BC-2C887E53E666}" name="tblPouchWeightedQty" displayName="tblPouchWeightedQty" ref="A4:M48" totalsRowShown="0">
  <autoFilter ref="A4:M48" xr:uid="{9E98C131-CC73-4E52-99BC-2C887E53E666}"/>
  <tableColumns count="13">
    <tableColumn id="1" xr3:uid="{2D3FFD25-24CB-4C9B-A9F0-641C3654D903}" name="Pouch Type"/>
    <tableColumn id="2" xr3:uid="{A9874C50-C701-4C80-85EB-C70355D92B58}" name="Laminate"/>
    <tableColumn id="3" xr3:uid="{109E49B3-E09E-4952-80D9-A6F6D75A934B}" name="Total Thickness (µ)"/>
    <tableColumn id="4" xr3:uid="{9F5AE4C4-8C0B-4F61-86DC-0524B856388C}" name="Film / Ingredient"/>
    <tableColumn id="5" xr3:uid="{F5241ADA-4764-4E89-80F8-125FD74F5177}" name="Material"/>
    <tableColumn id="6" xr3:uid="{A63A04AF-0F3A-4E7E-9326-B522FE9CC044}" name="Grade"/>
    <tableColumn id="7" xr3:uid="{1C173AF8-6545-4702-8A2A-7C5E987DB710}" name="Serial Number"/>
    <tableColumn id="8" xr3:uid="{6198473F-D57C-4164-B855-4CD6C5FB347D}" name="Resin / Raw Material"/>
    <tableColumn id="9" xr3:uid="{A7E9B406-BA01-4FB5-87A9-59DD3E8074C8}" name="Weighted QTY %" dataDxfId="71">
      <calculatedColumnFormula>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calculatedColumnFormula>
    </tableColumn>
    <tableColumn id="10" xr3:uid="{046056EC-60A7-442C-9994-A18661E6117B}" name="Pouch Structure Check" dataDxfId="70">
      <calculatedColumnFormula>SUMIFS(tblPouchWeightedQty[Weighted QTY %],tblPouchWeightedQty[Pouch Type],tblPouchWeightedQty[[#This Row],[Pouch Type]],tblPouchWeightedQty[Laminate],tblPouchWeightedQty[[#This Row],[Laminate]],tblPouchWeightedQty[Total Thickness (µ)],tblPouchWeightedQty[[#This Row],[Total Thickness (µ)]])</calculatedColumnFormula>
    </tableColumn>
    <tableColumn id="11" xr3:uid="{CFA60ECF-346F-40A8-BF25-FF2AC4425294}" name="Source Row"/>
    <tableColumn id="12" xr3:uid="{57D4205B-132F-4D1C-9C82-DB726343ED61}" name="Layer Thickness"/>
    <tableColumn id="13" xr3:uid="{DA58A287-9EF8-48EF-AB16-CE946A534304}" name="Structure Che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03" dT="2026-06-01T08:49:10.52" personId="{95EE1FF2-A61D-4869-B6C9-829E1A9FD12C}" id="{FFC01D9C-2636-44F1-B5DD-7DEB63CA12E2}">
    <text xml:space="preserve">Need to be checked
</text>
  </threadedComment>
  <threadedComment ref="F203" dT="2026-06-01T08:48:59.50" personId="{95EE1FF2-A61D-4869-B6C9-829E1A9FD12C}" id="{B545A99D-9EF4-4948-93F0-BFBF32BC3B17}">
    <text xml:space="preserve">Need to be checked
</text>
  </threadedComment>
  <threadedComment ref="F222" dT="2026-06-01T08:49:59.94" personId="{95EE1FF2-A61D-4869-B6C9-829E1A9FD12C}" id="{2A87582D-5128-42E6-B4C5-FC297492FF90}">
    <text xml:space="preserve">Need to be checked
</text>
  </threadedComment>
  <threadedComment ref="F233" dT="2026-06-01T08:50:09.52" personId="{95EE1FF2-A61D-4869-B6C9-829E1A9FD12C}" id="{BA401F1F-68A0-4393-8437-301AF5E0C834}">
    <text>Need to be checked</text>
  </threadedComment>
  <threadedComment ref="F252" dT="2026-06-01T08:50:20.42" personId="{95EE1FF2-A61D-4869-B6C9-829E1A9FD12C}" id="{6A8F4E62-01CB-4D92-AB8C-70D2F01F6B7B}">
    <text>Need to be checked</text>
  </threadedComment>
</ThreadedComments>
</file>

<file path=xl/threadedComments/threadedComment2.xml><?xml version="1.0" encoding="utf-8"?>
<ThreadedComments xmlns="http://schemas.microsoft.com/office/spreadsheetml/2018/threadedcomments" xmlns:x="http://schemas.openxmlformats.org/spreadsheetml/2006/main">
  <threadedComment ref="DQ1" dT="2026-09-10T09:25:04.69" personId="{95EE1FF2-A61D-4869-B6C9-829E1A9FD12C}" id="{EC3C1FEA-B000-4BF3-AE1B-DE9D2B4F3690}">
    <text>This is Bastin price.</text>
  </threadedComment>
  <threadedComment ref="E4" dT="2026-06-16T10:31:57.75" personId="{95EE1FF2-A61D-4869-B6C9-829E1A9FD12C}" id="{6C98EA5A-6121-4E6D-A12F-448489E9AFCD}">
    <text>Tune Price</text>
  </threadedComment>
  <threadedComment ref="E25" dT="2026-09-10T11:11:55.53" personId="{95EE1FF2-A61D-4869-B6C9-829E1A9FD12C}" id="{E397393A-1B10-47DE-BA20-D8710494DD9E}">
    <text>User-provided Nuvita price; compound - new group.</text>
  </threadedComment>
  <threadedComment ref="E26" dT="2026-09-10T11:11:55.53" personId="{95EE1FF2-A61D-4869-B6C9-829E1A9FD12C}" id="{57325D53-599C-491F-8612-EB896BC5C3AE}">
    <text>User-provided NVS price; same family as NK.</text>
  </threadedComment>
  <threadedComment ref="E27" dT="2026-09-10T11:11:55.53" personId="{95EE1FF2-A61D-4869-B6C9-829E1A9FD12C}" id="{B5F3B07B-4972-4A8F-B8D2-99164E5F2BA9}">
    <text>User-provided Samtack price; adhesive like Epotal.</text>
  </threadedComment>
  <threadedComment ref="AV116" dT="2026-09-10T11:13:19.50" personId="{95EE1FF2-A61D-4869-B6C9-829E1A9FD12C}" id="{B477846D-B622-43A6-B28C-9455B044EC25}">
    <text>Physical structure: TIPA 306M 30 µm | Samtack 2.5 gsm | ALU 6.35 µm | Nuvita coating 4 gsm | Samtack 2.5 gsm | NVS 23 µm. The two Samtack passes are combined into one 5 gsm costing line because the laminate calculator supports five costing lines plus a total row.</text>
  </threadedComment>
  <threadedComment ref="AY119" dT="2026-09-10T11:11:55.53" personId="{95EE1FF2-A61D-4869-B6C9-829E1A9FD12C}" id="{0B816592-CB23-4BAF-AEB0-AD5D66D28F9D}">
    <text>Nuvita supplied as 4 gsm. Converted using assumed density 1.00 g/cm³, so layer thickness is 4.00 µm.</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7" Type="http://schemas.microsoft.com/office/2017/10/relationships/threadedComment" Target="../threadedComments/threadedComment1.xml"/><Relationship Id="rId2" Type="http://schemas.openxmlformats.org/officeDocument/2006/relationships/table" Target="../tables/table1.xml"/><Relationship Id="rId1" Type="http://schemas.openxmlformats.org/officeDocument/2006/relationships/vmlDrawing" Target="../drawings/vmlDrawing2.vml"/><Relationship Id="rId6" Type="http://schemas.openxmlformats.org/officeDocument/2006/relationships/comments" Target="../comments2.xml"/><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table" Target="../tables/table9.xml"/><Relationship Id="rId7"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ivotTable" Target="../pivotTables/pivotTable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9D2E-48CB-4777-A334-B571AB6F672D}">
  <sheetPr filterMode="1"/>
  <dimension ref="A3:C45"/>
  <sheetViews>
    <sheetView topLeftCell="A4" workbookViewId="0">
      <selection activeCell="I17" sqref="F15:I17"/>
    </sheetView>
  </sheetViews>
  <sheetFormatPr defaultRowHeight="15"/>
  <cols>
    <col min="1" max="1" width="21.28515625" bestFit="1" customWidth="1"/>
    <col min="2" max="2" width="8.7109375" bestFit="1" customWidth="1"/>
    <col min="3" max="3" width="48.140625" bestFit="1" customWidth="1"/>
  </cols>
  <sheetData>
    <row r="3" spans="1:3">
      <c r="A3" s="82" t="s">
        <v>1</v>
      </c>
      <c r="B3" s="82" t="s">
        <v>22</v>
      </c>
      <c r="C3" t="s">
        <v>266</v>
      </c>
    </row>
    <row r="4" spans="1:3">
      <c r="A4" t="s">
        <v>0</v>
      </c>
      <c r="B4" t="s">
        <v>10</v>
      </c>
      <c r="C4" s="83">
        <v>0.24239999999999998</v>
      </c>
    </row>
    <row r="5" spans="1:3">
      <c r="B5" t="s">
        <v>11</v>
      </c>
      <c r="C5" s="83">
        <v>2.3519999999999999E-2</v>
      </c>
    </row>
    <row r="6" spans="1:3">
      <c r="A6" t="s">
        <v>43</v>
      </c>
      <c r="B6" t="s">
        <v>10</v>
      </c>
      <c r="C6" s="83">
        <v>0.24239999999999998</v>
      </c>
    </row>
    <row r="7" spans="1:3">
      <c r="B7" t="s">
        <v>11</v>
      </c>
      <c r="C7" s="83">
        <v>9.4079999999999997E-2</v>
      </c>
    </row>
    <row r="8" spans="1:3">
      <c r="A8" t="s">
        <v>44</v>
      </c>
      <c r="B8" t="s">
        <v>10</v>
      </c>
      <c r="C8" s="83">
        <v>0.24239999999999998</v>
      </c>
    </row>
    <row r="9" spans="1:3">
      <c r="B9" t="s">
        <v>11</v>
      </c>
      <c r="C9" s="83">
        <v>5.8799999999999998E-2</v>
      </c>
    </row>
    <row r="10" spans="1:3">
      <c r="A10" t="s">
        <v>45</v>
      </c>
      <c r="B10" t="s">
        <v>10</v>
      </c>
      <c r="C10" s="83">
        <v>0.24239999999999998</v>
      </c>
    </row>
    <row r="11" spans="1:3">
      <c r="B11" t="s">
        <v>11</v>
      </c>
      <c r="C11" s="83">
        <v>0.1176</v>
      </c>
    </row>
    <row r="12" spans="1:3">
      <c r="A12" t="s">
        <v>179</v>
      </c>
      <c r="B12" t="s">
        <v>10</v>
      </c>
      <c r="C12" s="83">
        <v>0.24239999999999998</v>
      </c>
    </row>
    <row r="13" spans="1:3">
      <c r="B13" t="s">
        <v>11</v>
      </c>
      <c r="C13" s="83">
        <v>6.762E-2</v>
      </c>
    </row>
    <row r="14" spans="1:3">
      <c r="A14" t="s">
        <v>51</v>
      </c>
      <c r="B14" t="s">
        <v>10</v>
      </c>
      <c r="C14" s="83">
        <v>0.24239999999999998</v>
      </c>
    </row>
    <row r="15" spans="1:3">
      <c r="B15" t="s">
        <v>11</v>
      </c>
      <c r="C15" s="83">
        <v>6.762E-2</v>
      </c>
    </row>
    <row r="16" spans="1:3">
      <c r="A16" t="s">
        <v>265</v>
      </c>
      <c r="C16" s="83">
        <v>1.8836399999999998</v>
      </c>
    </row>
    <row r="20" spans="1:3" ht="15.75" thickBot="1">
      <c r="A20" s="84" t="s">
        <v>1</v>
      </c>
      <c r="B20" s="85" t="s">
        <v>91</v>
      </c>
      <c r="C20" s="69" t="s">
        <v>148</v>
      </c>
    </row>
    <row r="21" spans="1:3" ht="15.75" hidden="1" thickTop="1">
      <c r="A21" s="86" t="s">
        <v>46</v>
      </c>
      <c r="B21" s="87">
        <v>8.9957840000000004</v>
      </c>
      <c r="C21" s="88">
        <v>10.43510944</v>
      </c>
    </row>
    <row r="22" spans="1:3" ht="15.75" hidden="1" thickTop="1">
      <c r="A22" s="89" t="s">
        <v>47</v>
      </c>
      <c r="B22" s="90">
        <v>6.7317799999999997</v>
      </c>
      <c r="C22" s="91">
        <v>7.8088647999999994</v>
      </c>
    </row>
    <row r="23" spans="1:3" ht="15.75" hidden="1" thickTop="1">
      <c r="A23" s="86" t="s">
        <v>48</v>
      </c>
      <c r="B23" s="87">
        <v>5.7457799999999999</v>
      </c>
      <c r="C23" s="88">
        <v>6.6651047999999991</v>
      </c>
    </row>
    <row r="24" spans="1:3" ht="15.75" thickTop="1">
      <c r="A24" s="89" t="s">
        <v>0</v>
      </c>
      <c r="B24" s="90">
        <v>3.5997120000000002</v>
      </c>
      <c r="C24" s="91">
        <v>4.1756659200000001</v>
      </c>
    </row>
    <row r="25" spans="1:3">
      <c r="A25" s="86" t="s">
        <v>43</v>
      </c>
      <c r="B25" s="87">
        <v>3.9168720000000006</v>
      </c>
      <c r="C25" s="88">
        <v>4.5435715200000004</v>
      </c>
    </row>
    <row r="26" spans="1:3">
      <c r="A26" s="89" t="s">
        <v>44</v>
      </c>
      <c r="B26" s="90">
        <v>3.5207980000000005</v>
      </c>
      <c r="C26" s="91">
        <v>4.0841256800000005</v>
      </c>
    </row>
    <row r="27" spans="1:3">
      <c r="A27" s="86" t="s">
        <v>45</v>
      </c>
      <c r="B27" s="87">
        <v>3.805774</v>
      </c>
      <c r="C27" s="88">
        <v>4.4146978399999997</v>
      </c>
    </row>
    <row r="28" spans="1:3">
      <c r="A28" s="89" t="s">
        <v>179</v>
      </c>
      <c r="B28" s="90">
        <v>2.8999779999999995</v>
      </c>
      <c r="C28" s="91">
        <v>3.3639744799999991</v>
      </c>
    </row>
    <row r="29" spans="1:3">
      <c r="A29" s="86" t="s">
        <v>51</v>
      </c>
      <c r="B29" s="87">
        <v>3.1789779999999994</v>
      </c>
      <c r="C29" s="88">
        <v>3.6876144799999993</v>
      </c>
    </row>
    <row r="32" spans="1:3" ht="15.75" thickBot="1">
      <c r="A32" s="94" t="s">
        <v>267</v>
      </c>
      <c r="B32" s="94" t="s">
        <v>3</v>
      </c>
      <c r="C32" s="94" t="s">
        <v>268</v>
      </c>
    </row>
    <row r="33" spans="1:3" ht="15.75" thickTop="1">
      <c r="A33" s="996" t="s">
        <v>0</v>
      </c>
      <c r="B33" t="s">
        <v>10</v>
      </c>
      <c r="C33" s="92">
        <f>C4/$B$24</f>
        <v>6.7338720430967794E-2</v>
      </c>
    </row>
    <row r="34" spans="1:3" ht="15.75" thickBot="1">
      <c r="A34" s="997"/>
      <c r="B34" s="71" t="s">
        <v>11</v>
      </c>
      <c r="C34" s="93">
        <f>C5/$B$24</f>
        <v>6.5338560418166779E-3</v>
      </c>
    </row>
    <row r="35" spans="1:3" ht="15.75" thickTop="1">
      <c r="A35" s="996" t="s">
        <v>43</v>
      </c>
      <c r="B35" t="s">
        <v>10</v>
      </c>
      <c r="C35" s="92">
        <f>C6/$B$25</f>
        <v>6.1886117289510593E-2</v>
      </c>
    </row>
    <row r="36" spans="1:3" ht="15.75" thickBot="1">
      <c r="A36" s="997"/>
      <c r="B36" s="71" t="s">
        <v>11</v>
      </c>
      <c r="C36" s="93">
        <f>C7/$B$25</f>
        <v>2.4019166314344708E-2</v>
      </c>
    </row>
    <row r="37" spans="1:3" ht="15.75" thickTop="1">
      <c r="A37" s="996" t="s">
        <v>44</v>
      </c>
      <c r="B37" t="s">
        <v>10</v>
      </c>
      <c r="C37" s="92">
        <f>C8/$B$26</f>
        <v>6.8848028202697212E-2</v>
      </c>
    </row>
    <row r="38" spans="1:3" ht="15.75" thickBot="1">
      <c r="A38" s="997"/>
      <c r="B38" s="71" t="s">
        <v>11</v>
      </c>
      <c r="C38" s="93">
        <f>C9/$B$26</f>
        <v>1.670075931649586E-2</v>
      </c>
    </row>
    <row r="39" spans="1:3" ht="15.75" thickTop="1">
      <c r="A39" s="996" t="s">
        <v>45</v>
      </c>
      <c r="B39" t="s">
        <v>10</v>
      </c>
      <c r="C39" s="92">
        <f>C10/$B$27</f>
        <v>6.3692694311327985E-2</v>
      </c>
    </row>
    <row r="40" spans="1:3" ht="15.75" thickBot="1">
      <c r="A40" s="997"/>
      <c r="B40" s="71" t="s">
        <v>11</v>
      </c>
      <c r="C40" s="93">
        <f>C11/$B$27</f>
        <v>3.0900416052030415E-2</v>
      </c>
    </row>
    <row r="41" spans="1:3" ht="15.75" thickTop="1">
      <c r="A41" s="996" t="s">
        <v>179</v>
      </c>
      <c r="B41" t="s">
        <v>10</v>
      </c>
      <c r="C41" s="92">
        <f>C12/$B$28</f>
        <v>8.3586841003621418E-2</v>
      </c>
    </row>
    <row r="42" spans="1:3" ht="15.75" thickBot="1">
      <c r="A42" s="997"/>
      <c r="B42" s="71" t="s">
        <v>11</v>
      </c>
      <c r="C42" s="93">
        <f>C13/$B$28</f>
        <v>2.331741827006964E-2</v>
      </c>
    </row>
    <row r="43" spans="1:3" ht="15.75" thickTop="1">
      <c r="A43" s="996" t="s">
        <v>51</v>
      </c>
      <c r="B43" t="s">
        <v>10</v>
      </c>
      <c r="C43" s="92">
        <f>C14/$B$29</f>
        <v>7.6250920893444374E-2</v>
      </c>
    </row>
    <row r="44" spans="1:3" ht="15.75" thickBot="1">
      <c r="A44" s="997"/>
      <c r="B44" s="71" t="s">
        <v>11</v>
      </c>
      <c r="C44" s="93">
        <f>C15/$B$29</f>
        <v>2.1270987090819756E-2</v>
      </c>
    </row>
    <row r="45" spans="1:3" ht="15.75" thickTop="1"/>
  </sheetData>
  <autoFilter ref="A20:C29" xr:uid="{101A9D2E-48CB-4777-A334-B571AB6F672D}">
    <filterColumn colId="0">
      <filters>
        <filter val="TIPA 302FG"/>
        <filter val="TIPA 302FG W"/>
        <filter val="TIPA 306M"/>
        <filter val="TIPA 306W"/>
        <filter val="TIPA 312 MFG"/>
        <filter val="TIPA 312MFGW"/>
      </filters>
    </filterColumn>
  </autoFilter>
  <mergeCells count="6">
    <mergeCell ref="A43:A44"/>
    <mergeCell ref="A33:A34"/>
    <mergeCell ref="A35:A36"/>
    <mergeCell ref="A37:A38"/>
    <mergeCell ref="A39:A40"/>
    <mergeCell ref="A41:A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1020-EF36-4135-A99F-19D7E8CC0D43}">
  <sheetPr>
    <tabColor rgb="FF00B0F0"/>
  </sheetPr>
  <dimension ref="A1:AB77"/>
  <sheetViews>
    <sheetView zoomScale="85" zoomScaleNormal="85" workbookViewId="0">
      <pane xSplit="3" ySplit="2" topLeftCell="I29" activePane="bottomRight" state="frozen"/>
      <selection activeCell="F28" sqref="F28"/>
      <selection pane="topRight" activeCell="F28" sqref="F28"/>
      <selection pane="bottomLeft" activeCell="F28" sqref="F28"/>
      <selection pane="bottomRight" activeCell="Q11" sqref="Q11"/>
    </sheetView>
  </sheetViews>
  <sheetFormatPr defaultRowHeight="15"/>
  <cols>
    <col min="1" max="1" width="22.42578125" customWidth="1"/>
    <col min="2" max="2" width="30.42578125" customWidth="1"/>
    <col min="3" max="3" width="25.5703125" customWidth="1"/>
    <col min="4" max="4" width="17.85546875" customWidth="1"/>
    <col min="5" max="5" width="9.42578125" bestFit="1" customWidth="1"/>
    <col min="6" max="6" width="9.42578125" customWidth="1"/>
    <col min="8" max="8" width="32.140625" bestFit="1" customWidth="1"/>
    <col min="9" max="9" width="15.28515625" customWidth="1"/>
    <col min="10" max="10" width="15" customWidth="1"/>
    <col min="11" max="11" width="20.5703125" customWidth="1"/>
    <col min="12" max="12" width="26.140625" customWidth="1"/>
    <col min="13" max="13" width="12.42578125" bestFit="1" customWidth="1"/>
    <col min="14" max="14" width="11.85546875" bestFit="1" customWidth="1"/>
    <col min="15" max="15" width="11.42578125" bestFit="1" customWidth="1"/>
    <col min="16" max="16" width="26" bestFit="1" customWidth="1"/>
    <col min="17" max="17" width="14.5703125" bestFit="1" customWidth="1"/>
    <col min="18" max="18" width="11.42578125" bestFit="1" customWidth="1"/>
    <col min="19" max="19" width="10.5703125" customWidth="1"/>
    <col min="20" max="20" width="12.5703125" bestFit="1" customWidth="1"/>
    <col min="21" max="21" width="13.85546875" customWidth="1"/>
    <col min="22" max="22" width="14.5703125" bestFit="1" customWidth="1"/>
    <col min="23" max="23" width="9.5703125" bestFit="1" customWidth="1"/>
    <col min="25" max="25" width="13.5703125" customWidth="1"/>
    <col min="26" max="26" width="18.42578125" bestFit="1" customWidth="1"/>
    <col min="27" max="27" width="12.5703125" bestFit="1" customWidth="1"/>
    <col min="31" max="31" width="14.85546875" customWidth="1"/>
    <col min="32" max="32" width="16.28515625" customWidth="1"/>
    <col min="33" max="33" width="14.42578125" customWidth="1"/>
    <col min="34" max="34" width="18" customWidth="1"/>
  </cols>
  <sheetData>
    <row r="1" spans="1:28" ht="16.5" thickBot="1">
      <c r="A1" s="255"/>
      <c r="B1" s="256" t="s">
        <v>852</v>
      </c>
      <c r="C1" s="257" t="s">
        <v>853</v>
      </c>
      <c r="D1" s="255"/>
      <c r="E1" s="258" t="s">
        <v>854</v>
      </c>
      <c r="F1" s="258"/>
      <c r="G1" s="259" t="str">
        <f>C38</f>
        <v>Ml</v>
      </c>
      <c r="H1" s="260">
        <f>C39</f>
        <v>50000</v>
      </c>
      <c r="I1" s="258"/>
      <c r="J1" s="258"/>
      <c r="K1" s="255"/>
      <c r="L1" s="258"/>
      <c r="M1" s="255"/>
      <c r="N1" s="258"/>
      <c r="O1" s="255"/>
      <c r="P1" s="258"/>
      <c r="Q1" s="255"/>
      <c r="R1" s="258"/>
      <c r="S1" s="258"/>
      <c r="T1" s="255"/>
      <c r="U1" s="258"/>
      <c r="V1" s="255"/>
      <c r="W1" s="255"/>
      <c r="X1" s="255"/>
      <c r="Y1" s="255"/>
      <c r="Z1" s="255"/>
      <c r="AA1" s="255"/>
    </row>
    <row r="2" spans="1:28" ht="48" thickBot="1">
      <c r="A2" s="261" t="s">
        <v>158</v>
      </c>
      <c r="B2" s="261" t="s">
        <v>855</v>
      </c>
      <c r="C2" s="262" t="s">
        <v>159</v>
      </c>
      <c r="D2" s="262" t="s">
        <v>856</v>
      </c>
      <c r="E2" s="262" t="s">
        <v>160</v>
      </c>
      <c r="F2" s="262" t="s">
        <v>857</v>
      </c>
      <c r="G2" s="261" t="s">
        <v>858</v>
      </c>
      <c r="H2" s="262" t="s">
        <v>161</v>
      </c>
      <c r="I2" s="262" t="s">
        <v>162</v>
      </c>
      <c r="J2" s="262" t="s">
        <v>859</v>
      </c>
      <c r="K2" s="262" t="s">
        <v>163</v>
      </c>
      <c r="L2" s="262" t="s">
        <v>164</v>
      </c>
      <c r="M2" s="261" t="s">
        <v>57</v>
      </c>
      <c r="N2" s="262" t="s">
        <v>165</v>
      </c>
      <c r="O2" s="262" t="s">
        <v>166</v>
      </c>
      <c r="P2" s="262" t="s">
        <v>860</v>
      </c>
      <c r="Q2" s="263" t="s">
        <v>167</v>
      </c>
      <c r="R2" s="263" t="s">
        <v>861</v>
      </c>
      <c r="S2" s="263"/>
      <c r="T2" s="263" t="s">
        <v>862</v>
      </c>
      <c r="U2" s="255"/>
      <c r="W2" s="255" t="s">
        <v>863</v>
      </c>
      <c r="X2" s="255" t="s">
        <v>864</v>
      </c>
      <c r="Y2" s="255"/>
      <c r="Z2" s="255"/>
      <c r="AA2" s="255"/>
      <c r="AB2" s="255" t="s">
        <v>865</v>
      </c>
    </row>
    <row r="3" spans="1:28" ht="24.95" customHeight="1" thickBot="1">
      <c r="A3" s="1001">
        <f>IF(C36="Laminate607",607,IF(C36="Laminate608",608,IF(C36="Laminate418",418,IF(C36="Laminate608W","608W",IF(C36="Laminate106",106,IF(C36="Laminate428",428,IF(C36="Laminate819",819,IF(C36="Laminate823",823,IF(C36="Laminate618",618,"Check")))))))))</f>
        <v>819</v>
      </c>
      <c r="B3" s="264" t="str">
        <f>IF(C3&lt;&gt;"","A","")</f>
        <v>A</v>
      </c>
      <c r="C3" s="265" t="str">
        <f>IF(C36="Laminate608W","Tipa302WFG",IF(C36="Laminate418","Tipa312Met",IF(C36="Laminate428","Tipa312Met",IF(C36="Laminate823","Tipa312Met","Tipa302FG"))))</f>
        <v>Tipa302FG</v>
      </c>
      <c r="D3" s="1004">
        <f>IF(G1="Impression",B14,B18)</f>
        <v>260</v>
      </c>
      <c r="E3" s="1007">
        <f>IF(OR(A3&lt;&gt;"608W",A3&lt;&gt;608),IF((K4-29)/D3&gt;6,D3*6,IF((K4-29)/D3&gt;5,D3*5,IF((K4-29)/D3&gt;4,D3*4,IF((K4-29)/D3&gt;3,D3*3,IF((K4-29)/D3&gt;2,D3*2,D3))))),MAX(750,IF((K4-29)/D3&gt;6,D3*6,IF((K4-29)/D3&gt;5,D3*5,IF((K4-29)/D3&gt;4,D3*4,IF((K4-29)/D3&gt;3,D3*3,IF((K4-29)/D3&gt;2,D3*2,D3)))))))</f>
        <v>1040</v>
      </c>
      <c r="F3" s="1010" t="str">
        <f>IF(G1="Impression",B15,"")</f>
        <v/>
      </c>
      <c r="G3" s="1013" t="str">
        <f>C37</f>
        <v>FG</v>
      </c>
      <c r="H3" s="998">
        <f>IF(G1="Ml",H1,IF(G1="KG",(1/N8*ROUNDDOWN((K8-30)/D3,0))*H1,H1*F3/1000))</f>
        <v>50000</v>
      </c>
      <c r="I3" s="1013" t="str">
        <f>C43</f>
        <v>PR</v>
      </c>
      <c r="J3" s="1013" t="str">
        <f>C44</f>
        <v>5 to 8</v>
      </c>
      <c r="K3" s="266">
        <f>IF(OR(A3="608W",A3=608),E3+40*2,E3+50)</f>
        <v>1090</v>
      </c>
      <c r="L3" s="267">
        <f>IF($AA$4=1,L8-SUM(L4:L5,3),L8-SUM(L4:L5,6))</f>
        <v>25</v>
      </c>
      <c r="M3" s="268">
        <f>VLOOKUP(C3,'[1]List of names'!L:N,3,0)</f>
        <v>1.25</v>
      </c>
      <c r="N3" s="269">
        <f>IF(C3="PAPER",42/1000*$K3/1000,M3*1000*(L3/1000000)*($K3/1000))</f>
        <v>3.4062500000000002E-2</v>
      </c>
      <c r="O3" s="270">
        <f>IF(E3&lt;950,'[1]Film -Summary'!Q35,'[1]Film -Summary'!Q35*1.25)</f>
        <v>10.95090611055144</v>
      </c>
      <c r="P3" s="271">
        <f>VLOOKUP(C3,'[1]List of names'!$L$2:$M$10,2,FALSE)+Q32</f>
        <v>0.2</v>
      </c>
      <c r="Q3" s="272">
        <f>N3*(O3+P3)</f>
        <v>0.37982773939065845</v>
      </c>
      <c r="R3" s="273">
        <f>Q3*USD</f>
        <v>0.41781051332972435</v>
      </c>
      <c r="S3" s="273"/>
      <c r="T3" s="272">
        <f>(O3+P3)*N3/$N$8</f>
        <v>3.1289020019281</v>
      </c>
      <c r="U3" s="255"/>
      <c r="W3" s="274">
        <f>Y3/X3</f>
        <v>0.14440320000000001</v>
      </c>
      <c r="X3" s="275">
        <f>IF(OR(A3="608W",A3=608),1/N8,1/N4)</f>
        <v>27.700217169702608</v>
      </c>
      <c r="Y3" s="276">
        <f>IF(OR(A3="608W",A3=608),Y11*Y10,IF(J3="1 to 4",Y7,Y8))</f>
        <v>4</v>
      </c>
      <c r="Z3" s="255" t="s">
        <v>866</v>
      </c>
      <c r="AA3" t="s">
        <v>867</v>
      </c>
      <c r="AB3" t="s">
        <v>868</v>
      </c>
    </row>
    <row r="4" spans="1:28" ht="30.6" customHeight="1">
      <c r="A4" s="1002"/>
      <c r="B4" s="277" t="str">
        <f>IF(C4&lt;&gt;"","B","")</f>
        <v>B</v>
      </c>
      <c r="C4" s="278" t="str">
        <f>VLOOKUP(A3,'[1]List of names'!$F$2:$G$11,2,0)</f>
        <v>NKR</v>
      </c>
      <c r="D4" s="1005"/>
      <c r="E4" s="1008"/>
      <c r="F4" s="1011"/>
      <c r="G4" s="1014"/>
      <c r="H4" s="999"/>
      <c r="I4" s="1014"/>
      <c r="J4" s="1014"/>
      <c r="K4" s="266">
        <f>IF(D3&lt;300,D3*4+50,IF(D3&lt;400,D3*3+50,IF(D3&lt;600,D3*2+50,D3+50)))</f>
        <v>1090</v>
      </c>
      <c r="L4" s="279" cm="1">
        <f t="array" ref="L4">IF(C4="NKR",23,IF(C4="NKME",20,IF(C4="Tipa312Met",25,NA)))</f>
        <v>23</v>
      </c>
      <c r="M4" s="268">
        <f>VLOOKUP(C4,'[1]List of names'!L:N,3,0)</f>
        <v>1.44</v>
      </c>
      <c r="N4" s="280">
        <f>IF(C4="PAPER",42/1000*$K4/1000,M4*1000*(L4/1000000)*($K4/1000))</f>
        <v>3.6100800000000002E-2</v>
      </c>
      <c r="O4" s="281">
        <f>VLOOKUP(C4,'[1]Raw material summary'!$I$10:$K$16,IF($K$3&lt;900,2,3),0)</f>
        <v>7.95</v>
      </c>
      <c r="P4" s="271">
        <f>VLOOKUP(C4,'[1]List of names'!$L$2:$M$7,2,FALSE)+Q32</f>
        <v>0.35</v>
      </c>
      <c r="Q4" s="282">
        <f>N4*(O4+P4)</f>
        <v>0.29963664000000007</v>
      </c>
      <c r="R4" s="283">
        <f>Q4*USD</f>
        <v>0.32960030400000012</v>
      </c>
      <c r="S4" s="283"/>
      <c r="T4" s="282">
        <f>(O4+P4)*N4/$N$8</f>
        <v>2.4683128311035292</v>
      </c>
      <c r="U4" s="284"/>
      <c r="W4" s="285">
        <f>Y4/X4</f>
        <v>0.29134391999999998</v>
      </c>
      <c r="X4" s="284">
        <f>1/N8</f>
        <v>8.2376869234134009</v>
      </c>
      <c r="Y4" s="276">
        <f>IF(OR(A3=608,A3="608W"),AA4*Y12*Y10,Y12*AA4*Y10)</f>
        <v>2.4</v>
      </c>
      <c r="Z4" s="255" t="s">
        <v>869</v>
      </c>
      <c r="AA4" s="286">
        <f>IF(OR(A3="608W",A3=608,A3=618,A3=418),1,2)</f>
        <v>2</v>
      </c>
      <c r="AB4">
        <v>2.5</v>
      </c>
    </row>
    <row r="5" spans="1:28" ht="15.6" customHeight="1">
      <c r="A5" s="1002"/>
      <c r="B5" s="277" t="str">
        <f>IF(C5&lt;&gt;"","C","")</f>
        <v>C</v>
      </c>
      <c r="C5" s="287" t="str">
        <f>IF(VLOOKUP(A3,'[1]List of names'!F2:H11,3,FALSE)=0,"",VLOOKUP(A3,'[1]List of names'!F2:H11,3,FALSE))</f>
        <v>Paper</v>
      </c>
      <c r="D5" s="1006"/>
      <c r="E5" s="1009"/>
      <c r="F5" s="1012"/>
      <c r="G5" s="1015"/>
      <c r="H5" s="1000"/>
      <c r="I5" s="1015"/>
      <c r="J5" s="1015"/>
      <c r="K5" s="288">
        <f>IF(D3&lt;300,D3*4+50,IF(D3&lt;400,D3*3+50,IF(D3&lt;600,D3*2+50,D3+50)))</f>
        <v>1090</v>
      </c>
      <c r="L5" s="289">
        <f>IF(C5="","",IF(C5="NKR",23,IF(C5="NKME",20,IF(C5="Paper",67,IF(C5="PBAT",INDEX('[1]List of names'!$F$34:$F$40,MATCH($L$8,'[1]List of names'!$D$34:$D$40,0)),IF(C5="",0,"NA"))))))</f>
        <v>67</v>
      </c>
      <c r="M5" s="290">
        <f>IF(C5="",0,VLOOKUP(C5,'[1]List of names'!L2:N7,3,0))</f>
        <v>1</v>
      </c>
      <c r="N5" s="291">
        <f>IF(C5="","",IF(C5="PAPER",42/1000*$K5/1000,M5*1000*(L5/1000000)*($K5/1000)))</f>
        <v>4.5780000000000001E-2</v>
      </c>
      <c r="O5" s="659">
        <v>1.31</v>
      </c>
      <c r="P5" s="271">
        <f>IF(C5="",0,VLOOKUP(C5,'[1]List of names'!$L$2:$M$7,2,FALSE))</f>
        <v>0.3</v>
      </c>
      <c r="Q5" s="282">
        <f>IF(C5="","",N5*(O5+P5))</f>
        <v>7.3705800000000002E-2</v>
      </c>
      <c r="R5" s="283">
        <f>IF(C5="","",Q5*USD)</f>
        <v>8.1076380000000003E-2</v>
      </c>
      <c r="S5" s="283"/>
      <c r="T5" s="282">
        <f>IF(C5="","",(O5+P5)*N5/$N$8)</f>
        <v>0.60716530483972342</v>
      </c>
      <c r="U5" s="255"/>
      <c r="W5" s="274">
        <f>Y5/X5</f>
        <v>9.1044975E-2</v>
      </c>
      <c r="X5" s="274">
        <f>1/N8</f>
        <v>8.2376869234134009</v>
      </c>
      <c r="Y5" s="255">
        <v>0.75</v>
      </c>
      <c r="Z5" s="255" t="s">
        <v>870</v>
      </c>
    </row>
    <row r="6" spans="1:28" ht="15.75">
      <c r="A6" s="1002"/>
      <c r="B6" s="292"/>
      <c r="C6" s="293" t="s">
        <v>871</v>
      </c>
      <c r="D6" s="293"/>
      <c r="E6" s="293"/>
      <c r="F6" s="293"/>
      <c r="G6" s="294"/>
      <c r="H6" s="294"/>
      <c r="I6" s="294"/>
      <c r="J6" s="294"/>
      <c r="K6" s="294"/>
      <c r="L6" s="294"/>
      <c r="M6" s="295"/>
      <c r="N6" s="296">
        <f>IF(A3=608,0,(K3/1000*0.0025*IF(B5="C",2,1)))</f>
        <v>5.4500000000000009E-3</v>
      </c>
      <c r="O6" s="281">
        <v>4.6500000000000004</v>
      </c>
      <c r="P6" s="271">
        <f>0.2+Q32</f>
        <v>0.2</v>
      </c>
      <c r="Q6" s="282">
        <f>N6*(O6+P6)</f>
        <v>2.6432500000000008E-2</v>
      </c>
      <c r="R6" s="283">
        <f t="shared" ref="R6:R11" si="0">Q6*USD</f>
        <v>2.9075750000000011E-2</v>
      </c>
      <c r="S6" s="283"/>
      <c r="T6" s="282">
        <f>(O6+P6)*N6/$N$8</f>
        <v>0.21774265960312478</v>
      </c>
      <c r="U6" s="297"/>
      <c r="W6" s="274"/>
      <c r="X6" s="255"/>
      <c r="Y6" s="255"/>
      <c r="Z6" s="255"/>
    </row>
    <row r="7" spans="1:28" ht="16.5" thickBot="1">
      <c r="A7" s="1003"/>
      <c r="B7" s="298"/>
      <c r="C7" s="299" t="s">
        <v>872</v>
      </c>
      <c r="D7" s="299"/>
      <c r="E7" s="299"/>
      <c r="F7" s="299"/>
      <c r="G7" s="300"/>
      <c r="H7" s="300"/>
      <c r="I7" s="300"/>
      <c r="J7" s="300"/>
      <c r="K7" s="300"/>
      <c r="L7" s="300"/>
      <c r="M7" s="301"/>
      <c r="N7" s="302"/>
      <c r="O7" s="281"/>
      <c r="P7" s="271"/>
      <c r="Q7" s="303">
        <f>N7*(O7+P7)</f>
        <v>0</v>
      </c>
      <c r="R7" s="304">
        <f t="shared" si="0"/>
        <v>0</v>
      </c>
      <c r="S7" s="304"/>
      <c r="T7" s="303">
        <f>(O7+P7)*N7/$N$8</f>
        <v>0</v>
      </c>
      <c r="U7" s="255"/>
      <c r="W7" s="255"/>
      <c r="X7" s="274"/>
      <c r="Y7" s="274">
        <v>3.5</v>
      </c>
      <c r="Z7" s="255" t="s">
        <v>873</v>
      </c>
    </row>
    <row r="8" spans="1:28" ht="19.5" thickBot="1">
      <c r="A8" s="255">
        <f>A3</f>
        <v>819</v>
      </c>
      <c r="B8" s="39"/>
      <c r="C8" s="39">
        <f>COUNTA(C3:C5)</f>
        <v>3</v>
      </c>
      <c r="D8" s="39"/>
      <c r="E8" s="39">
        <f>COUNTIF(C3:C5,"")</f>
        <v>0</v>
      </c>
      <c r="F8" s="39"/>
      <c r="G8" s="39" t="s">
        <v>874</v>
      </c>
      <c r="H8" s="39">
        <f>H3/(ROUNDDOWN(K3/D3,0))</f>
        <v>12500</v>
      </c>
      <c r="I8" s="305"/>
      <c r="J8" s="305"/>
      <c r="K8" s="306">
        <f>SUMPRODUCT(K3:K5,L3:L5)/IF(AA4=1,($L$8-3),($L$8-6))</f>
        <v>1090</v>
      </c>
      <c r="L8" s="307">
        <f>C45</f>
        <v>121</v>
      </c>
      <c r="M8" s="305"/>
      <c r="N8" s="308">
        <f>SUM(N3:N7)</f>
        <v>0.12139330000000001</v>
      </c>
      <c r="O8" s="305"/>
      <c r="P8" s="309" t="s">
        <v>875</v>
      </c>
      <c r="Q8" s="310">
        <f>SUM(Q3:Q7)</f>
        <v>0.77960267939065853</v>
      </c>
      <c r="R8" s="311">
        <f t="shared" si="0"/>
        <v>0.85756294732972449</v>
      </c>
      <c r="S8" s="311"/>
      <c r="T8" s="310">
        <f>SUM(T3:T7)</f>
        <v>6.4221227974744766</v>
      </c>
      <c r="U8" s="255"/>
      <c r="Y8">
        <v>4</v>
      </c>
      <c r="Z8" s="255" t="s">
        <v>876</v>
      </c>
    </row>
    <row r="9" spans="1:28" ht="16.5" thickBot="1">
      <c r="A9" s="255"/>
      <c r="B9" s="305"/>
      <c r="C9" s="255"/>
      <c r="D9" s="255"/>
      <c r="E9" s="255">
        <f>IF(OR((680-D3*1)&lt;120,AND((680-D3*2)&lt;120,(680-D3*2)&gt;0),AND((680-D3*3)&lt;120,(680-D3*3)&gt;0)),680,0)</f>
        <v>0</v>
      </c>
      <c r="F9" s="255"/>
      <c r="G9" s="305"/>
      <c r="H9" s="305"/>
      <c r="I9" s="305"/>
      <c r="J9" s="305"/>
      <c r="K9" s="305"/>
      <c r="L9">
        <f>K3*L3+K4*L4</f>
        <v>52320</v>
      </c>
      <c r="O9" s="305"/>
      <c r="P9" s="312" t="s">
        <v>269</v>
      </c>
      <c r="Q9" s="313" cm="1">
        <f t="array" ref="Q9">IF(OR(H8="",K8=""),"",IF(K8&gt;1220,"Error! please choose lamination width not higher than 1220",_xlfn.LET(_xlpm.struct,C3:C7,_xlpm.realLayers,SUMPRODUCT(--(_xlpm.struct&lt;&gt;""),--ISERROR(SEARCH("EPOTAL",_xlpm.struct&amp;"")),--ISERROR(SEARCH("BASONAT",_xlpm.struct&amp;"")),--ISERROR(SEARCH("ADH",_xlpm.struct&amp;"")),--ISERROR(SEARCH("HARDENER",_xlpm.struct&amp;""))),_xlpm.lamSteps,MAX(0,_xlpm.realLayers-1),_xlpm.len,H8,_xlpm.colNum,IF(_xlpm.len&lt;3000,1,IF(_xlpm.len&lt;10000,2,IF(_xlpm.len&lt;25000,3,IF(_xlpm.len&lt;50000,4,IF(_xlpm.len&lt;100000,5,IF(_xlpm.len&lt;250000,6,7)))))),_xlpm.widthRow,IF(K8&lt;=990,0,5),_xlpm.baseRate,INDEX('Lmntn &amp; Prntng- Marma &amp; Bastin '!$D$1:$J$22,3+_xlpm.widthRow,_xlpm.colNum),IF(_xlpm.realLayers=0,"",_xlpm.baseRate*_xlpm.lamSteps))))</f>
        <v>0.18306</v>
      </c>
      <c r="R9" s="314">
        <f t="shared" si="0"/>
        <v>0.20136600000000002</v>
      </c>
      <c r="S9" s="315"/>
      <c r="T9" s="316">
        <f>+Y4</f>
        <v>2.4</v>
      </c>
      <c r="U9" s="255"/>
    </row>
    <row r="10" spans="1:28" ht="16.5" thickBot="1">
      <c r="A10" s="255"/>
      <c r="B10" s="317">
        <v>4</v>
      </c>
      <c r="C10" s="318" t="s">
        <v>147</v>
      </c>
      <c r="D10" s="305"/>
      <c r="E10" s="255">
        <f>IF(680-D3*1&lt;120,680,0)</f>
        <v>0</v>
      </c>
      <c r="F10" s="305" t="str">
        <f>IF(C5="NKR",19,IF(C5="NKME",20,IF(C5="",0,"NA")))</f>
        <v>NA</v>
      </c>
      <c r="G10" s="305"/>
      <c r="H10" s="305"/>
      <c r="I10" s="305"/>
      <c r="J10" s="305"/>
      <c r="K10" s="319">
        <f>IF(OR(A3=607,A3=608),'[1]SDR price list'!Y5,'[1]SDR price list'!Y21)</f>
        <v>782</v>
      </c>
      <c r="L10" s="320"/>
      <c r="M10" s="320"/>
      <c r="N10" s="305"/>
      <c r="O10" s="305"/>
      <c r="P10" s="312" t="s">
        <v>800</v>
      </c>
      <c r="Q10" s="321" cm="1">
        <f t="array" ref="Q10">IF(OR(H8="",K8=""),"",IF(K8&gt;1220,"Error! please choose lamination width not higher than 1220",_xlfn.LET(_xlpm.len,H8,_xlpm.colNum,IF(_xlpm.len&lt;3000,1,IF(_xlpm.len&lt;10000,2,IF(_xlpm.len&lt;25000,3,IF(_xlpm.len&lt;50000,4,IF(_xlpm.len&lt;100000,5,IF(_xlpm.len&lt;250000,6,7)))))),_xlpm.widthRow,IF(K8&lt;=990,0,5),INDEX('Lmntn &amp; Prntng- Marma &amp; Bastin '!$D$1:$J$22,7+_xlpm.widthRow,_xlpm.colNum))))</f>
        <v>2.5916666666666668E-2</v>
      </c>
      <c r="R10" s="314">
        <f t="shared" ref="R10" si="1">Q10*USD</f>
        <v>2.8508333333333337E-2</v>
      </c>
      <c r="S10" s="315"/>
      <c r="T10" s="322">
        <f>Y5</f>
        <v>0.75</v>
      </c>
      <c r="U10" s="255"/>
      <c r="Y10">
        <f>IF(L19&lt;300,2,IF(L19&lt;750,1.75,IF(L19&lt;1500,1.5,1)))</f>
        <v>1</v>
      </c>
      <c r="Z10" t="s">
        <v>877</v>
      </c>
      <c r="AB10" s="255"/>
    </row>
    <row r="11" spans="1:28" ht="16.5" thickBot="1">
      <c r="A11" s="255"/>
      <c r="B11" s="317">
        <v>3.6</v>
      </c>
      <c r="C11" s="318" t="s">
        <v>270</v>
      </c>
      <c r="D11" s="305"/>
      <c r="E11" s="305"/>
      <c r="F11" s="305"/>
      <c r="G11" s="305"/>
      <c r="I11" s="305"/>
      <c r="J11" s="305"/>
      <c r="K11" s="305"/>
      <c r="M11" s="320"/>
      <c r="N11" s="323"/>
      <c r="O11" s="305"/>
      <c r="P11" s="312" t="s">
        <v>271</v>
      </c>
      <c r="Q11" s="324">
        <v>0.16900000000000001</v>
      </c>
      <c r="R11" s="314">
        <f t="shared" si="0"/>
        <v>0.18590000000000004</v>
      </c>
      <c r="S11" s="315"/>
      <c r="T11" s="322">
        <f>IF(I3="PR",Y3*N4/N8,0)</f>
        <v>1.18954835233905</v>
      </c>
      <c r="U11" s="255"/>
      <c r="Y11" s="325">
        <v>2.5</v>
      </c>
      <c r="Z11" s="325" t="s">
        <v>878</v>
      </c>
      <c r="AA11" s="326" t="s">
        <v>879</v>
      </c>
      <c r="AB11" s="255"/>
    </row>
    <row r="12" spans="1:28" ht="16.5" thickBot="1">
      <c r="A12" s="255"/>
      <c r="B12" s="255"/>
      <c r="D12" t="e">
        <f>IF(C36=OR("Laminate418","Laminate428","Laminate823"),"Tipa312Met")</f>
        <v>#VALUE!</v>
      </c>
      <c r="G12" s="305"/>
      <c r="I12" s="327"/>
      <c r="J12" s="327"/>
      <c r="K12" s="305"/>
      <c r="L12" s="305"/>
      <c r="M12" s="305"/>
      <c r="N12" s="323">
        <f>100*N8</f>
        <v>12.139330000000001</v>
      </c>
      <c r="O12" s="305"/>
      <c r="P12" s="328" t="s">
        <v>880</v>
      </c>
      <c r="Q12" s="329">
        <f>SUM(Q8:Q11)</f>
        <v>1.1575793460573252</v>
      </c>
      <c r="R12" s="330">
        <f>SUM(R8:R11)</f>
        <v>1.2733372806630578</v>
      </c>
      <c r="S12" s="330"/>
      <c r="T12" s="329">
        <f>SUM(T8:T11)</f>
        <v>10.761671149813527</v>
      </c>
      <c r="U12" s="255"/>
      <c r="Y12" s="325">
        <v>1.2</v>
      </c>
      <c r="Z12" s="325" t="s">
        <v>881</v>
      </c>
      <c r="AA12" s="326"/>
      <c r="AB12" s="255"/>
    </row>
    <row r="13" spans="1:28" ht="19.5" thickBot="1">
      <c r="A13" s="331" t="s">
        <v>882</v>
      </c>
      <c r="B13" s="332"/>
      <c r="C13" s="333"/>
      <c r="D13" s="333"/>
      <c r="E13" s="333"/>
      <c r="F13" s="333"/>
      <c r="G13" s="334"/>
      <c r="H13" s="305" t="s">
        <v>883</v>
      </c>
      <c r="I13" s="1017" t="s">
        <v>884</v>
      </c>
      <c r="J13" s="335"/>
      <c r="K13" s="336" t="s">
        <v>885</v>
      </c>
      <c r="L13" s="337">
        <f>$Q13/ROUNDDOWN((K8-30)/D3,0)</f>
        <v>0.30660086093840366</v>
      </c>
      <c r="M13" s="338">
        <f>L13*$B$10/$B$11</f>
        <v>0.34066762326489297</v>
      </c>
      <c r="O13" s="305"/>
      <c r="P13" s="339" t="s">
        <v>886</v>
      </c>
      <c r="Q13" s="340">
        <f>Q8*(1+Q17)+SUM(Q9:Q11)</f>
        <v>1.2264034437536147</v>
      </c>
      <c r="R13" s="341">
        <f>R12*(1.1)</f>
        <v>1.4006710087293637</v>
      </c>
      <c r="S13" s="342"/>
      <c r="T13" s="340">
        <f>T8*(1+Q17)+SUM(T9:T11)</f>
        <v>11.328622519421977</v>
      </c>
      <c r="U13" s="305"/>
      <c r="AB13" s="305"/>
    </row>
    <row r="14" spans="1:28" ht="19.5" thickBot="1">
      <c r="A14" s="305" t="s">
        <v>204</v>
      </c>
      <c r="B14" s="343">
        <f>C40</f>
        <v>260</v>
      </c>
      <c r="C14" s="331" t="s">
        <v>887</v>
      </c>
      <c r="D14" s="305"/>
      <c r="E14" s="305"/>
      <c r="F14" s="305"/>
      <c r="G14" s="305"/>
      <c r="H14" s="344">
        <v>0.15</v>
      </c>
      <c r="I14" s="1018"/>
      <c r="J14" s="345"/>
      <c r="K14" s="346" t="s">
        <v>888</v>
      </c>
      <c r="L14" s="347">
        <f>$L13*$L22*K8/E3</f>
        <v>10.588435669680541</v>
      </c>
      <c r="M14" s="338">
        <f>L14*$B$10/$B$11</f>
        <v>11.764928521867267</v>
      </c>
      <c r="O14" s="305"/>
      <c r="R14" s="305"/>
      <c r="S14" s="305"/>
      <c r="T14" s="348">
        <f>T13*(K8/E3)</f>
        <v>11.873267832855726</v>
      </c>
      <c r="U14" s="305"/>
      <c r="AB14" s="305"/>
    </row>
    <row r="15" spans="1:28" ht="19.5" thickBot="1">
      <c r="A15" s="305" t="s">
        <v>889</v>
      </c>
      <c r="B15" s="343">
        <v>110</v>
      </c>
      <c r="C15" s="331" t="s">
        <v>890</v>
      </c>
      <c r="D15" s="305"/>
      <c r="E15" s="305"/>
      <c r="F15" s="305"/>
      <c r="G15" s="334"/>
      <c r="H15" s="255"/>
      <c r="I15" s="1017" t="s">
        <v>891</v>
      </c>
      <c r="J15" s="335"/>
      <c r="K15" s="349" t="s">
        <v>892</v>
      </c>
      <c r="L15" s="350">
        <f>$L13/(1-$H14)</f>
        <v>0.36070689522165139</v>
      </c>
      <c r="M15" s="338">
        <f>L15*$B$10/$B$11</f>
        <v>0.40078543913516818</v>
      </c>
      <c r="N15" s="255"/>
      <c r="O15" s="255"/>
      <c r="Q15" s="351"/>
      <c r="R15" s="255"/>
      <c r="S15" s="255"/>
      <c r="T15" s="255"/>
      <c r="U15" s="255"/>
      <c r="X15" t="s">
        <v>893</v>
      </c>
      <c r="Y15" s="255" t="s">
        <v>68</v>
      </c>
      <c r="AB15" s="255"/>
    </row>
    <row r="16" spans="1:28" ht="19.5" thickBot="1">
      <c r="A16" s="255"/>
      <c r="B16" s="255"/>
      <c r="C16" s="255"/>
      <c r="D16" s="255"/>
      <c r="E16" s="255"/>
      <c r="F16" s="255"/>
      <c r="G16" s="255"/>
      <c r="H16" s="255"/>
      <c r="I16" s="1018"/>
      <c r="J16" s="345"/>
      <c r="K16" s="352" t="s">
        <v>894</v>
      </c>
      <c r="L16" s="353">
        <f>L14/(1-H14)</f>
        <v>12.456983140800636</v>
      </c>
      <c r="M16" s="338">
        <f>L16*$B$10/$B$11</f>
        <v>13.841092378667373</v>
      </c>
      <c r="N16" s="255"/>
      <c r="O16" s="255"/>
      <c r="P16" s="305"/>
      <c r="Q16" s="255"/>
      <c r="R16" s="255"/>
      <c r="S16" s="255"/>
      <c r="T16" s="354">
        <f>T8/T12</f>
        <v>0.59675887769398683</v>
      </c>
      <c r="X16" s="355">
        <f>$H$8*N3</f>
        <v>425.78125000000006</v>
      </c>
      <c r="Y16" s="356">
        <f>X16*(O3+P3)</f>
        <v>4747.8467423832308</v>
      </c>
      <c r="AB16" s="357" t="s">
        <v>895</v>
      </c>
    </row>
    <row r="17" spans="1:28">
      <c r="A17" s="255" t="s">
        <v>896</v>
      </c>
      <c r="B17" s="255"/>
      <c r="C17" s="255"/>
      <c r="D17" s="255"/>
      <c r="E17" s="255"/>
      <c r="F17" s="255"/>
      <c r="G17" s="255"/>
      <c r="H17" s="255"/>
      <c r="I17" s="255"/>
      <c r="J17" s="255"/>
      <c r="K17" s="255"/>
      <c r="L17" s="255"/>
      <c r="M17" s="255"/>
      <c r="N17" s="255"/>
      <c r="O17" s="255"/>
      <c r="P17" s="358" t="s">
        <v>897</v>
      </c>
      <c r="Q17" s="359">
        <f>IF(A3=607,(D24*L4/L8+D23+D27*H8)/H8,(D24*L4/L8+D23+D22*0.8+D27*H8)/H8)</f>
        <v>8.828099173553719E-2</v>
      </c>
      <c r="R17" s="255"/>
      <c r="S17" s="255"/>
      <c r="T17" s="255"/>
      <c r="X17" s="355">
        <f>$H$8*N4</f>
        <v>451.26000000000005</v>
      </c>
      <c r="Y17" s="356">
        <f>X17*(O4+P4)</f>
        <v>3745.4580000000005</v>
      </c>
      <c r="AB17" s="255"/>
    </row>
    <row r="18" spans="1:28">
      <c r="A18" s="305" t="s">
        <v>204</v>
      </c>
      <c r="B18" s="343">
        <f>C40</f>
        <v>260</v>
      </c>
      <c r="C18" s="331" t="s">
        <v>898</v>
      </c>
      <c r="D18" s="305"/>
      <c r="E18" s="305"/>
      <c r="F18" s="305"/>
      <c r="G18" s="305"/>
      <c r="H18" s="305"/>
      <c r="I18" s="305"/>
      <c r="J18" s="305"/>
      <c r="K18" t="s">
        <v>899</v>
      </c>
      <c r="L18" s="95">
        <f>L19*L4/L8</f>
        <v>288.43449380165293</v>
      </c>
      <c r="M18" s="360"/>
      <c r="N18" s="305"/>
      <c r="O18" s="305"/>
      <c r="P18" s="358" t="s">
        <v>900</v>
      </c>
      <c r="Q18" s="361">
        <f>IF(C5="",(D23+D27*H8)/H8,(D23+D22*0.8+D27*H8)/H8)</f>
        <v>8.5999999999999993E-2</v>
      </c>
      <c r="R18" s="255"/>
      <c r="S18" s="255"/>
      <c r="T18" s="255"/>
      <c r="X18" s="355">
        <f>$H$8*N5</f>
        <v>572.25</v>
      </c>
      <c r="Y18" s="356">
        <f>X18*(O5+P5)</f>
        <v>921.3225000000001</v>
      </c>
      <c r="AB18" s="255"/>
    </row>
    <row r="19" spans="1:28">
      <c r="A19" s="305" t="s">
        <v>889</v>
      </c>
      <c r="B19" s="362">
        <f>C42</f>
        <v>0</v>
      </c>
      <c r="C19" s="331" t="s">
        <v>901</v>
      </c>
      <c r="D19" s="305"/>
      <c r="E19" s="305"/>
      <c r="F19" s="305"/>
      <c r="G19" s="305"/>
      <c r="H19" s="305"/>
      <c r="I19" s="305"/>
      <c r="J19" s="305"/>
      <c r="K19" s="363" t="s">
        <v>902</v>
      </c>
      <c r="L19" s="364">
        <f>N8/ROUNDDOWN((K8-29)/D3,0)*H3</f>
        <v>1517.4162500000002</v>
      </c>
      <c r="M19" s="365">
        <f>+L19*N3/N8</f>
        <v>425.78125000000006</v>
      </c>
      <c r="N19" s="360"/>
      <c r="O19" s="305"/>
      <c r="Q19" s="361"/>
      <c r="R19" s="255"/>
      <c r="S19" s="255"/>
      <c r="T19" s="255"/>
      <c r="X19" s="355">
        <f>$H$8*N6</f>
        <v>68.125000000000014</v>
      </c>
      <c r="Y19" s="356">
        <f>X19*(O6+P6)</f>
        <v>330.40625000000011</v>
      </c>
      <c r="AB19" s="255"/>
    </row>
    <row r="20" spans="1:28">
      <c r="A20" s="255"/>
      <c r="B20" s="305"/>
      <c r="C20" s="305"/>
      <c r="D20" s="305"/>
      <c r="E20" s="305"/>
      <c r="F20" s="305"/>
      <c r="G20" s="305"/>
      <c r="H20" s="305"/>
      <c r="I20" s="305"/>
      <c r="J20" s="305"/>
      <c r="K20" s="366" t="s">
        <v>903</v>
      </c>
      <c r="L20" s="367">
        <f>N8/ROUNDDOWN(K8/D3,0)*(E3/K8)*H1</f>
        <v>1447.8100000000002</v>
      </c>
      <c r="M20" s="305"/>
      <c r="N20" s="305"/>
      <c r="O20" s="305"/>
      <c r="Q20" s="361"/>
      <c r="R20" s="255"/>
      <c r="S20" s="255"/>
      <c r="T20" s="255"/>
      <c r="X20" s="368">
        <f>$H$8*N7</f>
        <v>0</v>
      </c>
      <c r="Y20" s="369">
        <f>X20*O7</f>
        <v>0</v>
      </c>
      <c r="AB20" s="255"/>
    </row>
    <row r="21" spans="1:28">
      <c r="A21" s="370" t="s">
        <v>904</v>
      </c>
      <c r="B21" s="255"/>
      <c r="C21" s="255" t="s">
        <v>905</v>
      </c>
      <c r="D21" s="255" t="s">
        <v>906</v>
      </c>
      <c r="E21" s="255"/>
      <c r="F21" s="305"/>
      <c r="G21" s="305"/>
      <c r="H21" s="305"/>
      <c r="I21" s="305"/>
      <c r="J21" s="305"/>
      <c r="K21" s="371" t="s">
        <v>907</v>
      </c>
      <c r="L21" s="372">
        <f>1/N8</f>
        <v>8.2376869234134009</v>
      </c>
      <c r="M21" s="305"/>
      <c r="N21" s="305"/>
      <c r="O21" s="305"/>
      <c r="P21" s="305"/>
      <c r="Q21" s="255"/>
      <c r="R21" s="255"/>
      <c r="S21" s="255"/>
      <c r="T21" s="255"/>
      <c r="X21" s="355">
        <f>SUM(X16:X20)</f>
        <v>1517.4162500000002</v>
      </c>
      <c r="Y21" s="356">
        <f>SUM(Y16:Y20)</f>
        <v>9745.0334923832324</v>
      </c>
      <c r="AB21" s="255"/>
    </row>
    <row r="22" spans="1:28">
      <c r="A22" s="255" t="s">
        <v>908</v>
      </c>
      <c r="B22" s="373">
        <v>1000</v>
      </c>
      <c r="C22" s="255">
        <v>4</v>
      </c>
      <c r="D22" s="255">
        <f>B22/C22</f>
        <v>250</v>
      </c>
      <c r="E22" s="255"/>
      <c r="F22" s="305"/>
      <c r="G22" s="305"/>
      <c r="H22" s="305"/>
      <c r="I22" s="305"/>
      <c r="J22" s="305"/>
      <c r="K22" s="371" t="s">
        <v>909</v>
      </c>
      <c r="L22" s="374">
        <f>1/N8*ROUNDDOWN(K8/D3,0)</f>
        <v>32.950747693653604</v>
      </c>
      <c r="M22" s="305"/>
      <c r="N22" s="305"/>
      <c r="O22" s="305"/>
      <c r="P22" s="305" t="s">
        <v>910</v>
      </c>
      <c r="Q22" s="305">
        <f>ROUNDDOWN(K3/D3,0)*1000/B15</f>
        <v>36.363636363636367</v>
      </c>
      <c r="R22" s="255"/>
      <c r="S22" s="255"/>
      <c r="T22" s="255"/>
      <c r="X22" s="255" t="s">
        <v>911</v>
      </c>
      <c r="Y22">
        <f>+(K3/E3*T13-T13)*L19</f>
        <v>826.45364909071452</v>
      </c>
      <c r="AB22" s="255"/>
    </row>
    <row r="23" spans="1:28">
      <c r="A23" s="255" t="s">
        <v>912</v>
      </c>
      <c r="B23" s="373">
        <v>1000</v>
      </c>
      <c r="C23" s="255">
        <v>4</v>
      </c>
      <c r="D23" s="255">
        <f>B23/C23</f>
        <v>250</v>
      </c>
      <c r="E23" s="305"/>
      <c r="F23" s="305"/>
      <c r="G23" s="305"/>
      <c r="H23" s="305" t="s">
        <v>913</v>
      </c>
      <c r="I23" s="305"/>
      <c r="J23" s="305"/>
      <c r="K23" s="305"/>
      <c r="L23" s="305"/>
      <c r="M23" s="305"/>
      <c r="N23" s="305"/>
      <c r="O23" s="305"/>
      <c r="P23" s="255" t="s">
        <v>914</v>
      </c>
      <c r="Q23" s="375">
        <f>Q13/Q22</f>
        <v>3.37260947032244E-2</v>
      </c>
      <c r="R23" s="255"/>
      <c r="S23" s="255"/>
      <c r="T23" s="255"/>
      <c r="X23" s="255" t="s">
        <v>915</v>
      </c>
      <c r="Y23" s="356">
        <f>X21*SUM(T9:T11)</f>
        <v>6584.9011875000015</v>
      </c>
      <c r="AB23" s="255"/>
    </row>
    <row r="24" spans="1:28">
      <c r="A24" s="255" t="s">
        <v>916</v>
      </c>
      <c r="B24" s="305">
        <v>1200</v>
      </c>
      <c r="C24" s="305">
        <v>8</v>
      </c>
      <c r="D24" s="255">
        <f>B24/C24</f>
        <v>150</v>
      </c>
      <c r="E24" s="305"/>
      <c r="F24" s="305"/>
      <c r="G24" s="305"/>
      <c r="H24" s="376"/>
      <c r="I24" s="1016" t="s">
        <v>917</v>
      </c>
      <c r="J24" s="1016"/>
      <c r="K24" s="1016" t="s">
        <v>145</v>
      </c>
      <c r="L24" s="1016"/>
      <c r="M24" s="305"/>
      <c r="N24" s="305"/>
      <c r="O24" s="305"/>
      <c r="P24" s="305" t="s">
        <v>918</v>
      </c>
      <c r="Q24" s="378">
        <f>Q23*1.25</f>
        <v>4.2157618379030502E-2</v>
      </c>
      <c r="R24" s="379">
        <f>Q24*1.16</f>
        <v>4.8902837319675381E-2</v>
      </c>
      <c r="S24" s="255"/>
      <c r="T24" s="255"/>
      <c r="X24" s="255" t="s">
        <v>272</v>
      </c>
      <c r="Y24" s="369">
        <f>IF(C43="PR",Y21*Q17,Y21*Q18)</f>
        <v>860.30122120361727</v>
      </c>
      <c r="AB24" s="255"/>
    </row>
    <row r="25" spans="1:28">
      <c r="A25" s="255" t="s">
        <v>919</v>
      </c>
      <c r="B25" s="305">
        <v>50</v>
      </c>
      <c r="C25" s="305" t="s">
        <v>920</v>
      </c>
      <c r="D25" s="305"/>
      <c r="E25" s="305"/>
      <c r="F25" s="305"/>
      <c r="G25" s="305"/>
      <c r="H25" s="380"/>
      <c r="I25" s="380" t="s">
        <v>921</v>
      </c>
      <c r="J25" s="380" t="s">
        <v>922</v>
      </c>
      <c r="K25" s="380" t="s">
        <v>921</v>
      </c>
      <c r="L25" s="380" t="s">
        <v>922</v>
      </c>
      <c r="M25" s="305"/>
      <c r="N25" s="305"/>
      <c r="O25" s="305"/>
      <c r="P25" s="305"/>
      <c r="Q25" s="255"/>
      <c r="R25" s="255"/>
      <c r="S25" s="255"/>
      <c r="T25" s="255"/>
      <c r="X25" t="s">
        <v>68</v>
      </c>
      <c r="Y25" s="356">
        <f>SUM(Y21:Y24)</f>
        <v>18016.689550177562</v>
      </c>
      <c r="AB25" s="255"/>
    </row>
    <row r="26" spans="1:28">
      <c r="A26" s="255" t="s">
        <v>923</v>
      </c>
      <c r="B26" s="305">
        <v>500</v>
      </c>
      <c r="C26" s="305" t="s">
        <v>924</v>
      </c>
      <c r="D26" s="305"/>
      <c r="E26" s="305"/>
      <c r="H26" s="380" t="s">
        <v>925</v>
      </c>
      <c r="I26" s="381">
        <f>L13</f>
        <v>0.30660086093840366</v>
      </c>
      <c r="J26" s="382">
        <f>L15</f>
        <v>0.36070689522165139</v>
      </c>
      <c r="K26" s="383">
        <f>I26*$O$29</f>
        <v>0.35872300729793227</v>
      </c>
      <c r="L26" s="383">
        <f t="shared" ref="L26:L27" si="2">J26*$O$29</f>
        <v>0.4220270674093321</v>
      </c>
      <c r="O26" s="384"/>
      <c r="P26" s="385" t="s">
        <v>926</v>
      </c>
      <c r="Q26" s="386">
        <f>IF(C36="Laminate608",750/N8*(E3/D3),500/N8*(E3/D3))</f>
        <v>16475.373846826802</v>
      </c>
      <c r="X26" t="s">
        <v>927</v>
      </c>
      <c r="Y26" s="356">
        <f>C50</f>
        <v>18035.344761082568</v>
      </c>
    </row>
    <row r="27" spans="1:28">
      <c r="A27" s="255" t="s">
        <v>928</v>
      </c>
      <c r="B27" s="387">
        <v>0.1</v>
      </c>
      <c r="C27" s="305" t="s">
        <v>929</v>
      </c>
      <c r="D27" s="387">
        <v>0.05</v>
      </c>
      <c r="E27" s="387"/>
      <c r="H27" s="377" t="s">
        <v>930</v>
      </c>
      <c r="I27" s="382">
        <f>L14</f>
        <v>10.588435669680541</v>
      </c>
      <c r="J27" s="382">
        <f>L16</f>
        <v>12.456983140800636</v>
      </c>
      <c r="K27" s="383">
        <f t="shared" ref="K27" si="3">I27*$O$29</f>
        <v>12.388469733526232</v>
      </c>
      <c r="L27" s="383">
        <f t="shared" si="2"/>
        <v>14.574670274736743</v>
      </c>
      <c r="X27" s="388" t="s">
        <v>115</v>
      </c>
      <c r="Y27" s="389">
        <f>Y26-Y25</f>
        <v>18.655210905006243</v>
      </c>
    </row>
    <row r="28" spans="1:28">
      <c r="O28" t="s">
        <v>931</v>
      </c>
      <c r="X28" s="390"/>
      <c r="Y28" s="391">
        <f>Y27/Y26</f>
        <v>1.0343695200804395E-3</v>
      </c>
    </row>
    <row r="29" spans="1:28">
      <c r="A29" s="392"/>
      <c r="B29" s="392"/>
      <c r="C29" s="392"/>
      <c r="D29" s="392"/>
      <c r="E29" s="392"/>
      <c r="F29" s="392"/>
      <c r="G29" s="392"/>
      <c r="H29" t="s">
        <v>932</v>
      </c>
      <c r="O29" s="393">
        <v>1.17</v>
      </c>
    </row>
    <row r="30" spans="1:28">
      <c r="A30" s="392"/>
      <c r="B30" s="392"/>
      <c r="C30" s="392"/>
      <c r="D30" s="392"/>
      <c r="E30" s="392"/>
      <c r="F30" s="392"/>
      <c r="G30" s="392"/>
    </row>
    <row r="31" spans="1:28">
      <c r="A31" s="392"/>
      <c r="B31" s="392"/>
      <c r="C31" s="392"/>
      <c r="D31" s="392"/>
      <c r="E31" s="392"/>
      <c r="F31" s="392"/>
      <c r="G31" s="392"/>
      <c r="H31" s="376"/>
      <c r="I31" s="1016" t="s">
        <v>917</v>
      </c>
      <c r="J31" s="1016"/>
      <c r="K31" s="1016" t="s">
        <v>145</v>
      </c>
      <c r="L31" s="1016"/>
    </row>
    <row r="32" spans="1:28" ht="21">
      <c r="A32" s="392"/>
      <c r="B32" s="394" t="s">
        <v>933</v>
      </c>
      <c r="C32" s="395" t="s">
        <v>934</v>
      </c>
      <c r="D32" s="392"/>
      <c r="E32" s="392"/>
      <c r="F32" s="392"/>
      <c r="G32" s="396">
        <f>H14</f>
        <v>0.15</v>
      </c>
      <c r="H32" s="380"/>
      <c r="I32" s="380" t="s">
        <v>921</v>
      </c>
      <c r="J32" s="380" t="s">
        <v>922</v>
      </c>
      <c r="K32" s="380" t="s">
        <v>921</v>
      </c>
      <c r="L32" s="380" t="s">
        <v>922</v>
      </c>
      <c r="P32" t="s">
        <v>935</v>
      </c>
    </row>
    <row r="33" spans="1:15" ht="21">
      <c r="A33" s="392"/>
      <c r="B33" s="394" t="s">
        <v>936</v>
      </c>
      <c r="C33" s="395" t="s">
        <v>937</v>
      </c>
      <c r="D33" s="392"/>
      <c r="E33" s="392"/>
      <c r="F33" s="392"/>
      <c r="G33" s="392"/>
      <c r="H33" s="380" t="s">
        <v>925</v>
      </c>
      <c r="I33" s="381">
        <f>(Q8*(1+Q18)+SUM(Q9:Q11))/ROUNDDOWN((K3-30)/D3,0)</f>
        <v>0.30615629412123047</v>
      </c>
      <c r="J33" s="382">
        <f>I33/(1-$G$32)</f>
        <v>0.36018387543674174</v>
      </c>
      <c r="K33" s="383">
        <f t="shared" ref="K33:L34" si="4">I33*$O$29</f>
        <v>0.3582028641218396</v>
      </c>
      <c r="L33" s="383">
        <f t="shared" si="4"/>
        <v>0.42141513426098781</v>
      </c>
    </row>
    <row r="34" spans="1:15" ht="21">
      <c r="A34" s="392"/>
      <c r="B34" s="394" t="s">
        <v>938</v>
      </c>
      <c r="C34" s="395" t="s">
        <v>939</v>
      </c>
      <c r="D34" s="392"/>
      <c r="E34" s="392"/>
      <c r="F34" s="392"/>
      <c r="G34" s="392"/>
      <c r="H34" s="377" t="s">
        <v>930</v>
      </c>
      <c r="I34" s="382">
        <f>$I33*$L22*K8/E3</f>
        <v>10.5730825909902</v>
      </c>
      <c r="J34" s="382">
        <f>I34/(1-$G$32)</f>
        <v>12.438920695282588</v>
      </c>
      <c r="K34" s="383">
        <f t="shared" si="4"/>
        <v>12.370506631458534</v>
      </c>
      <c r="L34" s="383">
        <f t="shared" si="4"/>
        <v>14.553537213480627</v>
      </c>
    </row>
    <row r="35" spans="1:15" ht="15.75" thickBot="1">
      <c r="A35" s="392"/>
      <c r="B35" s="392"/>
      <c r="C35" s="392"/>
      <c r="D35" s="392"/>
      <c r="E35" s="392"/>
      <c r="F35" s="392"/>
      <c r="G35" s="392"/>
    </row>
    <row r="36" spans="1:15" ht="18.75" customHeight="1">
      <c r="A36" s="392"/>
      <c r="B36" s="397" t="s">
        <v>940</v>
      </c>
      <c r="C36" s="398" t="s">
        <v>1029</v>
      </c>
      <c r="D36" s="392"/>
      <c r="E36" s="392"/>
      <c r="F36" s="392"/>
      <c r="G36" s="392"/>
      <c r="I36" s="351">
        <f>I33*800</f>
        <v>244.92503529698436</v>
      </c>
    </row>
    <row r="37" spans="1:15" ht="18.75" customHeight="1">
      <c r="A37" s="392"/>
      <c r="B37" s="399" t="s">
        <v>941</v>
      </c>
      <c r="C37" s="400" t="s">
        <v>942</v>
      </c>
      <c r="D37" s="401"/>
      <c r="E37" s="392"/>
      <c r="F37" s="392"/>
      <c r="G37" s="392"/>
      <c r="I37" s="351"/>
    </row>
    <row r="38" spans="1:15" ht="18.75" customHeight="1">
      <c r="A38" s="392"/>
      <c r="B38" s="399" t="s">
        <v>943</v>
      </c>
      <c r="C38" s="402" t="s">
        <v>1030</v>
      </c>
      <c r="D38" s="403" t="s">
        <v>926</v>
      </c>
      <c r="E38" s="404">
        <f>IF(C36="Laminate608w",2000/N8*(E3/D3),IF(C36="Laminate608",750/N8*(E3/D3),500/N8*(E3/D3)))</f>
        <v>16475.373846826802</v>
      </c>
      <c r="F38" s="392"/>
      <c r="G38" s="392"/>
    </row>
    <row r="39" spans="1:15" ht="18.75" customHeight="1">
      <c r="A39" s="392"/>
      <c r="B39" s="399" t="s">
        <v>205</v>
      </c>
      <c r="C39" s="405">
        <v>50000</v>
      </c>
      <c r="D39" s="406" t="s">
        <v>944</v>
      </c>
      <c r="E39" s="407">
        <f>IF(C36="Laminate608W",2000,IF(C36="Laminate608",750,500))</f>
        <v>500</v>
      </c>
      <c r="F39" s="392"/>
      <c r="G39" s="392"/>
      <c r="I39" s="351" t="s">
        <v>50</v>
      </c>
      <c r="J39" t="s">
        <v>921</v>
      </c>
      <c r="K39" t="s">
        <v>945</v>
      </c>
    </row>
    <row r="40" spans="1:15" ht="18.75" customHeight="1">
      <c r="A40" s="392"/>
      <c r="B40" s="399" t="s">
        <v>202</v>
      </c>
      <c r="C40" s="400">
        <v>260</v>
      </c>
      <c r="D40" s="408" t="s">
        <v>902</v>
      </c>
      <c r="E40" s="409">
        <f>+L19</f>
        <v>1517.4162500000002</v>
      </c>
      <c r="F40" s="392"/>
      <c r="G40" s="392"/>
      <c r="H40" s="410" t="s">
        <v>946</v>
      </c>
      <c r="I40" s="411">
        <v>5000</v>
      </c>
      <c r="J40" s="41">
        <v>11.485133945865627</v>
      </c>
      <c r="K40" s="41">
        <v>14.356417432332034</v>
      </c>
      <c r="L40" s="320">
        <f>K40*I40</f>
        <v>71782.087161660165</v>
      </c>
    </row>
    <row r="41" spans="1:15" ht="18.75" customHeight="1">
      <c r="A41" s="392"/>
      <c r="B41" s="399" t="s">
        <v>947</v>
      </c>
      <c r="C41" s="400" t="s">
        <v>156</v>
      </c>
      <c r="D41" s="412" t="s">
        <v>948</v>
      </c>
      <c r="E41" s="392"/>
      <c r="F41" s="392"/>
      <c r="G41" s="392"/>
      <c r="H41" s="410" t="s">
        <v>946</v>
      </c>
      <c r="I41" s="411">
        <f>I40*2</f>
        <v>10000</v>
      </c>
      <c r="J41" s="41">
        <f t="shared" ref="J41:J42" si="5">$I$34</f>
        <v>10.5730825909902</v>
      </c>
      <c r="K41" s="41">
        <f t="shared" ref="K41:K42" si="6">$J$34</f>
        <v>12.438920695282588</v>
      </c>
      <c r="L41" s="320">
        <f t="shared" ref="L41:L42" si="7">K41*I41</f>
        <v>124389.20695282589</v>
      </c>
      <c r="M41" s="413">
        <f t="shared" ref="M41" si="8">K41/K40-1</f>
        <v>-0.13356373524853482</v>
      </c>
    </row>
    <row r="42" spans="1:15" ht="18.75" customHeight="1">
      <c r="A42" s="392"/>
      <c r="B42" s="399" t="s">
        <v>949</v>
      </c>
      <c r="C42" s="400"/>
      <c r="D42" s="412" t="s">
        <v>950</v>
      </c>
      <c r="E42" s="392"/>
      <c r="F42" s="392"/>
      <c r="G42" s="392"/>
      <c r="H42" s="410" t="s">
        <v>946</v>
      </c>
      <c r="I42" s="414">
        <f>I40*3</f>
        <v>15000</v>
      </c>
      <c r="J42" s="41">
        <f t="shared" si="5"/>
        <v>10.5730825909902</v>
      </c>
      <c r="K42" s="41">
        <f t="shared" si="6"/>
        <v>12.438920695282588</v>
      </c>
      <c r="L42" s="320">
        <f t="shared" si="7"/>
        <v>186583.81042923883</v>
      </c>
      <c r="M42" s="413">
        <f>K42/K41-1</f>
        <v>0</v>
      </c>
    </row>
    <row r="43" spans="1:15" ht="18.75" customHeight="1">
      <c r="A43" s="392"/>
      <c r="B43" s="399" t="s">
        <v>123</v>
      </c>
      <c r="C43" s="400" t="s">
        <v>1078</v>
      </c>
      <c r="D43" s="401"/>
      <c r="E43" s="392"/>
      <c r="F43" s="392"/>
      <c r="G43" s="392"/>
    </row>
    <row r="44" spans="1:15" ht="18.75" customHeight="1">
      <c r="A44" s="392"/>
      <c r="B44" s="399" t="s">
        <v>951</v>
      </c>
      <c r="C44" s="400" t="s">
        <v>1079</v>
      </c>
      <c r="D44" s="401"/>
      <c r="E44" s="392"/>
      <c r="F44" s="392"/>
      <c r="G44" s="392"/>
      <c r="I44" t="s">
        <v>952</v>
      </c>
      <c r="J44" t="s">
        <v>953</v>
      </c>
      <c r="K44" t="s">
        <v>203</v>
      </c>
      <c r="L44" t="s">
        <v>921</v>
      </c>
      <c r="M44" t="s">
        <v>945</v>
      </c>
      <c r="N44" t="s">
        <v>954</v>
      </c>
    </row>
    <row r="45" spans="1:15" ht="18.75" customHeight="1">
      <c r="A45" s="392"/>
      <c r="B45" s="399" t="s">
        <v>4</v>
      </c>
      <c r="C45" s="400">
        <v>121</v>
      </c>
      <c r="D45" s="415"/>
      <c r="E45" s="392"/>
      <c r="F45" s="392"/>
      <c r="G45" s="392"/>
      <c r="H45" s="416"/>
      <c r="I45" s="417">
        <v>500000</v>
      </c>
      <c r="J45" s="418">
        <f>I45/(1000/$B$15)</f>
        <v>54999.999999999993</v>
      </c>
      <c r="K45" s="418">
        <f t="shared" ref="K45:K49" si="9">$N$8/ROUNDDOWN(($K$3-29)/$D$3,0)*$H$3</f>
        <v>1517.4162500000002</v>
      </c>
      <c r="L45" s="419"/>
      <c r="M45" s="419">
        <v>4.3700000000000003E-2</v>
      </c>
      <c r="N45" s="420">
        <f>M45*I45</f>
        <v>21850</v>
      </c>
    </row>
    <row r="46" spans="1:15" ht="18.75" customHeight="1">
      <c r="A46" s="421"/>
      <c r="B46" s="399"/>
      <c r="C46" s="400"/>
      <c r="D46" s="422"/>
      <c r="E46" s="392"/>
      <c r="F46" s="392"/>
      <c r="G46" s="392"/>
      <c r="I46" s="417">
        <v>1000000</v>
      </c>
      <c r="J46" s="418">
        <f t="shared" ref="J46:J49" si="10">I46/(1000/$B$15)</f>
        <v>109999.99999999999</v>
      </c>
      <c r="K46" s="418">
        <f t="shared" si="9"/>
        <v>1517.4162500000002</v>
      </c>
      <c r="L46" s="419"/>
      <c r="M46" s="419">
        <v>3.9600000000000003E-2</v>
      </c>
      <c r="N46" s="420">
        <f>M46*I46</f>
        <v>39600</v>
      </c>
      <c r="O46" s="423"/>
    </row>
    <row r="47" spans="1:15" ht="18.75" customHeight="1">
      <c r="A47" s="392"/>
      <c r="B47" s="399" t="s">
        <v>955</v>
      </c>
      <c r="C47" s="400">
        <f>IF(AND(C38="KG",J34*H1&gt;150000),"X",IF(AND(C38="Ml",J33*H1&gt;150000),"X",1))</f>
        <v>1</v>
      </c>
      <c r="D47" s="401"/>
      <c r="E47" s="392"/>
      <c r="F47" s="392"/>
      <c r="G47" s="392"/>
      <c r="I47" s="417">
        <v>2000000</v>
      </c>
      <c r="J47" s="418">
        <f t="shared" si="10"/>
        <v>219999.99999999997</v>
      </c>
      <c r="K47" s="418">
        <f t="shared" si="9"/>
        <v>1517.4162500000002</v>
      </c>
      <c r="L47" s="419"/>
      <c r="M47" s="419">
        <v>3.7499999999999999E-2</v>
      </c>
      <c r="N47" s="420">
        <f t="shared" ref="N47:N49" si="11">M47*I47</f>
        <v>75000</v>
      </c>
      <c r="O47" s="423"/>
    </row>
    <row r="48" spans="1:15" ht="18.75" customHeight="1">
      <c r="A48" s="392"/>
      <c r="B48" s="424" t="s">
        <v>956</v>
      </c>
      <c r="C48" s="425">
        <f>IF(C49*C39&gt;150000,"Higher than 40K",C49)</f>
        <v>0.36070689522165139</v>
      </c>
      <c r="D48" s="401"/>
      <c r="E48" s="392"/>
      <c r="F48" s="392"/>
      <c r="G48" s="392"/>
      <c r="H48" s="426" t="s">
        <v>957</v>
      </c>
      <c r="I48" s="417">
        <v>3000000</v>
      </c>
      <c r="J48" s="418">
        <f t="shared" si="10"/>
        <v>329999.99999999994</v>
      </c>
      <c r="K48" s="418">
        <v>532.02500000000009</v>
      </c>
      <c r="L48" s="419">
        <f>$Q$23</f>
        <v>3.37260947032244E-2</v>
      </c>
      <c r="M48" s="419">
        <v>3.6999999999999998E-2</v>
      </c>
      <c r="N48" s="420">
        <f t="shared" si="11"/>
        <v>111000</v>
      </c>
    </row>
    <row r="49" spans="1:16" ht="18.75" customHeight="1">
      <c r="A49" s="392"/>
      <c r="B49" s="427" t="s">
        <v>958</v>
      </c>
      <c r="C49" s="428">
        <f>IF(AND(C43="PR",C38="Ml"),J26,IF(AND(C43="PR",C38="KG"),J27,IF(AND(C43="Non PR",C38="Ml"),J33,J34)))</f>
        <v>0.36070689522165139</v>
      </c>
      <c r="D49" s="401"/>
      <c r="E49" s="392"/>
      <c r="F49" s="392"/>
      <c r="G49" s="392"/>
      <c r="I49" s="417">
        <v>4000000</v>
      </c>
      <c r="J49" s="418">
        <f t="shared" si="10"/>
        <v>439999.99999999994</v>
      </c>
      <c r="K49" s="418">
        <f t="shared" si="9"/>
        <v>1517.4162500000002</v>
      </c>
      <c r="L49" s="419">
        <f>$Q$23</f>
        <v>3.37260947032244E-2</v>
      </c>
      <c r="M49" s="419">
        <v>3.6499999999999998E-2</v>
      </c>
      <c r="N49" s="420">
        <f t="shared" si="11"/>
        <v>146000</v>
      </c>
      <c r="O49" s="423">
        <f>N49/$L$20</f>
        <v>100.84196130707757</v>
      </c>
    </row>
    <row r="50" spans="1:16" ht="18.75" customHeight="1" thickBot="1">
      <c r="A50" s="392"/>
      <c r="B50" s="429" t="s">
        <v>959</v>
      </c>
      <c r="C50" s="430">
        <f>C48*C47*C39</f>
        <v>18035.344761082568</v>
      </c>
      <c r="D50" s="401"/>
      <c r="E50" s="392"/>
      <c r="F50" s="392"/>
      <c r="G50" s="392"/>
      <c r="I50" s="417"/>
      <c r="J50" s="418"/>
      <c r="K50" s="418"/>
      <c r="L50" s="431"/>
      <c r="M50" s="351"/>
      <c r="N50" s="411"/>
    </row>
    <row r="51" spans="1:16" ht="18.75" customHeight="1">
      <c r="A51" s="392"/>
      <c r="B51" s="432"/>
      <c r="C51" s="433"/>
      <c r="D51" s="401"/>
      <c r="E51" s="392"/>
      <c r="F51" s="392"/>
      <c r="G51" s="392"/>
      <c r="L51" s="431"/>
      <c r="M51" s="351"/>
      <c r="N51" s="411">
        <f t="shared" ref="N51:N52" si="12">M51*I51</f>
        <v>0</v>
      </c>
    </row>
    <row r="52" spans="1:16" ht="18.75" customHeight="1" thickBot="1">
      <c r="A52" s="392"/>
      <c r="B52" s="434" t="s">
        <v>960</v>
      </c>
      <c r="C52" s="435">
        <f>IF(AND(C43="PR",C38="Ml"),I26,IF(AND(C43="PR",C38="KG"),I27,IF(AND(C43="Non PR",C38="Ml"),I33,I34)))*C47</f>
        <v>0.30660086093840366</v>
      </c>
      <c r="D52" s="401"/>
      <c r="E52" s="392"/>
      <c r="F52" s="392"/>
      <c r="G52" s="392"/>
      <c r="L52" s="431"/>
      <c r="M52" s="351"/>
      <c r="N52" s="411">
        <f t="shared" si="12"/>
        <v>0</v>
      </c>
    </row>
    <row r="53" spans="1:16" ht="18.75" customHeight="1" thickBot="1">
      <c r="A53" s="392"/>
      <c r="C53" s="436"/>
      <c r="D53" s="401"/>
      <c r="E53" s="392"/>
      <c r="F53" s="392"/>
      <c r="G53" s="392"/>
      <c r="K53" t="s">
        <v>961</v>
      </c>
      <c r="L53" t="s">
        <v>962</v>
      </c>
      <c r="N53" t="s">
        <v>963</v>
      </c>
      <c r="O53" t="s">
        <v>964</v>
      </c>
    </row>
    <row r="54" spans="1:16" ht="18.75" customHeight="1">
      <c r="A54" s="392"/>
      <c r="B54" s="437" t="s">
        <v>965</v>
      </c>
      <c r="C54" s="438">
        <f>+C49*USD</f>
        <v>0.39677758474381658</v>
      </c>
      <c r="D54" s="401"/>
      <c r="E54" s="392"/>
      <c r="F54" s="392"/>
      <c r="G54" s="392"/>
      <c r="I54" t="s">
        <v>966</v>
      </c>
      <c r="K54">
        <f>120*60*12</f>
        <v>86400</v>
      </c>
      <c r="L54" s="439">
        <f>K54*25</f>
        <v>2160000</v>
      </c>
      <c r="M54" t="s">
        <v>953</v>
      </c>
      <c r="N54">
        <f>350/(120*60)</f>
        <v>4.8611111111111112E-2</v>
      </c>
      <c r="O54" t="s">
        <v>967</v>
      </c>
      <c r="P54" t="s">
        <v>968</v>
      </c>
    </row>
    <row r="55" spans="1:16" ht="18.75" customHeight="1" thickBot="1">
      <c r="A55" s="392"/>
      <c r="B55" s="440" t="s">
        <v>959</v>
      </c>
      <c r="C55" s="441">
        <f>+C54*C39</f>
        <v>19838.879237190828</v>
      </c>
      <c r="D55" s="401"/>
      <c r="E55" s="392"/>
      <c r="F55" s="392"/>
      <c r="G55" s="392"/>
      <c r="I55" t="s">
        <v>969</v>
      </c>
      <c r="K55">
        <f>200*60*12</f>
        <v>144000</v>
      </c>
      <c r="L55" s="439">
        <f>K55*25</f>
        <v>3600000</v>
      </c>
      <c r="M55" t="s">
        <v>970</v>
      </c>
      <c r="O55" t="s">
        <v>971</v>
      </c>
    </row>
    <row r="56" spans="1:16">
      <c r="A56" s="392"/>
      <c r="B56" s="392"/>
      <c r="C56" s="392"/>
      <c r="D56" s="392"/>
      <c r="E56" s="392"/>
      <c r="F56" s="392"/>
      <c r="G56" s="392"/>
      <c r="I56" t="s">
        <v>972</v>
      </c>
      <c r="K56">
        <f>300*60*12</f>
        <v>216000</v>
      </c>
      <c r="L56" s="439">
        <f>K56*25</f>
        <v>5400000</v>
      </c>
      <c r="M56" t="s">
        <v>953</v>
      </c>
      <c r="N56">
        <f>700/(120*60)</f>
        <v>9.7222222222222224E-2</v>
      </c>
      <c r="O56" t="s">
        <v>973</v>
      </c>
    </row>
    <row r="57" spans="1:16" ht="15.75">
      <c r="A57" s="392"/>
      <c r="B57" s="392"/>
      <c r="C57" s="442" t="s">
        <v>974</v>
      </c>
      <c r="D57" s="392"/>
      <c r="E57" s="392"/>
      <c r="F57" s="392"/>
      <c r="G57" s="392"/>
    </row>
    <row r="58" spans="1:16" ht="15.75" thickBot="1">
      <c r="A58" s="392"/>
      <c r="B58" s="392"/>
      <c r="C58" s="392"/>
      <c r="D58" s="392"/>
      <c r="E58" s="392"/>
      <c r="F58" s="392"/>
      <c r="G58" s="392"/>
    </row>
    <row r="59" spans="1:16" ht="36" customHeight="1" thickBot="1">
      <c r="A59" s="392"/>
      <c r="B59" s="392"/>
      <c r="C59" s="392" t="s">
        <v>975</v>
      </c>
      <c r="D59" s="392"/>
      <c r="E59" s="392"/>
      <c r="F59" s="392"/>
      <c r="G59" s="392"/>
      <c r="I59" s="443" t="s">
        <v>976</v>
      </c>
      <c r="J59" s="443" t="s">
        <v>977</v>
      </c>
      <c r="K59" s="443" t="s">
        <v>978</v>
      </c>
      <c r="L59" s="443" t="s">
        <v>979</v>
      </c>
    </row>
    <row r="60" spans="1:16" ht="36" customHeight="1" thickBot="1">
      <c r="A60" s="392"/>
      <c r="B60" s="392"/>
      <c r="C60" s="392" t="s">
        <v>980</v>
      </c>
      <c r="D60" s="392"/>
      <c r="E60" s="392"/>
      <c r="F60" s="392"/>
      <c r="G60" s="392"/>
      <c r="I60" s="443" t="s">
        <v>981</v>
      </c>
      <c r="J60" s="444" t="s">
        <v>982</v>
      </c>
      <c r="K60" s="444" t="s">
        <v>983</v>
      </c>
      <c r="L60" s="443" t="s">
        <v>984</v>
      </c>
    </row>
    <row r="61" spans="1:16" ht="36" customHeight="1" thickBot="1">
      <c r="A61" s="392"/>
      <c r="B61" s="392">
        <v>608</v>
      </c>
      <c r="C61" s="392">
        <v>14.7</v>
      </c>
      <c r="D61" s="392"/>
      <c r="E61" s="392"/>
      <c r="F61" s="392"/>
      <c r="G61" s="392"/>
      <c r="I61" s="443" t="s">
        <v>985</v>
      </c>
      <c r="J61" s="444" t="s">
        <v>986</v>
      </c>
      <c r="K61" s="444" t="s">
        <v>987</v>
      </c>
      <c r="L61" s="443" t="s">
        <v>988</v>
      </c>
    </row>
    <row r="62" spans="1:16" ht="36" customHeight="1" thickBot="1">
      <c r="A62" s="392"/>
      <c r="B62" s="392"/>
      <c r="C62" s="392"/>
      <c r="D62" s="392"/>
      <c r="E62" s="392"/>
      <c r="F62" s="392"/>
      <c r="G62" s="392"/>
      <c r="I62" s="443" t="s">
        <v>989</v>
      </c>
      <c r="J62" s="444" t="s">
        <v>990</v>
      </c>
      <c r="K62" s="444" t="s">
        <v>991</v>
      </c>
      <c r="L62" s="443" t="s">
        <v>992</v>
      </c>
    </row>
    <row r="63" spans="1:16" ht="36" customHeight="1" thickBot="1">
      <c r="A63" s="392"/>
      <c r="B63" s="392"/>
      <c r="C63" s="392"/>
      <c r="D63" s="392"/>
      <c r="E63" s="392"/>
      <c r="F63" s="392"/>
      <c r="G63" s="392"/>
      <c r="I63" s="443" t="s">
        <v>993</v>
      </c>
      <c r="J63" s="444" t="s">
        <v>994</v>
      </c>
      <c r="K63" s="444" t="s">
        <v>995</v>
      </c>
      <c r="L63" s="443" t="s">
        <v>996</v>
      </c>
    </row>
    <row r="64" spans="1:16" ht="21.75" customHeight="1">
      <c r="A64" s="392"/>
      <c r="B64" s="392"/>
      <c r="C64" s="392"/>
      <c r="D64" s="392"/>
      <c r="E64" s="392"/>
      <c r="F64" s="392"/>
      <c r="G64" s="392"/>
    </row>
    <row r="65" spans="1:7" ht="21.75" customHeight="1">
      <c r="A65" s="392"/>
      <c r="B65" s="392"/>
      <c r="C65" s="392"/>
      <c r="D65" s="392"/>
      <c r="E65" s="392"/>
      <c r="F65" s="392"/>
      <c r="G65" s="392"/>
    </row>
    <row r="66" spans="1:7" ht="21.75" customHeight="1">
      <c r="A66" s="392"/>
      <c r="B66" s="392"/>
      <c r="C66" s="392"/>
      <c r="D66" s="392"/>
      <c r="E66" s="392"/>
      <c r="F66" s="392"/>
      <c r="G66" s="392"/>
    </row>
    <row r="67" spans="1:7" ht="21.75" customHeight="1"/>
    <row r="68" spans="1:7" ht="21.75" customHeight="1"/>
    <row r="69" spans="1:7" ht="21.75" customHeight="1"/>
    <row r="70" spans="1:7" ht="21.75" customHeight="1"/>
    <row r="71" spans="1:7" ht="21.75" customHeight="1"/>
    <row r="72" spans="1:7" ht="21.75" customHeight="1"/>
    <row r="73" spans="1:7" ht="21.75" customHeight="1"/>
    <row r="74" spans="1:7" ht="21.75" customHeight="1"/>
    <row r="75" spans="1:7" ht="21.75" customHeight="1"/>
    <row r="76" spans="1:7" ht="21.75" customHeight="1"/>
    <row r="77" spans="1:7" ht="21.75" customHeight="1"/>
  </sheetData>
  <mergeCells count="14">
    <mergeCell ref="I31:J31"/>
    <mergeCell ref="K31:L31"/>
    <mergeCell ref="I3:I5"/>
    <mergeCell ref="J3:J5"/>
    <mergeCell ref="I13:I14"/>
    <mergeCell ref="I15:I16"/>
    <mergeCell ref="I24:J24"/>
    <mergeCell ref="K24:L24"/>
    <mergeCell ref="H3:H5"/>
    <mergeCell ref="A3:A7"/>
    <mergeCell ref="D3:D5"/>
    <mergeCell ref="E3:E5"/>
    <mergeCell ref="F3:F5"/>
    <mergeCell ref="G3:G5"/>
  </mergeCells>
  <dataValidations count="10">
    <dataValidation type="list" allowBlank="1" sqref="L4" xr:uid="{2F350E67-2450-485D-86F2-443FA24CD391}">
      <formula1>INDIRECT(C4)</formula1>
    </dataValidation>
    <dataValidation type="list" allowBlank="1" showInputMessage="1" showErrorMessage="1" sqref="C36" xr:uid="{5B949B1C-BF4B-4138-AA46-2DD78C48C78A}">
      <formula1>Laminate_type</formula1>
    </dataValidation>
    <dataValidation type="list" allowBlank="1" showInputMessage="1" showErrorMessage="1" sqref="C45" xr:uid="{9472E94F-5541-46B5-ACEE-D191EEE1CA20}">
      <formula1>INDIRECT(C36)</formula1>
    </dataValidation>
    <dataValidation type="list" allowBlank="1" showInputMessage="1" showErrorMessage="1" sqref="L3" xr:uid="{EA9836FC-15B1-49D3-AF8E-9766B0D35756}">
      <formula1>INDIRECT(C3)</formula1>
    </dataValidation>
    <dataValidation showInputMessage="1" showErrorMessage="1" sqref="K3:K5" xr:uid="{D50FB4E8-E089-49ED-97F1-C487D19BC327}"/>
    <dataValidation type="list" allowBlank="1" showInputMessage="1" showErrorMessage="1" sqref="J3:J5" xr:uid="{9F54CCF4-55CB-4EFB-A9C9-70845362563E}">
      <formula1>"0, 1 to 4, 5 to 8"</formula1>
    </dataValidation>
    <dataValidation operator="greaterThan" allowBlank="1" showInputMessage="1" showErrorMessage="1" errorTitle="MOQ is 5K Meter" sqref="C39" xr:uid="{4EFF1534-4E8E-4654-A652-26DAD69F447C}"/>
    <dataValidation type="list" allowBlank="1" showInputMessage="1" showErrorMessage="1" sqref="C44" xr:uid="{0DBAA53F-1F66-4F8A-A39B-E1942EF25A81}">
      <formula1>"0,1 to 4, 5 to 8"</formula1>
    </dataValidation>
    <dataValidation type="list" allowBlank="1" showInputMessage="1" showErrorMessage="1" sqref="C41" xr:uid="{7A75E619-C9A6-4FE8-B786-8964FDEAC6E7}">
      <formula1>"Y,N"</formula1>
    </dataValidation>
    <dataValidation type="whole" operator="greaterThan" allowBlank="1" showInputMessage="1" showErrorMessage="1" errorTitle="Length of reel must be 500M+ " sqref="C42" xr:uid="{01506EF7-171F-42FF-B271-7282381719FB}">
      <formula1>500</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C427-A91F-42B4-9341-9586F30A82EA}">
  <dimension ref="B2:J38"/>
  <sheetViews>
    <sheetView workbookViewId="0">
      <selection activeCell="G26" sqref="G26"/>
    </sheetView>
  </sheetViews>
  <sheetFormatPr defaultRowHeight="15"/>
  <cols>
    <col min="1" max="1" width="3.85546875" customWidth="1"/>
    <col min="2" max="2" width="28.5703125" customWidth="1"/>
    <col min="3" max="3" width="47.5703125" customWidth="1"/>
    <col min="4" max="5" width="19" customWidth="1"/>
    <col min="6" max="6" width="24.7109375" customWidth="1"/>
    <col min="7" max="10" width="13.28515625" customWidth="1"/>
  </cols>
  <sheetData>
    <row r="2" spans="2:10" ht="24">
      <c r="B2" s="144" t="s">
        <v>502</v>
      </c>
    </row>
    <row r="3" spans="2:10">
      <c r="B3" s="148" t="s">
        <v>503</v>
      </c>
    </row>
    <row r="5" spans="2:10" ht="15.75">
      <c r="B5" s="149" t="s">
        <v>504</v>
      </c>
    </row>
    <row r="7" spans="2:10" ht="18.75">
      <c r="B7" s="150" t="s">
        <v>130</v>
      </c>
      <c r="C7" s="160" t="s">
        <v>505</v>
      </c>
      <c r="D7" s="152" t="s">
        <v>131</v>
      </c>
      <c r="E7" s="160" t="s">
        <v>505</v>
      </c>
      <c r="F7" s="154" t="s">
        <v>132</v>
      </c>
      <c r="G7" s="160" t="s">
        <v>505</v>
      </c>
      <c r="H7" s="156" t="s">
        <v>133</v>
      </c>
      <c r="I7" s="160" t="s">
        <v>505</v>
      </c>
      <c r="J7" s="158" t="s">
        <v>506</v>
      </c>
    </row>
    <row r="8" spans="2:10" ht="18.75">
      <c r="B8" s="151" t="s">
        <v>507</v>
      </c>
      <c r="C8" s="160" t="s">
        <v>508</v>
      </c>
      <c r="D8" s="153" t="s">
        <v>509</v>
      </c>
      <c r="E8" s="160" t="s">
        <v>508</v>
      </c>
      <c r="F8" s="155" t="s">
        <v>510</v>
      </c>
      <c r="G8" s="160" t="s">
        <v>508</v>
      </c>
      <c r="H8" s="157" t="s">
        <v>511</v>
      </c>
      <c r="I8" s="160" t="s">
        <v>508</v>
      </c>
      <c r="J8" s="159" t="s">
        <v>512</v>
      </c>
    </row>
    <row r="11" spans="2:10" ht="15.75">
      <c r="B11" s="149" t="s">
        <v>513</v>
      </c>
    </row>
    <row r="13" spans="2:10">
      <c r="B13" s="161" t="s">
        <v>134</v>
      </c>
      <c r="C13" s="161" t="s">
        <v>135</v>
      </c>
      <c r="D13" s="161" t="s">
        <v>154</v>
      </c>
      <c r="E13" s="161" t="s">
        <v>514</v>
      </c>
      <c r="F13" s="161" t="s">
        <v>201</v>
      </c>
    </row>
    <row r="14" spans="2:10">
      <c r="B14" s="162" t="s">
        <v>136</v>
      </c>
      <c r="C14" s="162" t="s">
        <v>515</v>
      </c>
      <c r="D14" s="162" t="s">
        <v>194</v>
      </c>
      <c r="E14" s="162" t="s">
        <v>0</v>
      </c>
      <c r="F14" s="162" t="s">
        <v>149</v>
      </c>
    </row>
    <row r="15" spans="2:10">
      <c r="B15" s="49" t="s">
        <v>137</v>
      </c>
      <c r="C15" s="49" t="s">
        <v>196</v>
      </c>
      <c r="D15" s="49" t="s">
        <v>195</v>
      </c>
      <c r="E15" s="49" t="s">
        <v>516</v>
      </c>
      <c r="F15" s="49" t="s">
        <v>517</v>
      </c>
    </row>
    <row r="16" spans="2:10">
      <c r="B16" s="162" t="s">
        <v>138</v>
      </c>
      <c r="C16" s="162" t="s">
        <v>518</v>
      </c>
      <c r="D16" s="162" t="s">
        <v>197</v>
      </c>
      <c r="E16" s="162" t="s">
        <v>519</v>
      </c>
      <c r="F16" s="162" t="s">
        <v>149</v>
      </c>
    </row>
    <row r="17" spans="2:6">
      <c r="B17" s="49" t="s">
        <v>139</v>
      </c>
      <c r="C17" s="49" t="s">
        <v>520</v>
      </c>
      <c r="D17" s="49" t="s">
        <v>521</v>
      </c>
      <c r="E17" s="49" t="s">
        <v>522</v>
      </c>
      <c r="F17" s="49" t="s">
        <v>523</v>
      </c>
    </row>
    <row r="18" spans="2:6">
      <c r="B18" s="162" t="s">
        <v>140</v>
      </c>
      <c r="C18" s="162" t="s">
        <v>71</v>
      </c>
      <c r="D18" s="162" t="s">
        <v>198</v>
      </c>
      <c r="E18" s="162" t="s">
        <v>522</v>
      </c>
      <c r="F18" s="162" t="s">
        <v>524</v>
      </c>
    </row>
    <row r="19" spans="2:6">
      <c r="B19" s="49" t="s">
        <v>141</v>
      </c>
      <c r="C19" s="49" t="s">
        <v>525</v>
      </c>
      <c r="D19" s="49" t="s">
        <v>526</v>
      </c>
      <c r="E19" s="49" t="s">
        <v>527</v>
      </c>
      <c r="F19" s="49" t="s">
        <v>149</v>
      </c>
    </row>
    <row r="20" spans="2:6">
      <c r="B20" s="162" t="s">
        <v>142</v>
      </c>
      <c r="C20" s="162" t="s">
        <v>528</v>
      </c>
      <c r="D20" s="162" t="s">
        <v>155</v>
      </c>
      <c r="E20" s="162" t="s">
        <v>529</v>
      </c>
      <c r="F20" s="162" t="s">
        <v>530</v>
      </c>
    </row>
    <row r="21" spans="2:6">
      <c r="B21" s="49" t="s">
        <v>199</v>
      </c>
      <c r="C21" s="49" t="s">
        <v>531</v>
      </c>
      <c r="D21" s="49" t="s">
        <v>532</v>
      </c>
      <c r="E21" s="49" t="s">
        <v>533</v>
      </c>
      <c r="F21" s="49" t="s">
        <v>534</v>
      </c>
    </row>
    <row r="24" spans="2:6" ht="15.75">
      <c r="B24" s="149" t="s">
        <v>535</v>
      </c>
    </row>
    <row r="26" spans="2:6">
      <c r="B26" s="163" t="s">
        <v>125</v>
      </c>
      <c r="C26" s="163" t="s">
        <v>200</v>
      </c>
    </row>
    <row r="27" spans="2:6">
      <c r="B27" s="49" t="s">
        <v>56</v>
      </c>
      <c r="C27" s="49" t="s">
        <v>536</v>
      </c>
    </row>
    <row r="28" spans="2:6">
      <c r="B28" s="49" t="s">
        <v>537</v>
      </c>
      <c r="C28" s="49" t="s">
        <v>538</v>
      </c>
    </row>
    <row r="29" spans="2:6">
      <c r="B29" s="49" t="s">
        <v>68</v>
      </c>
      <c r="C29" s="49" t="s">
        <v>539</v>
      </c>
    </row>
    <row r="30" spans="2:6">
      <c r="B30" s="49" t="s">
        <v>467</v>
      </c>
      <c r="C30" s="49" t="s">
        <v>540</v>
      </c>
    </row>
    <row r="33" spans="2:2" ht="15.75">
      <c r="B33" s="149" t="s">
        <v>541</v>
      </c>
    </row>
    <row r="35" spans="2:2">
      <c r="B35" s="164" t="s">
        <v>542</v>
      </c>
    </row>
    <row r="36" spans="2:2">
      <c r="B36" s="164" t="s">
        <v>543</v>
      </c>
    </row>
    <row r="37" spans="2:2">
      <c r="B37" s="164" t="s">
        <v>544</v>
      </c>
    </row>
    <row r="38" spans="2:2">
      <c r="B38" s="164" t="s">
        <v>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277A-F6AC-41EB-9C0A-0AA6929E44D4}">
  <sheetPr>
    <tabColor theme="1"/>
  </sheetPr>
  <dimension ref="A1:R38"/>
  <sheetViews>
    <sheetView topLeftCell="A9" workbookViewId="0">
      <selection activeCell="E29" sqref="E29"/>
    </sheetView>
  </sheetViews>
  <sheetFormatPr defaultRowHeight="15"/>
  <cols>
    <col min="1" max="2" width="15" bestFit="1" customWidth="1"/>
    <col min="3" max="3" width="18.42578125" customWidth="1"/>
    <col min="4" max="4" width="12.140625" bestFit="1" customWidth="1"/>
    <col min="5" max="8" width="9.42578125" bestFit="1" customWidth="1"/>
    <col min="9" max="9" width="10.42578125" bestFit="1" customWidth="1"/>
    <col min="10" max="10" width="9.42578125" bestFit="1" customWidth="1"/>
  </cols>
  <sheetData>
    <row r="1" spans="1:18">
      <c r="M1" s="38" t="s">
        <v>232</v>
      </c>
    </row>
    <row r="2" spans="1:18">
      <c r="A2" s="78" t="s">
        <v>222</v>
      </c>
      <c r="B2" s="78" t="s">
        <v>109</v>
      </c>
      <c r="C2" s="78" t="s">
        <v>241</v>
      </c>
      <c r="D2" s="79" t="s">
        <v>242</v>
      </c>
      <c r="E2" s="79" t="s">
        <v>243</v>
      </c>
      <c r="F2" s="79" t="s">
        <v>244</v>
      </c>
      <c r="G2" s="79" t="s">
        <v>245</v>
      </c>
      <c r="H2" s="79" t="s">
        <v>246</v>
      </c>
      <c r="I2" s="79" t="s">
        <v>247</v>
      </c>
      <c r="J2" s="79" t="s">
        <v>248</v>
      </c>
      <c r="M2" s="80" t="s">
        <v>249</v>
      </c>
    </row>
    <row r="3" spans="1:18">
      <c r="A3" s="838" t="s">
        <v>250</v>
      </c>
      <c r="B3" s="838" t="s">
        <v>251</v>
      </c>
      <c r="C3" s="838" t="s">
        <v>252</v>
      </c>
      <c r="D3" s="839">
        <v>42.880992430613965</v>
      </c>
      <c r="E3" s="839">
        <v>38.198065601345675</v>
      </c>
      <c r="F3" s="839">
        <v>34.555789178581449</v>
      </c>
      <c r="G3" s="839">
        <v>32.474488365573315</v>
      </c>
      <c r="H3" s="839">
        <v>31.641968040370063</v>
      </c>
      <c r="I3" s="839">
        <v>31.017577796467627</v>
      </c>
      <c r="J3" s="839">
        <v>30.705382674516407</v>
      </c>
      <c r="M3" s="80" t="s">
        <v>253</v>
      </c>
    </row>
    <row r="4" spans="1:18">
      <c r="A4" s="838" t="s">
        <v>250</v>
      </c>
      <c r="B4" s="838" t="s">
        <v>251</v>
      </c>
      <c r="C4" s="838" t="s">
        <v>254</v>
      </c>
      <c r="D4" s="839">
        <v>48.113821138211392</v>
      </c>
      <c r="E4" s="839">
        <v>43.430894308943095</v>
      </c>
      <c r="F4" s="839">
        <v>39.788617886178862</v>
      </c>
      <c r="G4" s="839">
        <v>37.707317073170742</v>
      </c>
      <c r="H4" s="839">
        <v>36.87479674796748</v>
      </c>
      <c r="I4" s="839">
        <v>36.25040650406504</v>
      </c>
      <c r="J4" s="839">
        <v>35.93821138211382</v>
      </c>
      <c r="M4" s="80" t="s">
        <v>255</v>
      </c>
    </row>
    <row r="5" spans="1:18">
      <c r="A5" s="838" t="s">
        <v>250</v>
      </c>
      <c r="B5" s="838" t="s">
        <v>251</v>
      </c>
      <c r="C5" s="838" t="s">
        <v>256</v>
      </c>
      <c r="D5" s="839">
        <v>54.713414634146346</v>
      </c>
      <c r="E5" s="839">
        <v>50.030487804878057</v>
      </c>
      <c r="F5" s="839">
        <v>46.388211382113823</v>
      </c>
      <c r="G5" s="839">
        <v>44.306910569105696</v>
      </c>
      <c r="H5" s="839">
        <v>43.474390243902441</v>
      </c>
      <c r="I5" s="839">
        <v>42.85</v>
      </c>
      <c r="J5" s="839">
        <v>42.537804878048782</v>
      </c>
      <c r="M5" s="81">
        <v>1.3</v>
      </c>
      <c r="N5" s="80" t="s">
        <v>257</v>
      </c>
      <c r="O5" s="80"/>
      <c r="P5" s="80"/>
      <c r="Q5" s="80"/>
      <c r="R5" s="80"/>
    </row>
    <row r="6" spans="1:18">
      <c r="A6" s="838" t="s">
        <v>250</v>
      </c>
      <c r="B6" s="838" t="s">
        <v>251</v>
      </c>
      <c r="C6" s="838" t="s">
        <v>258</v>
      </c>
      <c r="D6" s="839">
        <v>65.816355810616926</v>
      </c>
      <c r="E6" s="839">
        <v>61.133428981348636</v>
      </c>
      <c r="F6" s="839">
        <v>57.49115255858441</v>
      </c>
      <c r="G6" s="839">
        <v>55.409851745576276</v>
      </c>
      <c r="H6" s="839">
        <v>54.577331420373028</v>
      </c>
      <c r="I6" s="839">
        <v>53.952941176470588</v>
      </c>
      <c r="J6" s="839">
        <v>53.640746054519369</v>
      </c>
    </row>
    <row r="7" spans="1:18">
      <c r="A7" s="838" t="s">
        <v>250</v>
      </c>
      <c r="B7" s="838" t="s">
        <v>251</v>
      </c>
      <c r="C7" s="838" t="s">
        <v>259</v>
      </c>
      <c r="D7" s="839">
        <v>85.771106941838653</v>
      </c>
      <c r="E7" s="839">
        <v>81.088180112570356</v>
      </c>
      <c r="F7" s="839">
        <v>77.44590368980613</v>
      </c>
      <c r="G7" s="839">
        <v>75.364602876798003</v>
      </c>
      <c r="H7" s="839">
        <v>74.532082551594755</v>
      </c>
      <c r="I7" s="839">
        <v>73.907692307692315</v>
      </c>
      <c r="J7" s="839">
        <v>73.595497185741081</v>
      </c>
    </row>
    <row r="8" spans="1:18">
      <c r="A8" s="838" t="s">
        <v>250</v>
      </c>
      <c r="B8" s="838" t="s">
        <v>251</v>
      </c>
      <c r="C8" s="838" t="s">
        <v>260</v>
      </c>
      <c r="D8" s="839">
        <v>116.34959349593498</v>
      </c>
      <c r="E8" s="839">
        <v>111.66666666666669</v>
      </c>
      <c r="F8" s="839">
        <v>108.02439024390246</v>
      </c>
      <c r="G8" s="839">
        <v>105.94308943089432</v>
      </c>
      <c r="H8" s="839">
        <v>105.11056910569107</v>
      </c>
      <c r="I8" s="839">
        <v>104.48617886178863</v>
      </c>
      <c r="J8" s="839">
        <v>104.17398373983741</v>
      </c>
    </row>
    <row r="9" spans="1:18">
      <c r="A9" s="838" t="s">
        <v>250</v>
      </c>
      <c r="B9" s="838" t="s">
        <v>261</v>
      </c>
      <c r="C9" s="838" t="s">
        <v>252</v>
      </c>
      <c r="D9" s="839">
        <v>40.311988684150165</v>
      </c>
      <c r="E9" s="839">
        <v>35.629061854881876</v>
      </c>
      <c r="F9" s="839">
        <v>31.986785432117646</v>
      </c>
      <c r="G9" s="839">
        <v>29.905484619109512</v>
      </c>
      <c r="H9" s="839">
        <v>29.072964293906264</v>
      </c>
      <c r="I9" s="839">
        <v>28.448574050003824</v>
      </c>
      <c r="J9" s="839">
        <v>28.136378928052604</v>
      </c>
    </row>
    <row r="10" spans="1:18">
      <c r="A10" s="838" t="s">
        <v>250</v>
      </c>
      <c r="B10" s="838" t="s">
        <v>261</v>
      </c>
      <c r="C10" s="838" t="s">
        <v>254</v>
      </c>
      <c r="D10" s="839">
        <v>45.133776792313384</v>
      </c>
      <c r="E10" s="839">
        <v>40.450849963045087</v>
      </c>
      <c r="F10" s="839">
        <v>36.808573540280861</v>
      </c>
      <c r="G10" s="839">
        <v>34.727272727272727</v>
      </c>
      <c r="H10" s="839">
        <v>33.894752402069479</v>
      </c>
      <c r="I10" s="839">
        <v>33.270362158167039</v>
      </c>
      <c r="J10" s="839">
        <v>32.958167036215819</v>
      </c>
    </row>
    <row r="11" spans="1:18">
      <c r="A11" s="838" t="s">
        <v>250</v>
      </c>
      <c r="B11" s="838" t="s">
        <v>261</v>
      </c>
      <c r="C11" s="838" t="s">
        <v>256</v>
      </c>
      <c r="D11" s="839">
        <v>51.165742793791573</v>
      </c>
      <c r="E11" s="839">
        <v>46.482815964523276</v>
      </c>
      <c r="F11" s="839">
        <v>42.840539541759043</v>
      </c>
      <c r="G11" s="839">
        <v>40.759238728750915</v>
      </c>
      <c r="H11" s="839">
        <v>39.926718403547667</v>
      </c>
      <c r="I11" s="839">
        <v>39.302328159645228</v>
      </c>
      <c r="J11" s="839">
        <v>38.990133037694008</v>
      </c>
    </row>
    <row r="12" spans="1:18">
      <c r="A12" s="838" t="s">
        <v>250</v>
      </c>
      <c r="B12" s="838" t="s">
        <v>261</v>
      </c>
      <c r="C12" s="838" t="s">
        <v>258</v>
      </c>
      <c r="D12" s="839">
        <v>61.433937654884573</v>
      </c>
      <c r="E12" s="839">
        <v>56.751010825616284</v>
      </c>
      <c r="F12" s="839">
        <v>53.108734402852058</v>
      </c>
      <c r="G12" s="839">
        <v>51.027433589843923</v>
      </c>
      <c r="H12" s="839">
        <v>50.194913264640675</v>
      </c>
      <c r="I12" s="839">
        <v>49.570523020738236</v>
      </c>
      <c r="J12" s="839">
        <v>49.258327898787016</v>
      </c>
    </row>
    <row r="13" spans="1:18">
      <c r="A13" s="838" t="s">
        <v>250</v>
      </c>
      <c r="B13" s="838" t="s">
        <v>261</v>
      </c>
      <c r="C13" s="838" t="s">
        <v>259</v>
      </c>
      <c r="D13" s="839">
        <v>80.040252430496324</v>
      </c>
      <c r="E13" s="839">
        <v>75.357325601228041</v>
      </c>
      <c r="F13" s="839">
        <v>71.715049178463815</v>
      </c>
      <c r="G13" s="839">
        <v>69.633748365455688</v>
      </c>
      <c r="H13" s="839">
        <v>68.801228040252425</v>
      </c>
      <c r="I13" s="839">
        <v>68.176837796349986</v>
      </c>
      <c r="J13" s="839">
        <v>67.86464267439878</v>
      </c>
    </row>
    <row r="14" spans="1:18">
      <c r="A14" s="838" t="s">
        <v>250</v>
      </c>
      <c r="B14" s="838" t="s">
        <v>261</v>
      </c>
      <c r="C14" s="838" t="s">
        <v>260</v>
      </c>
      <c r="D14" s="839">
        <v>108.07169253510719</v>
      </c>
      <c r="E14" s="839">
        <v>103.38876570583889</v>
      </c>
      <c r="F14" s="839">
        <v>99.746489283074666</v>
      </c>
      <c r="G14" s="839">
        <v>97.665188470066539</v>
      </c>
      <c r="H14" s="839">
        <v>96.832668144863291</v>
      </c>
      <c r="I14" s="839">
        <v>96.208277900960852</v>
      </c>
      <c r="J14" s="839">
        <v>95.896082779009632</v>
      </c>
    </row>
    <row r="15" spans="1:18">
      <c r="A15" s="838" t="s">
        <v>250</v>
      </c>
      <c r="B15" s="838" t="s">
        <v>262</v>
      </c>
      <c r="C15" s="838" t="s">
        <v>252</v>
      </c>
      <c r="D15" s="839">
        <v>37.484035423250958</v>
      </c>
      <c r="E15" s="839">
        <v>32.801108593982661</v>
      </c>
      <c r="F15" s="839">
        <v>29.158832171218435</v>
      </c>
      <c r="G15" s="839">
        <v>27.077531358210305</v>
      </c>
      <c r="H15" s="839">
        <v>26.245011033007053</v>
      </c>
      <c r="I15" s="839">
        <v>25.620620789104613</v>
      </c>
      <c r="J15" s="839">
        <v>25.308425667153394</v>
      </c>
    </row>
    <row r="16" spans="1:18">
      <c r="A16" s="838" t="s">
        <v>250</v>
      </c>
      <c r="B16" s="838" t="s">
        <v>262</v>
      </c>
      <c r="C16" s="838" t="s">
        <v>254</v>
      </c>
      <c r="D16" s="839">
        <v>41.767985156011761</v>
      </c>
      <c r="E16" s="839">
        <v>37.085058326743471</v>
      </c>
      <c r="F16" s="839">
        <v>33.442781903979238</v>
      </c>
      <c r="G16" s="839">
        <v>31.361481090971107</v>
      </c>
      <c r="H16" s="839">
        <v>30.528960765767859</v>
      </c>
      <c r="I16" s="839">
        <v>29.90457052186542</v>
      </c>
      <c r="J16" s="839">
        <v>29.5923753999142</v>
      </c>
    </row>
    <row r="17" spans="1:10">
      <c r="A17" s="838" t="s">
        <v>250</v>
      </c>
      <c r="B17" s="838" t="s">
        <v>262</v>
      </c>
      <c r="C17" s="838" t="s">
        <v>256</v>
      </c>
      <c r="D17" s="839">
        <v>47.201843610934525</v>
      </c>
      <c r="E17" s="839">
        <v>42.518916781666228</v>
      </c>
      <c r="F17" s="839">
        <v>38.876640358901994</v>
      </c>
      <c r="G17" s="839">
        <v>36.795339545893867</v>
      </c>
      <c r="H17" s="839">
        <v>35.962819220690619</v>
      </c>
      <c r="I17" s="839">
        <v>35.33842897678818</v>
      </c>
      <c r="J17" s="839">
        <v>35.02623385483696</v>
      </c>
    </row>
    <row r="18" spans="1:10">
      <c r="A18" s="838" t="s">
        <v>250</v>
      </c>
      <c r="B18" s="838" t="s">
        <v>262</v>
      </c>
      <c r="C18" s="838" t="s">
        <v>258</v>
      </c>
      <c r="D18" s="839">
        <v>56.267932406708987</v>
      </c>
      <c r="E18" s="839">
        <v>51.585005577440697</v>
      </c>
      <c r="F18" s="839">
        <v>47.942729154676471</v>
      </c>
      <c r="G18" s="839">
        <v>45.861428341668336</v>
      </c>
      <c r="H18" s="839">
        <v>45.028908016465088</v>
      </c>
      <c r="I18" s="839">
        <v>44.404517772562649</v>
      </c>
      <c r="J18" s="839">
        <v>44.092322650611429</v>
      </c>
    </row>
    <row r="19" spans="1:10">
      <c r="A19" s="838" t="s">
        <v>250</v>
      </c>
      <c r="B19" s="838" t="s">
        <v>262</v>
      </c>
      <c r="C19" s="838" t="s">
        <v>259</v>
      </c>
      <c r="D19" s="839">
        <v>72.466407206983703</v>
      </c>
      <c r="E19" s="839">
        <v>67.783480377715406</v>
      </c>
      <c r="F19" s="839">
        <v>64.14120395495118</v>
      </c>
      <c r="G19" s="839">
        <v>62.059903141943046</v>
      </c>
      <c r="H19" s="839">
        <v>61.227382816739798</v>
      </c>
      <c r="I19" s="839">
        <v>60.602992572837366</v>
      </c>
      <c r="J19" s="839">
        <v>60.290797450886139</v>
      </c>
    </row>
    <row r="20" spans="1:10">
      <c r="A20" s="838" t="s">
        <v>250</v>
      </c>
      <c r="B20" s="838" t="s">
        <v>262</v>
      </c>
      <c r="C20" s="838" t="s">
        <v>260</v>
      </c>
      <c r="D20" s="839">
        <v>97.591356167852851</v>
      </c>
      <c r="E20" s="839">
        <v>92.908429338584554</v>
      </c>
      <c r="F20" s="839">
        <v>89.266152915820342</v>
      </c>
      <c r="G20" s="839">
        <v>87.184852102812201</v>
      </c>
      <c r="H20" s="839">
        <v>86.352331777608939</v>
      </c>
      <c r="I20" s="839">
        <v>85.727941533706513</v>
      </c>
      <c r="J20" s="839">
        <v>85.415746411755293</v>
      </c>
    </row>
    <row r="21" spans="1:10">
      <c r="A21" s="838" t="s">
        <v>240</v>
      </c>
      <c r="B21" s="838" t="s">
        <v>251</v>
      </c>
      <c r="C21" s="838" t="s">
        <v>252</v>
      </c>
      <c r="D21" s="839">
        <f t="shared" ref="D21:J36" si="0">D3*$M$5</f>
        <v>55.745290159798159</v>
      </c>
      <c r="E21" s="839">
        <f t="shared" si="0"/>
        <v>49.657485281749381</v>
      </c>
      <c r="F21" s="839">
        <f t="shared" si="0"/>
        <v>44.922525932155885</v>
      </c>
      <c r="G21" s="839">
        <f t="shared" si="0"/>
        <v>42.216834875245311</v>
      </c>
      <c r="H21" s="839">
        <f t="shared" si="0"/>
        <v>41.13455845248108</v>
      </c>
      <c r="I21" s="839">
        <f t="shared" si="0"/>
        <v>40.322851135407916</v>
      </c>
      <c r="J21" s="839">
        <f t="shared" si="0"/>
        <v>39.91699747687133</v>
      </c>
    </row>
    <row r="22" spans="1:10">
      <c r="A22" s="838" t="s">
        <v>240</v>
      </c>
      <c r="B22" s="838" t="s">
        <v>251</v>
      </c>
      <c r="C22" s="838" t="s">
        <v>254</v>
      </c>
      <c r="D22" s="839">
        <f t="shared" si="0"/>
        <v>62.54796747967481</v>
      </c>
      <c r="E22" s="839">
        <f t="shared" si="0"/>
        <v>56.460162601626024</v>
      </c>
      <c r="F22" s="839">
        <f t="shared" si="0"/>
        <v>51.725203252032522</v>
      </c>
      <c r="G22" s="839">
        <f t="shared" si="0"/>
        <v>49.019512195121969</v>
      </c>
      <c r="H22" s="839">
        <f t="shared" si="0"/>
        <v>47.937235772357724</v>
      </c>
      <c r="I22" s="839">
        <f t="shared" si="0"/>
        <v>47.125528455284552</v>
      </c>
      <c r="J22" s="839">
        <f t="shared" si="0"/>
        <v>46.719674796747967</v>
      </c>
    </row>
    <row r="23" spans="1:10">
      <c r="A23" s="838" t="s">
        <v>240</v>
      </c>
      <c r="B23" s="838" t="s">
        <v>251</v>
      </c>
      <c r="C23" s="838" t="s">
        <v>256</v>
      </c>
      <c r="D23" s="839">
        <f t="shared" si="0"/>
        <v>71.127439024390256</v>
      </c>
      <c r="E23" s="839">
        <f t="shared" si="0"/>
        <v>65.03963414634147</v>
      </c>
      <c r="F23" s="839">
        <f t="shared" si="0"/>
        <v>60.304674796747975</v>
      </c>
      <c r="G23" s="839">
        <f t="shared" si="0"/>
        <v>57.598983739837408</v>
      </c>
      <c r="H23" s="839">
        <f t="shared" si="0"/>
        <v>56.516707317073177</v>
      </c>
      <c r="I23" s="839">
        <f t="shared" si="0"/>
        <v>55.705000000000005</v>
      </c>
      <c r="J23" s="839">
        <f t="shared" si="0"/>
        <v>55.29914634146342</v>
      </c>
    </row>
    <row r="24" spans="1:10">
      <c r="A24" s="838" t="s">
        <v>240</v>
      </c>
      <c r="B24" s="838" t="s">
        <v>251</v>
      </c>
      <c r="C24" s="838" t="s">
        <v>258</v>
      </c>
      <c r="D24" s="839">
        <f t="shared" si="0"/>
        <v>85.56126255380201</v>
      </c>
      <c r="E24" s="839">
        <f t="shared" si="0"/>
        <v>79.473457675753224</v>
      </c>
      <c r="F24" s="839">
        <f t="shared" si="0"/>
        <v>74.738498326159743</v>
      </c>
      <c r="G24" s="839">
        <f t="shared" si="0"/>
        <v>72.032807269249162</v>
      </c>
      <c r="H24" s="839">
        <f t="shared" si="0"/>
        <v>70.950530846484938</v>
      </c>
      <c r="I24" s="839">
        <f t="shared" si="0"/>
        <v>70.138823529411766</v>
      </c>
      <c r="J24" s="839">
        <f t="shared" si="0"/>
        <v>69.732969870875181</v>
      </c>
    </row>
    <row r="25" spans="1:10">
      <c r="A25" s="838" t="s">
        <v>240</v>
      </c>
      <c r="B25" s="838" t="s">
        <v>251</v>
      </c>
      <c r="C25" s="838" t="s">
        <v>259</v>
      </c>
      <c r="D25" s="839">
        <f t="shared" si="0"/>
        <v>111.50243902439026</v>
      </c>
      <c r="E25" s="839">
        <f t="shared" si="0"/>
        <v>105.41463414634147</v>
      </c>
      <c r="F25" s="839">
        <f t="shared" si="0"/>
        <v>100.67967479674797</v>
      </c>
      <c r="G25" s="839">
        <f t="shared" si="0"/>
        <v>97.973983739837408</v>
      </c>
      <c r="H25" s="839">
        <f t="shared" si="0"/>
        <v>96.891707317073184</v>
      </c>
      <c r="I25" s="839">
        <f t="shared" si="0"/>
        <v>96.080000000000013</v>
      </c>
      <c r="J25" s="839">
        <f t="shared" si="0"/>
        <v>95.674146341463413</v>
      </c>
    </row>
    <row r="26" spans="1:10">
      <c r="A26" s="838" t="s">
        <v>240</v>
      </c>
      <c r="B26" s="838" t="s">
        <v>251</v>
      </c>
      <c r="C26" s="838" t="s">
        <v>260</v>
      </c>
      <c r="D26" s="839">
        <f t="shared" si="0"/>
        <v>151.25447154471547</v>
      </c>
      <c r="E26" s="839">
        <f t="shared" si="0"/>
        <v>145.16666666666669</v>
      </c>
      <c r="F26" s="839">
        <f t="shared" si="0"/>
        <v>140.4317073170732</v>
      </c>
      <c r="G26" s="839">
        <f t="shared" si="0"/>
        <v>137.72601626016262</v>
      </c>
      <c r="H26" s="839">
        <f t="shared" si="0"/>
        <v>136.64373983739839</v>
      </c>
      <c r="I26" s="839">
        <f t="shared" si="0"/>
        <v>135.83203252032521</v>
      </c>
      <c r="J26" s="839">
        <f t="shared" si="0"/>
        <v>135.42617886178863</v>
      </c>
    </row>
    <row r="27" spans="1:10">
      <c r="A27" s="838" t="s">
        <v>240</v>
      </c>
      <c r="B27" s="838" t="s">
        <v>261</v>
      </c>
      <c r="C27" s="838" t="s">
        <v>252</v>
      </c>
      <c r="D27" s="839">
        <f t="shared" si="0"/>
        <v>52.405585289395219</v>
      </c>
      <c r="E27" s="839">
        <f t="shared" si="0"/>
        <v>46.31778041134644</v>
      </c>
      <c r="F27" s="839">
        <f t="shared" si="0"/>
        <v>41.582821061752938</v>
      </c>
      <c r="G27" s="839">
        <f t="shared" si="0"/>
        <v>38.877130004842364</v>
      </c>
      <c r="H27" s="839">
        <f t="shared" si="0"/>
        <v>37.794853582078147</v>
      </c>
      <c r="I27" s="839">
        <f t="shared" si="0"/>
        <v>36.983146265004976</v>
      </c>
      <c r="J27" s="839">
        <f t="shared" si="0"/>
        <v>36.57729260646839</v>
      </c>
    </row>
    <row r="28" spans="1:10">
      <c r="A28" s="838" t="s">
        <v>240</v>
      </c>
      <c r="B28" s="838" t="s">
        <v>261</v>
      </c>
      <c r="C28" s="838" t="s">
        <v>254</v>
      </c>
      <c r="D28" s="839">
        <f t="shared" si="0"/>
        <v>58.673909830007403</v>
      </c>
      <c r="E28" s="839">
        <f t="shared" si="0"/>
        <v>52.586104951958617</v>
      </c>
      <c r="F28" s="839">
        <f t="shared" si="0"/>
        <v>47.851145602365122</v>
      </c>
      <c r="G28" s="839">
        <f t="shared" si="0"/>
        <v>45.145454545454548</v>
      </c>
      <c r="H28" s="839">
        <f t="shared" si="0"/>
        <v>44.063178122690324</v>
      </c>
      <c r="I28" s="839">
        <f t="shared" si="0"/>
        <v>43.251470805617153</v>
      </c>
      <c r="J28" s="839">
        <f t="shared" si="0"/>
        <v>42.845617147080567</v>
      </c>
    </row>
    <row r="29" spans="1:10">
      <c r="A29" s="838" t="s">
        <v>240</v>
      </c>
      <c r="B29" s="838" t="s">
        <v>261</v>
      </c>
      <c r="C29" s="838" t="s">
        <v>256</v>
      </c>
      <c r="D29" s="839">
        <f t="shared" si="0"/>
        <v>66.515465631929047</v>
      </c>
      <c r="E29" s="839">
        <f t="shared" si="0"/>
        <v>60.427660753880261</v>
      </c>
      <c r="F29" s="839">
        <f t="shared" si="0"/>
        <v>55.692701404286758</v>
      </c>
      <c r="G29" s="839">
        <f t="shared" si="0"/>
        <v>52.987010347376192</v>
      </c>
      <c r="H29" s="839">
        <f t="shared" si="0"/>
        <v>51.904733924611968</v>
      </c>
      <c r="I29" s="839">
        <f t="shared" si="0"/>
        <v>51.093026607538796</v>
      </c>
      <c r="J29" s="839">
        <f t="shared" si="0"/>
        <v>50.68717294900221</v>
      </c>
    </row>
    <row r="30" spans="1:10">
      <c r="A30" s="838" t="s">
        <v>240</v>
      </c>
      <c r="B30" s="838" t="s">
        <v>261</v>
      </c>
      <c r="C30" s="838" t="s">
        <v>258</v>
      </c>
      <c r="D30" s="839">
        <f t="shared" si="0"/>
        <v>79.864118951349951</v>
      </c>
      <c r="E30" s="839">
        <f t="shared" si="0"/>
        <v>73.776314073301165</v>
      </c>
      <c r="F30" s="839">
        <f t="shared" si="0"/>
        <v>69.041354723707684</v>
      </c>
      <c r="G30" s="839">
        <f t="shared" si="0"/>
        <v>66.335663666797103</v>
      </c>
      <c r="H30" s="839">
        <f t="shared" si="0"/>
        <v>65.253387244032879</v>
      </c>
      <c r="I30" s="839">
        <f t="shared" si="0"/>
        <v>64.441679926959708</v>
      </c>
      <c r="J30" s="839">
        <f t="shared" si="0"/>
        <v>64.035826268423122</v>
      </c>
    </row>
    <row r="31" spans="1:10">
      <c r="A31" s="838" t="s">
        <v>240</v>
      </c>
      <c r="B31" s="838" t="s">
        <v>261</v>
      </c>
      <c r="C31" s="838" t="s">
        <v>259</v>
      </c>
      <c r="D31" s="839">
        <f t="shared" si="0"/>
        <v>104.05232815964523</v>
      </c>
      <c r="E31" s="839">
        <f t="shared" si="0"/>
        <v>97.964523281596456</v>
      </c>
      <c r="F31" s="839">
        <f t="shared" si="0"/>
        <v>93.229563932002961</v>
      </c>
      <c r="G31" s="839">
        <f t="shared" si="0"/>
        <v>90.523872875092394</v>
      </c>
      <c r="H31" s="839">
        <f t="shared" si="0"/>
        <v>89.441596452328156</v>
      </c>
      <c r="I31" s="839">
        <f t="shared" si="0"/>
        <v>88.629889135254984</v>
      </c>
      <c r="J31" s="839">
        <f t="shared" si="0"/>
        <v>88.224035476718413</v>
      </c>
    </row>
    <row r="32" spans="1:10">
      <c r="A32" s="838" t="s">
        <v>240</v>
      </c>
      <c r="B32" s="838" t="s">
        <v>261</v>
      </c>
      <c r="C32" s="838" t="s">
        <v>260</v>
      </c>
      <c r="D32" s="839">
        <f t="shared" si="0"/>
        <v>140.49320029563935</v>
      </c>
      <c r="E32" s="839">
        <f t="shared" si="0"/>
        <v>134.40539541759057</v>
      </c>
      <c r="F32" s="839">
        <f t="shared" si="0"/>
        <v>129.67043606799706</v>
      </c>
      <c r="G32" s="839">
        <f t="shared" si="0"/>
        <v>126.96474501108651</v>
      </c>
      <c r="H32" s="839">
        <f t="shared" si="0"/>
        <v>125.88246858832228</v>
      </c>
      <c r="I32" s="839">
        <f t="shared" si="0"/>
        <v>125.07076127124911</v>
      </c>
      <c r="J32" s="839">
        <f t="shared" si="0"/>
        <v>124.66490761271253</v>
      </c>
    </row>
    <row r="33" spans="1:10">
      <c r="A33" s="838" t="s">
        <v>240</v>
      </c>
      <c r="B33" s="838" t="s">
        <v>262</v>
      </c>
      <c r="C33" s="838" t="s">
        <v>252</v>
      </c>
      <c r="D33" s="839">
        <f t="shared" si="0"/>
        <v>48.729246050226244</v>
      </c>
      <c r="E33" s="839">
        <f t="shared" si="0"/>
        <v>42.641441172177458</v>
      </c>
      <c r="F33" s="839">
        <f t="shared" si="0"/>
        <v>37.90648182258397</v>
      </c>
      <c r="G33" s="839">
        <f t="shared" si="0"/>
        <v>35.200790765673396</v>
      </c>
      <c r="H33" s="839">
        <f t="shared" si="0"/>
        <v>34.118514342909172</v>
      </c>
      <c r="I33" s="839">
        <f t="shared" si="0"/>
        <v>33.306807025836001</v>
      </c>
      <c r="J33" s="839">
        <f t="shared" si="0"/>
        <v>32.900953367299415</v>
      </c>
    </row>
    <row r="34" spans="1:10">
      <c r="A34" s="838" t="s">
        <v>240</v>
      </c>
      <c r="B34" s="838" t="s">
        <v>262</v>
      </c>
      <c r="C34" s="838" t="s">
        <v>254</v>
      </c>
      <c r="D34" s="839">
        <f t="shared" si="0"/>
        <v>54.298380702815294</v>
      </c>
      <c r="E34" s="839">
        <f t="shared" si="0"/>
        <v>48.210575824766515</v>
      </c>
      <c r="F34" s="839">
        <f t="shared" si="0"/>
        <v>43.475616475173013</v>
      </c>
      <c r="G34" s="839">
        <f t="shared" si="0"/>
        <v>40.769925418262439</v>
      </c>
      <c r="H34" s="839">
        <f t="shared" si="0"/>
        <v>39.687648995498222</v>
      </c>
      <c r="I34" s="839">
        <f t="shared" si="0"/>
        <v>38.87594167842505</v>
      </c>
      <c r="J34" s="839">
        <f t="shared" si="0"/>
        <v>38.470088019888465</v>
      </c>
    </row>
    <row r="35" spans="1:10">
      <c r="A35" s="838" t="s">
        <v>240</v>
      </c>
      <c r="B35" s="838" t="s">
        <v>262</v>
      </c>
      <c r="C35" s="838" t="s">
        <v>256</v>
      </c>
      <c r="D35" s="839">
        <f t="shared" si="0"/>
        <v>61.362396694214887</v>
      </c>
      <c r="E35" s="839">
        <f t="shared" si="0"/>
        <v>55.274591816166101</v>
      </c>
      <c r="F35" s="839">
        <f t="shared" si="0"/>
        <v>50.539632466572591</v>
      </c>
      <c r="G35" s="839">
        <f t="shared" si="0"/>
        <v>47.833941409662032</v>
      </c>
      <c r="H35" s="839">
        <f t="shared" si="0"/>
        <v>46.751664986897808</v>
      </c>
      <c r="I35" s="839">
        <f t="shared" si="0"/>
        <v>45.939957669824636</v>
      </c>
      <c r="J35" s="839">
        <f t="shared" si="0"/>
        <v>45.534104011288051</v>
      </c>
    </row>
    <row r="36" spans="1:10" ht="15.75" thickBot="1">
      <c r="A36" s="838" t="s">
        <v>240</v>
      </c>
      <c r="B36" s="838" t="s">
        <v>262</v>
      </c>
      <c r="C36" s="838" t="s">
        <v>258</v>
      </c>
      <c r="D36" s="840">
        <f t="shared" si="0"/>
        <v>73.148312128721685</v>
      </c>
      <c r="E36" s="839">
        <f t="shared" si="0"/>
        <v>67.060507250672913</v>
      </c>
      <c r="F36" s="839">
        <f t="shared" si="0"/>
        <v>62.32554790107941</v>
      </c>
      <c r="G36" s="839">
        <f t="shared" si="0"/>
        <v>59.619856844168837</v>
      </c>
      <c r="H36" s="839">
        <f t="shared" si="0"/>
        <v>58.53758042140462</v>
      </c>
      <c r="I36" s="839">
        <f t="shared" si="0"/>
        <v>57.725873104331448</v>
      </c>
      <c r="J36" s="839">
        <f t="shared" si="0"/>
        <v>57.320019445794863</v>
      </c>
    </row>
    <row r="37" spans="1:10" ht="15.75" thickBot="1">
      <c r="A37" s="838" t="s">
        <v>240</v>
      </c>
      <c r="B37" s="838" t="s">
        <v>262</v>
      </c>
      <c r="C37" s="841" t="s">
        <v>259</v>
      </c>
      <c r="D37" s="842">
        <f t="shared" ref="D37:J38" si="1">D19*$M$5</f>
        <v>94.206329369078816</v>
      </c>
      <c r="E37" s="843">
        <f t="shared" si="1"/>
        <v>88.11852449103003</v>
      </c>
      <c r="F37" s="839">
        <f t="shared" si="1"/>
        <v>83.383565141436534</v>
      </c>
      <c r="G37" s="839">
        <f t="shared" si="1"/>
        <v>80.677874084525968</v>
      </c>
      <c r="H37" s="839">
        <f t="shared" si="1"/>
        <v>79.595597661761744</v>
      </c>
      <c r="I37" s="839">
        <f t="shared" si="1"/>
        <v>78.783890344688572</v>
      </c>
      <c r="J37" s="839">
        <f t="shared" si="1"/>
        <v>78.378036686151987</v>
      </c>
    </row>
    <row r="38" spans="1:10">
      <c r="A38" s="838" t="s">
        <v>240</v>
      </c>
      <c r="B38" s="838" t="s">
        <v>262</v>
      </c>
      <c r="C38" s="838" t="s">
        <v>260</v>
      </c>
      <c r="D38" s="844">
        <f t="shared" si="1"/>
        <v>126.86876301820871</v>
      </c>
      <c r="E38" s="839">
        <f t="shared" si="1"/>
        <v>120.78095814015992</v>
      </c>
      <c r="F38" s="839">
        <f t="shared" si="1"/>
        <v>116.04599879056644</v>
      </c>
      <c r="G38" s="839">
        <f t="shared" si="1"/>
        <v>113.34030773365586</v>
      </c>
      <c r="H38" s="839">
        <f t="shared" si="1"/>
        <v>112.25803131089162</v>
      </c>
      <c r="I38" s="839">
        <f t="shared" si="1"/>
        <v>111.44632399381847</v>
      </c>
      <c r="J38" s="839">
        <f t="shared" si="1"/>
        <v>111.04047033528188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0A46-A4DE-463B-8661-9958435B2F13}">
  <sheetPr>
    <tabColor theme="1"/>
  </sheetPr>
  <dimension ref="A2:N34"/>
  <sheetViews>
    <sheetView topLeftCell="C9" workbookViewId="0">
      <selection activeCell="E29" sqref="E29"/>
    </sheetView>
  </sheetViews>
  <sheetFormatPr defaultRowHeight="15"/>
  <cols>
    <col min="2" max="2" width="35.7109375" bestFit="1" customWidth="1"/>
    <col min="3" max="3" width="33.140625" bestFit="1" customWidth="1"/>
    <col min="4" max="4" width="38.85546875" bestFit="1" customWidth="1"/>
    <col min="5" max="5" width="16.7109375" bestFit="1" customWidth="1"/>
    <col min="6" max="6" width="14.42578125" bestFit="1" customWidth="1"/>
    <col min="7" max="8" width="10.85546875" bestFit="1" customWidth="1"/>
    <col min="9" max="9" width="12.5703125" bestFit="1" customWidth="1"/>
    <col min="10" max="11" width="10.42578125" bestFit="1" customWidth="1"/>
    <col min="13" max="13" width="15.5703125" bestFit="1" customWidth="1"/>
    <col min="14" max="14" width="51.5703125" bestFit="1" customWidth="1"/>
    <col min="15" max="15" width="14.42578125" bestFit="1" customWidth="1"/>
    <col min="16" max="20" width="11.140625" customWidth="1"/>
    <col min="21" max="21" width="9.42578125" bestFit="1" customWidth="1"/>
  </cols>
  <sheetData>
    <row r="2" spans="1:14" ht="15.75" thickBot="1">
      <c r="A2" s="845" t="s">
        <v>222</v>
      </c>
      <c r="B2" s="845" t="s">
        <v>204</v>
      </c>
      <c r="C2" s="845" t="s">
        <v>223</v>
      </c>
      <c r="D2" s="846" t="s">
        <v>224</v>
      </c>
      <c r="E2" s="846" t="s">
        <v>1266</v>
      </c>
      <c r="F2" s="846" t="s">
        <v>1267</v>
      </c>
      <c r="G2" s="846" t="s">
        <v>1268</v>
      </c>
      <c r="H2" s="846" t="s">
        <v>244</v>
      </c>
      <c r="I2" s="846" t="s">
        <v>245</v>
      </c>
      <c r="J2" s="846" t="s">
        <v>246</v>
      </c>
      <c r="K2" s="846" t="s">
        <v>1269</v>
      </c>
      <c r="M2" s="38" t="s">
        <v>232</v>
      </c>
    </row>
    <row r="3" spans="1:14" ht="15.75" thickTop="1">
      <c r="A3" s="1019" t="s">
        <v>1270</v>
      </c>
      <c r="B3" t="s">
        <v>1271</v>
      </c>
      <c r="C3" s="847" t="s">
        <v>1272</v>
      </c>
      <c r="D3" s="848">
        <v>83.38</v>
      </c>
      <c r="E3" s="848">
        <v>74.38</v>
      </c>
      <c r="F3" s="848">
        <v>65.38</v>
      </c>
      <c r="G3" s="848">
        <v>61.78</v>
      </c>
      <c r="H3" s="848">
        <v>60.58</v>
      </c>
      <c r="I3" s="848">
        <v>59.98</v>
      </c>
      <c r="J3" s="848">
        <v>59.62</v>
      </c>
      <c r="K3" s="848">
        <v>59.39</v>
      </c>
      <c r="M3" s="849">
        <v>1.3</v>
      </c>
      <c r="N3" s="10" t="s">
        <v>233</v>
      </c>
    </row>
    <row r="4" spans="1:14">
      <c r="A4" s="1020"/>
      <c r="B4" t="s">
        <v>1271</v>
      </c>
      <c r="C4" s="847" t="s">
        <v>234</v>
      </c>
      <c r="D4" s="850">
        <v>116.73</v>
      </c>
      <c r="E4" s="850">
        <v>104.13</v>
      </c>
      <c r="F4" s="850">
        <v>91.53</v>
      </c>
      <c r="G4" s="850">
        <v>86.49</v>
      </c>
      <c r="H4" s="850">
        <v>84.81</v>
      </c>
      <c r="I4" s="850">
        <v>83.97</v>
      </c>
      <c r="J4" s="850">
        <v>83.46</v>
      </c>
      <c r="K4" s="850">
        <v>83.14</v>
      </c>
      <c r="M4" s="849">
        <v>1.5</v>
      </c>
      <c r="N4" s="10" t="s">
        <v>235</v>
      </c>
    </row>
    <row r="5" spans="1:14">
      <c r="A5" s="1020"/>
      <c r="B5" t="s">
        <v>1271</v>
      </c>
      <c r="C5" s="847" t="s">
        <v>1273</v>
      </c>
      <c r="D5" s="850">
        <v>149.15</v>
      </c>
      <c r="E5" s="850">
        <v>133.05000000000001</v>
      </c>
      <c r="F5" s="850">
        <v>116.95</v>
      </c>
      <c r="G5" s="850">
        <v>110.51</v>
      </c>
      <c r="H5" s="850">
        <v>108.36</v>
      </c>
      <c r="I5" s="850">
        <v>107.29</v>
      </c>
      <c r="J5" s="850">
        <v>106.64</v>
      </c>
      <c r="K5" s="850">
        <v>106.24</v>
      </c>
    </row>
    <row r="6" spans="1:14">
      <c r="A6" s="1020"/>
      <c r="B6" t="s">
        <v>1271</v>
      </c>
      <c r="C6" s="847" t="s">
        <v>1274</v>
      </c>
      <c r="D6" s="848"/>
      <c r="E6" s="848"/>
      <c r="F6" s="848"/>
      <c r="G6" s="848"/>
      <c r="H6" s="848"/>
      <c r="I6" s="848"/>
      <c r="J6" s="848"/>
      <c r="K6" s="848"/>
    </row>
    <row r="7" spans="1:14">
      <c r="A7" s="1020"/>
      <c r="B7" t="s">
        <v>1271</v>
      </c>
      <c r="C7" s="847" t="s">
        <v>236</v>
      </c>
      <c r="D7" s="848">
        <v>196.44</v>
      </c>
      <c r="E7" s="848">
        <v>154.37</v>
      </c>
      <c r="F7" s="848">
        <v>112.29</v>
      </c>
      <c r="G7" s="848">
        <v>95.46</v>
      </c>
      <c r="H7" s="848">
        <v>89.85</v>
      </c>
      <c r="I7" s="848">
        <v>87.05</v>
      </c>
      <c r="J7" s="848">
        <v>85.36</v>
      </c>
      <c r="K7" s="848">
        <v>84.3</v>
      </c>
    </row>
    <row r="8" spans="1:14">
      <c r="A8" s="1020"/>
      <c r="B8" t="s">
        <v>1271</v>
      </c>
      <c r="C8" s="847" t="s">
        <v>237</v>
      </c>
      <c r="D8" s="848">
        <v>227.42</v>
      </c>
      <c r="E8" s="848">
        <v>177.02</v>
      </c>
      <c r="F8" s="848">
        <v>126.62</v>
      </c>
      <c r="G8" s="848">
        <v>106.46</v>
      </c>
      <c r="H8" s="848">
        <v>99.74</v>
      </c>
      <c r="I8" s="848">
        <v>96.38</v>
      </c>
      <c r="J8" s="848">
        <v>94.36</v>
      </c>
      <c r="K8" s="848">
        <v>93.09</v>
      </c>
    </row>
    <row r="9" spans="1:14">
      <c r="A9" s="1020"/>
      <c r="B9" t="s">
        <v>1271</v>
      </c>
      <c r="C9" s="847" t="s">
        <v>238</v>
      </c>
      <c r="D9" s="848">
        <v>276.20999999999998</v>
      </c>
      <c r="E9" s="848">
        <v>209.16</v>
      </c>
      <c r="F9" s="848">
        <v>142.11000000000001</v>
      </c>
      <c r="G9" s="848">
        <v>115.29</v>
      </c>
      <c r="H9" s="848">
        <v>106.35</v>
      </c>
      <c r="I9" s="848">
        <v>101.88</v>
      </c>
      <c r="J9" s="848">
        <v>99.2</v>
      </c>
      <c r="K9" s="848">
        <v>97.5</v>
      </c>
    </row>
    <row r="10" spans="1:14">
      <c r="A10" s="1020"/>
      <c r="B10" t="s">
        <v>1271</v>
      </c>
      <c r="C10" s="847" t="s">
        <v>239</v>
      </c>
      <c r="D10" s="848">
        <v>34.92</v>
      </c>
      <c r="E10" s="848">
        <v>30.42</v>
      </c>
      <c r="F10" s="848">
        <v>25.92</v>
      </c>
      <c r="G10" s="848">
        <v>24.12</v>
      </c>
      <c r="H10" s="848">
        <v>23.52</v>
      </c>
      <c r="I10" s="848">
        <v>23.22</v>
      </c>
      <c r="J10" s="848">
        <v>23.04</v>
      </c>
      <c r="K10" s="848">
        <v>22.92</v>
      </c>
    </row>
    <row r="11" spans="1:14">
      <c r="A11" s="1020"/>
      <c r="B11" t="s">
        <v>1275</v>
      </c>
      <c r="C11" s="847" t="s">
        <v>1272</v>
      </c>
      <c r="D11" s="848">
        <v>83.375</v>
      </c>
      <c r="E11" s="848">
        <v>74.38</v>
      </c>
      <c r="F11" s="848">
        <v>65.38</v>
      </c>
      <c r="G11" s="848">
        <v>61.78</v>
      </c>
      <c r="H11" s="848">
        <v>60.58</v>
      </c>
      <c r="I11" s="848">
        <v>59.98</v>
      </c>
      <c r="J11" s="848">
        <v>59.62</v>
      </c>
      <c r="K11" s="848">
        <v>59.39</v>
      </c>
    </row>
    <row r="12" spans="1:14">
      <c r="A12" s="1020"/>
      <c r="B12" t="s">
        <v>1275</v>
      </c>
      <c r="C12" s="847" t="s">
        <v>234</v>
      </c>
      <c r="D12" s="850">
        <v>116.73</v>
      </c>
      <c r="E12" s="850">
        <v>104.13</v>
      </c>
      <c r="F12" s="850">
        <v>91.53</v>
      </c>
      <c r="G12" s="850">
        <v>86.49</v>
      </c>
      <c r="H12" s="850">
        <v>84.81</v>
      </c>
      <c r="I12" s="850">
        <v>83.97</v>
      </c>
      <c r="J12" s="850">
        <v>83.46</v>
      </c>
      <c r="K12" s="850">
        <v>83.14</v>
      </c>
    </row>
    <row r="13" spans="1:14">
      <c r="A13" s="1020"/>
      <c r="B13" t="s">
        <v>1275</v>
      </c>
      <c r="C13" s="847" t="s">
        <v>1273</v>
      </c>
      <c r="D13" s="850">
        <v>149.15</v>
      </c>
      <c r="E13" s="850">
        <v>133.05000000000001</v>
      </c>
      <c r="F13" s="850">
        <v>116.95</v>
      </c>
      <c r="G13" s="850">
        <v>110.51</v>
      </c>
      <c r="H13" s="850">
        <v>108.36</v>
      </c>
      <c r="I13" s="850">
        <v>107.29</v>
      </c>
      <c r="J13" s="850">
        <v>106.64</v>
      </c>
      <c r="K13" s="850">
        <v>106.24</v>
      </c>
    </row>
    <row r="14" spans="1:14">
      <c r="A14" s="1020"/>
      <c r="B14" t="s">
        <v>1275</v>
      </c>
      <c r="C14" s="847" t="s">
        <v>1274</v>
      </c>
    </row>
    <row r="15" spans="1:14">
      <c r="A15" s="1020"/>
      <c r="B15" t="s">
        <v>1275</v>
      </c>
      <c r="C15" s="847" t="s">
        <v>236</v>
      </c>
      <c r="D15" s="848">
        <v>215.03701851851852</v>
      </c>
      <c r="E15" s="848">
        <v>172.96201851851851</v>
      </c>
      <c r="F15" s="848">
        <v>130.88701851851852</v>
      </c>
      <c r="G15" s="848">
        <v>114.0570185185185</v>
      </c>
      <c r="H15" s="848">
        <v>108.44701851851852</v>
      </c>
      <c r="I15" s="848">
        <v>105.64201851851851</v>
      </c>
      <c r="J15" s="848">
        <v>103.95901851851852</v>
      </c>
      <c r="K15" s="848">
        <v>102.89311851851852</v>
      </c>
    </row>
    <row r="16" spans="1:14">
      <c r="A16" s="1020"/>
      <c r="B16" t="s">
        <v>1275</v>
      </c>
      <c r="C16" s="847" t="s">
        <v>237</v>
      </c>
      <c r="D16" s="848">
        <v>251.32801851851852</v>
      </c>
      <c r="E16" s="848">
        <v>200.92801851851854</v>
      </c>
      <c r="F16" s="848">
        <v>150.52801851851854</v>
      </c>
      <c r="G16" s="848">
        <v>130.36801851851851</v>
      </c>
      <c r="H16" s="848">
        <v>123.64801851851851</v>
      </c>
      <c r="I16" s="848">
        <v>120.28801851851853</v>
      </c>
      <c r="J16" s="848">
        <v>118.27201851851852</v>
      </c>
      <c r="K16" s="848">
        <v>116.99521851851853</v>
      </c>
    </row>
    <row r="17" spans="1:11">
      <c r="A17" s="1020"/>
      <c r="B17" t="s">
        <v>1275</v>
      </c>
      <c r="C17" s="847" t="s">
        <v>238</v>
      </c>
      <c r="D17" s="848">
        <v>302.77351851851847</v>
      </c>
      <c r="E17" s="848">
        <v>235.72351851851852</v>
      </c>
      <c r="F17" s="848">
        <v>168.67351851851851</v>
      </c>
      <c r="G17" s="848">
        <v>141.85351851851851</v>
      </c>
      <c r="H17" s="848">
        <v>132.91351851851852</v>
      </c>
      <c r="I17" s="848">
        <v>128.44351851851852</v>
      </c>
      <c r="J17" s="848">
        <v>125.76151851851851</v>
      </c>
      <c r="K17" s="848">
        <v>124.06291851851852</v>
      </c>
    </row>
    <row r="18" spans="1:11">
      <c r="A18" s="1020"/>
      <c r="B18" t="s">
        <v>1275</v>
      </c>
      <c r="C18" s="847" t="s">
        <v>239</v>
      </c>
      <c r="D18" s="848">
        <v>34.916666666666671</v>
      </c>
      <c r="E18" s="848">
        <v>30.416666666666668</v>
      </c>
      <c r="F18" s="848">
        <v>25.916666666666668</v>
      </c>
      <c r="G18" s="848">
        <v>24.116666666666667</v>
      </c>
      <c r="H18" s="848">
        <v>23.516666666666666</v>
      </c>
      <c r="I18" s="848">
        <v>23.216666666666669</v>
      </c>
      <c r="J18" s="848">
        <v>23.036666666666669</v>
      </c>
      <c r="K18" s="848">
        <v>22.922666666666668</v>
      </c>
    </row>
    <row r="19" spans="1:11">
      <c r="A19" s="1020" t="s">
        <v>240</v>
      </c>
      <c r="B19" t="s">
        <v>1271</v>
      </c>
      <c r="C19" s="851" t="s">
        <v>1272</v>
      </c>
      <c r="D19" s="9">
        <f>D3*$M$3</f>
        <v>108.39399999999999</v>
      </c>
      <c r="E19" s="9">
        <f t="shared" ref="E19:K19" si="0">E3*$M$3</f>
        <v>96.694000000000003</v>
      </c>
      <c r="F19" s="9">
        <f t="shared" si="0"/>
        <v>84.994</v>
      </c>
      <c r="G19" s="9">
        <f t="shared" si="0"/>
        <v>80.314000000000007</v>
      </c>
      <c r="H19" s="9">
        <f t="shared" si="0"/>
        <v>78.754000000000005</v>
      </c>
      <c r="I19" s="9">
        <f t="shared" si="0"/>
        <v>77.974000000000004</v>
      </c>
      <c r="J19" s="9">
        <f t="shared" si="0"/>
        <v>77.506</v>
      </c>
      <c r="K19" s="9">
        <f t="shared" si="0"/>
        <v>77.207000000000008</v>
      </c>
    </row>
    <row r="20" spans="1:11">
      <c r="A20" s="1020"/>
      <c r="B20" t="s">
        <v>1271</v>
      </c>
      <c r="C20" s="851" t="s">
        <v>234</v>
      </c>
      <c r="D20" s="9">
        <f t="shared" ref="D20:K34" si="1">D4*$M$3</f>
        <v>151.74900000000002</v>
      </c>
      <c r="E20" s="9">
        <f t="shared" si="1"/>
        <v>135.369</v>
      </c>
      <c r="F20" s="9">
        <f t="shared" si="1"/>
        <v>118.989</v>
      </c>
      <c r="G20" s="9">
        <f t="shared" si="1"/>
        <v>112.437</v>
      </c>
      <c r="H20" s="9">
        <f t="shared" si="1"/>
        <v>110.253</v>
      </c>
      <c r="I20" s="9">
        <f t="shared" si="1"/>
        <v>109.161</v>
      </c>
      <c r="J20" s="9">
        <f t="shared" si="1"/>
        <v>108.49799999999999</v>
      </c>
      <c r="K20" s="9">
        <f t="shared" si="1"/>
        <v>108.08200000000001</v>
      </c>
    </row>
    <row r="21" spans="1:11">
      <c r="A21" s="1020"/>
      <c r="B21" t="s">
        <v>1271</v>
      </c>
      <c r="C21" s="851" t="s">
        <v>1273</v>
      </c>
      <c r="D21" s="9">
        <f t="shared" si="1"/>
        <v>193.89500000000001</v>
      </c>
      <c r="E21" s="9">
        <f t="shared" si="1"/>
        <v>172.96500000000003</v>
      </c>
      <c r="F21" s="9">
        <f t="shared" si="1"/>
        <v>152.035</v>
      </c>
      <c r="G21" s="9">
        <f t="shared" si="1"/>
        <v>143.66300000000001</v>
      </c>
      <c r="H21" s="9">
        <f t="shared" si="1"/>
        <v>140.86799999999999</v>
      </c>
      <c r="I21" s="9">
        <f t="shared" si="1"/>
        <v>139.477</v>
      </c>
      <c r="J21" s="9">
        <f t="shared" si="1"/>
        <v>138.63200000000001</v>
      </c>
      <c r="K21" s="9">
        <f t="shared" si="1"/>
        <v>138.11199999999999</v>
      </c>
    </row>
    <row r="22" spans="1:11">
      <c r="A22" s="1020"/>
      <c r="B22" t="s">
        <v>1271</v>
      </c>
      <c r="C22" s="851" t="s">
        <v>1274</v>
      </c>
      <c r="D22" s="9">
        <f t="shared" si="1"/>
        <v>0</v>
      </c>
      <c r="E22" s="9">
        <f t="shared" si="1"/>
        <v>0</v>
      </c>
      <c r="F22" s="9">
        <f t="shared" si="1"/>
        <v>0</v>
      </c>
      <c r="G22" s="9">
        <f t="shared" si="1"/>
        <v>0</v>
      </c>
      <c r="H22" s="9">
        <f t="shared" si="1"/>
        <v>0</v>
      </c>
      <c r="I22" s="9">
        <f t="shared" si="1"/>
        <v>0</v>
      </c>
      <c r="J22" s="9">
        <f t="shared" si="1"/>
        <v>0</v>
      </c>
      <c r="K22" s="9">
        <f t="shared" si="1"/>
        <v>0</v>
      </c>
    </row>
    <row r="23" spans="1:11">
      <c r="A23" s="1020"/>
      <c r="B23" t="s">
        <v>1271</v>
      </c>
      <c r="C23" s="851" t="s">
        <v>236</v>
      </c>
      <c r="D23" s="9">
        <f>D7*$M$4</f>
        <v>294.65999999999997</v>
      </c>
      <c r="E23" s="9">
        <f>E7*$M$4</f>
        <v>231.55500000000001</v>
      </c>
      <c r="F23" s="9">
        <f>F7*$M$4</f>
        <v>168.435</v>
      </c>
      <c r="G23" s="9">
        <f t="shared" ref="G23:K23" si="2">G7*$M$4</f>
        <v>143.19</v>
      </c>
      <c r="H23" s="9">
        <f t="shared" si="2"/>
        <v>134.77499999999998</v>
      </c>
      <c r="I23" s="9">
        <f t="shared" si="2"/>
        <v>130.57499999999999</v>
      </c>
      <c r="J23" s="9">
        <f t="shared" si="2"/>
        <v>128.04</v>
      </c>
      <c r="K23" s="9">
        <f t="shared" si="2"/>
        <v>126.44999999999999</v>
      </c>
    </row>
    <row r="24" spans="1:11">
      <c r="A24" s="1020"/>
      <c r="B24" t="s">
        <v>1271</v>
      </c>
      <c r="C24" s="851" t="s">
        <v>237</v>
      </c>
      <c r="D24" s="9">
        <f t="shared" ref="D24:K25" si="3">D8*$M$4</f>
        <v>341.13</v>
      </c>
      <c r="E24" s="9">
        <f t="shared" si="3"/>
        <v>265.53000000000003</v>
      </c>
      <c r="F24" s="9">
        <f t="shared" si="3"/>
        <v>189.93</v>
      </c>
      <c r="G24" s="9">
        <f t="shared" si="3"/>
        <v>159.69</v>
      </c>
      <c r="H24" s="9">
        <f t="shared" si="3"/>
        <v>149.60999999999999</v>
      </c>
      <c r="I24" s="9">
        <f t="shared" si="3"/>
        <v>144.57</v>
      </c>
      <c r="J24" s="9">
        <f t="shared" si="3"/>
        <v>141.54</v>
      </c>
      <c r="K24" s="9">
        <f t="shared" si="3"/>
        <v>139.63499999999999</v>
      </c>
    </row>
    <row r="25" spans="1:11">
      <c r="A25" s="1020"/>
      <c r="B25" t="s">
        <v>1271</v>
      </c>
      <c r="C25" s="851" t="s">
        <v>238</v>
      </c>
      <c r="D25" s="9">
        <f t="shared" si="3"/>
        <v>414.31499999999994</v>
      </c>
      <c r="E25" s="9">
        <f t="shared" si="3"/>
        <v>313.74</v>
      </c>
      <c r="F25" s="9">
        <f t="shared" si="3"/>
        <v>213.16500000000002</v>
      </c>
      <c r="G25" s="9">
        <f t="shared" si="3"/>
        <v>172.935</v>
      </c>
      <c r="H25" s="9">
        <f t="shared" si="3"/>
        <v>159.52499999999998</v>
      </c>
      <c r="I25" s="9">
        <f t="shared" si="3"/>
        <v>152.82</v>
      </c>
      <c r="J25" s="9">
        <f t="shared" si="3"/>
        <v>148.80000000000001</v>
      </c>
      <c r="K25" s="9">
        <f t="shared" si="3"/>
        <v>146.25</v>
      </c>
    </row>
    <row r="26" spans="1:11">
      <c r="A26" s="1020"/>
      <c r="B26" t="s">
        <v>1271</v>
      </c>
      <c r="C26" s="851" t="s">
        <v>239</v>
      </c>
      <c r="D26" s="9">
        <f t="shared" si="1"/>
        <v>45.396000000000001</v>
      </c>
      <c r="E26" s="9">
        <f t="shared" si="1"/>
        <v>39.546000000000006</v>
      </c>
      <c r="F26" s="9">
        <f t="shared" si="1"/>
        <v>33.696000000000005</v>
      </c>
      <c r="G26" s="9">
        <f t="shared" si="1"/>
        <v>31.356000000000002</v>
      </c>
      <c r="H26" s="9">
        <f t="shared" si="1"/>
        <v>30.576000000000001</v>
      </c>
      <c r="I26" s="9">
        <f t="shared" si="1"/>
        <v>30.186</v>
      </c>
      <c r="J26" s="9">
        <f t="shared" si="1"/>
        <v>29.951999999999998</v>
      </c>
      <c r="K26" s="9">
        <f t="shared" si="1"/>
        <v>29.796000000000003</v>
      </c>
    </row>
    <row r="27" spans="1:11">
      <c r="A27" s="1020"/>
      <c r="B27" t="s">
        <v>1275</v>
      </c>
      <c r="C27" s="851" t="s">
        <v>1272</v>
      </c>
      <c r="D27" s="9">
        <f t="shared" si="1"/>
        <v>108.3875</v>
      </c>
      <c r="E27" s="9">
        <f t="shared" si="1"/>
        <v>96.694000000000003</v>
      </c>
      <c r="F27" s="9">
        <f t="shared" si="1"/>
        <v>84.994</v>
      </c>
      <c r="G27" s="9">
        <f t="shared" si="1"/>
        <v>80.314000000000007</v>
      </c>
      <c r="H27" s="9">
        <f t="shared" si="1"/>
        <v>78.754000000000005</v>
      </c>
      <c r="I27" s="9">
        <f t="shared" si="1"/>
        <v>77.974000000000004</v>
      </c>
      <c r="J27" s="9">
        <f t="shared" si="1"/>
        <v>77.506</v>
      </c>
      <c r="K27" s="9">
        <f t="shared" si="1"/>
        <v>77.207000000000008</v>
      </c>
    </row>
    <row r="28" spans="1:11" ht="15.75" thickBot="1">
      <c r="A28" s="1020"/>
      <c r="B28" t="s">
        <v>1275</v>
      </c>
      <c r="C28" s="851" t="s">
        <v>234</v>
      </c>
      <c r="D28" s="9">
        <f t="shared" si="1"/>
        <v>151.74900000000002</v>
      </c>
      <c r="E28" s="9">
        <f t="shared" si="1"/>
        <v>135.369</v>
      </c>
      <c r="F28" s="9">
        <f t="shared" si="1"/>
        <v>118.989</v>
      </c>
      <c r="G28" s="9">
        <f t="shared" si="1"/>
        <v>112.437</v>
      </c>
      <c r="H28" s="9">
        <f t="shared" si="1"/>
        <v>110.253</v>
      </c>
      <c r="I28" s="9">
        <f t="shared" si="1"/>
        <v>109.161</v>
      </c>
      <c r="J28" s="9">
        <f t="shared" si="1"/>
        <v>108.49799999999999</v>
      </c>
      <c r="K28" s="9">
        <f t="shared" si="1"/>
        <v>108.08200000000001</v>
      </c>
    </row>
    <row r="29" spans="1:11" ht="15.75" thickBot="1">
      <c r="A29" s="1020"/>
      <c r="B29" t="s">
        <v>1275</v>
      </c>
      <c r="C29" s="851" t="s">
        <v>1273</v>
      </c>
      <c r="D29" s="9">
        <f t="shared" si="1"/>
        <v>193.89500000000001</v>
      </c>
      <c r="E29" s="852">
        <f t="shared" si="1"/>
        <v>172.96500000000003</v>
      </c>
      <c r="F29" s="9">
        <f t="shared" si="1"/>
        <v>152.035</v>
      </c>
      <c r="G29" s="9">
        <f t="shared" si="1"/>
        <v>143.66300000000001</v>
      </c>
      <c r="H29" s="9">
        <f t="shared" si="1"/>
        <v>140.86799999999999</v>
      </c>
      <c r="I29" s="9">
        <f t="shared" si="1"/>
        <v>139.477</v>
      </c>
      <c r="J29" s="9">
        <f t="shared" si="1"/>
        <v>138.63200000000001</v>
      </c>
      <c r="K29" s="9">
        <f t="shared" si="1"/>
        <v>138.11199999999999</v>
      </c>
    </row>
    <row r="30" spans="1:11">
      <c r="A30" s="1020"/>
      <c r="B30" t="s">
        <v>1275</v>
      </c>
      <c r="C30" s="851" t="s">
        <v>1274</v>
      </c>
      <c r="D30" s="9">
        <f t="shared" si="1"/>
        <v>0</v>
      </c>
      <c r="E30" s="9">
        <f t="shared" si="1"/>
        <v>0</v>
      </c>
      <c r="F30" s="9">
        <f t="shared" si="1"/>
        <v>0</v>
      </c>
      <c r="G30" s="9">
        <f t="shared" si="1"/>
        <v>0</v>
      </c>
      <c r="H30" s="9">
        <f t="shared" si="1"/>
        <v>0</v>
      </c>
      <c r="I30" s="9">
        <f t="shared" si="1"/>
        <v>0</v>
      </c>
      <c r="J30" s="9">
        <f t="shared" si="1"/>
        <v>0</v>
      </c>
      <c r="K30" s="9">
        <f t="shared" si="1"/>
        <v>0</v>
      </c>
    </row>
    <row r="31" spans="1:11">
      <c r="A31" s="1020"/>
      <c r="B31" t="s">
        <v>1275</v>
      </c>
      <c r="C31" s="851" t="s">
        <v>236</v>
      </c>
      <c r="D31" s="9">
        <f>D15*$M$4</f>
        <v>322.5555277777778</v>
      </c>
      <c r="E31" s="9">
        <f>E15*$M$4</f>
        <v>259.44302777777773</v>
      </c>
      <c r="F31" s="9">
        <f>F15*$M$4</f>
        <v>196.33052777777777</v>
      </c>
      <c r="G31" s="9">
        <f t="shared" ref="G31:K31" si="4">G15*$M$4</f>
        <v>171.08552777777777</v>
      </c>
      <c r="H31" s="9">
        <f t="shared" si="4"/>
        <v>162.67052777777778</v>
      </c>
      <c r="I31" s="9">
        <f t="shared" si="4"/>
        <v>158.46302777777777</v>
      </c>
      <c r="J31" s="9">
        <f t="shared" si="4"/>
        <v>155.93852777777778</v>
      </c>
      <c r="K31" s="9">
        <f t="shared" si="4"/>
        <v>154.33967777777778</v>
      </c>
    </row>
    <row r="32" spans="1:11" ht="15.75" thickBot="1">
      <c r="A32" s="1020"/>
      <c r="B32" t="s">
        <v>1275</v>
      </c>
      <c r="C32" s="851" t="s">
        <v>237</v>
      </c>
      <c r="D32" s="9">
        <f t="shared" ref="D32:K33" si="5">D16*$M$4</f>
        <v>376.99202777777776</v>
      </c>
      <c r="E32" s="9">
        <f t="shared" si="5"/>
        <v>301.3920277777778</v>
      </c>
      <c r="F32" s="9">
        <f t="shared" si="5"/>
        <v>225.7920277777778</v>
      </c>
      <c r="G32" s="9">
        <f t="shared" si="5"/>
        <v>195.55202777777777</v>
      </c>
      <c r="H32" s="9">
        <f t="shared" si="5"/>
        <v>185.47202777777778</v>
      </c>
      <c r="I32" s="9">
        <f t="shared" si="5"/>
        <v>180.43202777777779</v>
      </c>
      <c r="J32" s="9">
        <f t="shared" si="5"/>
        <v>177.40802777777779</v>
      </c>
      <c r="K32" s="9">
        <f t="shared" si="5"/>
        <v>175.49282777777779</v>
      </c>
    </row>
    <row r="33" spans="1:11" ht="15.75" thickBot="1">
      <c r="A33" s="1020"/>
      <c r="B33" t="s">
        <v>1275</v>
      </c>
      <c r="C33" s="851" t="s">
        <v>238</v>
      </c>
      <c r="D33" s="9">
        <f t="shared" si="5"/>
        <v>454.16027777777771</v>
      </c>
      <c r="E33" s="852">
        <f t="shared" si="5"/>
        <v>353.58527777777778</v>
      </c>
      <c r="F33" s="9">
        <f t="shared" si="5"/>
        <v>253.01027777777776</v>
      </c>
      <c r="G33" s="9">
        <f t="shared" si="5"/>
        <v>212.78027777777777</v>
      </c>
      <c r="H33" s="9">
        <f t="shared" si="5"/>
        <v>199.37027777777777</v>
      </c>
      <c r="I33" s="9">
        <f t="shared" si="5"/>
        <v>192.66527777777776</v>
      </c>
      <c r="J33" s="9">
        <f t="shared" si="5"/>
        <v>188.64227777777776</v>
      </c>
      <c r="K33" s="9">
        <f t="shared" si="5"/>
        <v>186.09437777777777</v>
      </c>
    </row>
    <row r="34" spans="1:11">
      <c r="A34" s="1020"/>
      <c r="B34" t="s">
        <v>1275</v>
      </c>
      <c r="C34" s="851" t="s">
        <v>239</v>
      </c>
      <c r="D34" s="9">
        <f t="shared" si="1"/>
        <v>45.391666666666673</v>
      </c>
      <c r="E34" s="9">
        <f t="shared" si="1"/>
        <v>39.541666666666671</v>
      </c>
      <c r="F34" s="9">
        <f t="shared" si="1"/>
        <v>33.69166666666667</v>
      </c>
      <c r="G34" s="9">
        <f t="shared" si="1"/>
        <v>31.35166666666667</v>
      </c>
      <c r="H34" s="9">
        <f t="shared" si="1"/>
        <v>30.571666666666665</v>
      </c>
      <c r="I34" s="9">
        <f t="shared" si="1"/>
        <v>30.181666666666668</v>
      </c>
      <c r="J34" s="9">
        <f t="shared" si="1"/>
        <v>29.94766666666667</v>
      </c>
      <c r="K34" s="9">
        <f t="shared" si="1"/>
        <v>29.799466666666671</v>
      </c>
    </row>
  </sheetData>
  <mergeCells count="2">
    <mergeCell ref="A3:A18"/>
    <mergeCell ref="A19:A3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70DAD-F0CE-47CA-84C9-B788B8B3ECDC}">
  <sheetPr>
    <tabColor rgb="FFFFFF00"/>
    <pageSetUpPr autoPageBreaks="0"/>
  </sheetPr>
  <dimension ref="A1:AW178"/>
  <sheetViews>
    <sheetView topLeftCell="V2" zoomScale="85" zoomScaleNormal="85" zoomScaleSheetLayoutView="85" workbookViewId="0">
      <selection activeCell="AE23" sqref="AE23:AH25"/>
    </sheetView>
  </sheetViews>
  <sheetFormatPr defaultRowHeight="15" outlineLevelRow="1" outlineLevelCol="2"/>
  <cols>
    <col min="1" max="1" width="17.140625" style="74" customWidth="1" outlineLevel="2"/>
    <col min="2" max="2" width="17.140625" customWidth="1" outlineLevel="2"/>
    <col min="3" max="3" width="27.140625" customWidth="1" outlineLevel="2"/>
    <col min="4" max="4" width="18.140625" customWidth="1" outlineLevel="2"/>
    <col min="5" max="5" width="17.28515625" customWidth="1" outlineLevel="2"/>
    <col min="6" max="6" width="19.5703125" customWidth="1" outlineLevel="2"/>
    <col min="7" max="7" width="29.7109375" customWidth="1" outlineLevel="2"/>
    <col min="8" max="9" width="17.140625" customWidth="1" outlineLevel="2"/>
    <col min="10" max="10" width="24.5703125" customWidth="1" outlineLevel="2"/>
    <col min="11" max="11" width="13.42578125" customWidth="1" outlineLevel="2"/>
    <col min="12" max="13" width="13.140625" customWidth="1" outlineLevel="2"/>
    <col min="14" max="14" width="17.42578125" customWidth="1" outlineLevel="2"/>
    <col min="15" max="15" width="20.5703125" customWidth="1" outlineLevel="2"/>
    <col min="16" max="16" width="15.140625" customWidth="1" outlineLevel="2"/>
    <col min="17" max="17" width="17.140625" customWidth="1" outlineLevel="2"/>
    <col min="18" max="19" width="24" style="119" customWidth="1" outlineLevel="2"/>
    <col min="20" max="20" width="14.5703125" style="119" customWidth="1" outlineLevel="2"/>
    <col min="21" max="21" width="24" style="119" customWidth="1" outlineLevel="2"/>
    <col min="22" max="23" width="14.5703125" customWidth="1" outlineLevel="2"/>
    <col min="24" max="24" width="8.85546875" customWidth="1" outlineLevel="2"/>
    <col min="25" max="25" width="15.42578125" customWidth="1" outlineLevel="2"/>
    <col min="26" max="26" width="21.42578125" customWidth="1" outlineLevel="2"/>
    <col min="27" max="27" width="15.42578125" style="595" customWidth="1" outlineLevel="2"/>
    <col min="28" max="28" width="11.85546875" style="95" customWidth="1" outlineLevel="2"/>
    <col min="29" max="29" width="11.28515625" style="624" customWidth="1" outlineLevel="2"/>
    <col min="30" max="30" width="11.28515625" style="95" customWidth="1"/>
    <col min="31" max="31" width="12.7109375" style="95" customWidth="1"/>
    <col min="32" max="32" width="16.42578125" style="95" customWidth="1"/>
    <col min="33" max="33" width="31" bestFit="1" customWidth="1"/>
    <col min="34" max="34" width="25.85546875" bestFit="1" customWidth="1"/>
    <col min="35" max="35" width="24.140625" customWidth="1"/>
    <col min="36" max="36" width="14.5703125" customWidth="1"/>
    <col min="37" max="37" width="22.42578125" bestFit="1" customWidth="1"/>
    <col min="38" max="38" width="17.85546875" bestFit="1" customWidth="1"/>
    <col min="39" max="39" width="14.5703125" customWidth="1"/>
    <col min="40" max="40" width="3.85546875" customWidth="1"/>
    <col min="41" max="41" width="23.5703125" customWidth="1"/>
    <col min="42" max="42" width="17.85546875" customWidth="1"/>
    <col min="43" max="43" width="15.42578125" bestFit="1" customWidth="1"/>
    <col min="45" max="45" width="19.5703125" bestFit="1" customWidth="1"/>
    <col min="46" max="46" width="4.140625" bestFit="1" customWidth="1"/>
    <col min="47" max="48" width="12.28515625" bestFit="1" customWidth="1"/>
    <col min="49" max="49" width="2.7109375" style="653" customWidth="1"/>
    <col min="51" max="51" width="4.140625" bestFit="1" customWidth="1"/>
    <col min="52" max="53" width="12.28515625" bestFit="1" customWidth="1"/>
  </cols>
  <sheetData>
    <row r="1" spans="1:48" ht="15.75" thickBot="1">
      <c r="A1" s="241" t="s">
        <v>848</v>
      </c>
      <c r="B1" s="241" t="s">
        <v>848</v>
      </c>
      <c r="C1" s="241" t="s">
        <v>590</v>
      </c>
      <c r="D1" s="499"/>
      <c r="E1" s="500"/>
      <c r="F1" s="241" t="s">
        <v>848</v>
      </c>
      <c r="G1" s="241" t="s">
        <v>125</v>
      </c>
      <c r="H1" s="241" t="s">
        <v>848</v>
      </c>
      <c r="I1" s="241" t="s">
        <v>848</v>
      </c>
      <c r="J1" s="241" t="s">
        <v>849</v>
      </c>
      <c r="K1" s="242" t="s">
        <v>125</v>
      </c>
      <c r="L1" s="241" t="s">
        <v>125</v>
      </c>
      <c r="M1" s="241" t="s">
        <v>125</v>
      </c>
      <c r="N1" s="242" t="s">
        <v>125</v>
      </c>
      <c r="O1" s="241" t="s">
        <v>848</v>
      </c>
      <c r="P1" s="241" t="s">
        <v>125</v>
      </c>
      <c r="Q1" s="241" t="s">
        <v>848</v>
      </c>
      <c r="R1" s="243" t="s">
        <v>850</v>
      </c>
      <c r="S1" s="243" t="s">
        <v>850</v>
      </c>
      <c r="T1" s="240" t="s">
        <v>125</v>
      </c>
      <c r="U1" s="243" t="s">
        <v>850</v>
      </c>
      <c r="V1" s="243" t="s">
        <v>125</v>
      </c>
      <c r="W1" s="243" t="s">
        <v>125</v>
      </c>
      <c r="X1" s="241"/>
      <c r="Y1" s="241" t="s">
        <v>125</v>
      </c>
      <c r="Z1" s="206" t="s">
        <v>838</v>
      </c>
      <c r="AA1" s="621" t="s">
        <v>848</v>
      </c>
      <c r="AB1" s="622" t="s">
        <v>125</v>
      </c>
      <c r="AC1" s="623" t="s">
        <v>125</v>
      </c>
      <c r="AG1" s="1195" t="s">
        <v>851</v>
      </c>
      <c r="AH1" s="656">
        <v>0.15</v>
      </c>
      <c r="AI1" s="594"/>
      <c r="AK1" s="1195" t="s">
        <v>851</v>
      </c>
      <c r="AL1" s="656">
        <v>0.15</v>
      </c>
      <c r="AM1" s="594"/>
      <c r="AO1" s="1195" t="s">
        <v>851</v>
      </c>
      <c r="AP1" s="656">
        <v>0.15</v>
      </c>
      <c r="AQ1" s="594"/>
    </row>
    <row r="2" spans="1:48" ht="30.75" thickBot="1">
      <c r="A2" s="72" t="s">
        <v>205</v>
      </c>
      <c r="B2" s="72" t="s">
        <v>158</v>
      </c>
      <c r="C2" s="70" t="s">
        <v>159</v>
      </c>
      <c r="D2" s="72" t="s">
        <v>856</v>
      </c>
      <c r="E2" s="72" t="s">
        <v>1012</v>
      </c>
      <c r="F2" s="72" t="s">
        <v>217</v>
      </c>
      <c r="G2" s="72" t="s">
        <v>161</v>
      </c>
      <c r="H2" s="70" t="s">
        <v>162</v>
      </c>
      <c r="I2" s="72" t="s">
        <v>585</v>
      </c>
      <c r="J2" s="501" t="s">
        <v>1013</v>
      </c>
      <c r="K2" s="70" t="s">
        <v>4</v>
      </c>
      <c r="L2" s="70" t="s">
        <v>57</v>
      </c>
      <c r="M2" s="72" t="s">
        <v>165</v>
      </c>
      <c r="N2" s="70" t="s">
        <v>166</v>
      </c>
      <c r="O2" s="72" t="s">
        <v>2392</v>
      </c>
      <c r="P2" s="72" t="s">
        <v>113</v>
      </c>
      <c r="Q2" s="96" t="s">
        <v>2393</v>
      </c>
      <c r="R2" s="117" t="s">
        <v>269</v>
      </c>
      <c r="S2" s="117" t="s">
        <v>271</v>
      </c>
      <c r="T2" s="117" t="s">
        <v>847</v>
      </c>
      <c r="U2" s="118" t="s">
        <v>800</v>
      </c>
      <c r="V2" s="118" t="s">
        <v>594</v>
      </c>
      <c r="W2" s="118" t="s">
        <v>595</v>
      </c>
      <c r="X2" s="70" t="s">
        <v>167</v>
      </c>
      <c r="Y2" s="207" t="s">
        <v>839</v>
      </c>
      <c r="Z2" s="118" t="s">
        <v>750</v>
      </c>
      <c r="AA2" s="621" t="s">
        <v>2394</v>
      </c>
      <c r="AB2" s="622" t="s">
        <v>2395</v>
      </c>
      <c r="AC2" s="623" t="s">
        <v>1149</v>
      </c>
      <c r="AG2" s="1085" t="str">
        <f>"📊 LAMINATE CALCULATOR 1-"&amp;AH3&amp;" Laminate"</f>
        <v>📊 LAMINATE CALCULATOR 1-428 Laminate</v>
      </c>
      <c r="AH2" s="1086"/>
      <c r="AI2" s="1087"/>
      <c r="AK2" s="1085" t="str">
        <f>"📊 LAMINATE CALCULATOR 2-"&amp;AL3&amp;" Laminate"</f>
        <v>📊 LAMINATE CALCULATOR 2-428 Laminate</v>
      </c>
      <c r="AL2" s="1086"/>
      <c r="AM2" s="1087"/>
      <c r="AO2" s="1085" t="str">
        <f>"📊 LAMINATE CALCULATOR 3-"&amp;AP3&amp;" Laminate"</f>
        <v>📊 LAMINATE CALCULATOR 3-428 Laminate</v>
      </c>
      <c r="AP2" s="1086"/>
      <c r="AQ2" s="1087"/>
    </row>
    <row r="3" spans="1:48" ht="15.75">
      <c r="A3" s="1081">
        <f>IF(AH13="By Length",IF(AH14&lt;&gt;"",IFERROR(AH14*$M$8*($D3/$J3),""),""),IF(OR(AH13="By Imp",AH13="IMP"),IFERROR(AH41*$M$8*($D3/$J3),""),IF(AH6="","",AH6)))</f>
        <v>503.51512780800005</v>
      </c>
      <c r="B3" s="1077">
        <f>AH3</f>
        <v>428</v>
      </c>
      <c r="C3" t="str" cm="1">
        <f t="array" ref="C3:C6">IFERROR(_xlfn.LET(_xlpm.lam,TEXT(B3,"0"),_xlpm.thick,AH4,_xlfn.TAKE(_xlfn._xlws.FILTER([6]HELPER!$BW$2:$BW$250,(TEXT([6]HELPER!$BZ$2:$BZ$250,"0")=_xlpm.lam)*([6]HELPER!$CC$2:$CC$250=_xlpm.thick)*([6]HELPER!$BW$2:$BW$250&lt;&gt;""),"No match"),6)),"")</f>
        <v>NK</v>
      </c>
      <c r="D3" s="1077">
        <f>AH5</f>
        <v>352</v>
      </c>
      <c r="E3" s="1082">
        <f>IF(D3="","",_xlfn.LET(_xlpm.cap,IF($Q3="Quantum",760,1220),IF(D3+50&gt;_xlpm.cap,"ERROR: Lamination Width &gt; "&amp;_xlpm.cap,D3*MAX(1,MIN(MAX(2,INT(900/D3)),INT((_xlpm.cap-50)/D3))))))</f>
        <v>704</v>
      </c>
      <c r="F3" s="1077"/>
      <c r="G3" s="1083">
        <f>IF(OR(AH13="IMP",AH13="By Imp",AH13="By Length"),IFERROR(AH16,""),IFERROR(IF(OR(A3="",A3=0,$D3="",$D3=0,$J3="",$M$8="",$M$8=0,A3&lt;=5),"",(A3-5)/$M$8*($J3/$D3)),""))</f>
        <v>13939.2</v>
      </c>
      <c r="H3" s="1077" t="str">
        <f>AH7</f>
        <v>Printed</v>
      </c>
      <c r="I3" s="1084" t="str">
        <f>IF(H3="Not Printed",0,AH8)</f>
        <v>3-4</v>
      </c>
      <c r="J3" s="502">
        <f>IF(C3="","",$E$3+16)</f>
        <v>720</v>
      </c>
      <c r="K3" cm="1">
        <f t="array" ref="K3">_xlfn.LET(_xlpm.baseThick,IFERROR(INDEX([6]HELPER!$BX$2:$BX$250,MATCH(1,(TEXT([6]HELPER!$BZ$2:$BZ$250,"0")=TEXT($B$3,"0"))*([6]HELPER!$CC$2:$CC$250=$AH$4)*([6]HELPER!$BW$2:$BW$250=C3),0)),""),IF(_xlpm.baseThick="","",_xlpm.baseThick))</f>
        <v>23</v>
      </c>
      <c r="L3">
        <f>IFERROR(VLOOKUP(C3,[6]HELPER!$AP$1:$AQ$25,2,FALSE),"")</f>
        <v>1.44</v>
      </c>
      <c r="M3" s="248">
        <f>IF(C3="","",IF(ISNUMBER(SEARCH("paper",C3)),42/1000*(J3/1000),IF(OR(L3="",L3=0),"",L3*1000*(K3/1000000)*(J3/1000))))</f>
        <v>2.3846399999999997E-2</v>
      </c>
      <c r="N3" s="203" cm="1">
        <f t="array" ref="N3">IF($C3="","",_xlfn.LET(
    _xlpm.mat,TRIM($C3),
    _xlpm.matKey,UPPER(SUBSTITUTE(_xlpm.mat," ","")),
    _xlpm.pr,IFERROR(LOOKUP(2,1/($H$3:H3&lt;&gt;""),$H$3:H3),""),
    _xlpm.widthActual,IFERROR(LOOKUP(2,1/($E$3:E3&lt;&gt;""),$E$3:E3),$E3),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3" s="1077" t="str">
        <f>AH11</f>
        <v>EXW</v>
      </c>
      <c r="P3" s="73">
        <f>IF(OR(C3="",A$3&lt;=0),"",IFERROR(IF(O$3="Europe to US",IF(A$3&lt;500,10,IF(A$3&lt;1000,8,IF(A$3&lt;2500,6,IF(A$3&lt;5000,5,4)))),VLOOKUP(O$3,[6]HELPER!$AF$2:$AH$3,3,FALSE)),0))</f>
        <v>0</v>
      </c>
      <c r="Q3" s="1077" t="str">
        <f>AH12</f>
        <v>Marma</v>
      </c>
      <c r="R3" s="1088" cm="1">
        <f t="array" ref="R3">IF(OR($Q3="",$G3=""),"",IF($J3&gt;IF($Q3="Quantum",760,1220),"Error! lamination width exceeds supplier maximum",_xlfn.LET(_xlpm.struct,$C$3:$C$8,_xlpm.realLayers,SUMPRODUCT(--(_xlpm.struct&lt;&gt;""),--ISERROR(SEARCH("EPOTAL",_xlpm.struct&amp;"")),--ISERROR(SEARCH("BASONAT",_xlpm.struct&amp;"")),--ISERROR(SEARCH("ADH",_xlpm.struct&amp;"")),--ISERROR(SEARCH("HARDENER",_xlpm.struct&amp;""))),_xlpm.lamSteps,MAX(0,_xlpm.realLayers-1),_xlpm.len,$G3,_xlpm.colNum,IF(_xlpm.len&lt;3000,1,IF(_xlpm.len&lt;10000,2,IF(_xlpm.len&lt;25000,3,IF(_xlpm.len&lt;50000,4,IF(_xlpm.len&lt;100000,5,IF(_xlpm.len&lt;250000,6,7)))))),_xlpm.widthRow,IF($E3&lt;900,0,5),_xlpm.supplierRow,IF($Q3="Marma",3,IF(OR($Q3="Bastin",$Q3="Quantum"),13,0)),_xlpm.baseRate,IF(_xlpm.supplierRow=0,"",INDEX('[6]Lmntn &amp; Prntng- Marma &amp; Bastin '!$D$1:$K$22,_xlpm.supplierRow+_xlpm.widthRow,_xlpm.colNum)),IF(_xlpm.realLayers=0,"",_xlpm.baseRate*_xlpm.lamSteps))))</f>
        <v>0.18306</v>
      </c>
      <c r="S3" s="1074" cm="1">
        <f t="array" ref="S3">IF($Q3="Quantum",IF(OR($Q3="",$I3=0,$I3="0"),"",IF($J3&gt;IF($Q3="Quantum",760,1220),"Error! lamination width exceeds supplier maximum",IF($E3&gt;1200,"Data is missing",_xlfn.LET(_xlpm.len,$G3,_xlpm.colors,$I3,_xlpm.qWidth,IF($E3&lt;=450,450,IF($E3&lt;=760,760,1200)),_xlpm.band,IF(_xlpm.colors=1,"1",IF(OR(_xlpm.colors=2,_xlpm.colors=3),"2-3",IF(OR(_xlpm.colors=4,_xlpm.colors=5),"4-5","6-8"))),_xlpm.widths,'[6]Digital_per_meter- Quantum'!$A$32:$A$91,_xlpm.bands,'[6]Digital_per_meter- Quantum'!$C$32:$C$91,_xlpm.meters,'[6]Digital_per_meter- Quantum'!$D$32:$D$91,_xlpm.rates,'[6]Digital_per_meter-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[6]HELPER!$AK$2)))),IF(OR($Q3="",$I3=0,$I3="0"),"",IF($J3&gt;IF($Q3="Quantum",760,1220),"Error! lamination width exceeds supplier maximum",_xlfn.LET(_xlpm.len,$AH$22,_xlpm.colors,$I3,_xlpm.colNum,IF(_xlpm.len&lt;3000,1,IF(_xlpm.len&lt;10000,2,IF(_xlpm.len&lt;25000,3,IF(_xlpm.len&lt;50000,4,IF(_xlpm.len&lt;100000,5,IF(_xlpm.len&lt;250000,6,IF(_xlpm.len&lt;500000,7,8))))))),_xlpm.widthRow,IF($E3&lt;900,0,5),_xlpm.colorOffset,IF(OR(_xlpm.colors=1,_xlpm.colors=2,_xlpm.colors="1-2"),1,IF(OR(_xlpm.colors=3,_xlpm.colors=4,_xlpm.colors="3-4"),2,IF(OR(_xlpm.colors&gt;=5,_xlpm.colors="5-6",_xlpm.colors="5-8"),3,0))),_xlpm.supplierRow,IF($Q3="Marma",3,IF($Q3="Bastin",13,0)),IF(OR(_xlpm.supplierRow=0,_xlpm.colorOffset=0),"",INDEX('[6]Lmntn &amp; Prntng- Marma &amp; Bastin '!$D$1:$K$22,_xlpm.supplierRow+_xlpm.widthRow+_xlpm.colorOffset,_xlpm.colNum))))))</f>
        <v>0.17702000000000001</v>
      </c>
      <c r="T3" s="1075">
        <f>IF(OR($S3="",$K3=""),"",IFERROR($S3*(1/$M$8)*($J3/($D3*MAX(1,ROUNDDOWN(760/$D3,0)))),""))</f>
        <v>2.4502910118530852</v>
      </c>
      <c r="U3" s="1089" cm="1">
        <f t="array" ref="U3">IF($Q3="","",IF($J3&gt;IF($Q3="Quantum",760,1220),"Error! lamination width exceeds supplier maximum",_xlfn.LET(_xlpm.len,$G3,_xlpm.colNum,IF(_xlpm.len&lt;3000,1,IF(_xlpm.len&lt;10000,2,IF(_xlpm.len&lt;25000,3,IF(_xlpm.len&lt;50000,4,IF(_xlpm.len&lt;100000,5,IF(_xlpm.len&lt;250000,6,7)))))),_xlpm.widthRow,IF($E3&lt;900,0,5),_xlpm.supplierRow,IF($Q3="Marma",7,IF(OR($Q3="Bastin",$Q3="Quantum"),17,0)),IF(_xlpm.supplierRow=0,"",INDEX('[6]Lmntn &amp; Prntng- Marma &amp; Bastin '!$D$1:$K$22,_xlpm.supplierRow+_xlpm.widthRow,_xlpm.colNum)))))</f>
        <v>2.5920000000000002E-2</v>
      </c>
      <c r="V3" s="1076">
        <f>IFERROR(IF(AH23="","",IF($K8&gt;31,(5%+250/$G$3)*AH23,VLOOKUP($K8,[6]HELPER!$BH$3:$BI$5,2,TRUE)*AH23)),"")</f>
        <v>0.54781005084629653</v>
      </c>
      <c r="W3" s="1079">
        <f>IF(OR($H3&lt;&gt;"Printed",$I3=0,$I3="0"),0,IFERROR(AH23*0.028,0)+IFERROR(AH44,0))</f>
        <v>1.0517186918620964</v>
      </c>
      <c r="X3" s="205">
        <f t="shared" ref="X3:X19" si="0">IF($K3="","",IFERROR($M3*($N3+$P3),""))</f>
        <v>0.18957887999999998</v>
      </c>
      <c r="Y3" s="1080">
        <f>IFERROR((SUM(X3:X8)+SUM(R3:S3,U3))*(1/M8)*(J3/E3)+V3+W3,"")</f>
        <v>15.006231836148885</v>
      </c>
      <c r="Z3" s="247">
        <f>IF($M3="","",IFERROR(($N3+$P3)*$M3/$M$8,""))</f>
        <v>2.5658156304813873</v>
      </c>
      <c r="AA3" s="595">
        <f>AH9</f>
        <v>1</v>
      </c>
      <c r="AB3" s="95">
        <f>IF(OR(AH13="IMP",AH13="By Imp"),IFERROR(AH14/AA3,""),"")</f>
        <v>52800</v>
      </c>
      <c r="AC3" s="624">
        <f>AH43</f>
        <v>0.33333333333333331</v>
      </c>
      <c r="AG3" s="514" t="s">
        <v>569</v>
      </c>
      <c r="AH3" s="174">
        <v>428</v>
      </c>
      <c r="AI3" s="515"/>
      <c r="AK3" s="514" t="s">
        <v>569</v>
      </c>
      <c r="AL3" s="174">
        <v>428</v>
      </c>
      <c r="AM3" s="515"/>
      <c r="AO3" s="514" t="s">
        <v>569</v>
      </c>
      <c r="AP3" s="174">
        <v>428</v>
      </c>
      <c r="AQ3" s="515"/>
    </row>
    <row r="4" spans="1:48" ht="15.75">
      <c r="A4" s="1081"/>
      <c r="B4" s="1077"/>
      <c r="C4" t="str">
        <v>TIPA 312 MET</v>
      </c>
      <c r="D4" s="1077"/>
      <c r="E4" s="1077"/>
      <c r="F4" s="1077"/>
      <c r="G4" s="1083"/>
      <c r="H4" s="1077"/>
      <c r="I4" s="1077"/>
      <c r="J4" s="502">
        <f t="shared" ref="J4:J8" si="1">IF(C4="","",$E$3+16)</f>
        <v>720</v>
      </c>
      <c r="K4" cm="1">
        <f t="array" ref="K4">_xlfn.LET(_xlpm.baseThick,IFERROR(INDEX([6]HELPER!$BX$2:$BX$250,MATCH(1,(TEXT([6]HELPER!$BZ$2:$BZ$250,"0")=TEXT($B$3,"0"))*([6]HELPER!$CC$2:$CC$250=$AH$4)*([6]HELPER!$BW$2:$BW$250=C4),0)),""),IF(_xlpm.baseThick="","",_xlpm.baseThick))</f>
        <v>25</v>
      </c>
      <c r="L4">
        <f>IFERROR(VLOOKUP(C4,[6]HELPER!$AP$1:$AQ$25,2,FALSE),"")</f>
        <v>1.25</v>
      </c>
      <c r="M4" s="248">
        <f>IF(C4="","",IF(ISNUMBER(SEARCH("paper",C4)),42/1000*(J4/1000),IF(OR(L4="",L4=0),"",L4*1000*(K4/1000000)*(J4/1000))))</f>
        <v>2.2499999999999999E-2</v>
      </c>
      <c r="N4" s="498" cm="1">
        <f t="array" ref="N4">IF($C4="","",_xlfn.LET(
    _xlpm.mat,TRIM($C4),
    _xlpm.matKey,UPPER(SUBSTITUTE(_xlpm.mat," ","")),
    _xlpm.pr,IFERROR(LOOKUP(2,1/($H$3:H4&lt;&gt;""),$H$3:H4),""),
    _xlpm.widthActual,IFERROR(LOOKUP(2,1/($E$3:E4&lt;&gt;""),$E$3:E4),$E4),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8.1897202999999994</v>
      </c>
      <c r="O4" s="1077"/>
      <c r="P4" s="73">
        <f>IF(OR(C4="",A$3&lt;=0),"",IFERROR(IF(O$3="Europe to US",IF(A$3&lt;500,10,IF(A$3&lt;1000,8,IF(A$3&lt;2500,6,IF(A$3&lt;5000,5,4)))),VLOOKUP(O$3,[6]HELPER!$AF$2:$AH$3,3,FALSE)),0))</f>
        <v>0</v>
      </c>
      <c r="Q4" s="1077"/>
      <c r="R4" s="1088"/>
      <c r="S4" s="1074"/>
      <c r="T4" s="1075"/>
      <c r="U4" s="1089"/>
      <c r="V4" s="1090"/>
      <c r="W4" s="1079"/>
      <c r="X4" s="205">
        <f t="shared" si="0"/>
        <v>0.18426870674999998</v>
      </c>
      <c r="Y4" s="1080"/>
      <c r="Z4" s="246">
        <f>IF($M4="","",IFERROR(($N4+$P4)*$M4/$M$8,""))</f>
        <v>2.4939462032254918</v>
      </c>
      <c r="AG4" s="514" t="s">
        <v>570</v>
      </c>
      <c r="AH4" s="592">
        <v>80</v>
      </c>
      <c r="AI4" s="515" t="s">
        <v>108</v>
      </c>
      <c r="AK4" s="514" t="s">
        <v>570</v>
      </c>
      <c r="AL4" s="592">
        <v>80</v>
      </c>
      <c r="AM4" s="515" t="s">
        <v>108</v>
      </c>
      <c r="AO4" s="514" t="s">
        <v>570</v>
      </c>
      <c r="AP4" s="592">
        <v>80</v>
      </c>
      <c r="AQ4" s="515" t="s">
        <v>108</v>
      </c>
    </row>
    <row r="5" spans="1:48" ht="15.75">
      <c r="A5" s="1081"/>
      <c r="B5" s="1077"/>
      <c r="C5" t="str">
        <v>TIPA 312 MET</v>
      </c>
      <c r="D5" s="1077"/>
      <c r="E5" s="1077"/>
      <c r="F5" s="1077"/>
      <c r="G5" s="1083"/>
      <c r="H5" s="1077"/>
      <c r="I5" s="1077"/>
      <c r="J5" s="502">
        <f t="shared" si="1"/>
        <v>720</v>
      </c>
      <c r="K5" cm="1">
        <f t="array" ref="K5">_xlfn.LET(_xlpm.baseThick,IFERROR(INDEX([6]HELPER!$BX$2:$BX$250,MATCH(1,(TEXT([6]HELPER!$BZ$2:$BZ$250,"0")=TEXT($B$3,"0"))*([6]HELPER!$CC$2:$CC$250=$AH$4)*([6]HELPER!$BW$2:$BW$250=C5),0)),""),IF(_xlpm.baseThick="","",_xlpm.baseThick))</f>
        <v>25</v>
      </c>
      <c r="L5">
        <f>IFERROR(VLOOKUP(C5,[6]HELPER!$AP$1:$AQ$25,2,FALSE),"")</f>
        <v>1.25</v>
      </c>
      <c r="M5" s="248">
        <f>IF(C5="","",IF(ISNUMBER(SEARCH("paper",C5)),42/1000*(J5/1000),IF(OR(L5="",L5=0),"",L5*1000*(K5/1000000)*(J5/1000))))</f>
        <v>2.2499999999999999E-2</v>
      </c>
      <c r="N5" s="204" cm="1">
        <f t="array" ref="N5">IF($C5="","",_xlfn.LET(
    _xlpm.mat,TRIM($C5),
    _xlpm.matKey,UPPER(SUBSTITUTE(_xlpm.mat," ","")),
    _xlpm.pr,IFERROR(LOOKUP(2,1/($H$3:H5&lt;&gt;""),$H$3:H5),""),
    _xlpm.widthActual,IFERROR(LOOKUP(2,1/($E$3:E5&lt;&gt;""),$E$3:E5),$E5),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8.1897202999999994</v>
      </c>
      <c r="O5" s="1077"/>
      <c r="P5" s="73">
        <f>IF(OR(C5="",A$3&lt;=0),"",IFERROR(IF(O$3="Europe to US",IF(A$3&lt;500,10,IF(A$3&lt;1000,8,IF(A$3&lt;2500,6,IF(A$3&lt;5000,5,4)))),VLOOKUP(O$3,[6]HELPER!$AF$2:$AH$3,3,FALSE)),0))</f>
        <v>0</v>
      </c>
      <c r="Q5" s="1077"/>
      <c r="R5" s="1088"/>
      <c r="S5" s="1074"/>
      <c r="T5" s="1075"/>
      <c r="U5" s="1089"/>
      <c r="V5" s="1090"/>
      <c r="W5" s="1079"/>
      <c r="X5" s="205">
        <f t="shared" si="0"/>
        <v>0.18426870674999998</v>
      </c>
      <c r="Y5" s="1080"/>
      <c r="Z5" s="201">
        <f>IF($M5="","",IFERROR(($N5+$P5)*$M5/$M$8,""))</f>
        <v>2.4939462032254918</v>
      </c>
      <c r="AG5" s="514" t="s">
        <v>571</v>
      </c>
      <c r="AH5" s="174">
        <v>352</v>
      </c>
      <c r="AI5" s="515" t="s">
        <v>489</v>
      </c>
      <c r="AK5" s="514" t="s">
        <v>571</v>
      </c>
      <c r="AL5" s="174">
        <v>352</v>
      </c>
      <c r="AM5" s="515" t="s">
        <v>489</v>
      </c>
      <c r="AO5" s="514" t="s">
        <v>571</v>
      </c>
      <c r="AP5" s="174">
        <v>352</v>
      </c>
      <c r="AQ5" s="515" t="s">
        <v>489</v>
      </c>
    </row>
    <row r="6" spans="1:48" ht="15.75">
      <c r="A6" s="1081"/>
      <c r="B6" s="1077"/>
      <c r="C6" t="str">
        <v>RM G Epotal ECO 3675</v>
      </c>
      <c r="D6" s="1077"/>
      <c r="E6" s="1077"/>
      <c r="F6" s="1077"/>
      <c r="G6" s="1083"/>
      <c r="H6" s="1077"/>
      <c r="I6" s="1077"/>
      <c r="J6" s="502">
        <f t="shared" si="1"/>
        <v>720</v>
      </c>
      <c r="K6" cm="1">
        <f t="array" ref="K6">_xlfn.LET(_xlpm.baseThick,IFERROR(INDEX([6]HELPER!$BX$2:$BX$250,MATCH(1,(TEXT([6]HELPER!$BZ$2:$BZ$250,"0")=TEXT($B$3,"0"))*([6]HELPER!$CC$2:$CC$250=$AH$4)*([6]HELPER!$BW$2:$BW$250=C6),0)),""),IF(_xlpm.baseThick="","",_xlpm.baseThick))</f>
        <v>7</v>
      </c>
      <c r="L6">
        <f>IFERROR(VLOOKUP(C6,[6]HELPER!$AP$1:$AQ$25,2,FALSE),"")</f>
        <v>1</v>
      </c>
      <c r="M6" s="248">
        <f>IF(C6="","",IF(ISNUMBER(SEARCH("paper",C6)),42/1000*(J6/1000),IF(OR(L6="",L6=0),"",L6*1000*(K6/1000000)*(J6/1000))))</f>
        <v>5.0400000000000002E-3</v>
      </c>
      <c r="N6" s="203" cm="1">
        <f t="array" ref="N6">IF($C6="","",_xlfn.LET(
    _xlpm.mat,TRIM($C6),
    _xlpm.matKey,UPPER(SUBSTITUTE(_xlpm.mat," ","")),
    _xlpm.pr,IFERROR(LOOKUP(2,1/($H$3:H6&lt;&gt;""),$H$3:H6),""),
    _xlpm.widthActual,IFERROR(LOOKUP(2,1/($E$3:E6&lt;&gt;""),$E$3:E6),$E6),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 s="1077"/>
      <c r="P6" s="73">
        <f>IF(OR(C6="",A$3&lt;=0),"",IFERROR(IF(O$3="Europe to US",IF(A$3&lt;500,10,IF(A$3&lt;1000,8,IF(A$3&lt;2500,6,IF(A$3&lt;5000,5,4)))),VLOOKUP(O$3,[6]HELPER!$AF$2:$AH$3,3,FALSE)),0))</f>
        <v>0</v>
      </c>
      <c r="Q6" s="1077"/>
      <c r="R6" s="1088"/>
      <c r="S6" s="1074"/>
      <c r="T6" s="1075"/>
      <c r="U6" s="1089"/>
      <c r="V6" s="1090"/>
      <c r="W6" s="1079"/>
      <c r="X6" s="205">
        <f t="shared" si="0"/>
        <v>2.4444000000000004E-2</v>
      </c>
      <c r="Y6" s="1080"/>
      <c r="Z6" s="245">
        <f>IF($M6="","",IFERROR(($N6+$P6)*$M6/$M$8,""))</f>
        <v>0.33083219645293316</v>
      </c>
      <c r="AG6" s="514" t="s">
        <v>572</v>
      </c>
      <c r="AH6" s="174"/>
      <c r="AI6" s="515" t="s">
        <v>203</v>
      </c>
      <c r="AK6" s="514" t="s">
        <v>572</v>
      </c>
      <c r="AL6" s="174"/>
      <c r="AM6" s="515" t="s">
        <v>203</v>
      </c>
      <c r="AO6" s="514" t="s">
        <v>572</v>
      </c>
      <c r="AP6" s="174"/>
      <c r="AQ6" s="515" t="s">
        <v>203</v>
      </c>
    </row>
    <row r="7" spans="1:48" ht="15.75">
      <c r="A7" s="1081"/>
      <c r="B7" s="1077"/>
      <c r="C7" s="73"/>
      <c r="D7" s="1077"/>
      <c r="E7" s="1077"/>
      <c r="F7" s="1077"/>
      <c r="G7" s="1083"/>
      <c r="H7" s="1077"/>
      <c r="I7" s="1077"/>
      <c r="J7" s="502" t="str">
        <f t="shared" si="1"/>
        <v/>
      </c>
      <c r="K7" t="str" cm="1">
        <f t="array" ref="K7">_xlfn.LET(_xlpm.baseThick,IFERROR(INDEX([6]HELPER!$BX$2:$BX$250,MATCH(1,(TEXT([6]HELPER!$BZ$2:$BZ$250,"0")=TEXT($B$3,"0"))*([6]HELPER!$CC$2:$CC$250=$AH$4)*([6]HELPER!$BW$2:$BW$250=C7),0)),""),IF(_xlpm.baseThick="","",_xlpm.baseThick))</f>
        <v/>
      </c>
      <c r="L7" t="str">
        <f>IFERROR(VLOOKUP(C7,[6]HELPER!$AP$1:$AQ$25,2,FALSE),"")</f>
        <v/>
      </c>
      <c r="M7" s="248" t="str">
        <f>IF(C7="","",IF(ISNUMBER(SEARCH("paper",C7)),42/1000*(J7/1000),IF(OR(L7="",L7=0),"",L7*1000*(K7/1000000)*(J7/1000))))</f>
        <v/>
      </c>
      <c r="N7" s="203" t="str" cm="1">
        <f t="array" ref="N7">IF($C7="","",_xlfn.LET(
    _xlpm.mat,TRIM($C7),
    _xlpm.matKey,UPPER(SUBSTITUTE(_xlpm.mat," ","")),
    _xlpm.pr,IFERROR(LOOKUP(2,1/($H$3:H7&lt;&gt;""),$H$3:H7),""),
    _xlpm.widthActual,IFERROR(LOOKUP(2,1/($E$3:E7&lt;&gt;""),$E$3:E7),$E7),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7" s="1077"/>
      <c r="P7" s="63" t="str">
        <f>IF(OR(C7="",A$3&lt;=0),"",IFERROR(IF(O$3="Europe to US",IF(A$3&lt;500,10,IF(A$3&lt;1000,8,IF(A$3&lt;2500,6,IF(A$3&lt;5000,5,4)))),VLOOKUP(O$3,[6]HELPER!$AF$2:$AH$3,3,FALSE)),0))</f>
        <v/>
      </c>
      <c r="Q7" s="1077"/>
      <c r="R7" s="1088"/>
      <c r="S7" s="1074"/>
      <c r="T7" s="1075"/>
      <c r="U7" s="1089"/>
      <c r="V7" s="1090"/>
      <c r="W7" s="1079"/>
      <c r="X7" s="254" t="str">
        <f t="shared" si="0"/>
        <v/>
      </c>
      <c r="Y7" s="1080"/>
      <c r="Z7" s="201" t="str">
        <f>IF($M7="","",IFERROR(($N7+$P7)*$M7/$M$8,""))</f>
        <v/>
      </c>
      <c r="AG7" s="514" t="s">
        <v>573</v>
      </c>
      <c r="AH7" s="174" t="s">
        <v>123</v>
      </c>
      <c r="AI7" s="515"/>
      <c r="AK7" s="514" t="s">
        <v>573</v>
      </c>
      <c r="AL7" s="174" t="s">
        <v>123</v>
      </c>
      <c r="AM7" s="515"/>
      <c r="AO7" s="514" t="s">
        <v>573</v>
      </c>
      <c r="AP7" s="174" t="s">
        <v>123</v>
      </c>
      <c r="AQ7" s="515"/>
    </row>
    <row r="8" spans="1:48" ht="15.75">
      <c r="A8" s="1081"/>
      <c r="B8" s="1077"/>
      <c r="C8" s="38"/>
      <c r="D8" s="1077"/>
      <c r="E8" s="1077"/>
      <c r="F8" s="1077"/>
      <c r="G8" s="1083"/>
      <c r="H8" s="1077"/>
      <c r="I8" s="1077"/>
      <c r="J8" s="502" t="str">
        <f t="shared" si="1"/>
        <v/>
      </c>
      <c r="K8" s="170">
        <f>AH4</f>
        <v>80</v>
      </c>
      <c r="L8" t="str">
        <f>IFERROR(VLOOKUP(C8,[6]HELPER!$AP$1:$AQ$25,2,FALSE),"")</f>
        <v/>
      </c>
      <c r="M8" s="249">
        <f>SUM(M3:M7)</f>
        <v>7.3886400000000005E-2</v>
      </c>
      <c r="N8" s="203" t="str" cm="1">
        <f t="array" ref="N8">IF($C8="","",_xlfn.LET(
    _xlpm.mat,TRIM($C8),
    _xlpm.matKey,UPPER(SUBSTITUTE(_xlpm.mat," ","")),
    _xlpm.pr,IFERROR(LOOKUP(2,1/($H$3:H8&lt;&gt;""),$H$3:H8),""),
    _xlpm.widthActual,IFERROR(LOOKUP(2,1/($E$3:E8&lt;&gt;""),$E$3:E8),$E8),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8" s="1077"/>
      <c r="P8" s="73" t="str">
        <f>IF(OR(C8="",A$3&lt;=0),"",IFERROR(IF(O$3="Europe to US",IF(A$3&lt;500,10,IF(A$3&lt;1000,8,IF(A$3&lt;2500,6,IF(A$3&lt;5000,5,4)))),VLOOKUP(O$3,[6]HELPER!$AF$2:$AH$3,3,FALSE)),0))</f>
        <v/>
      </c>
      <c r="Q8" s="1077"/>
      <c r="R8" s="1088"/>
      <c r="S8" s="1074"/>
      <c r="T8" s="1075"/>
      <c r="U8" s="1089"/>
      <c r="V8" s="1090"/>
      <c r="W8" s="1079"/>
      <c r="X8" s="202" t="str">
        <f t="shared" si="0"/>
        <v/>
      </c>
      <c r="Y8" s="1080"/>
      <c r="Z8" s="201"/>
      <c r="AG8" s="514" t="s">
        <v>798</v>
      </c>
      <c r="AH8" s="175" t="s">
        <v>122</v>
      </c>
      <c r="AI8" s="515"/>
      <c r="AK8" s="514" t="s">
        <v>798</v>
      </c>
      <c r="AL8" s="175" t="s">
        <v>122</v>
      </c>
      <c r="AM8" s="515"/>
      <c r="AO8" s="514" t="s">
        <v>798</v>
      </c>
      <c r="AP8" s="175" t="s">
        <v>122</v>
      </c>
      <c r="AQ8" s="515"/>
    </row>
    <row r="9" spans="1:48" ht="15.75">
      <c r="A9" s="1081">
        <f>IF(AL13="By Length",IF(AL14&lt;&gt;"",IFERROR(AL14*$M$14*($D9/$J9),""),""),IF(OR(AL13="By Imp",AL13="IMP"),IFERROR(AL41*$M$14*($D9/$J9),""),IF(AL6="","",AL6)))</f>
        <v>2517.5756390400002</v>
      </c>
      <c r="B9" s="1077">
        <f>AL3</f>
        <v>428</v>
      </c>
      <c r="C9" t="str" cm="1">
        <f t="array" ref="C9:C12">IFERROR(_xlfn.LET(_xlpm.lam,TEXT(B9,"0"),_xlpm.thick,AL4,_xlfn.TAKE(_xlfn._xlws.FILTER([6]HELPER!$BW$2:$BW$250,(TEXT([6]HELPER!$BZ$2:$BZ$250,"0")=_xlpm.lam)*([6]HELPER!$CC$2:$CC$250=_xlpm.thick)*([6]HELPER!$BW$2:$BW$250&lt;&gt;""),"No match"),6)),"")</f>
        <v>NK</v>
      </c>
      <c r="D9" s="1077">
        <f>AL5</f>
        <v>352</v>
      </c>
      <c r="E9" s="1082">
        <f>IF(D9="","",_xlfn.LET(_xlpm.cap,IF($Q9="Quantum",760,1220),IF(D9+50&gt;_xlpm.cap,"ERROR: Lamination Width &gt; "&amp;_xlpm.cap,D9*MAX(1,MIN(MAX(2,INT(900/D9)),INT((_xlpm.cap-50)/D9))))))</f>
        <v>704</v>
      </c>
      <c r="F9" s="1077"/>
      <c r="G9" s="1083">
        <f>IF(OR(AL13="IMP",AL13="By Imp",AL13="By Length"),IFERROR(AL16,""),IFERROR(IF(OR(A9="",A9=0,$D9="",$D9=0,$J9="",$M$14="",$M$14=0,A9&lt;=5),"",(A9-5)/$M$14*($J9/$D9)),""))</f>
        <v>69696</v>
      </c>
      <c r="H9" s="1077" t="str">
        <f>AL7</f>
        <v>Printed</v>
      </c>
      <c r="I9" s="1084" t="str">
        <f>IF(H9="Not Printed",0,AL8)</f>
        <v>3-4</v>
      </c>
      <c r="J9" s="502">
        <f>IF(C9="","",$E$9+16)</f>
        <v>720</v>
      </c>
      <c r="K9" cm="1">
        <f t="array" ref="K9">_xlfn.LET(_xlpm.baseThick,IFERROR(INDEX([6]HELPER!$BX$2:$BX$250,MATCH(1,(TEXT([6]HELPER!$BZ$2:$BZ$250,"0")=TEXT($B$9,"0"))*([6]HELPER!$CC$2:$CC$250=$AL$4)*([6]HELPER!$BW$2:$BW$250=C9),0)),""),IF(_xlpm.baseThick="","",_xlpm.baseThick))</f>
        <v>23</v>
      </c>
      <c r="L9">
        <f>IFERROR(VLOOKUP(C9,[6]HELPER!$AP$1:$AQ$25,2,FALSE),"")</f>
        <v>1.44</v>
      </c>
      <c r="M9" s="248">
        <f>IF(C9="","",IF(ISNUMBER(SEARCH("paper",C9)),42/1000*(J9/1000),IF(OR(L9="",L9=0),"",L9*1000*(K9/1000000)*(J9/1000))))</f>
        <v>2.3846399999999997E-2</v>
      </c>
      <c r="N9" s="203" cm="1">
        <f t="array" ref="N9">IF($C9="","",_xlfn.LET(
    _xlpm.mat,TRIM($C9),
    _xlpm.matKey,UPPER(SUBSTITUTE(_xlpm.mat," ","")),
    _xlpm.pr,IFERROR(LOOKUP(2,1/($H$3:H9&lt;&gt;""),$H$3:H9),""),
    _xlpm.widthActual,IFERROR(LOOKUP(2,1/($E$3:E9&lt;&gt;""),$E$3:E9),$E9),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9" s="1077" t="str">
        <f>AL11</f>
        <v>EXW</v>
      </c>
      <c r="P9" s="73">
        <f>IF(OR(C9="",A$9&lt;=0),"",IFERROR(IF(O$9="Europe to US",IF(A$9&lt;500,10,IF(A$9&lt;1000,8,IF(A$9&lt;2500,6,IF(A$9&lt;5000,5,4)))),VLOOKUP(O$9,[6]HELPER!$AF$2:$AH$3,3,FALSE)),0))</f>
        <v>0</v>
      </c>
      <c r="Q9" s="1077" t="str">
        <f>AL12</f>
        <v>Marma</v>
      </c>
      <c r="R9" s="1074" cm="1">
        <f t="array" ref="R9">IF(OR($Q9="",$G9=""),"",IF($J9&gt;IF($Q9="Quantum",760,1220),"Error! lamination width exceeds supplier maximum",_xlfn.LET(_xlpm.struct,$C$9:$C$14,_xlpm.realLayers,SUMPRODUCT(--(_xlpm.struct&lt;&gt;""),--ISERROR(SEARCH("EPOTAL",_xlpm.struct&amp;"")),--ISERROR(SEARCH("BASONAT",_xlpm.struct&amp;"")),--ISERROR(SEARCH("ADH",_xlpm.struct&amp;"")),--ISERROR(SEARCH("HARDENER",_xlpm.struct&amp;""))),_xlpm.lamSteps,MAX(0,_xlpm.realLayers-1),_xlpm.len,$G9,_xlpm.colNum,IF(_xlpm.len&lt;3000,1,IF(_xlpm.len&lt;10000,2,IF(_xlpm.len&lt;25000,3,IF(_xlpm.len&lt;50000,4,IF(_xlpm.len&lt;100000,5,IF(_xlpm.len&lt;250000,6,7)))))),_xlpm.widthRow,IF($E9&lt;900,0,5),_xlpm.supplierRow,IF($Q9="Marma",3,IF(OR($Q9="Bastin",$Q9="Quantum"),13,0)),_xlpm.baseRate,IF(_xlpm.supplierRow=0,"",INDEX('[6]Lmntn &amp; Prntng- Marma &amp; Bastin '!$D$1:$K$22,_xlpm.supplierRow+_xlpm.widthRow,_xlpm.colNum)),IF(_xlpm.realLayers=0,"",_xlpm.baseRate*_xlpm.lamSteps))))</f>
        <v>0.16961999999999999</v>
      </c>
      <c r="S9" s="1074" cm="1">
        <f t="array" ref="S9">IF($Q9="Quantum",IF(OR($Q9="",$I9=0,$I9="0"),"",IF($J9&gt;IF($Q9="Quantum",760,1220),"Error! lamination width exceeds supplier maximum",IF($E9&gt;1200,"Data is missing",_xlfn.LET(_xlpm.len,$G9,_xlpm.colors,$I9,_xlpm.qWidth,IF($E9&lt;=450,450,IF($E9&lt;=760,760,1200)),_xlpm.band,IF(_xlpm.colors=1,"1",IF(OR(_xlpm.colors=2,_xlpm.colors=3),"2-3",IF(OR(_xlpm.colors=4,_xlpm.colors=5),"4-5","6-8"))),_xlpm.widths,'[6]Digital_per_meter- Quantum'!$A$32:$A$91,_xlpm.bands,'[6]Digital_per_meter- Quantum'!$C$32:$C$91,_xlpm.meters,'[6]Digital_per_meter- Quantum'!$D$32:$D$91,_xlpm.rates,'[6]Digital_per_meter-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[6]HELPER!$AK$2)))),IF(OR($Q9="",$I9=0,$I9="0"),"",IF($J9&gt;IF($Q9="Quantum",760,1220),"Error! lamination width exceeds supplier maximum",_xlfn.LET(_xlpm.len,$AL$22,_xlpm.colors,$I9,_xlpm.colNum,IF(_xlpm.len&lt;3000,1,IF(_xlpm.len&lt;10000,2,IF(_xlpm.len&lt;25000,3,IF(_xlpm.len&lt;50000,4,IF(_xlpm.len&lt;100000,5,IF(_xlpm.len&lt;250000,6,IF(_xlpm.len&lt;500000,7,8))))))),_xlpm.widthRow,IF($E9&lt;900,0,5),_xlpm.colorOffset,IF(OR(_xlpm.colors=1,_xlpm.colors=2,_xlpm.colors="1-2"),1,IF(OR(_xlpm.colors=3,_xlpm.colors=4,_xlpm.colors="3-4"),2,IF(OR(_xlpm.colors&gt;=5,_xlpm.colors="5-6",_xlpm.colors="5-8"),3,0))),_xlpm.supplierRow,IF($Q9="Marma",3,IF($Q9="Bastin",13,0)),IF(OR(_xlpm.supplierRow=0,_xlpm.colorOffset=0),"",INDEX('[6]Lmntn &amp; Prntng- Marma &amp; Bastin '!$D$1:$K$22,_xlpm.supplierRow+_xlpm.widthRow+_xlpm.colorOffset,_xlpm.colNum))))))</f>
        <v>0.12662000000000001</v>
      </c>
      <c r="T9" s="1075">
        <f>IF(OR($S9="",$K9=""),"",IFERROR($S9*(1/$M$14)*($J9/($D9*MAX(1,ROUNDDOWN(760/$D9,0)))),""))</f>
        <v>1.7526598571960099</v>
      </c>
      <c r="U9" s="1074" cm="1">
        <f t="array" ref="U9">IF($Q9="","",IF($J9&gt;IF($Q9="Quantum",760,1220),"Error! lamination width exceeds supplier maximum",_xlfn.LET(_xlpm.len,$G9,_xlpm.colNum,IF(_xlpm.len&lt;3000,1,IF(_xlpm.len&lt;10000,2,IF(_xlpm.len&lt;25000,3,IF(_xlpm.len&lt;50000,4,IF(_xlpm.len&lt;100000,5,IF(_xlpm.len&lt;250000,6,7)))))),_xlpm.widthRow,IF($E9&lt;900,0,5),_xlpm.supplierRow,IF($Q9="Marma",7,IF(OR($Q9="Bastin",$Q9="Quantum"),17,0)),IF(_xlpm.supplierRow=0,"",INDEX('[6]Lmntn &amp; Prntng- Marma &amp; Bastin '!$D$1:$K$22,_xlpm.supplierRow+_xlpm.widthRow,_xlpm.colNum)))))</f>
        <v>2.3519999999999999E-2</v>
      </c>
      <c r="V9" s="1076">
        <f>IFERROR(IF(AL23="","",IF($K14&gt;31,(5%+250/$G$9)*AL23,VLOOKUP($K14,[6]HELPER!$BH$3:$BI$5,2,TRUE)*AL23)),"")</f>
        <v>0.43211138335320359</v>
      </c>
      <c r="W9" s="1079">
        <f>IF(OR($H9&lt;&gt;"Printed",$I9=0,$I9="0"),0,IFERROR(AL23*0.028,0)+IFERROR(AL44,0))</f>
        <v>0.3922810553278781</v>
      </c>
      <c r="X9" s="202">
        <f t="shared" si="0"/>
        <v>0.18957887999999998</v>
      </c>
      <c r="Y9" s="1080">
        <f>IFERROR((SUM(X9:X14)+SUM(R9:S9,U9))*(1/M14)*(J9/E9)+V9+W9,"")</f>
        <v>13.314208871715131</v>
      </c>
      <c r="Z9" s="201">
        <f>IF($M9="","",IFERROR(($N9+$P9)*$M9/$M$14,""))</f>
        <v>2.5658156304813873</v>
      </c>
      <c r="AA9" s="595">
        <f>AL9</f>
        <v>1</v>
      </c>
      <c r="AB9" s="95">
        <f>IF(OR(AL13="IMP",AL13="By Imp"),IFERROR(AL14/AA9,""),"")</f>
        <v>264000</v>
      </c>
      <c r="AC9" s="624">
        <f>AL43</f>
        <v>0.33333333333333331</v>
      </c>
      <c r="AG9" s="514" t="s">
        <v>2382</v>
      </c>
      <c r="AH9" s="592">
        <v>1</v>
      </c>
      <c r="AI9" s="515"/>
      <c r="AJ9" s="38"/>
      <c r="AK9" s="514" t="s">
        <v>2382</v>
      </c>
      <c r="AL9" s="592">
        <v>1</v>
      </c>
      <c r="AM9" s="515"/>
      <c r="AN9" s="38"/>
      <c r="AO9" s="514" t="s">
        <v>2382</v>
      </c>
      <c r="AP9" s="592">
        <v>1</v>
      </c>
      <c r="AQ9" s="515"/>
    </row>
    <row r="10" spans="1:48" ht="15.75">
      <c r="A10" s="1081"/>
      <c r="B10" s="1077"/>
      <c r="C10" t="str">
        <v>TIPA 312 MET</v>
      </c>
      <c r="D10" s="1077"/>
      <c r="E10" s="1077"/>
      <c r="F10" s="1077"/>
      <c r="G10" s="1081"/>
      <c r="H10" s="1077"/>
      <c r="I10" s="1077"/>
      <c r="J10" s="502">
        <f t="shared" ref="J10:J14" si="2">IF(C10="","",$E$9+16)</f>
        <v>720</v>
      </c>
      <c r="K10" cm="1">
        <f t="array" ref="K10">_xlfn.LET(_xlpm.baseThick,IFERROR(INDEX([6]HELPER!$BX$2:$BX$250,MATCH(1,(TEXT([6]HELPER!$BZ$2:$BZ$250,"0")=TEXT($B$9,"0"))*([6]HELPER!$CC$2:$CC$250=$AL$4)*([6]HELPER!$BW$2:$BW$250=C10),0)),""),IF(_xlpm.baseThick="","",_xlpm.baseThick))</f>
        <v>25</v>
      </c>
      <c r="L10">
        <f>IFERROR(VLOOKUP(C10,[6]HELPER!$AP$1:$AQ$25,2,FALSE),"")</f>
        <v>1.25</v>
      </c>
      <c r="M10" s="248">
        <f>IF(C10="","",IF(ISNUMBER(SEARCH("paper",C10)),42/1000*(J10/1000),IF(OR(L10="",L10=0),"",L10*1000*(K10/1000000)*(J10/1000))))</f>
        <v>2.2499999999999999E-2</v>
      </c>
      <c r="N10" s="204" cm="1">
        <f t="array" ref="N10">IF($C10="","",_xlfn.LET(
    _xlpm.mat,TRIM($C10),
    _xlpm.matKey,UPPER(SUBSTITUTE(_xlpm.mat," ","")),
    _xlpm.pr,IFERROR(LOOKUP(2,1/($H$3:H10&lt;&gt;""),$H$3:H10),""),
    _xlpm.widthActual,IFERROR(LOOKUP(2,1/($E$3:E10&lt;&gt;""),$E$3:E10),$E10),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8.1897202999999994</v>
      </c>
      <c r="O10" s="1077"/>
      <c r="P10" s="73">
        <f>IF(OR(C10="",A$9&lt;=0),"",IFERROR(IF(O$9="Europe to US",IF(A$9&lt;500,10,IF(A$9&lt;1000,8,IF(A$9&lt;2500,6,IF(A$9&lt;5000,5,4)))),VLOOKUP(O$9,[6]HELPER!$AF$2:$AH$3,3,FALSE)),0))</f>
        <v>0</v>
      </c>
      <c r="Q10" s="1077"/>
      <c r="R10" s="1074"/>
      <c r="S10" s="1074"/>
      <c r="T10" s="1075"/>
      <c r="U10" s="1074"/>
      <c r="V10" s="1077"/>
      <c r="W10" s="1079"/>
      <c r="X10" s="202">
        <f t="shared" si="0"/>
        <v>0.18426870674999998</v>
      </c>
      <c r="Y10" s="1080"/>
      <c r="Z10" s="201">
        <f>IF($M10="","",IFERROR(($N10+$P10)*$M10/$M$14,""))</f>
        <v>2.4939462032254918</v>
      </c>
      <c r="AG10" s="514" t="s">
        <v>2384</v>
      </c>
      <c r="AH10" s="592" t="s">
        <v>2385</v>
      </c>
      <c r="AI10" s="515"/>
      <c r="AJ10" s="38"/>
      <c r="AK10" s="514" t="s">
        <v>2384</v>
      </c>
      <c r="AL10" s="592" t="s">
        <v>2385</v>
      </c>
      <c r="AM10" s="515"/>
      <c r="AN10" s="38"/>
      <c r="AO10" s="514" t="s">
        <v>2384</v>
      </c>
      <c r="AP10" s="592" t="s">
        <v>2385</v>
      </c>
      <c r="AQ10" s="515"/>
      <c r="AS10">
        <f>100/(1-15%)</f>
        <v>117.64705882352942</v>
      </c>
    </row>
    <row r="11" spans="1:48" ht="15.75">
      <c r="A11" s="1081"/>
      <c r="B11" s="1077"/>
      <c r="C11" t="str">
        <v>TIPA 312 MET</v>
      </c>
      <c r="D11" s="1077"/>
      <c r="E11" s="1077"/>
      <c r="F11" s="1077"/>
      <c r="G11" s="1081"/>
      <c r="H11" s="1077"/>
      <c r="I11" s="1077"/>
      <c r="J11" s="502">
        <f t="shared" si="2"/>
        <v>720</v>
      </c>
      <c r="K11" cm="1">
        <f t="array" ref="K11">_xlfn.LET(_xlpm.baseThick,IFERROR(INDEX([6]HELPER!$BX$2:$BX$250,MATCH(1,(TEXT([6]HELPER!$BZ$2:$BZ$250,"0")=TEXT($B$9,"0"))*([6]HELPER!$CC$2:$CC$250=$AL$4)*([6]HELPER!$BW$2:$BW$250=C11),0)),""),IF(_xlpm.baseThick="","",_xlpm.baseThick))</f>
        <v>25</v>
      </c>
      <c r="L11">
        <f>IFERROR(VLOOKUP(C11,[6]HELPER!$AP$1:$AQ$25,2,FALSE),"")</f>
        <v>1.25</v>
      </c>
      <c r="M11" s="248">
        <f>IF(C11="","",IF(ISNUMBER(SEARCH("paper",C11)),42/1000*(J11/1000),IF(OR(L11="",L11=0),"",L11*1000*(K11/1000000)*(J11/1000))))</f>
        <v>2.2499999999999999E-2</v>
      </c>
      <c r="N11" s="203" cm="1">
        <f t="array" ref="N11">IF($C11="","",_xlfn.LET(
    _xlpm.mat,TRIM($C11),
    _xlpm.matKey,UPPER(SUBSTITUTE(_xlpm.mat," ","")),
    _xlpm.pr,IFERROR(LOOKUP(2,1/($H$3:H11&lt;&gt;""),$H$3:H11),""),
    _xlpm.widthActual,IFERROR(LOOKUP(2,1/($E$3:E11&lt;&gt;""),$E$3:E11),$E11),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8.1897202999999994</v>
      </c>
      <c r="O11" s="1077"/>
      <c r="P11" s="73">
        <f>IF(OR(C11="",A$9&lt;=0),"",IFERROR(IF(O$9="Europe to US",IF(A$9&lt;500,10,IF(A$9&lt;1000,8,IF(A$9&lt;2500,6,IF(A$9&lt;5000,5,4)))),VLOOKUP(O$9,[6]HELPER!$AF$2:$AH$3,3,FALSE)),0))</f>
        <v>0</v>
      </c>
      <c r="Q11" s="1077"/>
      <c r="R11" s="1074"/>
      <c r="S11" s="1074"/>
      <c r="T11" s="1075"/>
      <c r="U11" s="1074"/>
      <c r="V11" s="1077"/>
      <c r="W11" s="1079"/>
      <c r="X11" s="202">
        <f t="shared" si="0"/>
        <v>0.18426870674999998</v>
      </c>
      <c r="Y11" s="1080"/>
      <c r="Z11" s="201">
        <f>IF($M11="","",IFERROR(($N11+$P11)*$M11/$M$14,""))</f>
        <v>2.4939462032254918</v>
      </c>
      <c r="AG11" s="514" t="s">
        <v>2386</v>
      </c>
      <c r="AH11" s="592" t="s">
        <v>2387</v>
      </c>
      <c r="AI11" s="515"/>
      <c r="AK11" s="514" t="s">
        <v>2386</v>
      </c>
      <c r="AL11" s="174" t="s">
        <v>2387</v>
      </c>
      <c r="AM11" s="515"/>
      <c r="AO11" s="514" t="s">
        <v>2386</v>
      </c>
      <c r="AP11" s="174" t="s">
        <v>2387</v>
      </c>
      <c r="AQ11" s="515"/>
    </row>
    <row r="12" spans="1:48" ht="15.75">
      <c r="A12" s="1081"/>
      <c r="B12" s="1077"/>
      <c r="C12" t="str">
        <v>RM G Epotal ECO 3675</v>
      </c>
      <c r="D12" s="1077"/>
      <c r="E12" s="1077"/>
      <c r="F12" s="1077"/>
      <c r="G12" s="1081"/>
      <c r="H12" s="1077"/>
      <c r="I12" s="1077"/>
      <c r="J12" s="502">
        <f t="shared" si="2"/>
        <v>720</v>
      </c>
      <c r="K12" cm="1">
        <f t="array" ref="K12">_xlfn.LET(_xlpm.baseThick,IFERROR(INDEX([6]HELPER!$BX$2:$BX$250,MATCH(1,(TEXT([6]HELPER!$BZ$2:$BZ$250,"0")=TEXT($B$9,"0"))*([6]HELPER!$CC$2:$CC$250=$AL$4)*([6]HELPER!$BW$2:$BW$250=C12),0)),""),IF(_xlpm.baseThick="","",_xlpm.baseThick))</f>
        <v>7</v>
      </c>
      <c r="L12">
        <f>IFERROR(VLOOKUP(C12,[6]HELPER!$AP$1:$AQ$25,2,FALSE),"")</f>
        <v>1</v>
      </c>
      <c r="M12" s="248">
        <f>IF(C12="","",IF(ISNUMBER(SEARCH("paper",C12)),42/1000*(J12/1000),IF(OR(L12="",L12=0),"",L12*1000*(K12/1000000)*(J12/1000))))</f>
        <v>5.0400000000000002E-3</v>
      </c>
      <c r="N12" s="203" cm="1">
        <f t="array" ref="N12">IF($C12="","",_xlfn.LET(
    _xlpm.mat,TRIM($C12),
    _xlpm.matKey,UPPER(SUBSTITUTE(_xlpm.mat," ","")),
    _xlpm.pr,IFERROR(LOOKUP(2,1/($H$3:H12&lt;&gt;""),$H$3:H12),""),
    _xlpm.widthActual,IFERROR(LOOKUP(2,1/($E$3:E12&lt;&gt;""),$E$3:E12),$E12),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12" s="1077"/>
      <c r="P12" s="73">
        <f>IF(OR(C12="",A$9&lt;=0),"",IFERROR(IF(O$9="Europe to US",IF(A$9&lt;500,10,IF(A$9&lt;1000,8,IF(A$9&lt;2500,6,IF(A$9&lt;5000,5,4)))),VLOOKUP(O$9,[6]HELPER!$AF$2:$AH$3,3,FALSE)),0))</f>
        <v>0</v>
      </c>
      <c r="Q12" s="1077"/>
      <c r="R12" s="1074"/>
      <c r="S12" s="1074"/>
      <c r="T12" s="1075"/>
      <c r="U12" s="1074"/>
      <c r="V12" s="1077"/>
      <c r="W12" s="1079"/>
      <c r="X12" s="202">
        <f t="shared" si="0"/>
        <v>2.4444000000000004E-2</v>
      </c>
      <c r="Y12" s="1080"/>
      <c r="Z12" s="201">
        <f>IF($M12="","",IFERROR(($N12+$P12)*$M12/$M$14,""))</f>
        <v>0.33083219645293316</v>
      </c>
      <c r="AG12" s="514" t="s">
        <v>2388</v>
      </c>
      <c r="AH12" s="174" t="s">
        <v>250</v>
      </c>
      <c r="AI12" s="515"/>
      <c r="AK12" s="514" t="s">
        <v>2388</v>
      </c>
      <c r="AL12" s="174" t="s">
        <v>250</v>
      </c>
      <c r="AM12" s="515"/>
      <c r="AO12" s="514" t="s">
        <v>2388</v>
      </c>
      <c r="AP12" s="174" t="s">
        <v>250</v>
      </c>
      <c r="AQ12" s="515"/>
      <c r="AS12" s="253"/>
    </row>
    <row r="13" spans="1:48" ht="15.75">
      <c r="A13" s="1081"/>
      <c r="B13" s="1077"/>
      <c r="D13" s="1077"/>
      <c r="E13" s="1077"/>
      <c r="F13" s="1077"/>
      <c r="G13" s="1081"/>
      <c r="H13" s="1077"/>
      <c r="I13" s="1077"/>
      <c r="J13" s="502" t="str">
        <f t="shared" si="2"/>
        <v/>
      </c>
      <c r="K13" t="str" cm="1">
        <f t="array" ref="K13">_xlfn.LET(_xlpm.baseThick,IFERROR(INDEX([6]HELPER!$BX$2:$BX$250,MATCH(1,(TEXT([6]HELPER!$BZ$2:$BZ$250,"0")=TEXT($B$9,"0"))*([6]HELPER!$CC$2:$CC$250=$AL$4)*([6]HELPER!$BW$2:$BW$250=C13),0)),""),IF(_xlpm.baseThick="","",_xlpm.baseThick))</f>
        <v/>
      </c>
      <c r="L13" t="str">
        <f>IFERROR(VLOOKUP(C13,[6]HELPER!$AP$1:$AQ$25,2,FALSE),"")</f>
        <v/>
      </c>
      <c r="M13" s="248" t="str">
        <f>IF(C13="","",IF(ISNUMBER(SEARCH("paper",C13)),42/1000*(J13/1000),IF(OR(L13="",L13=0),"",L13*1000*(K13/1000000)*(J13/1000))))</f>
        <v/>
      </c>
      <c r="N13" s="203" t="str" cm="1">
        <f t="array" ref="N13">IF($C13="","",_xlfn.LET(
    _xlpm.mat,TRIM($C13),
    _xlpm.matKey,UPPER(SUBSTITUTE(_xlpm.mat," ","")),
    _xlpm.pr,IFERROR(LOOKUP(2,1/($H$3:H13&lt;&gt;""),$H$3:H13),""),
    _xlpm.widthActual,IFERROR(LOOKUP(2,1/($E$3:E13&lt;&gt;""),$E$3:E13),$E13),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3" s="1077"/>
      <c r="P13" s="73" t="str">
        <f>IF(OR(C13="",A$9&lt;=0),"",IFERROR(IF(O$9="Europe to US",IF(A$9&lt;500,10,IF(A$9&lt;1000,8,IF(A$9&lt;2500,6,IF(A$9&lt;5000,5,4)))),VLOOKUP(O$9,[6]HELPER!$AF$2:$AH$3,3,FALSE)),0))</f>
        <v/>
      </c>
      <c r="Q13" s="1077"/>
      <c r="R13" s="1074"/>
      <c r="S13" s="1074"/>
      <c r="T13" s="1075"/>
      <c r="U13" s="1074"/>
      <c r="V13" s="1077"/>
      <c r="W13" s="1079"/>
      <c r="X13" s="202" t="str">
        <f t="shared" si="0"/>
        <v/>
      </c>
      <c r="Y13" s="1080"/>
      <c r="Z13" s="201"/>
      <c r="AG13" s="528" t="s">
        <v>2389</v>
      </c>
      <c r="AH13" s="634" t="s">
        <v>1040</v>
      </c>
      <c r="AI13" s="516"/>
      <c r="AJ13" s="235"/>
      <c r="AK13" s="528" t="s">
        <v>2389</v>
      </c>
      <c r="AL13" s="634" t="s">
        <v>1040</v>
      </c>
      <c r="AM13" s="516"/>
      <c r="AO13" s="528" t="s">
        <v>2389</v>
      </c>
      <c r="AP13" s="634" t="s">
        <v>1040</v>
      </c>
      <c r="AQ13" s="516"/>
    </row>
    <row r="14" spans="1:48" ht="15.75">
      <c r="A14" s="1081"/>
      <c r="B14" s="1077"/>
      <c r="C14" s="38"/>
      <c r="D14" s="1077"/>
      <c r="E14" s="1077"/>
      <c r="F14" s="1077"/>
      <c r="G14" s="1081"/>
      <c r="H14" s="1077"/>
      <c r="I14" s="1077"/>
      <c r="J14" s="502" t="str">
        <f t="shared" si="2"/>
        <v/>
      </c>
      <c r="K14" s="170">
        <f>AL4</f>
        <v>80</v>
      </c>
      <c r="L14" t="str">
        <f>IFERROR(VLOOKUP(C14,[6]HELPER!$AP$1:$AQ$25,2,FALSE),"")</f>
        <v/>
      </c>
      <c r="M14" s="249">
        <f>SUM(M9:M13)</f>
        <v>7.3886400000000005E-2</v>
      </c>
      <c r="N14" s="203" t="str" cm="1">
        <f t="array" ref="N14">IF($C14="","",_xlfn.LET(
    _xlpm.mat,TRIM($C14),
    _xlpm.matKey,UPPER(SUBSTITUTE(_xlpm.mat," ","")),
    _xlpm.pr,IFERROR(LOOKUP(2,1/($H$3:H14&lt;&gt;""),$H$3:H14),""),
    _xlpm.widthActual,IFERROR(LOOKUP(2,1/($E$3:E14&lt;&gt;""),$E$3:E14),$E14),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4" s="1077"/>
      <c r="P14" s="73" t="str">
        <f>IF(OR(C14="",A$9&lt;=0),"",IFERROR(IF(O$9="Europe to US",IF(A$9&lt;500,10,IF(A$9&lt;1000,8,IF(A$9&lt;2500,6,IF(A$9&lt;5000,5,4)))),VLOOKUP(O$9,[6]HELPER!$AF$2:$AH$3,3,FALSE)),0))</f>
        <v/>
      </c>
      <c r="Q14" s="1077"/>
      <c r="R14" s="1074"/>
      <c r="S14" s="1074"/>
      <c r="T14" s="1075"/>
      <c r="U14" s="1074"/>
      <c r="V14" s="1077"/>
      <c r="W14" s="1079"/>
      <c r="X14" s="202" t="str">
        <f t="shared" si="0"/>
        <v/>
      </c>
      <c r="Y14" s="1080"/>
      <c r="Z14" s="201"/>
      <c r="AG14" s="528" t="s">
        <v>2390</v>
      </c>
      <c r="AH14" s="512">
        <v>52800</v>
      </c>
      <c r="AI14" s="527" t="str">
        <f>IF(AH13="IMP","IMP",IF(AH13="By Length","m",""))</f>
        <v/>
      </c>
      <c r="AJ14" s="513"/>
      <c r="AK14" s="528" t="s">
        <v>2390</v>
      </c>
      <c r="AL14" s="512">
        <v>264000</v>
      </c>
      <c r="AM14" s="527" t="str">
        <f>IF(AL13="IMP","IMP",IF(AL13="By Length","m",""))</f>
        <v/>
      </c>
      <c r="AN14" s="513"/>
      <c r="AO14" s="528" t="s">
        <v>2390</v>
      </c>
      <c r="AP14" s="512">
        <v>528000</v>
      </c>
      <c r="AQ14" s="527" t="str">
        <f>IF(AP13="IMP","IMP",IF(AP13="By Length","m",""))</f>
        <v/>
      </c>
    </row>
    <row r="15" spans="1:48" ht="15.75">
      <c r="A15" s="1081">
        <f>IF(AP13="By Length",IF(AP14&lt;&gt;"",IFERROR(AP14*$M$20*($D15/$J15),""),""),IF(OR(AP13="By Imp",AP13="IMP"),IFERROR(AP41*$M$20*($D15/$J15),""),IF(AP6="","",AP6)))</f>
        <v>5035.1512780800003</v>
      </c>
      <c r="B15" s="1077">
        <f>AP3</f>
        <v>428</v>
      </c>
      <c r="C15" t="str" cm="1">
        <f t="array" ref="C15:C18">IFERROR(_xlfn.LET(_xlpm.lam,TEXT(B15,"0"),_xlpm.thick,AP4,_xlfn.TAKE(_xlfn._xlws.FILTER([6]HELPER!$BW$2:$BW$250,(TEXT([6]HELPER!$BZ$2:$BZ$250,"0")=_xlpm.lam)*([6]HELPER!$CC$2:$CC$250=_xlpm.thick)*([6]HELPER!$BW$2:$BW$250&lt;&gt;""),"No match"),6)),"")</f>
        <v>NK</v>
      </c>
      <c r="D15" s="1077">
        <f>AP5</f>
        <v>352</v>
      </c>
      <c r="E15" s="1082">
        <f>IF(D15="","",_xlfn.LET(_xlpm.cap,IF($Q15="Quantum",760,1220),IF(D15+50&gt;_xlpm.cap,"ERROR: Lamination Width &gt; "&amp;_xlpm.cap,D15*MAX(1,MIN(MAX(2,INT(900/D15)),INT((_xlpm.cap-50)/D15))))))</f>
        <v>704</v>
      </c>
      <c r="F15" s="1077"/>
      <c r="G15" s="1083">
        <f>IF(OR(AP13="IMP",AP13="By Imp",AP13="By Length"),IFERROR(AP16,""),IFERROR(IF(OR(A15="",A15=0,$D15="",$D15=0,$J15="",$M$20="",$M$20=0,A15&lt;=5),"",(A15-5)/$M$20*($J15/$D15)),""))</f>
        <v>139392</v>
      </c>
      <c r="H15" s="1077" t="str">
        <f>AP7</f>
        <v>Printed</v>
      </c>
      <c r="I15" s="1084" t="str">
        <f>IF(H15="Not Printed",0,AP8)</f>
        <v>3-4</v>
      </c>
      <c r="J15" s="502">
        <f>IF(C15="","",$E$15+16)</f>
        <v>720</v>
      </c>
      <c r="K15" cm="1">
        <f t="array" ref="K15">_xlfn.LET(_xlpm.baseThick,IFERROR(INDEX([6]HELPER!$BX$2:$BX$250,MATCH(1,(TEXT([6]HELPER!$BZ$2:$BZ$250,"0")=TEXT($B$15,"0"))*([6]HELPER!$CC$2:$CC$250=$AP$4)*([6]HELPER!$BW$2:$BW$250=C15),0)),""),IF(_xlpm.baseThick="","",_xlpm.baseThick))</f>
        <v>23</v>
      </c>
      <c r="L15">
        <f>IFERROR(VLOOKUP(C15,[6]HELPER!$AP$1:$AQ$25,2,FALSE),"")</f>
        <v>1.44</v>
      </c>
      <c r="M15" s="250">
        <f>IF(C15="","",IF(ISNUMBER(SEARCH("paper",C15)),42/1000*(J15/1000),IF(OR(L15="",L15=0),"",L15*1000*(K15/1000000)*(J15/1000))))</f>
        <v>2.3846399999999997E-2</v>
      </c>
      <c r="N15" s="203" cm="1">
        <f t="array" ref="N15">IF($C15="","",_xlfn.LET(
    _xlpm.mat,TRIM($C15),
    _xlpm.matKey,UPPER(SUBSTITUTE(_xlpm.mat," ","")),
    _xlpm.pr,IFERROR(LOOKUP(2,1/($H$3:H15&lt;&gt;""),$H$3:H15),""),
    _xlpm.widthActual,IFERROR(LOOKUP(2,1/($E$3:E15&lt;&gt;""),$E$3:E15),$E15),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15" s="1077" t="str">
        <f>AP11</f>
        <v>EXW</v>
      </c>
      <c r="P15" s="73">
        <f>IF(OR(C15="",A$15&lt;=0),"",IFERROR(IF(O$15="Europe to US",IF(A$15&lt;500,10,IF(A$15&lt;1000,8,IF(A$15&lt;2500,6,IF(A$15&lt;5000,5,4)))),VLOOKUP(O$15,[6]HELPER!$AF$2:$AH$3,3,FALSE)),0))</f>
        <v>0</v>
      </c>
      <c r="Q15" s="1077" t="str">
        <f>AP12</f>
        <v>Marma</v>
      </c>
      <c r="R15" s="1074" cm="1">
        <f t="array" ref="R15">IF(OR($Q15="",$G15=""),"",IF($J15&gt;IF($Q15="Quantum",760,1220),"Error! lamination width exceeds supplier maximum",_xlfn.LET(_xlpm.struct,$C$15:$C$20,_xlpm.realLayers,SUMPRODUCT(--(_xlpm.struct&lt;&gt;""),--ISERROR(SEARCH("EPOTAL",_xlpm.struct&amp;"")),--ISERROR(SEARCH("BASONAT",_xlpm.struct&amp;"")),--ISERROR(SEARCH("ADH",_xlpm.struct&amp;"")),--ISERROR(SEARCH("HARDENER",_xlpm.struct&amp;""))),_xlpm.lamSteps,MAX(0,_xlpm.realLayers-1),_xlpm.len,$G15,_xlpm.colNum,IF(_xlpm.len&lt;3000,1,IF(_xlpm.len&lt;10000,2,IF(_xlpm.len&lt;25000,3,IF(_xlpm.len&lt;50000,4,IF(_xlpm.len&lt;100000,5,IF(_xlpm.len&lt;250000,6,7)))))),_xlpm.widthRow,IF($E15&lt;900,0,5),_xlpm.supplierRow,IF($Q15="Marma",3,IF(OR($Q15="Bastin",$Q15="Quantum"),13,0)),_xlpm.baseRate,IF(_xlpm.supplierRow=0,"",INDEX('[6]Lmntn &amp; Prntng- Marma &amp; Bastin '!$D$1:$K$22,_xlpm.supplierRow+_xlpm.widthRow,_xlpm.colNum)),IF(_xlpm.realLayers=0,"",_xlpm.baseRate*_xlpm.lamSteps))))</f>
        <v>0.16794000000000001</v>
      </c>
      <c r="S15" s="1074" cm="1">
        <f t="array" ref="S15">IF($Q15="Quantum",IF(OR($Q15="",$I15=0,$I15="0"),"",IF($J15&gt;IF($Q15="Quantum",760,1220),"Error! lamination width exceeds supplier maximum",IF($E15&gt;1200,"Data is missing",_xlfn.LET(_xlpm.len,$G15,_xlpm.colors,$I15,_xlpm.qWidth,IF($E15&lt;=450,450,IF($E15&lt;=760,760,1200)),_xlpm.band,IF(_xlpm.colors=1,"1",IF(OR(_xlpm.colors=2,_xlpm.colors=3),"2-3",IF(OR(_xlpm.colors=4,_xlpm.colors=5),"4-5","6-8"))),_xlpm.widths,'[6]Digital_per_meter- Quantum'!$A$32:$A$91,_xlpm.bands,'[6]Digital_per_meter- Quantum'!$C$32:$C$91,_xlpm.meters,'[6]Digital_per_meter- Quantum'!$D$32:$D$91,_xlpm.rates,'[6]Digital_per_meter-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[6]HELPER!$AK$2)))),IF(OR($Q15="",$I15=0,$I15="0"),"",IF($J15&gt;IF($Q15="Quantum",760,1220),"Error! lamination width exceeds supplier maximum",_xlfn.LET(_xlpm.len,$G15,_xlpm.colors,$I15,_xlpm.colNum,IF(_xlpm.len&lt;3000,1,IF(_xlpm.len&lt;10000,2,IF(_xlpm.len&lt;25000,3,IF(_xlpm.len&lt;50000,4,IF(_xlpm.len&lt;100000,5,IF(_xlpm.len&lt;250000,6,IF(_xlpm.len&lt;500000,7,8))))))),_xlpm.widthRow,IF($E15&lt;900,0,5),_xlpm.colorOffset,IF(OR(_xlpm.colors=1,_xlpm.colors=2,_xlpm.colors="1-2"),1,IF(OR(_xlpm.colors=3,_xlpm.colors=4,_xlpm.colors="3-4"),2,IF(OR(_xlpm.colors&gt;=5,_xlpm.colors="5-6",_xlpm.colors="5-8"),3,0))),_xlpm.supplierRow,IF($Q15="Marma",3,IF($Q15="Bastin",13,0)),IF(OR(_xlpm.supplierRow=0,_xlpm.colorOffset=0),"",INDEX('[6]Lmntn &amp; Prntng- Marma &amp; Bastin '!$D$1:$K$22,_xlpm.supplierRow+_xlpm.widthRow+_xlpm.colorOffset,_xlpm.colNum))))))</f>
        <v>9.6379999999999993E-2</v>
      </c>
      <c r="T15" s="1075">
        <f>IF(OR($S15="",$K15=""),"",IFERROR($S15*(1/$M$20)*($J15/($D15*MAX(1,ROUNDDOWN(760/$D15,0)))),""))</f>
        <v>1.3340811644017645</v>
      </c>
      <c r="U15" s="1074" cm="1">
        <f t="array" ref="U15">IF($Q15="","",IF($J15&gt;IF($Q15="Quantum",760,1220),"Error! lamination width exceeds supplier maximum",_xlfn.LET(_xlpm.len,$G15,_xlpm.colNum,IF(_xlpm.len&lt;3000,1,IF(_xlpm.len&lt;10000,2,IF(_xlpm.len&lt;25000,3,IF(_xlpm.len&lt;50000,4,IF(_xlpm.len&lt;100000,5,IF(_xlpm.len&lt;250000,6,7)))))),_xlpm.widthRow,IF($E15&lt;900,0,5),_xlpm.supplierRow,IF($Q15="Marma",7,IF(OR($Q15="Bastin",$Q15="Quantum"),17,0)),IF(_xlpm.supplierRow=0,"",INDEX('[6]Lmntn &amp; Prntng- Marma &amp; Bastin '!$D$1:$K$22,_xlpm.supplierRow+_xlpm.widthRow,_xlpm.colNum)))))</f>
        <v>2.3219999999999998E-2</v>
      </c>
      <c r="V15" s="1076">
        <f>IFERROR(IF(AP23="","",IF($K20&gt;31,(5%+250/$G$15)*AP23,VLOOKUP($K20,[6]HELPER!$BH$3:$BI$5,2,TRUE)*AP23)),"")</f>
        <v>0.41764904991656693</v>
      </c>
      <c r="W15" s="1079">
        <f>IF(OR($H15&lt;&gt;"Printed",$I15=0,$I15="0"),0,IFERROR(AP23*0.028,0)+IFERROR(AP44,0))</f>
        <v>0.30911539334616422</v>
      </c>
      <c r="X15" s="202">
        <f t="shared" si="0"/>
        <v>0.18957887999999998</v>
      </c>
      <c r="Y15" s="1080">
        <f>IFERROR((SUM(X15:X20)+SUM(R15:S15,U15))*(1/M20)*(J15/E15)+V15+W15,"")</f>
        <v>12.770595245283866</v>
      </c>
      <c r="Z15" s="201">
        <f>IF(OR($M15="",$M$20=""),"",IFERROR(($N15+$P15)*$M15/$M$20,""))</f>
        <v>2.5658156304813873</v>
      </c>
      <c r="AA15" s="595">
        <f>AP9</f>
        <v>1</v>
      </c>
      <c r="AB15" s="95">
        <f>IF(OR(AP13="IMP",AP13="By Imp"),IFERROR(AP14/AA15,""),"")</f>
        <v>528000</v>
      </c>
      <c r="AC15" s="624">
        <f>AP43</f>
        <v>0.33333333333333331</v>
      </c>
      <c r="AG15" s="517" t="s">
        <v>1214</v>
      </c>
      <c r="AH15" s="658">
        <v>528</v>
      </c>
      <c r="AI15" s="552">
        <v>352</v>
      </c>
      <c r="AK15" s="517" t="s">
        <v>1214</v>
      </c>
      <c r="AL15" s="658">
        <v>528</v>
      </c>
      <c r="AM15" s="552">
        <v>352</v>
      </c>
      <c r="AO15" s="517" t="s">
        <v>1214</v>
      </c>
      <c r="AP15" s="658">
        <v>528</v>
      </c>
      <c r="AQ15" s="552">
        <v>352</v>
      </c>
    </row>
    <row r="16" spans="1:48" ht="15.75">
      <c r="A16" s="1081"/>
      <c r="B16" s="1077"/>
      <c r="C16" t="str">
        <v>TIPA 312 MET</v>
      </c>
      <c r="D16" s="1077"/>
      <c r="E16" s="1077"/>
      <c r="F16" s="1077"/>
      <c r="G16" s="1081"/>
      <c r="H16" s="1077"/>
      <c r="I16" s="1077"/>
      <c r="J16" s="502">
        <f t="shared" ref="J16:J20" si="3">IF(C16="","",$E$15+16)</f>
        <v>720</v>
      </c>
      <c r="K16" cm="1">
        <f t="array" ref="K16">_xlfn.LET(_xlpm.baseThick,IFERROR(INDEX([6]HELPER!$BX$2:$BX$250,MATCH(1,(TEXT([6]HELPER!$BZ$2:$BZ$250,"0")=TEXT($B$15,"0"))*([6]HELPER!$CC$2:$CC$250=$AP$4)*([6]HELPER!$BW$2:$BW$250=C16),0)),""),IF(_xlpm.baseThick="","",_xlpm.baseThick))</f>
        <v>25</v>
      </c>
      <c r="L16">
        <f>IFERROR(VLOOKUP(C16,[6]HELPER!$AP$1:$AQ$25,2,FALSE),"")</f>
        <v>1.25</v>
      </c>
      <c r="M16" s="250">
        <f>IF(C16="","",IF(ISNUMBER(SEARCH("paper",C16)),42/1000*(J16/1000),IF(OR(L16="",L16=0),"",L16*1000*(K16/1000000)*(J16/1000))))</f>
        <v>2.2499999999999999E-2</v>
      </c>
      <c r="N16" s="204" cm="1">
        <f t="array" ref="N16">IF($C16="","",_xlfn.LET(
    _xlpm.mat,TRIM($C16),
    _xlpm.matKey,UPPER(SUBSTITUTE(_xlpm.mat," ","")),
    _xlpm.pr,IFERROR(LOOKUP(2,1/($H$3:H16&lt;&gt;""),$H$3:H16),""),
    _xlpm.widthActual,IFERROR(LOOKUP(2,1/($E$3:E16&lt;&gt;""),$E$3:E16),$E16),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8.1897202999999994</v>
      </c>
      <c r="O16" s="1077"/>
      <c r="P16" s="73">
        <f>IF(OR(C16="",A$15&lt;=0),"",IFERROR(IF(O$15="Europe to US",IF(A$15&lt;500,10,IF(A$15&lt;1000,8,IF(A$15&lt;2500,6,IF(A$15&lt;5000,5,4)))),VLOOKUP(O$15,[6]HELPER!$AF$2:$AH$3,3,FALSE)),0))</f>
        <v>0</v>
      </c>
      <c r="Q16" s="1077"/>
      <c r="R16" s="1074"/>
      <c r="S16" s="1074"/>
      <c r="T16" s="1075"/>
      <c r="U16" s="1074"/>
      <c r="V16" s="1077"/>
      <c r="W16" s="1079"/>
      <c r="X16" s="202">
        <f t="shared" si="0"/>
        <v>0.18426870674999998</v>
      </c>
      <c r="Y16" s="1080"/>
      <c r="Z16" s="201">
        <f>IF(OR($M16="",$M$20=""),"",IFERROR(($N16+$P16)*$M16/$M$20,""))</f>
        <v>2.4939462032254918</v>
      </c>
      <c r="AG16" s="518" t="s">
        <v>575</v>
      </c>
      <c r="AH16" s="654" cm="1">
        <f t="array" ref="AH16">IF(OR(AH13="IMP",AH13="By Imp"),IFERROR(AH14/2*(AH15/1000),""),IF(AH13="By Length",IFERROR(AH14,""),IF(AH13="By Weight",IFERROR(ROUND(INDEX($G$3:$G$20,MATCH(1,($B$3:$B$20=AH3)*($D$3:$D$20=AH5)*($A$3:$A$20=IF(AH6&lt;&gt;"",AH6,A3))*($O$3:$O$20=AH11)*($K$8:$K$25=AH4),0)),0),""),"")))</f>
        <v>13939.2</v>
      </c>
      <c r="AI16" s="519" t="s">
        <v>580</v>
      </c>
      <c r="AK16" s="518" t="s">
        <v>575</v>
      </c>
      <c r="AL16" s="654" cm="1">
        <f t="array" ref="AL16">IF(OR(AL13="IMP",AL13="By Imp"),IFERROR(AL14/2*(AL15/1000),""),IF(AL13="By Length",IFERROR(AL14,""),IF(AL13="By Weight",IFERROR(ROUND(INDEX($G$3:$G$20,MATCH(1,($B$3:$B$20=AL3)*($D$3:$D$20=AL5)*($A$3:$A$20=IF(AL6&lt;&gt;"",AL6,A9))*($O$3:$O$20=AL11)*($K$8:$K$25=AL4),0)),0),""),"")))</f>
        <v>69696</v>
      </c>
      <c r="AM16" s="519" t="s">
        <v>580</v>
      </c>
      <c r="AO16" s="518" t="s">
        <v>575</v>
      </c>
      <c r="AP16" s="654" cm="1">
        <f t="array" ref="AP16">IF(OR(AP13="IMP",AP13="By Imp"),IFERROR(AP14/2*(AP15/1000),""),IF(AP13="By Length",IFERROR(AP14,""),IF(AP13="By Weight",IFERROR(ROUND(INDEX($G$3:$G$20,MATCH(1,($B$3:$B$20=AP3)*($D$3:$D$20=AP5)*($A$3:$A$20=IF(AP6&lt;&gt;"",AP6,A15))*($O$3:$O$20=AP11),0)),0),""),"")))</f>
        <v>139392</v>
      </c>
      <c r="AQ16" s="519" t="s">
        <v>580</v>
      </c>
      <c r="AV16" s="74"/>
    </row>
    <row r="17" spans="1:49" ht="15.75">
      <c r="A17" s="1081"/>
      <c r="B17" s="1077"/>
      <c r="C17" t="str">
        <v>TIPA 312 MET</v>
      </c>
      <c r="D17" s="1077"/>
      <c r="E17" s="1077"/>
      <c r="F17" s="1077"/>
      <c r="G17" s="1081"/>
      <c r="H17" s="1077"/>
      <c r="I17" s="1077"/>
      <c r="J17" s="502">
        <f t="shared" si="3"/>
        <v>720</v>
      </c>
      <c r="K17" cm="1">
        <f t="array" ref="K17">_xlfn.LET(_xlpm.baseThick,IFERROR(INDEX([6]HELPER!$BX$2:$BX$250,MATCH(1,(TEXT([6]HELPER!$BZ$2:$BZ$250,"0")=TEXT($B$15,"0"))*([6]HELPER!$CC$2:$CC$250=$AP$4)*([6]HELPER!$BW$2:$BW$250=C17),0)),""),IF(_xlpm.baseThick="","",_xlpm.baseThick))</f>
        <v>25</v>
      </c>
      <c r="L17">
        <f>IFERROR(VLOOKUP(C17,[6]HELPER!$AP$1:$AQ$25,2,FALSE),"")</f>
        <v>1.25</v>
      </c>
      <c r="M17" s="250">
        <f>IF(C17="","",IF(ISNUMBER(SEARCH("paper",C17)),42/1000*(J17/1000),IF(OR(L17="",L17=0),"",L17*1000*(K17/1000000)*(J17/1000))))</f>
        <v>2.2499999999999999E-2</v>
      </c>
      <c r="N17" s="203" cm="1">
        <f t="array" ref="N17">IF($C17="","",_xlfn.LET(
    _xlpm.mat,TRIM($C17),
    _xlpm.matKey,UPPER(SUBSTITUTE(_xlpm.mat," ","")),
    _xlpm.pr,IFERROR(LOOKUP(2,1/($H$3:H17&lt;&gt;""),$H$3:H17),""),
    _xlpm.widthActual,IFERROR(LOOKUP(2,1/($E$3:E17&lt;&gt;""),$E$3:E17),$E17),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8.1897202999999994</v>
      </c>
      <c r="O17" s="1077"/>
      <c r="P17" s="73">
        <f>IF(OR(C17="",A$15&lt;=0),"",IFERROR(IF(O$15="Europe to US",IF(A$15&lt;500,10,IF(A$15&lt;1000,8,IF(A$15&lt;2500,6,IF(A$15&lt;5000,5,4)))),VLOOKUP(O$15,[6]HELPER!$AF$2:$AH$3,3,FALSE)),0))</f>
        <v>0</v>
      </c>
      <c r="Q17" s="1077"/>
      <c r="R17" s="1074"/>
      <c r="S17" s="1074"/>
      <c r="T17" s="1075"/>
      <c r="U17" s="1074"/>
      <c r="V17" s="1077"/>
      <c r="W17" s="1079"/>
      <c r="X17" s="202">
        <f t="shared" si="0"/>
        <v>0.18426870674999998</v>
      </c>
      <c r="Y17" s="1080"/>
      <c r="Z17" s="201">
        <f>IF(OR($M17="",$M$20=""),"",IFERROR(($N17+$P17)*$M17/$M$20,""))</f>
        <v>2.4939462032254918</v>
      </c>
      <c r="AE17" s="858"/>
      <c r="AF17" s="3"/>
      <c r="AG17" s="520" t="s">
        <v>576</v>
      </c>
      <c r="AH17" s="196">
        <f>IF(AH39&lt;&gt;"",IFERROR(AH39*AH19,""),"")</f>
        <v>7630.8959000757304</v>
      </c>
      <c r="AI17" s="521" t="s">
        <v>496</v>
      </c>
      <c r="AK17" s="520" t="s">
        <v>576</v>
      </c>
      <c r="AL17" s="196">
        <f>IF(AL39&lt;&gt;"",IFERROR(AL39*AL19,""),"")</f>
        <v>33586.098952878841</v>
      </c>
      <c r="AM17" s="521" t="s">
        <v>496</v>
      </c>
      <c r="AO17" s="520" t="s">
        <v>576</v>
      </c>
      <c r="AP17" s="196">
        <f>IF(AP39&lt;&gt;"",IFERROR(AP39*AP19,""),"")</f>
        <v>64365.731947359862</v>
      </c>
      <c r="AQ17" s="521" t="s">
        <v>496</v>
      </c>
      <c r="AV17" s="74"/>
    </row>
    <row r="18" spans="1:49" ht="15.75">
      <c r="A18" s="1081"/>
      <c r="B18" s="1077"/>
      <c r="C18" t="str">
        <v>RM G Epotal ECO 3675</v>
      </c>
      <c r="D18" s="1077"/>
      <c r="E18" s="1077"/>
      <c r="F18" s="1077"/>
      <c r="G18" s="1081"/>
      <c r="H18" s="1077"/>
      <c r="I18" s="1077"/>
      <c r="J18" s="502">
        <f t="shared" si="3"/>
        <v>720</v>
      </c>
      <c r="K18" cm="1">
        <f t="array" ref="K18">_xlfn.LET(_xlpm.baseThick,IFERROR(INDEX([6]HELPER!$BX$2:$BX$250,MATCH(1,(TEXT([6]HELPER!$BZ$2:$BZ$250,"0")=TEXT($B$15,"0"))*([6]HELPER!$CC$2:$CC$250=$AP$4)*([6]HELPER!$BW$2:$BW$250=C18),0)),""),IF(_xlpm.baseThick="","",_xlpm.baseThick))</f>
        <v>7</v>
      </c>
      <c r="L18">
        <f>IFERROR(VLOOKUP(C18,[6]HELPER!$AP$1:$AQ$25,2,FALSE),"")</f>
        <v>1</v>
      </c>
      <c r="M18" s="250">
        <f>IF(C18="","",IF(ISNUMBER(SEARCH("paper",C18)),42/1000*(J18/1000),IF(OR(L18="",L18=0),"",L18*1000*(K18/1000000)*(J18/1000))))</f>
        <v>5.0400000000000002E-3</v>
      </c>
      <c r="N18" s="203" cm="1">
        <f t="array" ref="N18">IF($C18="","",_xlfn.LET(
    _xlpm.mat,TRIM($C18),
    _xlpm.matKey,UPPER(SUBSTITUTE(_xlpm.mat," ","")),
    _xlpm.pr,IFERROR(LOOKUP(2,1/($H$3:H18&lt;&gt;""),$H$3:H18),""),
    _xlpm.widthActual,IFERROR(LOOKUP(2,1/($E$3:E18&lt;&gt;""),$E$3:E18),$E18),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18" s="1077"/>
      <c r="P18" s="73">
        <f>IF(OR(C18="",A$15&lt;=0),"",IFERROR(IF(O$15="Europe to US",IF(A$15&lt;500,10,IF(A$15&lt;1000,8,IF(A$15&lt;2500,6,IF(A$15&lt;5000,5,4)))),VLOOKUP(O$15,[6]HELPER!$AF$2:$AH$3,3,FALSE)),0))</f>
        <v>0</v>
      </c>
      <c r="Q18" s="1077"/>
      <c r="R18" s="1074"/>
      <c r="S18" s="1074"/>
      <c r="T18" s="1075"/>
      <c r="U18" s="1074"/>
      <c r="V18" s="1077"/>
      <c r="W18" s="1079"/>
      <c r="X18" s="202">
        <f t="shared" si="0"/>
        <v>2.4444000000000004E-2</v>
      </c>
      <c r="Y18" s="1080"/>
      <c r="Z18" s="201">
        <f>IF(OR($M18="",$M$20=""),"",IFERROR(($N18+$P18)*$M18/$M$20,""))</f>
        <v>0.33083219645293316</v>
      </c>
      <c r="AG18" s="520" t="s">
        <v>577</v>
      </c>
      <c r="AH18" s="197">
        <f>IF(AH17&lt;&gt;"",IFERROR(AH17*1.16,""),"")</f>
        <v>8851.839244087847</v>
      </c>
      <c r="AI18" s="521" t="s">
        <v>270</v>
      </c>
      <c r="AK18" s="520" t="s">
        <v>577</v>
      </c>
      <c r="AL18" s="197">
        <f>IF(AL17&lt;&gt;"",IFERROR(AL17*1.16,""),"")</f>
        <v>38959.874785339453</v>
      </c>
      <c r="AM18" s="521" t="s">
        <v>270</v>
      </c>
      <c r="AO18" s="520" t="s">
        <v>577</v>
      </c>
      <c r="AP18" s="197">
        <f>IF(AP17&lt;&gt;"",IFERROR(AP17*1.16,""),"")</f>
        <v>74664.249058937436</v>
      </c>
      <c r="AQ18" s="521" t="s">
        <v>270</v>
      </c>
      <c r="AV18" s="74"/>
    </row>
    <row r="19" spans="1:49" ht="15.75">
      <c r="A19" s="1081"/>
      <c r="B19" s="1077"/>
      <c r="D19" s="1077"/>
      <c r="E19" s="1077"/>
      <c r="F19" s="1077"/>
      <c r="G19" s="1081"/>
      <c r="H19" s="1077"/>
      <c r="I19" s="1077"/>
      <c r="J19" s="502" t="str">
        <f t="shared" si="3"/>
        <v/>
      </c>
      <c r="K19" t="str" cm="1">
        <f t="array" ref="K19">_xlfn.LET(_xlpm.baseThick,IFERROR(INDEX([6]HELPER!$BX$2:$BX$250,MATCH(1,(TEXT([6]HELPER!$BZ$2:$BZ$250,"0")=TEXT($B$15,"0"))*([6]HELPER!$CC$2:$CC$250=$AP$4)*([6]HELPER!$BW$2:$BW$250=C19),0)),""),IF(_xlpm.baseThick="","",_xlpm.baseThick))</f>
        <v/>
      </c>
      <c r="L19" t="str">
        <f>IFERROR(VLOOKUP(C19,[6]HELPER!$AP$1:$AQ$25,2,FALSE),"")</f>
        <v/>
      </c>
      <c r="M19" s="250" t="str">
        <f>IF(C19="","",IF(ISNUMBER(SEARCH("paper",C19)),42/1000*(J19/1000),IF(OR(L19="",L19=0),"",L19*1000*(K19/1000000)*(J19/1000))))</f>
        <v/>
      </c>
      <c r="N19" s="203" t="str" cm="1">
        <f t="array" ref="N19">IF($C19="","",_xlfn.LET(
    _xlpm.mat,TRIM($C19),
    _xlpm.matKey,UPPER(SUBSTITUTE(_xlpm.mat," ","")),
    _xlpm.pr,IFERROR(LOOKUP(2,1/($H$3:H19&lt;&gt;""),$H$3:H19),""),
    _xlpm.widthActual,IFERROR(LOOKUP(2,1/($E$3:E19&lt;&gt;""),$E$3:E19),$E19),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9" s="1077"/>
      <c r="P19" s="73" t="str">
        <f>IF(OR(C19="",A$15&lt;=0),"",IFERROR(IF(O$15="Europe to US",IF(A$15&lt;500,10,IF(A$15&lt;1000,8,IF(A$15&lt;2500,6,IF(A$15&lt;5000,5,4)))),VLOOKUP(O$15,[6]HELPER!$AF$2:$AH$3,3,FALSE)),0))</f>
        <v/>
      </c>
      <c r="Q19" s="1077"/>
      <c r="R19" s="1074"/>
      <c r="S19" s="1074"/>
      <c r="T19" s="1075"/>
      <c r="U19" s="1074"/>
      <c r="V19" s="1077"/>
      <c r="W19" s="1079"/>
      <c r="X19" s="202" t="str">
        <f t="shared" si="0"/>
        <v/>
      </c>
      <c r="Y19" s="1080"/>
      <c r="Z19" s="201"/>
      <c r="AG19" s="522" t="s">
        <v>578</v>
      </c>
      <c r="AH19" s="200" cm="1">
        <f t="array" ref="AH19">_xlfn.LET(_xlpm.base,IF(OR(AND(AH13="By Weight",AH6&lt;&gt;""),AND(AH13="By Length",AH14&lt;&gt;""),AND(OR(AH13="IMP",AH13="By Imp"),AH14&lt;&gt;"",AH15&lt;&gt;"")),IFERROR(_xlfn.LET(_xlpm.r,MATCH(1,($B$3:$B$20=AH3)*($D$3:$D$20=AH5)*($A$3:$A$20=IF(AH6&lt;&gt;"",AH6,A3))*($O$3:$O$20=AH11)*($K$8:$K$25=AH4),0)+2,SUM(AH23:AH24,AH26)+INDEX($V$3:$V$20,_xlpm.r-2)),""),""),IF(_xlpm.base="","",_xlpm.base+IF(AH10="3''",[6]HELPER!$DQ$1,0)))</f>
        <v>15.006231836148887</v>
      </c>
      <c r="AI19" s="523" t="s">
        <v>496</v>
      </c>
      <c r="AK19" s="522" t="s">
        <v>578</v>
      </c>
      <c r="AL19" s="200" cm="1">
        <f t="array" ref="AL19">_xlfn.LET(_xlpm.base,IF(OR(AND(AL13="By Weight",AL6&lt;&gt;""),AND(AL13="By Length",AL14&lt;&gt;""),AND(OR(AL13="IMP",AL13="By Imp"),AL14&lt;&gt;"",AL15&lt;&gt;"")),IFERROR(_xlfn.LET(_xlpm.r,MATCH(1,($B$3:$B$20=AL3)*($D$3:$D$20=AL5)*($A$3:$A$20=IF(AL6&lt;&gt;"",AL6,A9))*($O$3:$O$20=AL11)*($K$8:$K$25=AL4),0)+2,SUM(AL23:AL24,AL26)+INDEX($V$3:$V$20,_xlpm.r-2)),""),""),IF(_xlpm.base="","",_xlpm.base+IF(AL10="3''",[6]HELPER!$DQ$1,0)))</f>
        <v>13.314208871715133</v>
      </c>
      <c r="AM19" s="523" t="s">
        <v>496</v>
      </c>
      <c r="AO19" s="522" t="s">
        <v>578</v>
      </c>
      <c r="AP19" s="200" cm="1">
        <f t="array" ref="AP19">_xlfn.LET(_xlpm.base,IF(OR(AND(AP13="By Weight",AP6&lt;&gt;""),AND(AP13="By Length",AP14&lt;&gt;""),AND(OR(AP13="IMP",AP13="By Imp"),AP14&lt;&gt;"",AP15&lt;&gt;"")),IFERROR(_xlfn.LET(_xlpm.r,MATCH(1,($B$3:$B$20=AP3)*($D$3:$D$20=AP5)*($A$3:$A$20=IF(AP6&lt;&gt;"",AP6,A15))*($O$3:$O$20=AP11),0)+2,SUM(AP23:AP24,AP26)+INDEX($V$3:$V$20,_xlpm.r-2)),""),""),IF(_xlpm.base="","",_xlpm.base+IF(AP10="3''",[6]HELPER!$DQ$1,0)))</f>
        <v>12.770595245283868</v>
      </c>
      <c r="AQ19" s="523" t="s">
        <v>496</v>
      </c>
      <c r="AV19" s="74"/>
    </row>
    <row r="20" spans="1:49" ht="15.75">
      <c r="A20" s="1081"/>
      <c r="B20" s="1077"/>
      <c r="D20" s="1077"/>
      <c r="E20" s="1077"/>
      <c r="F20" s="1077"/>
      <c r="G20" s="1081"/>
      <c r="H20" s="1077"/>
      <c r="I20" s="1077"/>
      <c r="J20" s="502" t="str">
        <f t="shared" si="3"/>
        <v/>
      </c>
      <c r="K20" s="170">
        <f>AP4</f>
        <v>80</v>
      </c>
      <c r="L20" t="str">
        <f>IFERROR(VLOOKUP(C20,[6]HELPER!$AP$1:$AQ$25,2,FALSE),"")</f>
        <v/>
      </c>
      <c r="M20" s="251">
        <f>SUM(M15:M19)</f>
        <v>7.3886400000000005E-2</v>
      </c>
      <c r="N20" s="203" t="str" cm="1">
        <f t="array" ref="N20">IF($C20="","",_xlfn.LET(
    _xlpm.mat,TRIM($C20),
    _xlpm.matKey,UPPER(SUBSTITUTE(_xlpm.mat," ","")),
    _xlpm.pr,IFERROR(LOOKUP(2,1/($H$3:H20&lt;&gt;""),$H$3:H20),""),
    _xlpm.widthActual,IFERROR(LOOKUP(2,1/($E$3:E20&lt;&gt;""),$E$3:E20),$E20),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20" s="1077"/>
      <c r="P20" s="73" t="str">
        <f>IF(OR(C20="",A$15&lt;=0),"",IFERROR(IF(O$15="Europe to US",IF(A$15&lt;500,10,IF(A$15&lt;1000,8,IF(A$15&lt;2500,6,IF(A$15&lt;5000,5,4)))),VLOOKUP(O$15,[6]HELPER!$AF$2:$AH$3,3,FALSE)),0))</f>
        <v/>
      </c>
      <c r="Q20" s="1077"/>
      <c r="R20" s="1074"/>
      <c r="S20" s="1074"/>
      <c r="T20" s="1075"/>
      <c r="U20" s="1074"/>
      <c r="V20" s="1077"/>
      <c r="W20" s="1079"/>
      <c r="X20" s="202"/>
      <c r="Y20" s="1080"/>
      <c r="AG20" s="520" t="s">
        <v>579</v>
      </c>
      <c r="AH20" s="197">
        <f>IF(AH19&lt;&gt;"",IFERROR(AH19*1.16,""),"")</f>
        <v>17.407228929932707</v>
      </c>
      <c r="AI20" s="521" t="s">
        <v>270</v>
      </c>
      <c r="AJ20" s="236"/>
      <c r="AK20" s="520" t="s">
        <v>579</v>
      </c>
      <c r="AL20" s="197">
        <f>IF(AL19&lt;&gt;"",IFERROR(AL19*1.16,""),"")</f>
        <v>15.444482291189553</v>
      </c>
      <c r="AM20" s="521" t="s">
        <v>270</v>
      </c>
      <c r="AO20" s="520" t="s">
        <v>579</v>
      </c>
      <c r="AP20" s="197">
        <f>IF(AP19&lt;&gt;"",IFERROR(AP19*1.16,""),"")</f>
        <v>14.813890484529287</v>
      </c>
      <c r="AQ20" s="521" t="s">
        <v>270</v>
      </c>
      <c r="AV20" s="74"/>
    </row>
    <row r="21" spans="1:49" ht="16.5" thickBot="1">
      <c r="A21"/>
      <c r="C21" s="38"/>
      <c r="G21">
        <f>85772/(ROUNDDOWN(J3/D3,0))</f>
        <v>42886</v>
      </c>
      <c r="J21" s="502" t="str">
        <f t="shared" ref="J21:J26" si="4">IF($C21="","",IF($E$15="","",IF(ISNUMBER($E$15),_xlfn.LET(_xlpm.cap,IF($Q$15="Quantum",760,1220),IF($E$15+50&gt;_xlpm.cap,"ERROR: Lamination Width &gt; "&amp;_xlpm.cap,$E$15+50)),$E$15)))</f>
        <v/>
      </c>
      <c r="K21" s="169">
        <v>202</v>
      </c>
      <c r="M21" s="250"/>
      <c r="N21" s="203" t="str" cm="1">
        <f t="array" ref="N21">IF($C21="","",_xlfn.LET(
    _xlpm.mat,TRIM($C21),
    _xlpm.matKey,UPPER(SUBSTITUTE(_xlpm.mat," ","")),
    _xlpm.pr,IFERROR(LOOKUP(2,1/($H$3:H21&lt;&gt;""),$H$3:H21),""),
    _xlpm.widthActual,IFERROR(LOOKUP(2,1/($E$3:E21&lt;&gt;""),$E$3:E21),$E21),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1"/>
      <c r="S21"/>
      <c r="T21" s="1073" t="str">
        <f>IF(OR($S21="",$K21=""),"",IFERROR($S21*(1/$M$26)*($J21/($D21*MAX(1,ROUNDDOWN(760/$D21,0)))),""))</f>
        <v/>
      </c>
      <c r="U21"/>
      <c r="X21" s="202"/>
      <c r="Y21" s="202"/>
      <c r="Z21" s="201"/>
      <c r="AG21" s="524" t="s">
        <v>836</v>
      </c>
      <c r="AH21" s="525">
        <f>IF(AH39&lt;&gt;"",IFERROR(AH17/AH39,""),"")</f>
        <v>15.006231836148887</v>
      </c>
      <c r="AI21" s="526" t="s">
        <v>837</v>
      </c>
      <c r="AK21" s="524" t="s">
        <v>836</v>
      </c>
      <c r="AL21" s="525">
        <f>IF(AL39&lt;&gt;"",IFERROR(AL17/AL39,""),"")</f>
        <v>13.314208871715133</v>
      </c>
      <c r="AM21" s="526" t="s">
        <v>837</v>
      </c>
      <c r="AO21" s="524" t="s">
        <v>836</v>
      </c>
      <c r="AP21" s="525">
        <f>IF(AP39&lt;&gt;"",IFERROR(AP17/AP39,""),"")</f>
        <v>12.770595245283868</v>
      </c>
      <c r="AQ21" s="526" t="s">
        <v>837</v>
      </c>
    </row>
    <row r="22" spans="1:49">
      <c r="A22"/>
      <c r="J22" s="502" t="str">
        <f t="shared" si="4"/>
        <v/>
      </c>
      <c r="M22" s="250"/>
      <c r="N22" s="203" t="str" cm="1">
        <f t="array" ref="N22">IF($C22="","",_xlfn.LET(
    _xlpm.mat,TRIM($C22),
    _xlpm.matKey,UPPER(SUBSTITUTE(_xlpm.mat," ","")),
    _xlpm.pr,IFERROR(LOOKUP(2,1/($H$3:H22&lt;&gt;""),$H$3:H22),""),
    _xlpm.widthActual,IFERROR(LOOKUP(2,1/($E$3:E22&lt;&gt;""),$E$3:E22),$E22),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2"/>
      <c r="S22">
        <v>0.18306</v>
      </c>
      <c r="T22" s="1073"/>
      <c r="U22"/>
      <c r="X22" s="64"/>
      <c r="Y22" s="64" t="s">
        <v>508</v>
      </c>
      <c r="AG22" t="s">
        <v>1213</v>
      </c>
      <c r="AH22" s="74">
        <f>IFERROR(AH41*AH43,"")</f>
        <v>4646.3999999999996</v>
      </c>
      <c r="AI22" t="s">
        <v>580</v>
      </c>
      <c r="AK22" t="s">
        <v>1213</v>
      </c>
      <c r="AL22" s="74">
        <f>IFERROR(AL41*AL43,"")</f>
        <v>23232</v>
      </c>
      <c r="AM22" t="s">
        <v>580</v>
      </c>
      <c r="AO22" t="s">
        <v>1213</v>
      </c>
      <c r="AP22" s="74">
        <f>IFERROR(AP41*AP43,"")</f>
        <v>46464</v>
      </c>
      <c r="AQ22" t="s">
        <v>580</v>
      </c>
    </row>
    <row r="23" spans="1:49">
      <c r="A23"/>
      <c r="J23" s="502" t="str">
        <f t="shared" si="4"/>
        <v/>
      </c>
      <c r="M23" s="250"/>
      <c r="N23" s="203" t="str" cm="1">
        <f t="array" ref="N23">IF($C23="","",_xlfn.LET(
    _xlpm.mat,TRIM($C23),
    _xlpm.matKey,UPPER(SUBSTITUTE(_xlpm.mat," ","")),
    _xlpm.pr,IFERROR(LOOKUP(2,1/($H$3:H23&lt;&gt;""),$H$3:H23),""),
    _xlpm.widthActual,IFERROR(LOOKUP(2,1/($E$3:E23&lt;&gt;""),$E$3:E23),$E23),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3"/>
      <c r="S23"/>
      <c r="T23" s="1073"/>
      <c r="U23"/>
      <c r="Z23" s="445"/>
      <c r="AG23" t="s">
        <v>581</v>
      </c>
      <c r="AH23" s="253" cm="1">
        <f t="array" ref="AH23">IF(OR(AND(AH13="By Weight",AH6&lt;&gt;""),AND(AH13="By Length",AH14&lt;&gt;""),AND(OR(AH13="IMP",AH13="By Imp"),AH14&lt;&gt;"",AH15&lt;&gt;"")),IFERROR(_xlfn.LET(_xlpm.r,MATCH(1,($B$3:$B$20=AH3)*($D$3:$D$20=AH5)*($A$3:$A$20=IF(AH6&lt;&gt;"",AH6,A3))*($O$3:$O$20=AH11)*($K$8:$K$25=AH4),0)+2,SUMPRODUCT(INDEX($N$3:$N$20,_xlpm.r-2):INDEX($N$3:$N$20,_xlpm.r+3),INDEX($M$3:$M$20,_xlpm.r-2):INDEX($M$3:$M$20,_xlpm.r+3))*(1/INDEX($M$3:$M$20,MATCH(1,($B$3:$B$20=AH3)*($D$3:$D$20=AH5)*($A$3:$A$20=IF(AH6&lt;&gt;"",AH6,A3))*($O$3:$O$20=AH11)*($K$8:$K$25=AH4),0)+5))*(INDEX($J$3:$J$20,_xlpm.r-2)/INDEX($E$3:$E$20,_xlpm.r-2))),""),"")</f>
        <v>8.0637343295986064</v>
      </c>
      <c r="AK23" t="s">
        <v>587</v>
      </c>
      <c r="AL23" s="253" cm="1">
        <f t="array" ref="AL23">IF(OR(AND(AL13="By Weight",AL6&lt;&gt;""),AND(AL13="By Length",AL14&lt;&gt;""),AND(OR(AL13="IMP",AL13="By Imp"),AL14&lt;&gt;"",AL15&lt;&gt;"")),IFERROR(_xlfn.LET(_xlpm.r,MATCH(1,($B$3:$B$20=AL3)*($D$3:$D$20=AL5)*($A$3:$A$20=IF(AL6&lt;&gt;"",AL6,A9))*($O$3:$O$20=AL11)*($K$8:$K$25=AL4),0)+2,SUMPRODUCT(INDEX($N$3:$N$20,_xlpm.r-2):INDEX($N$3:$N$20,_xlpm.r+3),INDEX($M$3:$M$20,_xlpm.r-2):INDEX($M$3:$M$20,_xlpm.r+3))*(1/INDEX($M$3:$M$20,MATCH(1,($B$3:$B$20=AL3)*($D$3:$D$20=AL5)*($A$3:$A$20=IF(AL6&lt;&gt;"",AL6,A9))*($O$3:$O$20=AL11)*($K$8:$K$25=AL4),0)+5))*(INDEX($J$3:$J$20,_xlpm.r-2)/INDEX($E$3:$E$20,_xlpm.r-2))),""),"")</f>
        <v>8.0637343295986064</v>
      </c>
      <c r="AO23" t="s">
        <v>587</v>
      </c>
      <c r="AP23" s="253" cm="1">
        <f t="array" ref="AP23">IF(OR(AND(AP13="By Weight",AP6&lt;&gt;""),AND(AP13="By Length",AP14&lt;&gt;""),AND(OR(AP13="IMP",AP13="By Imp"),AP14&lt;&gt;"",AP15&lt;&gt;"")),IFERROR(_xlfn.LET(_xlpm.r,MATCH(1,($B$3:$B$20=AP3)*($D$3:$D$20=AP5)*($A$3:$A$20=IF(AP6&lt;&gt;"",AP6,A15))*($O$3:$O$20=AP11),0)+2,SUMPRODUCT(INDEX($N$3:$N$20,_xlpm.r-2):INDEX($N$3:$N$20,_xlpm.r+3),INDEX($M$3:$M$20,_xlpm.r-2):INDEX($M$3:$M$20,_xlpm.r+3))*(1/INDEX($M$3:$M$20,MATCH(1,($B$3:$B$20=AP3)*($D$3:$D$20=AP5)*($A$3:$A$20=IF(AP6&lt;&gt;"",AP6,A15))*($O$3:$O$20=AP11),0)+5))*(INDEX($J$3:$J$20,_xlpm.r-2)/INDEX($E$3:$E$20,_xlpm.r-2))),""),"")</f>
        <v>8.0637343295986064</v>
      </c>
    </row>
    <row r="24" spans="1:49">
      <c r="A24"/>
      <c r="J24" s="502" t="str">
        <f t="shared" si="4"/>
        <v/>
      </c>
      <c r="M24" s="250"/>
      <c r="N24" s="203" t="str" cm="1">
        <f t="array" ref="N24">IF($C24="","",_xlfn.LET(
    _xlpm.mat,TRIM($C24),
    _xlpm.matKey,UPPER(SUBSTITUTE(_xlpm.mat," ","")),
    _xlpm.pr,IFERROR(LOOKUP(2,1/($H$3:H24&lt;&gt;""),$H$3:H24),""),
    _xlpm.widthActual,IFERROR(LOOKUP(2,1/($E$3:E24&lt;&gt;""),$E$3:E24),$E24),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4"/>
      <c r="S24"/>
      <c r="T24" s="1073"/>
      <c r="U24"/>
      <c r="AG24" t="s">
        <v>582</v>
      </c>
      <c r="AH24" s="253" cm="1">
        <f t="array" ref="AH24">IF(OR(AND(AH13="By Weight",AH6&lt;&gt;""),AND(AH13="By Length",AH14&lt;&gt;""),AND(OR(AH13="IMP",AH13="By Imp"),AH14&lt;&gt;"",AH15&lt;&gt;"")),IFERROR(_xlfn.LET(_xlpm.r,MATCH(1,($B$3:$B$20=AH3)*($D$3:$D$20=AH5)*($A$3:$A$20=IF(AH6&lt;&gt;"",AH6,A3))*($O$3:$O$20=AH11)*($K$8:$K$25=AH4),0)+2,SUMPRODUCT(INDEX($P$3:$P$20,_xlpm.r-2):INDEX($P$3:$P$20,_xlpm.r+3),INDEX($M$3:$M$20,_xlpm.r-2):INDEX($M$3:$M$20,_xlpm.r+3))*(1/INDEX($M$3:$M$20,MATCH(1,($B$3:$B$20=AH3)*($D$3:$D$20=AH5)*($A$3:$A$20=IF(AH6&lt;&gt;"",AH6,A3))*($O$3:$O$20=AH11)*($K$8:$K$25=AH4),0)+5))*(INDEX($J$3:$J$20,_xlpm.r-2)/INDEX($E$3:$E$20,_xlpm.r-2))),""),"")</f>
        <v>0</v>
      </c>
      <c r="AK24" t="s">
        <v>588</v>
      </c>
      <c r="AL24" s="253" cm="1">
        <f t="array" ref="AL24">IF(OR(AND(AL13="By Weight",AL6&lt;&gt;""),AND(AL13="By Length",AL14&lt;&gt;""),AND(OR(AL13="IMP",AL13="By Imp"),AL14&lt;&gt;"",AL15&lt;&gt;"")),IFERROR(_xlfn.LET(_xlpm.r,MATCH(1,($B$3:$B$20=AL3)*($D$3:$D$20=AL5)*($A$3:$A$20=IF(AL6&lt;&gt;"",AL6,A9))*($O$3:$O$20=AL11)*($K$8:$K$25=AL4),0)+2,SUMPRODUCT(INDEX($P$3:$P$20,_xlpm.r-2):INDEX($P$3:$P$20,_xlpm.r+3),INDEX($M$3:$M$20,_xlpm.r-2):INDEX($M$3:$M$20,_xlpm.r+3))*(1/INDEX($M$3:$M$20,MATCH(1,($B$3:$B$20=AL3)*($D$3:$D$20=AL5)*($A$3:$A$20=IF(AL6&lt;&gt;"",AL6,A9))*($O$3:$O$20=AL11)*($K$8:$K$25=AL4),0)+5))*(INDEX($J$3:$J$20,_xlpm.r-2)/INDEX($E$3:$E$20,_xlpm.r-2))),""),"")</f>
        <v>0</v>
      </c>
      <c r="AO24" t="s">
        <v>588</v>
      </c>
      <c r="AP24" s="253" cm="1">
        <f t="array" ref="AP24">IF(OR(AND(AP13="By Weight",AP6&lt;&gt;""),AND(AP13="By Length",AP14&lt;&gt;""),AND(OR(AP13="IMP",AP13="By Imp"),AP14&lt;&gt;"",AP15&lt;&gt;"")),IFERROR(_xlfn.LET(_xlpm.r,MATCH(1,($B$3:$B$20=AP3)*($D$3:$D$20=AP5)*($A$3:$A$20=IF(AP6&lt;&gt;"",AP6,A15))*($O$3:$O$20=AP11),0)+2,SUMPRODUCT(INDEX($P$3:$P$20,_xlpm.r-2):INDEX($P$3:$P$20,_xlpm.r+3),INDEX($M$3:$M$20,_xlpm.r-2):INDEX($M$3:$M$20,_xlpm.r+3))*(1/INDEX($M$3:$M$20,MATCH(1,($B$3:$B$20=AP3)*($D$3:$D$20=AP5)*($A$3:$A$20=IF(AP6&lt;&gt;"",AP6,A15))*($O$3:$O$20=AP11),0)+5))*(INDEX($J$3:$J$20,_xlpm.r-2)/INDEX($E$3:$E$20,_xlpm.r-2))),""),"")</f>
        <v>0</v>
      </c>
    </row>
    <row r="25" spans="1:49">
      <c r="A25"/>
      <c r="J25" s="502" t="str">
        <f t="shared" si="4"/>
        <v/>
      </c>
      <c r="M25" s="250"/>
      <c r="N25" s="203" t="str" cm="1">
        <f t="array" ref="N25">IF($C25="","",_xlfn.LET(
    _xlpm.mat,TRIM($C25),
    _xlpm.matKey,UPPER(SUBSTITUTE(_xlpm.mat," ","")),
    _xlpm.pr,IFERROR(LOOKUP(2,1/($H$3:H25&lt;&gt;""),$H$3:H25),""),
    _xlpm.widthActual,IFERROR(LOOKUP(2,1/($E$3:E25&lt;&gt;""),$E$3:E25),$E25),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5"/>
      <c r="S25"/>
      <c r="T25" s="1073"/>
      <c r="U25"/>
      <c r="AD25" s="808"/>
      <c r="AG25" t="s">
        <v>583</v>
      </c>
      <c r="AH25" s="253" cm="1">
        <f t="array" ref="AH25">IF(OR(AND(AH13="By Weight",AH6&lt;&gt;""),AND(AH13="By Length",AH14&lt;&gt;""),AND(OR(AH13="IMP",AH13="By Imp"),AH14&lt;&gt;"",AH15&lt;&gt;"")),IFERROR(_xlfn.LET(_xlpm.r,MATCH(1,($B$3:$B$20=AH3)*($D$3:$D$20=AH5)*($A$3:$A$20=IF(AH6&lt;&gt;"",AH6,A3))*($O$3:$O$20=AH11)*($K$8:$K$25=AH4),0)+2,INDEX($R$3:$R$20,_xlpm.r-2)*(1/INDEX($M$3:$M$20,MATCH(1,($B$3:$B$20=AH3)*($D$3:$D$20=AH5)*($A$3:$A$20=IF(AH6&lt;&gt;"",AH6,A3))*($O$3:$O$20=AH11)*($K$8:$K$25=AH4),0)+5))*(INDEX($J$3:$J$20,_xlpm.r-2)/INDEX($E$3:$E$20,_xlpm.r-2))),""),"")</f>
        <v>2.5338960153080206</v>
      </c>
      <c r="AK25" t="s">
        <v>589</v>
      </c>
      <c r="AL25" s="253" cm="1">
        <f t="array" ref="AL25">IF(OR(AND(AL13="By Weight",AL6&lt;&gt;""),AND(AL13="By Length",AL14&lt;&gt;""),AND(OR(AL13="IMP",AL13="By Imp"),AL14&lt;&gt;"",AL15&lt;&gt;"")),IFERROR(_xlfn.LET(_xlpm.r,MATCH(1,($B$3:$B$20=AL3)*($D$3:$D$20=AL5)*($A$3:$A$20=IF(AL6&lt;&gt;"",AL6,A9))*($O$3:$O$20=AL11)*($K$8:$K$25=AL4),0)+2,INDEX($R$3:$R$20,_xlpm.r-2)*(1/INDEX($M$3:$M$20,MATCH(1,($B$3:$B$20=AL3)*($D$3:$D$20=AL5)*($A$3:$A$20=IF(AL6&lt;&gt;"",AL6,A9))*($O$3:$O$20=AL11)*($K$8:$K$25=AL4),0)+5))*(INDEX($J$3:$J$20,_xlpm.r-2)/INDEX($E$3:$E$20,_xlpm.r-2))),""),"")</f>
        <v>2.3478610407328002</v>
      </c>
      <c r="AO25" t="s">
        <v>589</v>
      </c>
      <c r="AP25" s="253" cm="1">
        <f t="array" ref="AP25">IF(OR(AND(AP13="By Weight",AP6&lt;&gt;""),AND(AP13="By Length",AP14&lt;&gt;""),AND(OR(AP13="IMP",AP13="By Imp"),AP14&lt;&gt;"",AP15&lt;&gt;"")),IFERROR(_xlfn.LET(_xlpm.r,MATCH(1,($B$3:$B$20=AP3)*($D$3:$D$20=AP5)*($A$3:$A$20=IF(AP6&lt;&gt;"",AP6,A15))*($O$3:$O$20=AP11),0)+2,INDEX($R$3:$R$20,_xlpm.r-2)*(1/INDEX($M$3:$M$20,MATCH(1,($B$3:$B$20=AP3)*($D$3:$D$20=AP5)*($A$3:$A$20=IF(AP6&lt;&gt;"",AP6,A15))*($O$3:$O$20=AP11),0)+5))*(INDEX($J$3:$J$20,_xlpm.r-2)/INDEX($E$3:$E$20,_xlpm.r-2))),""),"")</f>
        <v>2.324606668910898</v>
      </c>
    </row>
    <row r="26" spans="1:49" ht="15.75" thickBot="1">
      <c r="A26"/>
      <c r="J26" s="502" t="str">
        <f t="shared" si="4"/>
        <v/>
      </c>
      <c r="M26" s="250"/>
      <c r="N26" s="203" t="str" cm="1">
        <f t="array" ref="N26">IF($C26="","",_xlfn.LET(
    _xlpm.mat,TRIM($C26),
    _xlpm.matKey,UPPER(SUBSTITUTE(_xlpm.mat," ","")),
    _xlpm.pr,IFERROR(LOOKUP(2,1/($H$3:H26&lt;&gt;""),$H$3:H26),""),
    _xlpm.widthActual,IFERROR(LOOKUP(2,1/($E$3:E26&lt;&gt;""),$E$3:E26),$E26),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6"/>
      <c r="S26"/>
      <c r="T26" s="1073"/>
      <c r="U26"/>
      <c r="AD26" s="808"/>
      <c r="AG26" t="s">
        <v>840</v>
      </c>
      <c r="AH26" s="253" cm="1">
        <f t="array" ref="AH26">IF(OR(AND(AH13="By Weight",AH6&lt;&gt;""),AND(AH13="By Length",AH14&lt;&gt;""),AND(OR(AH13="IMP",AH13="By Imp"),AH14&lt;&gt;"",AH15&lt;&gt;"")),IFERROR(_xlfn.LET(_xlpm.r,MATCH(1,($B$3:$B$20=AH3)*($D$3:$D$20=AH5)*($A$3:$A$20=IF(AH6&lt;&gt;"",AH6,A3))*($O$3:$O$20=AH11)*($K$8:$K$25=AH4),0)+2,(SUM(INDEX($R$3:$S$20,_xlpm.r-2,1):INDEX($R$3:$S$20,_xlpm.r-2,2))+INDEX($U$3:$U$20,_xlpm.r-2))*(1/INDEX($M$3:$M$20,MATCH(1,($B$3:$B$20=AH3)*($D$3:$D$20=AH5)*($A$3:$A$20=IF(AH6&lt;&gt;"",AH6,A3))*($O$3:$O$20=AH11)*($K$8:$K$25=AH4),0)+5))*(INDEX($J$3:$J$20,_xlpm.r-2)/INDEX($E$3:$E$20,_xlpm.r-2))+INDEX($W$3:$W$20,_xlpm.r-2)),""),"")</f>
        <v>6.3946874557039841</v>
      </c>
      <c r="AK26" t="s">
        <v>841</v>
      </c>
      <c r="AL26" s="253" cm="1">
        <f t="array" ref="AL26">IF(OR(AND(AL13="By Weight",AL6&lt;&gt;""),AND(AL13="By Length",AL14&lt;&gt;""),AND(OR(AL13="IMP",AL13="By Imp"),AL14&lt;&gt;"",AL15&lt;&gt;"")),IFERROR(_xlfn.LET(_xlpm.r,MATCH(1,($B$3:$B$20=AL3)*($D$3:$D$20=AL5)*($A$3:$A$20=IF(AL6&lt;&gt;"",AL6,A9))*($O$3:$O$20=AL11)*($K$8:$K$25=AL4),0)+2,(SUM(INDEX($R$3:$S$20,_xlpm.r-2,1):INDEX($R$3:$S$20,_xlpm.r-2,2))+INDEX($U$3:$U$20,_xlpm.r-2))*(1/INDEX($M$3:$M$20,MATCH(1,($B$3:$B$20=AL3)*($D$3:$D$20=AL5)*($A$3:$A$20=IF(AL6&lt;&gt;"",AL6,A9))*($O$3:$O$20=AL11)*($K$8:$K$25=AL4),0)+5))*(INDEX($J$3:$J$20,_xlpm.r-2)/INDEX($E$3:$E$20,_xlpm.r-2))+INDEX($W$3:$W$20,_xlpm.r-2)),""),"")</f>
        <v>4.8183631587633231</v>
      </c>
      <c r="AO26" t="s">
        <v>841</v>
      </c>
      <c r="AP26" s="253" cm="1">
        <f t="array" ref="AP26">IF(OR(AND(AP13="By Weight",AP6&lt;&gt;""),AND(AP13="By Length",AP14&lt;&gt;""),AND(OR(AP13="IMP",AP13="By Imp"),AP14&lt;&gt;"",AP15&lt;&gt;"")),IFERROR(_xlfn.LET(_xlpm.r,MATCH(1,($B$3:$B$20=AP3)*($D$3:$D$20=AP5)*($A$3:$A$20=IF(AP6&lt;&gt;"",AP6,A15))*($O$3:$O$20=AP11),0)+2,(SUM(INDEX($R$3:$S$20,_xlpm.r-2,1):INDEX($R$3:$S$20,_xlpm.r-2,2))+INDEX($U$3:$U$20,_xlpm.r-2))*(1/INDEX($M$3:$M$20,MATCH(1,($B$3:$B$20=AP3)*($D$3:$D$20=AP5)*($A$3:$A$20=IF(AP6&lt;&gt;"",AP6,A15))*($O$3:$O$20=AP11),0)+5))*(INDEX($J$3:$J$20,_xlpm.r-2)/INDEX($E$3:$E$20,_xlpm.r-2))+INDEX($W$3:$W$20,_xlpm.r-2)),""),"")</f>
        <v>4.289211865768694</v>
      </c>
    </row>
    <row r="27" spans="1:49" ht="15.75">
      <c r="A27"/>
      <c r="J27" s="502"/>
      <c r="M27" s="250"/>
      <c r="N27" s="203"/>
      <c r="R27"/>
      <c r="S27"/>
      <c r="T27" s="509"/>
      <c r="U27"/>
      <c r="AA27" s="3"/>
      <c r="AE27" s="858"/>
      <c r="AG27" s="1064" t="s">
        <v>997</v>
      </c>
      <c r="AH27" s="1065"/>
      <c r="AI27" s="1066"/>
      <c r="AK27" s="1064" t="s">
        <v>997</v>
      </c>
      <c r="AL27" s="1065"/>
      <c r="AM27" s="1066"/>
      <c r="AO27" s="1064" t="s">
        <v>997</v>
      </c>
      <c r="AP27" s="1065"/>
      <c r="AQ27" s="1066"/>
    </row>
    <row r="28" spans="1:49" ht="21">
      <c r="A28"/>
      <c r="J28" s="502"/>
      <c r="M28" s="250"/>
      <c r="N28" s="203"/>
      <c r="R28"/>
      <c r="S28"/>
      <c r="T28" s="509"/>
      <c r="U28"/>
      <c r="AC28" s="244"/>
      <c r="AE28" s="858"/>
      <c r="AG28" s="1067">
        <f>IF(AH39&lt;&gt;"",IFERROR(AH19/(1-AH1),""),"")</f>
        <v>17.654390395469278</v>
      </c>
      <c r="AH28" s="1068"/>
      <c r="AI28" s="1069"/>
      <c r="AK28" s="1067">
        <f>IF(AL39&lt;&gt;"",IFERROR(AL19/(1-AL1),""),"")</f>
        <v>15.663775143194274</v>
      </c>
      <c r="AL28" s="1068"/>
      <c r="AM28" s="1069"/>
      <c r="AO28" s="1067">
        <f>IF(AP39&lt;&gt;"",IFERROR(AP19/(1-AP1),""),"")</f>
        <v>15.024229700333963</v>
      </c>
      <c r="AP28" s="1068"/>
      <c r="AQ28" s="1069"/>
      <c r="AS28" s="119"/>
    </row>
    <row r="29" spans="1:49">
      <c r="A29"/>
      <c r="J29" s="502" t="str">
        <f>IF($C29="","",IF($E$15="","",IF(ISNUMBER($E$15),_xlfn.LET(_xlpm.cap,IF($Q$15="Quantum",760,1220),IF($E$15+50&gt;_xlpm.cap,"ERROR: Lamination Width &gt; "&amp;_xlpm.cap,$E$15+50)),$E$15)))</f>
        <v/>
      </c>
      <c r="M29" s="250"/>
      <c r="N29" s="203" t="str" cm="1">
        <f t="array" ref="N29">IF($C29="","",_xlfn.LET(
    _xlpm.mat,TRIM($C29),
    _xlpm.matKey,UPPER(SUBSTITUTE(_xlpm.mat," ","")),
    _xlpm.pr,IFERROR(LOOKUP(2,1/($H$3:H29&lt;&gt;""),$H$3:H29),""),
    _xlpm.widthActual,IFERROR(LOOKUP(2,1/($E$3:E29&lt;&gt;""),$E$3:E29),$E29),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9"/>
      <c r="S29"/>
      <c r="T29" t="str">
        <f>IF(OR($S29="",$K29=""),"",IFERROR($S29*(1/$M$37)*($J29/($D29*MAX(1,ROUNDDOWN(760/$D29,0)))),""))</f>
        <v/>
      </c>
      <c r="U29"/>
      <c r="AE29" s="858"/>
      <c r="AG29" s="531" t="s">
        <v>1041</v>
      </c>
      <c r="AH29" s="445">
        <f>IF(OR(AH16="",AH39=""),"",IFERROR(AG28*AH39/AH16,""))</f>
        <v>0.64404876810178402</v>
      </c>
      <c r="AI29" s="532" t="s">
        <v>998</v>
      </c>
      <c r="AK29" s="531" t="s">
        <v>1041</v>
      </c>
      <c r="AL29" s="445">
        <f>IF(OR(AL16="",AL39=""),"",IFERROR(AK28*AL39/AL16,""))</f>
        <v>0.56693436627097915</v>
      </c>
      <c r="AM29" s="532" t="s">
        <v>998</v>
      </c>
      <c r="AO29" s="531" t="s">
        <v>1041</v>
      </c>
      <c r="AP29" s="445">
        <f>IF(OR(AP16="",AP39=""),"",IFERROR(AO28*AP39/AP16,""))</f>
        <v>0.54324775113568735</v>
      </c>
      <c r="AQ29" s="532" t="s">
        <v>998</v>
      </c>
    </row>
    <row r="30" spans="1:49">
      <c r="A30"/>
      <c r="J30" s="502"/>
      <c r="M30" s="250"/>
      <c r="N30" s="203"/>
      <c r="R30"/>
      <c r="S30"/>
      <c r="T30"/>
      <c r="U30"/>
      <c r="AE30" s="858"/>
      <c r="AG30" s="531" t="s">
        <v>1042</v>
      </c>
      <c r="AH30" s="253">
        <f>IFERROR(AG28,"")</f>
        <v>17.654390395469278</v>
      </c>
      <c r="AI30" s="532" t="s">
        <v>837</v>
      </c>
      <c r="AK30" s="531" t="s">
        <v>1042</v>
      </c>
      <c r="AL30" s="253">
        <f>IFERROR(AK28,"")</f>
        <v>15.663775143194274</v>
      </c>
      <c r="AM30" s="532" t="s">
        <v>837</v>
      </c>
      <c r="AO30" s="531" t="s">
        <v>1042</v>
      </c>
      <c r="AP30" s="253">
        <f>IFERROR(AO28,"")</f>
        <v>15.024229700333963</v>
      </c>
      <c r="AQ30" s="532" t="s">
        <v>837</v>
      </c>
    </row>
    <row r="31" spans="1:49">
      <c r="A31"/>
      <c r="J31" s="502"/>
      <c r="M31" s="250"/>
      <c r="N31" s="203"/>
      <c r="R31"/>
      <c r="S31"/>
      <c r="T31"/>
      <c r="U31"/>
      <c r="AE31" s="858"/>
      <c r="AG31" s="531" t="s">
        <v>1043</v>
      </c>
      <c r="AH31" s="445" t="str">
        <f>IF(OR(AH29="",AH5="",AH15="",AI15=""),"",IFERROR(AH29*(AI15/1000)/ROUNDDOWN(AH5/AH15,0),""))</f>
        <v/>
      </c>
      <c r="AI31" s="532" t="s">
        <v>1044</v>
      </c>
      <c r="AK31" s="531" t="s">
        <v>1043</v>
      </c>
      <c r="AL31" s="445" t="str">
        <f>IF(OR(AL29="",AL5="",AL15="",AM15=""),"",IFERROR(AL29*(AM15/1000)/ROUNDDOWN(AL5/AL15,0),""))</f>
        <v/>
      </c>
      <c r="AM31" s="532" t="s">
        <v>1044</v>
      </c>
      <c r="AO31" s="531" t="s">
        <v>1043</v>
      </c>
      <c r="AP31" s="445" t="str">
        <f>IF(OR(AP29="",AP5="",AP15="",AQ15=""),"",IFERROR(AP29*(AQ15/1000)/ROUNDDOWN(AP5/AP15,0),""))</f>
        <v/>
      </c>
      <c r="AQ31" s="532" t="s">
        <v>1044</v>
      </c>
      <c r="AW31"/>
    </row>
    <row r="32" spans="1:49">
      <c r="A32"/>
      <c r="J32" s="502" t="str">
        <f>IF($C32="","",IF($E$15="","",IF(ISNUMBER($E$15),_xlfn.LET(_xlpm.cap,IF($Q$15="Quantum",760,1220),IF($E$15+50&gt;_xlpm.cap,"ERROR: Lamination Width &gt; "&amp;_xlpm.cap,$E$15+50)),$E$15)))</f>
        <v/>
      </c>
      <c r="M32" s="250"/>
      <c r="N32" s="203" t="str" cm="1">
        <f t="array" ref="N32">IF($C32="","",_xlfn.LET(
    _xlpm.mat,TRIM($C32),
    _xlpm.matKey,UPPER(SUBSTITUTE(_xlpm.mat," ","")),
    _xlpm.pr,IFERROR(LOOKUP(2,1/($H$3:H32&lt;&gt;""),$H$3:H32),""),
    _xlpm.widthActual,IFERROR(LOOKUP(2,1/($E$3:E32&lt;&gt;""),$E$3:E32),$E32),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2"/>
      <c r="S32"/>
      <c r="T32"/>
      <c r="U32"/>
      <c r="AG32" s="533" t="s">
        <v>1045</v>
      </c>
      <c r="AH32" s="529">
        <f>IFERROR(AH29*1.16,"")</f>
        <v>0.74709657099806936</v>
      </c>
      <c r="AI32" s="534" t="s">
        <v>1046</v>
      </c>
      <c r="AK32" s="533" t="s">
        <v>1045</v>
      </c>
      <c r="AL32" s="529">
        <f>IFERROR(AL29*1.16,"")</f>
        <v>0.65764386487433579</v>
      </c>
      <c r="AM32" s="534" t="s">
        <v>1046</v>
      </c>
      <c r="AO32" s="533" t="s">
        <v>1045</v>
      </c>
      <c r="AP32" s="529">
        <f>IFERROR(AP29*1.16,"")</f>
        <v>0.6301673913173973</v>
      </c>
      <c r="AQ32" s="534" t="s">
        <v>1046</v>
      </c>
      <c r="AW32"/>
    </row>
    <row r="33" spans="1:49">
      <c r="A33"/>
      <c r="J33" s="502"/>
      <c r="M33" s="250"/>
      <c r="N33" s="203"/>
      <c r="R33"/>
      <c r="S33"/>
      <c r="T33"/>
      <c r="U33"/>
      <c r="AG33" s="533" t="s">
        <v>1047</v>
      </c>
      <c r="AH33" s="511">
        <f>IFERROR(AH30*1.16,"")</f>
        <v>20.479092858744362</v>
      </c>
      <c r="AI33" s="534" t="s">
        <v>1038</v>
      </c>
      <c r="AK33" s="533" t="s">
        <v>1047</v>
      </c>
      <c r="AL33" s="511">
        <f>IFERROR(AL30*1.16,"")</f>
        <v>18.169979166105357</v>
      </c>
      <c r="AM33" s="534" t="s">
        <v>1038</v>
      </c>
      <c r="AO33" s="533" t="s">
        <v>1047</v>
      </c>
      <c r="AP33" s="511">
        <f>IFERROR(AP30*1.16,"")</f>
        <v>17.428106452387397</v>
      </c>
      <c r="AQ33" s="534" t="s">
        <v>1038</v>
      </c>
      <c r="AW33"/>
    </row>
    <row r="34" spans="1:49">
      <c r="A34"/>
      <c r="J34" s="502" t="str">
        <f t="shared" ref="J34:J45" si="5">IF($C34="","",IF($E$15="","",IF(ISNUMBER($E$15),_xlfn.LET(_xlpm.cap,IF($Q$15="Quantum",760,1220),IF($E$15+50&gt;_xlpm.cap,"ERROR: Lamination Width &gt; "&amp;_xlpm.cap,$E$15+50)),$E$15)))</f>
        <v/>
      </c>
      <c r="M34" s="250"/>
      <c r="N34" s="203" t="str" cm="1">
        <f t="array" ref="N34">IF($C34="","",_xlfn.LET(
    _xlpm.mat,TRIM($C34),
    _xlpm.matKey,UPPER(SUBSTITUTE(_xlpm.mat," ","")),
    _xlpm.pr,IFERROR(LOOKUP(2,1/($H$3:H34&lt;&gt;""),$H$3:H34),""),
    _xlpm.widthActual,IFERROR(LOOKUP(2,1/($E$3:E34&lt;&gt;""),$E$3:E34),$E34),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4"/>
      <c r="S34"/>
      <c r="T34"/>
      <c r="U34"/>
      <c r="AG34" s="533" t="s">
        <v>1048</v>
      </c>
      <c r="AH34" s="529">
        <f>IF(OR(AH32="",AH5="",AH15="",AI15=""),"",IFERROR(AH32*(AI15/1000)/(AH5/AH15),""))</f>
        <v>0.39446698948698061</v>
      </c>
      <c r="AI34" s="534" t="s">
        <v>1037</v>
      </c>
      <c r="AK34" s="533" t="s">
        <v>1048</v>
      </c>
      <c r="AL34" s="529">
        <f>IF(OR(AL32="",AL5="",AL15="",AM15=""),"",IFERROR(AL32*(AM15/1000)/(AL5/AL15),""))</f>
        <v>0.34723596065364931</v>
      </c>
      <c r="AM34" s="534" t="s">
        <v>1037</v>
      </c>
      <c r="AO34" s="533" t="s">
        <v>1048</v>
      </c>
      <c r="AP34" s="529">
        <f>IF(OR(AP32="",AP5="",AP15="",AQ15=""),"",IFERROR(AP32*(AQ15/1000)/(AP5/AP15),""))</f>
        <v>0.33272838261558579</v>
      </c>
      <c r="AQ34" s="534" t="s">
        <v>1037</v>
      </c>
      <c r="AW34"/>
    </row>
    <row r="35" spans="1:49">
      <c r="A35"/>
      <c r="J35" s="502" t="str">
        <f t="shared" si="5"/>
        <v/>
      </c>
      <c r="M35" s="250"/>
      <c r="N35" s="203" t="str" cm="1">
        <f t="array" ref="N35">IF($C35="","",_xlfn.LET(
    _xlpm.mat,TRIM($C35),
    _xlpm.matKey,UPPER(SUBSTITUTE(_xlpm.mat," ","")),
    _xlpm.pr,IFERROR(LOOKUP(2,1/($H$3:H35&lt;&gt;""),$H$3:H35),""),
    _xlpm.widthActual,IFERROR(LOOKUP(2,1/($E$3:E35&lt;&gt;""),$E$3:E35),$E35),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5"/>
      <c r="S35"/>
      <c r="T35"/>
      <c r="U35"/>
      <c r="AG35" s="535" t="s">
        <v>1049</v>
      </c>
      <c r="AH35" s="530" t="str" cm="1">
        <f t="array" ref="AH35">IFERROR(_xlfn.SWITCH(AH13,"By Imp",AH14*AH31,"IMP",AH14*AH31,"By Length",AH14*AH29,"By Weight",AH14*AH30,AG28*AH39),"")</f>
        <v/>
      </c>
      <c r="AI35" s="534" t="s">
        <v>1050</v>
      </c>
      <c r="AK35" s="535" t="s">
        <v>1049</v>
      </c>
      <c r="AL35" s="530" t="str" cm="1">
        <f t="array" ref="AL35">IFERROR(_xlfn.SWITCH(AL13,"By Imp",AL14*AL31,"IMP",AL14*AL31,"By Length",AL14*AL29,"By Weight",AL14*AL30,AK28*AL39),"")</f>
        <v/>
      </c>
      <c r="AM35" s="534" t="s">
        <v>1050</v>
      </c>
      <c r="AO35" s="535" t="s">
        <v>1049</v>
      </c>
      <c r="AP35" s="530" t="str" cm="1">
        <f t="array" ref="AP35">IFERROR(_xlfn.SWITCH(AP13,"By Imp",AP14*AP31,"IMP",AP14*AP31,"By Length",AP14*AP29,"By Weight",AP14*AP30,AO28*AP39),"")</f>
        <v/>
      </c>
      <c r="AQ35" s="534" t="s">
        <v>1050</v>
      </c>
      <c r="AW35"/>
    </row>
    <row r="36" spans="1:49">
      <c r="A36"/>
      <c r="J36" s="502" t="str">
        <f t="shared" si="5"/>
        <v/>
      </c>
      <c r="M36" s="250"/>
      <c r="N36" s="203" t="str" cm="1">
        <f t="array" ref="N36">IF($C36="","",_xlfn.LET(
    _xlpm.mat,TRIM($C36),
    _xlpm.matKey,UPPER(SUBSTITUTE(_xlpm.mat," ","")),
    _xlpm.pr,IFERROR(LOOKUP(2,1/($H$3:H36&lt;&gt;""),$H$3:H36),""),
    _xlpm.widthActual,IFERROR(LOOKUP(2,1/($E$3:E36&lt;&gt;""),$E$3:E36),$E36),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6"/>
      <c r="S36"/>
      <c r="T36"/>
      <c r="U36"/>
      <c r="AG36" s="535" t="s">
        <v>1051</v>
      </c>
      <c r="AH36" s="511" cm="1">
        <f t="array" ref="AH36">IFERROR(_xlfn.SWITCH(AH13,"By Imp",AH14*AH34,"IMP",AH14*AH34,"By Length",AH14*AH32,"By Weight",AH14*AH33,AG28*AH39*1.16),"")</f>
        <v>20827.857044912576</v>
      </c>
      <c r="AI36" s="534" t="s">
        <v>1052</v>
      </c>
      <c r="AK36" s="535" t="s">
        <v>1051</v>
      </c>
      <c r="AL36" s="511" cm="1">
        <f t="array" ref="AL36">IFERROR(_xlfn.SWITCH(AL13,"By Imp",AL14*AL34,"IMP",AL14*AL34,"By Length",AL14*AL32,"By Weight",AL14*AL33,AK28*AL39*1.16),"")</f>
        <v>91670.293612563415</v>
      </c>
      <c r="AM36" s="534" t="s">
        <v>1052</v>
      </c>
      <c r="AO36" s="535" t="s">
        <v>1051</v>
      </c>
      <c r="AP36" s="511" cm="1">
        <f t="array" ref="AP36">IFERROR(_xlfn.SWITCH(AP13,"By Imp",AP14*AP34,"IMP",AP14*AP34,"By Length",AP14*AP32,"By Weight",AP14*AP33,AO28*AP39*1.16),"")</f>
        <v>175680.5860210293</v>
      </c>
      <c r="AQ36" s="534" t="s">
        <v>1052</v>
      </c>
      <c r="AW36"/>
    </row>
    <row r="37" spans="1:49">
      <c r="A37"/>
      <c r="J37" s="502" t="str">
        <f t="shared" si="5"/>
        <v/>
      </c>
      <c r="M37" s="250"/>
      <c r="N37" s="203" t="str" cm="1">
        <f t="array" ref="N37">IF($C37="","",_xlfn.LET(
    _xlpm.mat,TRIM($C37),
    _xlpm.matKey,UPPER(SUBSTITUTE(_xlpm.mat," ","")),
    _xlpm.pr,IFERROR(LOOKUP(2,1/($H$3:H37&lt;&gt;""),$H$3:H37),""),
    _xlpm.widthActual,IFERROR(LOOKUP(2,1/($E$3:E37&lt;&gt;""),$E$3:E37),$E37),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7"/>
      <c r="S37"/>
      <c r="T37"/>
      <c r="U37"/>
      <c r="AG37" s="536" t="s">
        <v>844</v>
      </c>
      <c r="AH37" s="537">
        <f>IFERROR(AH38/($M$8*($D$3/$J$3))+5,"")</f>
        <v>13846.887989227689</v>
      </c>
      <c r="AI37" s="538" t="s">
        <v>580</v>
      </c>
      <c r="AK37" s="536" t="s">
        <v>844</v>
      </c>
      <c r="AL37" s="537">
        <f>IFERROR(AL38/($M$14*($D$9/$J$9))+5,"")</f>
        <v>13846.887989227689</v>
      </c>
      <c r="AM37" s="538" t="s">
        <v>580</v>
      </c>
      <c r="AO37" s="536" t="s">
        <v>844</v>
      </c>
      <c r="AP37" s="537">
        <f>IFERROR(AP38/($M$20*($D$15/$J$15))+5,"")</f>
        <v>13846.887989227689</v>
      </c>
      <c r="AQ37" s="538" t="s">
        <v>580</v>
      </c>
      <c r="AW37"/>
    </row>
    <row r="38" spans="1:49" hidden="1" outlineLevel="1">
      <c r="J38" s="502" t="str">
        <f t="shared" si="5"/>
        <v/>
      </c>
      <c r="M38" s="250"/>
      <c r="N38" s="203" t="str" cm="1">
        <f t="array" ref="N38">IF($C38="","",_xlfn.LET(
    _xlpm.mat,TRIM($C38),
    _xlpm.matKey,UPPER(SUBSTITUTE(_xlpm.mat," ","")),
    _xlpm.pr,IFERROR(LOOKUP(2,1/($H$3:H38&lt;&gt;""),$H$3:H38),""),
    _xlpm.widthActual,IFERROR(LOOKUP(2,1/($E$3:E38&lt;&gt;""),$E$3:E38),$E38),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8"/>
      <c r="T38" t="str">
        <f>IF(OR($S38="",$K38=""),"",IFERROR($S38*(1/$M$41)*($J38/($D38*MAX(1,ROUNDDOWN(760/$D38,0)))),""))</f>
        <v/>
      </c>
      <c r="U38"/>
      <c r="AG38" s="536" t="s">
        <v>845</v>
      </c>
      <c r="AH38" s="537">
        <f>_xlfn.LET(_xlpm.lam,UPPER(SUBSTITUTE(AH3&amp;"","LAMINATE","")),IF(_xlpm.lam="608W",2000,IF(_xlpm.lam="608",750,500)))</f>
        <v>500</v>
      </c>
      <c r="AI38" s="538" t="s">
        <v>203</v>
      </c>
      <c r="AK38" s="536" t="s">
        <v>845</v>
      </c>
      <c r="AL38" s="537">
        <f>_xlfn.LET(_xlpm.lam,UPPER(SUBSTITUTE(AL3&amp;"","LAMINATE","")),IF(_xlpm.lam="608W",2000,IF(_xlpm.lam="608",750,500)))</f>
        <v>500</v>
      </c>
      <c r="AM38" s="538" t="s">
        <v>203</v>
      </c>
      <c r="AO38" s="536" t="s">
        <v>845</v>
      </c>
      <c r="AP38" s="537">
        <f>_xlfn.LET(_xlpm.lam,UPPER(SUBSTITUTE(AP3&amp;"","LAMINATE","")),IF(_xlpm.lam="608W",2000,IF(_xlpm.lam="608",750,500)))</f>
        <v>500</v>
      </c>
      <c r="AQ38" s="538" t="s">
        <v>203</v>
      </c>
      <c r="AW38"/>
    </row>
    <row r="39" spans="1:49" ht="15.75" hidden="1" outlineLevel="1" thickBot="1">
      <c r="J39" s="502" t="str">
        <f t="shared" si="5"/>
        <v/>
      </c>
      <c r="M39" s="250"/>
      <c r="N39" s="203" t="str" cm="1">
        <f t="array" ref="N39">IF($C39="","",_xlfn.LET(
    _xlpm.mat,TRIM($C39),
    _xlpm.matKey,UPPER(SUBSTITUTE(_xlpm.mat," ","")),
    _xlpm.pr,IFERROR(LOOKUP(2,1/($H$3:H39&lt;&gt;""),$H$3:H39),""),
    _xlpm.widthActual,IFERROR(LOOKUP(2,1/($E$3:E39&lt;&gt;""),$E$3:E39),$E39),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9"/>
      <c r="T39"/>
      <c r="U39"/>
      <c r="AG39" s="539" t="s">
        <v>846</v>
      </c>
      <c r="AH39" s="540">
        <f>IF(OR(AH13="IMP",AH13="By Imp"),IFERROR(AH16*$M$8*($D$3/$J$3)+5,""),IF(AH13="By Length",IFERROR(AH14*$M$8*($D$3/$J$3)+5,""),IF(AH13="By Weight",IFERROR(IF(AH6&lt;&gt;"",AH6,A3),""),"")))</f>
        <v>508.51512780800005</v>
      </c>
      <c r="AI39" s="541" t="s">
        <v>203</v>
      </c>
      <c r="AJ39" s="237"/>
      <c r="AK39" s="539" t="s">
        <v>846</v>
      </c>
      <c r="AL39" s="540">
        <f>IF(OR(AL13="IMP",AL13="By Imp"),IFERROR(AL16*$M$14*($D$9/$J$9)+5,""),IF(AL13="By Length",IFERROR(AL14*$M$14*($D$9/$J$9)+5,""),IF(AL13="By Weight",IFERROR(IF(AL6&lt;&gt;"",AL6,A9),""),"")))</f>
        <v>2522.5756390400002</v>
      </c>
      <c r="AM39" s="541" t="s">
        <v>203</v>
      </c>
      <c r="AN39" s="237"/>
      <c r="AO39" s="539" t="s">
        <v>846</v>
      </c>
      <c r="AP39" s="540">
        <f>IF(OR(AP13="IMP",AP13="By Imp"),IFERROR(AP16*$M$20*($D$15/$J$15)+5,""),IF(AP13="By Length",IFERROR(AP14*$M$20*($D$15/$J$15)+5,""),IF(AP13="By Weight",IFERROR(IF(AP6&lt;&gt;"",AP6,A15),""),"")))</f>
        <v>5040.1512780800003</v>
      </c>
      <c r="AQ39" s="541" t="s">
        <v>203</v>
      </c>
      <c r="AW39"/>
    </row>
    <row r="40" spans="1:49" ht="15.75" hidden="1" outlineLevel="1" thickBot="1">
      <c r="J40" s="502" t="str">
        <f t="shared" si="5"/>
        <v/>
      </c>
      <c r="M40" s="250"/>
      <c r="N40" s="203" t="str" cm="1">
        <f t="array" ref="N40">IF($C40="","",_xlfn.LET(
    _xlpm.mat,TRIM($C40),
    _xlpm.matKey,UPPER(SUBSTITUTE(_xlpm.mat," ","")),
    _xlpm.pr,IFERROR(LOOKUP(2,1/($H$3:H40&lt;&gt;""),$H$3:H40),""),
    _xlpm.widthActual,IFERROR(LOOKUP(2,1/($E$3:E40&lt;&gt;""),$E$3:E40),$E40),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0"/>
      <c r="T40"/>
      <c r="U40"/>
      <c r="AG40" s="1070" t="s">
        <v>1039</v>
      </c>
      <c r="AH40" s="1071"/>
      <c r="AI40" s="1072"/>
      <c r="AK40" s="1070" t="s">
        <v>1039</v>
      </c>
      <c r="AL40" s="1071"/>
      <c r="AM40" s="1072"/>
      <c r="AO40" s="1070" t="s">
        <v>1039</v>
      </c>
      <c r="AP40" s="1071"/>
      <c r="AQ40" s="1072"/>
      <c r="AW40"/>
    </row>
    <row r="41" spans="1:49" collapsed="1">
      <c r="J41" s="502" t="str">
        <f t="shared" si="5"/>
        <v/>
      </c>
      <c r="M41" s="250"/>
      <c r="N41" s="203" t="str" cm="1">
        <f t="array" ref="N41">IF($C41="","",_xlfn.LET(
    _xlpm.mat,TRIM($C41),
    _xlpm.matKey,UPPER(SUBSTITUTE(_xlpm.mat," ","")),
    _xlpm.pr,IFERROR(LOOKUP(2,1/($H$3:H41&lt;&gt;""),$H$3:H41),""),
    _xlpm.widthActual,IFERROR(LOOKUP(2,1/($E$3:E41&lt;&gt;""),$E$3:E41),$E41),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1"/>
      <c r="T41"/>
      <c r="U41"/>
      <c r="AG41" s="625" t="s">
        <v>1036</v>
      </c>
      <c r="AH41" s="95">
        <f>IF(OR(AH13="IMP",AH13="By Imp"),IFERROR(AH14/2*(AH15/1000),""),IFERROR(AH14,""))</f>
        <v>13939.2</v>
      </c>
      <c r="AI41" s="237" t="s">
        <v>580</v>
      </c>
      <c r="AK41" s="625" t="s">
        <v>1036</v>
      </c>
      <c r="AL41" s="95">
        <f>IF(OR(AL13="IMP",AL13="By Imp"),IFERROR(AL14/2*(AL15/1000),""),IFERROR(AL14,""))</f>
        <v>69696</v>
      </c>
      <c r="AM41" s="237" t="s">
        <v>580</v>
      </c>
      <c r="AO41" s="625" t="s">
        <v>1036</v>
      </c>
      <c r="AP41" s="95">
        <f>IF(OR(AP13="IMP",AP13="By Imp"),IFERROR(AP14/2*(AP15/1000),""),IFERROR(AP14,""))</f>
        <v>139392</v>
      </c>
      <c r="AQ41" s="237" t="s">
        <v>580</v>
      </c>
    </row>
    <row r="42" spans="1:49">
      <c r="J42" s="502" t="str">
        <f t="shared" si="5"/>
        <v/>
      </c>
      <c r="M42" s="250"/>
      <c r="N42" s="203" t="str" cm="1">
        <f t="array" ref="N42">IF($C42="","",_xlfn.LET(
    _xlpm.mat,TRIM($C42),
    _xlpm.matKey,UPPER(SUBSTITUTE(_xlpm.mat," ","")),
    _xlpm.pr,IFERROR(LOOKUP(2,1/($H$3:H42&lt;&gt;""),$H$3:H42),""),
    _xlpm.widthActual,IFERROR(LOOKUP(2,1/($E$3:E42&lt;&gt;""),$E$3:E42),$E42),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2"/>
      <c r="T42" t="str">
        <f>IF(OR($S42="",$K42=""),"",IFERROR($S42*(1/$M$47)*($J42/($D42*MAX(1,ROUNDDOWN(760/$D42,0)))),""))</f>
        <v/>
      </c>
      <c r="U42"/>
      <c r="Y42" t="str">
        <f>IFERROR((SUM(X42:X47)+SUM(R42:S42,U42))*(1/M47)*(J42/(D42*MAX(1,ROUNDDOWN(760/D42,0))))+W42,"")</f>
        <v/>
      </c>
      <c r="AG42" s="625" t="s">
        <v>2396</v>
      </c>
      <c r="AH42" s="629">
        <f>IF(OR(AH13="IMP",AH13="By Imp"),IFERROR(AH14/AH9,""),"")</f>
        <v>52800</v>
      </c>
      <c r="AI42" s="625" t="s">
        <v>1031</v>
      </c>
      <c r="AK42" s="625" t="s">
        <v>2396</v>
      </c>
      <c r="AL42" s="629">
        <f>IF(OR(AL13="IMP",AL13="By Imp"),IFERROR(AL14/AL9,""),"")</f>
        <v>264000</v>
      </c>
      <c r="AM42" s="625" t="s">
        <v>1031</v>
      </c>
      <c r="AO42" s="625" t="s">
        <v>2396</v>
      </c>
      <c r="AP42" s="629">
        <f>IF(OR(AP13="IMP",AP13="By Imp"),IFERROR(AP14/AP9,""),"")</f>
        <v>528000</v>
      </c>
      <c r="AQ42" s="625" t="s">
        <v>1031</v>
      </c>
    </row>
    <row r="43" spans="1:49">
      <c r="J43" s="502" t="str">
        <f t="shared" si="5"/>
        <v/>
      </c>
      <c r="M43" s="250"/>
      <c r="N43" s="203" t="str" cm="1">
        <f t="array" ref="N43">IF($C43="","",_xlfn.LET(
    _xlpm.mat,TRIM($C43),
    _xlpm.matKey,UPPER(SUBSTITUTE(_xlpm.mat," ","")),
    _xlpm.pr,IFERROR(LOOKUP(2,1/($H$3:H43&lt;&gt;""),$H$3:H43),""),
    _xlpm.widthActual,IFERROR(LOOKUP(2,1/($E$3:E43&lt;&gt;""),$E$3:E43),$E43),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3"/>
      <c r="T43"/>
      <c r="U43"/>
      <c r="AG43" s="625" t="s">
        <v>1151</v>
      </c>
      <c r="AH43" s="630" cm="1">
        <f t="array" ref="AH43">_xlfn.LET(_xlpm.lam,TEXT(AH3,"0"),_xlpm.thick,AH4,_xlpm.mats,_xlfn._xlws.FILTER([6]HELPER!$BW$2:$BW$250,(TEXT([6]HELPER!$BZ$2:$BZ$250,"0")=_xlpm.lam)*([6]HELPER!$CC$2:$CC$250=_xlpm.thick)*([6]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I43" s="625" t="s">
        <v>1152</v>
      </c>
      <c r="AK43" s="625" t="s">
        <v>1151</v>
      </c>
      <c r="AL43" s="626" cm="1">
        <f t="array" ref="AL43">_xlfn.LET(_xlpm.lam,TEXT(AL3,"0"),_xlpm.thick,AL4,_xlpm.mats,_xlfn._xlws.FILTER([6]HELPER!$BW$2:$BW$250,(TEXT([6]HELPER!$BZ$2:$BZ$250,"0")=_xlpm.lam)*([6]HELPER!$CC$2:$CC$250=_xlpm.thick)*([6]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M43" s="625" t="s">
        <v>1152</v>
      </c>
      <c r="AO43" s="625" t="s">
        <v>1151</v>
      </c>
      <c r="AP43" s="626" cm="1">
        <f t="array" ref="AP43">_xlfn.LET(_xlpm.lam,TEXT(AP3,"0"),_xlpm.thick,AP4,_xlpm.mats,_xlfn._xlws.FILTER([6]HELPER!$BW$2:$BW$250,(TEXT([6]HELPER!$BZ$2:$BZ$250,"0")=_xlpm.lam)*([6]HELPER!$CC$2:$CC$250=_xlpm.thick)*([6]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43" s="625" t="s">
        <v>1152</v>
      </c>
    </row>
    <row r="44" spans="1:49">
      <c r="J44" s="502" t="str">
        <f t="shared" si="5"/>
        <v/>
      </c>
      <c r="N44" s="203" t="str" cm="1">
        <f t="array" ref="N44">IF($C44="","",_xlfn.LET(
    _xlpm.mat,TRIM($C44),
    _xlpm.matKey,UPPER(SUBSTITUTE(_xlpm.mat," ","")),
    _xlpm.pr,IFERROR(LOOKUP(2,1/($H$3:H44&lt;&gt;""),$H$3:H44),""),
    _xlpm.widthActual,IFERROR(LOOKUP(2,1/($E$3:E44&lt;&gt;""),$E$3:E44),$E44),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4"/>
      <c r="T44"/>
      <c r="U44"/>
      <c r="AC44"/>
      <c r="AG44" s="625" t="s">
        <v>2397</v>
      </c>
      <c r="AH44" s="628">
        <f>IF(OR(AH7&lt;&gt;"Printed",AH8=0,AH8="0",AH8=""),0,IFERROR(IF(AH12="Quantum",S3*100*MAX(1,IFERROR(AH9,0))/AH39,_xlfn.LET(_xlpm.colors,AH8,_xlpm.numColors,IF(ISNUMBER(_xlpm.colors),_xlpm.colors,IFERROR(--RIGHT(_xlpm.colors,LEN(_xlpm.colors)-FIND("-",_xlpm.colors)),IFERROR(--_xlpm.colors,0))),[6]HELPER!$DB$1*_xlpm.numColors*MAX(1,IFERROR(AH9,0))*1.05*AH43/AH39)),0))</f>
        <v>0.82593413063333554</v>
      </c>
      <c r="AI44" s="625" t="s">
        <v>837</v>
      </c>
      <c r="AK44" s="625" t="s">
        <v>2397</v>
      </c>
      <c r="AL44" s="628">
        <f>IF(OR(AL7&lt;&gt;"Printed",AL8=0,AL8="0",AL8=""),0,IFERROR(IF(AL12="Quantum",S9*100*MAX(1,IFERROR(AL9,0))/AL39,_xlfn.LET(_xlpm.colors,AL8,_xlpm.numColors,IF(ISNUMBER(_xlpm.colors),_xlpm.colors,IFERROR(--RIGHT(_xlpm.colors,LEN(_xlpm.colors)-FIND("-",_xlpm.colors)),IFERROR(--_xlpm.colors,0))),[6]HELPER!$DB$1*_xlpm.numColors*MAX(1,IFERROR(AL9,0))*1.05*AL43/AL39)),0))</f>
        <v>0.16649649409911713</v>
      </c>
      <c r="AM44" s="625" t="s">
        <v>837</v>
      </c>
      <c r="AO44" s="625" t="s">
        <v>2397</v>
      </c>
      <c r="AP44" s="628">
        <f>IF(OR(AP7&lt;&gt;"Printed",AP8=0,AP8="0",AP8=""),0,IFERROR(IF(AP12="Quantum",S15*100*MAX(1,IFERROR(AP9,0))/AP39,_xlfn.LET(_xlpm.colors,AP8,_xlpm.numColors,IF(ISNUMBER(_xlpm.colors),_xlpm.colors,IFERROR(--RIGHT(_xlpm.colors,LEN(_xlpm.colors)-FIND("-",_xlpm.colors)),IFERROR(--_xlpm.colors,0))),[6]HELPER!$DB$1*_xlpm.numColors*MAX(1,IFERROR(AP9,0))*1.05*AP43/AP39)),0))</f>
        <v>8.3330832117403261E-2</v>
      </c>
      <c r="AQ44" s="625" t="s">
        <v>837</v>
      </c>
    </row>
    <row r="45" spans="1:49">
      <c r="J45" s="502" t="str">
        <f t="shared" si="5"/>
        <v/>
      </c>
      <c r="N45" s="203" t="str" cm="1">
        <f t="array" ref="N45">IF($C45="","",_xlfn.LET(
    _xlpm.mat,TRIM($C45),
    _xlpm.matKey,UPPER(SUBSTITUTE(_xlpm.mat," ","")),
    _xlpm.pr,IFERROR(LOOKUP(2,1/($H$3:H45&lt;&gt;""),$H$3:H45),""),
    _xlpm.widthActual,IFERROR(LOOKUP(2,1/($E$3:E45&lt;&gt;""),$E$3:E45),$E45),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5"/>
      <c r="T45"/>
      <c r="U45"/>
      <c r="AG45" s="627" t="s">
        <v>1154</v>
      </c>
      <c r="AH45" s="629">
        <f>IFERROR(IF(OR(AH13="IMP",AH13="By Imp"),AH14/2*(AH15/1000),AH14)*AH43,"")</f>
        <v>4646.3999999999996</v>
      </c>
      <c r="AI45" s="625" t="s">
        <v>580</v>
      </c>
      <c r="AK45" s="625" t="s">
        <v>1154</v>
      </c>
      <c r="AL45" s="629">
        <f>IFERROR(IF(OR(AL13="IMP",AL13="By Imp"),AL14/2*(AL15/1000),AL14)*AL43,"")</f>
        <v>23232</v>
      </c>
      <c r="AM45" s="625" t="s">
        <v>580</v>
      </c>
      <c r="AO45" s="625" t="s">
        <v>1154</v>
      </c>
      <c r="AP45" s="629">
        <f>IFERROR(IF(OR(AP13="IMP",AP13="By Imp"),AP14/2*(AP15/1000),AP14)*AP43,"")</f>
        <v>46464</v>
      </c>
      <c r="AQ45" s="625" t="s">
        <v>580</v>
      </c>
    </row>
    <row r="46" spans="1:49">
      <c r="S46"/>
      <c r="T46"/>
      <c r="U46"/>
      <c r="AF46" s="5"/>
      <c r="AG46" s="625" t="s">
        <v>1154</v>
      </c>
      <c r="AH46" s="629">
        <f>IFERROR(IF(OR(AH13="IMP",AH13="By Imp"),AH14/2*(AH15/1000),AH16)*AH43,"")</f>
        <v>4646.3999999999996</v>
      </c>
      <c r="AI46" s="625" t="s">
        <v>580</v>
      </c>
      <c r="AK46" s="625" t="s">
        <v>1154</v>
      </c>
      <c r="AL46" s="629">
        <f>IFERROR(IF(OR(AL13="IMP",AL13="By Imp"),AL14/2*(AL15/1000),AL16)*AL43,"")</f>
        <v>23232</v>
      </c>
      <c r="AM46" s="625" t="s">
        <v>580</v>
      </c>
      <c r="AO46" s="625" t="s">
        <v>1154</v>
      </c>
      <c r="AP46" s="629">
        <f>IFERROR(IF(OR(AP13="IMP",AP13="By Imp"),AP14/2*(AP15/1000),AP16)*AP43,"")</f>
        <v>46464</v>
      </c>
      <c r="AQ46" s="625" t="s">
        <v>580</v>
      </c>
    </row>
    <row r="47" spans="1:49">
      <c r="S47"/>
      <c r="T47"/>
      <c r="U47"/>
      <c r="AG47" s="869" t="s">
        <v>1309</v>
      </c>
      <c r="AH47" s="870">
        <f>IFERROR(AH29*645.16/AH5,"")</f>
        <v>1.1804389296265538</v>
      </c>
      <c r="AI47" s="871">
        <f>IFERROR(AH32*645.16/AH5,"")</f>
        <v>1.3693091583668022</v>
      </c>
      <c r="AJ47" s="647"/>
      <c r="AK47" s="869" t="s">
        <v>1309</v>
      </c>
      <c r="AL47" s="870">
        <f>IFERROR(AL29*645.16/AL5,"")</f>
        <v>1.0391004992709798</v>
      </c>
      <c r="AM47" s="871">
        <f>IFERROR(AL32*645.16/AL5,"")</f>
        <v>1.2053565791543366</v>
      </c>
      <c r="AN47" s="647"/>
      <c r="AO47" s="872" t="s">
        <v>1309</v>
      </c>
      <c r="AP47" s="873">
        <f>IFERROR(AP29*645.16/AP5,"")</f>
        <v>0.99568670205312515</v>
      </c>
      <c r="AQ47" s="874">
        <f>IFERROR(AP32*645.16/AP5,"")</f>
        <v>1.1549965743816251</v>
      </c>
    </row>
    <row r="48" spans="1:49" ht="27">
      <c r="S48"/>
      <c r="T48"/>
      <c r="U48"/>
      <c r="AE48"/>
      <c r="AF48"/>
      <c r="AG48" s="637" t="s">
        <v>1196</v>
      </c>
      <c r="AH48" s="638">
        <f>IF(AH29="","",AH29*1000)</f>
        <v>644.04876810178405</v>
      </c>
      <c r="AI48" s="639" t="s">
        <v>1197</v>
      </c>
      <c r="AJ48" s="640"/>
      <c r="AK48" s="637" t="s">
        <v>1196</v>
      </c>
      <c r="AL48" s="638">
        <f>IF(AL29="","",AL29*1000)</f>
        <v>566.93436627097913</v>
      </c>
      <c r="AM48" s="639" t="s">
        <v>1197</v>
      </c>
      <c r="AN48" s="640"/>
      <c r="AO48" s="637" t="s">
        <v>1196</v>
      </c>
      <c r="AP48" s="638">
        <f>IF(AP29="","",AP29*1000)</f>
        <v>543.24775113568739</v>
      </c>
      <c r="AQ48" s="639" t="s">
        <v>1197</v>
      </c>
    </row>
    <row r="49" spans="1:43">
      <c r="A49" s="241" t="s">
        <v>848</v>
      </c>
      <c r="B49" s="241" t="s">
        <v>848</v>
      </c>
      <c r="C49" s="241" t="s">
        <v>590</v>
      </c>
      <c r="D49" s="499"/>
      <c r="E49" s="500"/>
      <c r="F49" s="241" t="s">
        <v>848</v>
      </c>
      <c r="G49" s="241" t="s">
        <v>125</v>
      </c>
      <c r="H49" s="241" t="s">
        <v>848</v>
      </c>
      <c r="I49" s="241" t="s">
        <v>848</v>
      </c>
      <c r="J49" s="241" t="s">
        <v>849</v>
      </c>
      <c r="K49" s="242" t="s">
        <v>125</v>
      </c>
      <c r="L49" s="241" t="s">
        <v>125</v>
      </c>
      <c r="M49" s="241" t="s">
        <v>125</v>
      </c>
      <c r="N49" s="242" t="s">
        <v>125</v>
      </c>
      <c r="O49" s="241" t="s">
        <v>848</v>
      </c>
      <c r="P49" s="241" t="s">
        <v>125</v>
      </c>
      <c r="Q49" s="241" t="s">
        <v>848</v>
      </c>
      <c r="R49" s="243" t="s">
        <v>850</v>
      </c>
      <c r="S49" s="243" t="s">
        <v>850</v>
      </c>
      <c r="T49" s="240" t="s">
        <v>125</v>
      </c>
      <c r="U49" s="243" t="s">
        <v>850</v>
      </c>
      <c r="V49" s="243" t="s">
        <v>125</v>
      </c>
      <c r="W49" s="243" t="s">
        <v>125</v>
      </c>
      <c r="X49" s="241"/>
      <c r="Y49" s="241" t="s">
        <v>125</v>
      </c>
      <c r="Z49" s="206" t="s">
        <v>838</v>
      </c>
      <c r="AA49" s="621" t="s">
        <v>848</v>
      </c>
      <c r="AB49" s="622" t="s">
        <v>125</v>
      </c>
      <c r="AC49" s="623" t="s">
        <v>125</v>
      </c>
    </row>
    <row r="50" spans="1:43" ht="30.75" hidden="1" outlineLevel="1" thickBot="1">
      <c r="A50" s="72" t="s">
        <v>205</v>
      </c>
      <c r="B50" s="72" t="s">
        <v>158</v>
      </c>
      <c r="C50" s="70" t="s">
        <v>159</v>
      </c>
      <c r="D50" s="72" t="s">
        <v>856</v>
      </c>
      <c r="E50" s="72" t="s">
        <v>1012</v>
      </c>
      <c r="F50" s="72" t="s">
        <v>217</v>
      </c>
      <c r="G50" s="72" t="s">
        <v>161</v>
      </c>
      <c r="H50" s="70" t="s">
        <v>162</v>
      </c>
      <c r="I50" s="72" t="s">
        <v>585</v>
      </c>
      <c r="J50" s="501" t="s">
        <v>1013</v>
      </c>
      <c r="K50" s="70" t="s">
        <v>4</v>
      </c>
      <c r="L50" s="70" t="s">
        <v>57</v>
      </c>
      <c r="M50" s="72" t="s">
        <v>165</v>
      </c>
      <c r="N50" s="70" t="s">
        <v>166</v>
      </c>
      <c r="O50" s="72" t="s">
        <v>2392</v>
      </c>
      <c r="P50" s="72" t="s">
        <v>113</v>
      </c>
      <c r="Q50" s="96" t="s">
        <v>2393</v>
      </c>
      <c r="R50" s="117" t="s">
        <v>269</v>
      </c>
      <c r="S50" s="117" t="s">
        <v>271</v>
      </c>
      <c r="T50" s="117" t="s">
        <v>847</v>
      </c>
      <c r="U50" s="118" t="s">
        <v>800</v>
      </c>
      <c r="V50" s="118" t="s">
        <v>594</v>
      </c>
      <c r="W50" s="118" t="s">
        <v>595</v>
      </c>
      <c r="X50" s="70" t="s">
        <v>167</v>
      </c>
      <c r="Y50" s="207" t="s">
        <v>839</v>
      </c>
      <c r="Z50" s="118" t="s">
        <v>750</v>
      </c>
      <c r="AA50" s="621" t="s">
        <v>2394</v>
      </c>
      <c r="AB50" s="622" t="s">
        <v>2395</v>
      </c>
      <c r="AC50" s="623" t="s">
        <v>1149</v>
      </c>
      <c r="AG50" s="1195" t="s">
        <v>851</v>
      </c>
      <c r="AH50" s="656">
        <v>0.2</v>
      </c>
      <c r="AI50" s="594"/>
      <c r="AK50" s="1195" t="s">
        <v>851</v>
      </c>
      <c r="AL50" s="656">
        <v>0.2</v>
      </c>
      <c r="AM50" s="594"/>
      <c r="AO50" s="1195" t="s">
        <v>851</v>
      </c>
      <c r="AP50" s="656">
        <v>0.2</v>
      </c>
      <c r="AQ50" s="594"/>
    </row>
    <row r="51" spans="1:43" ht="18.75" hidden="1" outlineLevel="1">
      <c r="A51" s="1081">
        <f>IF(AH62="By Length",IF(AH63&lt;&gt;"",IFERROR(AH63*$M$56*($D51/$J51),""),""),IF(OR(AH62="By Imp",AH62="IMP"),IFERROR(AH90*$M$56*($D51/$J51),""),IF(AH55="","",AH55)))</f>
        <v>5000</v>
      </c>
      <c r="B51" s="1077">
        <f>AH52</f>
        <v>648</v>
      </c>
      <c r="C51" t="str" cm="1">
        <f t="array" ref="C51:C54">IFERROR(_xlfn.LET(_xlpm.lam,TEXT(B51,"0"),_xlpm.thick,AH53,_xlfn.TAKE(_xlfn._xlws.FILTER([6]HELPER!$BW$2:$BW$250,(TEXT([6]HELPER!$BZ$2:$BZ$250,"0")=_xlpm.lam)*([6]HELPER!$CC$2:$CC$250=_xlpm.thick)*([6]HELPER!$BW$2:$BW$250&lt;&gt;""),"No match"),6)),"")</f>
        <v>NK</v>
      </c>
      <c r="D51" s="1077">
        <f>AH54</f>
        <v>250</v>
      </c>
      <c r="E51" s="1082">
        <f>IF(D51="","",_xlfn.LET(_xlpm.cap,IF($Q51="Quantum",760,1220),IF(D51+50&gt;_xlpm.cap,"ERROR: Lamination Width &gt; "&amp;_xlpm.cap,D51*MAX(1,MIN(MAX(2,INT(900/D51)),INT((_xlpm.cap-50)/D51))))))</f>
        <v>750</v>
      </c>
      <c r="F51" s="1077"/>
      <c r="G51" s="1083">
        <f>IF(OR(AH62="IMP",AH62="By Imp",AH62="By Length"),IFERROR(AH65,""),IFERROR(IF(OR(A51="",A51=0,$D51="",$D51=0,$J51="",$M$56="",$M$56=0,A51&lt;=5),"",(A51-5)/$M$56*($J51/$D51)),""))</f>
        <v>285591.76672384224</v>
      </c>
      <c r="H51" s="1077" t="str">
        <f>AH56</f>
        <v>Not Printed</v>
      </c>
      <c r="I51" s="1084">
        <f>IF(H51="Not Printed",0,AH57)</f>
        <v>0</v>
      </c>
      <c r="J51" s="502">
        <f t="shared" ref="J51:J56" si="6">IF($C51="","",IF($E$51="","",IF(ISNUMBER($E$51),_xlfn.LET(_xlpm.cap,IF($Q$51="Quantum",760,1220),IF($E$51+50&gt;_xlpm.cap,"ERROR: Lamination Width &gt; "&amp;_xlpm.cap,$E$51+50)),$E$51)))</f>
        <v>800</v>
      </c>
      <c r="K51" cm="1">
        <f t="array" ref="K51">_xlfn.LET(_xlpm.baseThick,IFERROR(INDEX([6]HELPER!$BX$2:$BX$250,MATCH(1,(TEXT([6]HELPER!$BZ$2:$BZ$250,"0")=TEXT($B$51,"0"))*([6]HELPER!$CC$2:$CC$250=$AH$53)*([6]HELPER!$BW$2:$BW$250=C51),0)),""),IF(_xlpm.baseThick="","",_xlpm.baseThick))</f>
        <v>23</v>
      </c>
      <c r="L51">
        <f>IFERROR(VLOOKUP(C51,[6]HELPER!$AP$1:$AQ$25,2,FALSE),"")</f>
        <v>1.44</v>
      </c>
      <c r="M51" s="248">
        <f>IF(C51="","",IF(ISNUMBER(SEARCH("paper",C51)),42/1000*(J51/1000),IF(OR(L51="",L51=0),"",L51*1000*(K51/1000000)*(J51/1000))))</f>
        <v>2.6495999999999999E-2</v>
      </c>
      <c r="N51" s="203" cm="1">
        <f t="array" ref="N51">IF($C51="","",_xlfn.LET(
    _xlpm.mat,TRIM($C51),
    _xlpm.matKey,UPPER(SUBSTITUTE(_xlpm.mat," ","")),
    _xlpm.pr,IFERROR(LOOKUP(2,1/($H$51:H51&lt;&gt;""),$H$51:H51),""),
    _xlpm.widthActual,IFERROR(LOOKUP(2,1/($E$51:E51&lt;&gt;""),$E$51:E51),$E51),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",""))=_xlpm.matKey)*(_xlpm.summaryThick=$K51)*(_xlpm.summaryCosts&gt;0))),INDEX(_xlfn._xlws.FILTER(_xlpm.summaryCosts,(UPPER(SUBSTITUTE(_xlpm.summaryNames," ",""))=_xlpm.matKey)*(_xlpm.summaryThick=$K51)*(_xlpm.summaryCosts&gt;0)),1)),""),""),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51" s="1077" t="str">
        <f>AH60</f>
        <v>EXW</v>
      </c>
      <c r="P51" s="73">
        <f>IF(OR(C51="",A$51&lt;=0),"",IFERROR(IF(O$51="Europe to US",IF(A$51&lt;500,10,IF(A$51&lt;1000,8,IF(A$51&lt;2500,6,IF(A$51&lt;5000,5,4)))),VLOOKUP(O$51,[6]HELPER!$AF$2:$AH$3,3,FALSE)),0))</f>
        <v>0</v>
      </c>
      <c r="Q51" s="1077" t="str">
        <f>AH61</f>
        <v>Bastin</v>
      </c>
      <c r="R51" s="1088" cm="1">
        <f t="array" ref="R51">IF(OR($Q51="",$G51=""),"",IF($J51&gt;IF($Q51="Quantum",760,1220),"Error! lamination width exceeds supplier maximum",_xlfn.LET(_xlpm.struct,$C$51:$C$56,_xlpm.realLayers,SUMPRODUCT(--(_xlpm.struct&lt;&gt;""),--ISERROR(SEARCH("EPOTAL",_xlpm.struct&amp;"")),--ISERROR(SEARCH("BASONAT",_xlpm.struct&amp;"")),--ISERROR(SEARCH("ADH",_xlpm.struct&amp;"")),--ISERROR(SEARCH("HARDENER",_xlpm.struct&amp;""))),_xlpm.lamSteps,MAX(0,_xlpm.realLayers-1),_xlpm.len,$G51,_xlpm.colNum,IF(_xlpm.len&lt;3000,1,IF(_xlpm.len&lt;10000,2,IF(_xlpm.len&lt;25000,3,IF(_xlpm.len&lt;50000,4,IF(_xlpm.len&lt;100000,5,IF(_xlpm.len&lt;250000,6,7)))))),_xlpm.widthRow,IF(AND($D51&gt;=710,$D51&lt;=760),0,IF($D51&lt;900,0,5)),_xlpm.supplierRow,IF($Q51="Marma",3,IF(OR($Q51="Bastin",$Q51="Quantum"),13,0)),_xlpm.baseRate,IF(_xlpm.supplierRow=0,"",INDEX('[6]Lmntn &amp; Prntng- Marma &amp; Bastin '!$D$1:$K$22,_xlpm.supplierRow+_xlpm.widthRow,_xlpm.colNum)),IF(_xlpm.realLayers=0,"",_xlpm.baseRate*_xlpm.lamSteps))))</f>
        <v>0.108498</v>
      </c>
      <c r="S51" s="1074" t="str" cm="1">
        <f t="array" ref="S51">IF($Q51="Quantum",IF(OR($Q51="",$I51=0,$I51="0"),"",IF($J51&gt;IF($Q51="Quantum",760,1220),"Error! lamination width exceeds supplier maximum",IF($E51&gt;1200,"Data is missing",_xlfn.LET(_xlpm.len,$G51,_xlpm.colors,$I51,_xlpm.qWidth,IF($E51&lt;=450,450,IF($E51&lt;=760,760,1200)),_xlpm.band,IF(_xlpm.colors=1,"1",IF(OR(_xlpm.colors=2,_xlpm.colors=3),"2-3",IF(OR(_xlpm.colors=4,_xlpm.colors=5),"4-5","6-8"))),_xlpm.widths,'[6]Digital_per_meter- Quantum'!$A$32:$A$91,_xlpm.bands,'[6]Digital_per_meter- Quantum'!$C$32:$C$91,_xlpm.meters,'[6]Digital_per_meter- Quantum'!$D$32:$D$91,_xlpm.rates,'[6]Digital_per_meter-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[6]HELPER!$AK$2)))),IF(OR($Q51="",$I51=0,$I51="0"),"",IF($J51&gt;IF($Q51="Quantum",760,1220),"Error! lamination width exceeds supplier maximum",_xlfn.LET(_xlpm.len,$AH$71,_xlpm.colors,$I51,_xlpm.colNum,IF(_xlpm.len&lt;3000,1,IF(_xlpm.len&lt;10000,2,IF(_xlpm.len&lt;25000,3,IF(_xlpm.len&lt;50000,4,IF(_xlpm.len&lt;100000,5,IF(_xlpm.len&lt;250000,6,IF(_xlpm.len&lt;500000,7,8))))))),_xlpm.widthRow,IF($E51&lt;900,0,5),_xlpm.colorOffset,IF(OR(_xlpm.colors=1,_xlpm.colors=2,_xlpm.colors="1-2"),1,IF(OR(_xlpm.colors=3,_xlpm.colors=4,_xlpm.colors="3-4"),2,IF(OR(_xlpm.colors&gt;=5,_xlpm.colors="5-6",_xlpm.colors="5-8"),3,0))),_xlpm.supplierRow,IF($Q51="Marma",3,IF($Q51="Bastin",13,0)),IF(OR(_xlpm.supplierRow=0,_xlpm.colorOffset=0),"",INDEX('[6]Lmntn &amp; Prntng- Marma &amp; Bastin '!$D$1:$K$22,_xlpm.supplierRow+_xlpm.widthRow+_xlpm.colorOffset,_xlpm.colNum))))))</f>
        <v/>
      </c>
      <c r="T51" s="1075" t="str">
        <f>IF(OR($S51="",$K51=""),"",IFERROR($S51*(1/$M$56)*($J51/($D51*MAX(1,ROUNDDOWN(760/$D51,0)))),""))</f>
        <v/>
      </c>
      <c r="U51" s="1089" cm="1">
        <f t="array" ref="U51">IF($Q51="","",IF($J51&gt;IF($Q51="Quantum",760,1220),"Error! lamination width exceeds supplier maximum",_xlfn.LET(_xlpm.len,$G51,_xlpm.colNum,IF(_xlpm.len&lt;3000,1,IF(_xlpm.len&lt;10000,2,IF(_xlpm.len&lt;25000,3,IF(_xlpm.len&lt;50000,4,IF(_xlpm.len&lt;100000,5,IF(_xlpm.len&lt;250000,6,7)))))),_xlpm.widthRow,IF($E51&lt;900,0,5),_xlpm.supplierRow,IF($Q51="Marma",7,IF(OR($Q51="Bastin",$Q51="Quantum"),17,0)),IF(_xlpm.supplierRow=0,"",INDEX('[6]Lmntn &amp; Prntng- Marma &amp; Bastin '!$D$1:$K$22,_xlpm.supplierRow+_xlpm.widthRow,_xlpm.colNum)))))</f>
        <v>2.9951999999999999E-2</v>
      </c>
      <c r="V51" s="1076">
        <f>IFERROR(IF(AH72="","",IF($K56&gt;31,(5%+250/$G$51)*AH72,VLOOKUP($K56,[6]HELPER!$BH$3:$BI$5,2,TRUE)*AH72)),"")</f>
        <v>0.39266701917705016</v>
      </c>
      <c r="W51" s="1079">
        <f>IF(OR($H51&lt;&gt;"Printed",$I51=0,$I51="0"),0,IFERROR(AH72*0.028,0)+IFERROR(AH93,0))</f>
        <v>0</v>
      </c>
      <c r="X51" s="205">
        <f t="shared" ref="X51:X67" si="7">IF($K51="","",IFERROR($M51*($N51+$P51),""))</f>
        <v>0.2106432</v>
      </c>
      <c r="Y51" s="1080">
        <f>IFERROR((SUM(X51:X56)+SUM(R51:S51,U51))*(1/M56)*(J51/E51)+V51+W51,"")</f>
        <v>10.749531375952351</v>
      </c>
      <c r="Z51" s="247">
        <f>IF($M51="","",IFERROR(($N51+$P51)*$M51/$M$56,""))</f>
        <v>3.7636363636363641</v>
      </c>
      <c r="AA51" s="595" t="str">
        <f>AH58</f>
        <v>1</v>
      </c>
      <c r="AB51" s="95" t="str">
        <f>IF(OR(AH62="IMP",AH62="By Imp"),IFERROR(AH63/AA51,""),"")</f>
        <v/>
      </c>
      <c r="AC51" s="624">
        <f>AH92</f>
        <v>0.5</v>
      </c>
      <c r="AG51" s="1085" t="str">
        <f>"📊 LAMINATE CALCULATOR 4-"&amp;AH52&amp;" Laminate"</f>
        <v>📊 LAMINATE CALCULATOR 4-648 Laminate</v>
      </c>
      <c r="AH51" s="1086"/>
      <c r="AI51" s="1087"/>
      <c r="AK51" s="1085" t="str">
        <f>"📊 LAMINATE CALCULATOR 5-"&amp;AL52&amp;" Laminate"</f>
        <v>📊 LAMINATE CALCULATOR 5-821M Laminate</v>
      </c>
      <c r="AL51" s="1086"/>
      <c r="AM51" s="1087"/>
      <c r="AO51" s="1085" t="str">
        <f>"📊 LAMINATE CALCULATOR 6-"&amp;AP52&amp;" Laminate"</f>
        <v>📊 LAMINATE CALCULATOR 6-819 Laminate</v>
      </c>
      <c r="AP51" s="1086"/>
      <c r="AQ51" s="1087"/>
    </row>
    <row r="52" spans="1:43" ht="15.75" hidden="1" outlineLevel="1">
      <c r="A52" s="1081"/>
      <c r="B52" s="1077"/>
      <c r="C52" t="str">
        <v>TIPA 302FG</v>
      </c>
      <c r="D52" s="1077"/>
      <c r="E52" s="1077"/>
      <c r="F52" s="1077"/>
      <c r="G52" s="1083"/>
      <c r="H52" s="1077"/>
      <c r="I52" s="1077"/>
      <c r="J52" s="502">
        <f t="shared" si="6"/>
        <v>800</v>
      </c>
      <c r="K52" cm="1">
        <f t="array" ref="K52">_xlfn.LET(_xlpm.baseThick,IFERROR(INDEX([6]HELPER!$BX$2:$BX$250,MATCH(1,(TEXT([6]HELPER!$BZ$2:$BZ$250,"0")=TEXT($B$51,"0"))*([6]HELPER!$CC$2:$CC$250=$AH$53)*([6]HELPER!$BW$2:$BW$250=C52),0)),""),IF(_xlpm.baseThick="","",_xlpm.baseThick))</f>
        <v>27</v>
      </c>
      <c r="L52">
        <f>IFERROR(VLOOKUP(C52,[6]HELPER!$AP$1:$AQ$25,2,FALSE),"")</f>
        <v>1.25</v>
      </c>
      <c r="M52" s="248">
        <f>IF(C52="","",IF(ISNUMBER(SEARCH("paper",C52)),42/1000*(J52/1000),IF(OR(L52="",L52=0),"",L52*1000*(K52/1000000)*(J52/1000))))</f>
        <v>2.6999999999999996E-2</v>
      </c>
      <c r="N52" s="498" cm="1">
        <f t="array" ref="N52">IF($C52="","",_xlfn.LET(
    _xlpm.mat,TRIM($C52),
    _xlpm.matKey,UPPER(SUBSTITUTE(_xlpm.mat," ","")),
    _xlpm.pr,IFERROR(LOOKUP(2,1/($H$51:H52&lt;&gt;""),$H$51:H52),""),
    _xlpm.widthActual,IFERROR(LOOKUP(2,1/($E$51:E52&lt;&gt;""),$E$51:E52),$E52),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",""))=_xlpm.matKey)*(_xlpm.summaryThick=$K52)*(_xlpm.summaryCosts&gt;0))),INDEX(_xlfn._xlws.FILTER(_xlpm.summaryCosts,(UPPER(SUBSTITUTE(_xlpm.summaryNames," ",""))=_xlpm.matKey)*(_xlpm.summaryThick=$K52)*(_xlpm.summaryCosts&gt;0)),1)),""),""),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6.6535064000000004</v>
      </c>
      <c r="O52" s="1077"/>
      <c r="P52" s="73">
        <f>IF(OR(C52="",A$51&lt;=0),"",IFERROR(IF(O$51="Europe to US",IF(A$51&lt;500,10,IF(A$51&lt;1000,8,IF(A$51&lt;2500,6,IF(A$51&lt;5000,5,4)))),VLOOKUP(O$51,[6]HELPER!$AF$2:$AH$3,3,FALSE)),0))</f>
        <v>0</v>
      </c>
      <c r="Q52" s="1077"/>
      <c r="R52" s="1088"/>
      <c r="S52" s="1074"/>
      <c r="T52" s="1075"/>
      <c r="U52" s="1089"/>
      <c r="V52" s="1090"/>
      <c r="W52" s="1079"/>
      <c r="X52" s="205">
        <f t="shared" si="7"/>
        <v>0.17964467279999999</v>
      </c>
      <c r="Y52" s="1080"/>
      <c r="Z52" s="246">
        <f>IF($M52="","",IFERROR(($N52+$P52)*$M52/$M$56,""))</f>
        <v>3.20977474271012</v>
      </c>
      <c r="AG52" s="514" t="s">
        <v>569</v>
      </c>
      <c r="AH52" s="174">
        <v>648</v>
      </c>
      <c r="AI52" s="515"/>
      <c r="AK52" s="514" t="s">
        <v>569</v>
      </c>
      <c r="AL52" s="174" t="s">
        <v>1053</v>
      </c>
      <c r="AM52" s="515"/>
      <c r="AO52" s="514" t="s">
        <v>569</v>
      </c>
      <c r="AP52" s="174">
        <v>819</v>
      </c>
      <c r="AQ52" s="515"/>
    </row>
    <row r="53" spans="1:43" ht="15.75" hidden="1" outlineLevel="1">
      <c r="A53" s="1081"/>
      <c r="B53" s="1077"/>
      <c r="C53" t="str">
        <v>RM G Epotal Eco 3702</v>
      </c>
      <c r="D53" s="1077"/>
      <c r="E53" s="1077"/>
      <c r="F53" s="1077"/>
      <c r="G53" s="1083"/>
      <c r="H53" s="1077"/>
      <c r="I53" s="1077"/>
      <c r="J53" s="502">
        <f t="shared" si="6"/>
        <v>800</v>
      </c>
      <c r="K53" cm="1">
        <f t="array" ref="K53">_xlfn.LET(_xlpm.baseThick,IFERROR(INDEX([6]HELPER!$BX$2:$BX$250,MATCH(1,(TEXT([6]HELPER!$BZ$2:$BZ$250,"0")=TEXT($B$51,"0"))*([6]HELPER!$CC$2:$CC$250=$AH$53)*([6]HELPER!$BW$2:$BW$250=C53),0)),""),IF(_xlpm.baseThick="","",_xlpm.baseThick))</f>
        <v>3</v>
      </c>
      <c r="L53">
        <f>IFERROR(VLOOKUP(C53,[6]HELPER!$AP$1:$AQ$25,2,FALSE),"")</f>
        <v>1</v>
      </c>
      <c r="M53" s="248">
        <f>IF(C53="","",IF(ISNUMBER(SEARCH("paper",C53)),42/1000*(J53/1000),IF(OR(L53="",L53=0),"",L53*1000*(K53/1000000)*(J53/1000))))</f>
        <v>2.4000000000000002E-3</v>
      </c>
      <c r="N53" s="204" cm="1">
        <f t="array" ref="N53">IF($C53="","",_xlfn.LET(
    _xlpm.mat,TRIM($C53),
    _xlpm.matKey,UPPER(SUBSTITUTE(_xlpm.mat," ","")),
    _xlpm.pr,IFERROR(LOOKUP(2,1/($H$51:H53&lt;&gt;""),$H$51:H53),""),
    _xlpm.widthActual,IFERROR(LOOKUP(2,1/($E$51:E53&lt;&gt;""),$E$51:E53),$E53),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",""))=_xlpm.matKey)*(_xlpm.summaryThick=$K53)*(_xlpm.summaryCosts&gt;0))),INDEX(_xlfn._xlws.FILTER(_xlpm.summaryCosts,(UPPER(SUBSTITUTE(_xlpm.summaryNames," ",""))=_xlpm.matKey)*(_xlpm.summaryThick=$K53)*(_xlpm.summaryCosts&gt;0)),1)),""),""),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5.8</v>
      </c>
      <c r="O53" s="1077"/>
      <c r="P53" s="73">
        <f>IF(OR(C53="",A$51&lt;=0),"",IFERROR(IF(O$51="Europe to US",IF(A$51&lt;500,10,IF(A$51&lt;1000,8,IF(A$51&lt;2500,6,IF(A$51&lt;5000,5,4)))),VLOOKUP(O$51,[6]HELPER!$AF$2:$AH$3,3,FALSE)),0))</f>
        <v>0</v>
      </c>
      <c r="Q53" s="1077"/>
      <c r="R53" s="1088"/>
      <c r="S53" s="1074"/>
      <c r="T53" s="1075"/>
      <c r="U53" s="1089"/>
      <c r="V53" s="1090"/>
      <c r="W53" s="1079"/>
      <c r="X53" s="205">
        <f t="shared" si="7"/>
        <v>1.392E-2</v>
      </c>
      <c r="Y53" s="1080"/>
      <c r="Z53" s="201">
        <f>IF($M53="","",IFERROR(($N53+$P53)*$M53/$M$56,""))</f>
        <v>0.24871355060034306</v>
      </c>
      <c r="AG53" s="514" t="s">
        <v>570</v>
      </c>
      <c r="AH53" s="592">
        <v>53</v>
      </c>
      <c r="AI53" s="515" t="s">
        <v>108</v>
      </c>
      <c r="AK53" s="514" t="s">
        <v>570</v>
      </c>
      <c r="AL53" s="592">
        <v>79</v>
      </c>
      <c r="AM53" s="515" t="s">
        <v>108</v>
      </c>
      <c r="AO53" s="514" t="s">
        <v>570</v>
      </c>
      <c r="AP53" s="592">
        <v>121</v>
      </c>
      <c r="AQ53" s="515" t="s">
        <v>108</v>
      </c>
    </row>
    <row r="54" spans="1:43" ht="15.75" hidden="1" outlineLevel="1">
      <c r="A54" s="1081"/>
      <c r="B54" s="1077"/>
      <c r="C54" t="str">
        <v>RM G Basonat HW 2270</v>
      </c>
      <c r="D54" s="1077"/>
      <c r="E54" s="1077"/>
      <c r="F54" s="1077"/>
      <c r="G54" s="1083"/>
      <c r="H54" s="1077"/>
      <c r="I54" s="1077"/>
      <c r="J54" s="502">
        <f t="shared" si="6"/>
        <v>800</v>
      </c>
      <c r="K54" cm="1">
        <f t="array" ref="K54">_xlfn.LET(_xlpm.baseThick,IFERROR(INDEX([6]HELPER!$BX$2:$BX$250,MATCH(1,(TEXT([6]HELPER!$BZ$2:$BZ$250,"0")=TEXT($B$51,"0"))*([6]HELPER!$CC$2:$CC$250=$AH$53)*([6]HELPER!$BW$2:$BW$250=C54),0)),""),IF(_xlpm.baseThick="","",_xlpm.baseThick))</f>
        <v>8.99999999999999E-2</v>
      </c>
      <c r="L54">
        <f>IFERROR(VLOOKUP(C54,[6]HELPER!$AP$1:$AQ$25,2,FALSE),"")</f>
        <v>1</v>
      </c>
      <c r="M54" s="248">
        <f>IF(C54="","",IF(ISNUMBER(SEARCH("paper",C54)),42/1000*(J54/1000),IF(OR(L54="",L54=0),"",L54*1000*(K54/1000000)*(J54/1000))))</f>
        <v>7.1999999999999934E-5</v>
      </c>
      <c r="N54" s="203" cm="1">
        <f t="array" ref="N54">IF($C54="","",_xlfn.LET(
    _xlpm.mat,TRIM($C54),
    _xlpm.matKey,UPPER(SUBSTITUTE(_xlpm.mat," ","")),
    _xlpm.pr,IFERROR(LOOKUP(2,1/($H$51:H54&lt;&gt;""),$H$51:H54),""),
    _xlpm.widthActual,IFERROR(LOOKUP(2,1/($E$51:E54&lt;&gt;""),$E$51:E54),$E54),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",""))=_xlpm.matKey)*(_xlpm.summaryThick=$K54)*(_xlpm.summaryCosts&gt;0))),INDEX(_xlfn._xlws.FILTER(_xlpm.summaryCosts,(UPPER(SUBSTITUTE(_xlpm.summaryNames," ",""))=_xlpm.matKey)*(_xlpm.summaryThick=$K54)*(_xlpm.summaryCosts&gt;0)),1)),""),""),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10.649999999999999</v>
      </c>
      <c r="O54" s="1077"/>
      <c r="P54" s="73">
        <f>IF(OR(C54="",A$51&lt;=0),"",IFERROR(IF(O$51="Europe to US",IF(A$51&lt;500,10,IF(A$51&lt;1000,8,IF(A$51&lt;2500,6,IF(A$51&lt;5000,5,4)))),VLOOKUP(O$51,[6]HELPER!$AF$2:$AH$3,3,FALSE)),0))</f>
        <v>0</v>
      </c>
      <c r="Q54" s="1077"/>
      <c r="R54" s="1088"/>
      <c r="S54" s="1074"/>
      <c r="T54" s="1075"/>
      <c r="U54" s="1089"/>
      <c r="V54" s="1090"/>
      <c r="W54" s="1079"/>
      <c r="X54" s="205">
        <f t="shared" si="7"/>
        <v>7.6679999999999923E-4</v>
      </c>
      <c r="Y54" s="1080"/>
      <c r="Z54" s="245">
        <f>IF($M54="","",IFERROR(($N54+$P54)*$M54/$M$56,""))</f>
        <v>1.370068610634647E-2</v>
      </c>
      <c r="AG54" s="514" t="s">
        <v>571</v>
      </c>
      <c r="AH54" s="174">
        <v>250</v>
      </c>
      <c r="AI54" s="515" t="s">
        <v>489</v>
      </c>
      <c r="AK54" s="514" t="s">
        <v>571</v>
      </c>
      <c r="AL54" s="174">
        <v>250</v>
      </c>
      <c r="AM54" s="515" t="s">
        <v>489</v>
      </c>
      <c r="AO54" s="514" t="s">
        <v>571</v>
      </c>
      <c r="AP54" s="174">
        <v>750</v>
      </c>
      <c r="AQ54" s="515" t="s">
        <v>489</v>
      </c>
    </row>
    <row r="55" spans="1:43" ht="15.75" hidden="1" outlineLevel="1">
      <c r="A55" s="1081"/>
      <c r="B55" s="1077"/>
      <c r="C55" s="73"/>
      <c r="D55" s="1077"/>
      <c r="E55" s="1077"/>
      <c r="F55" s="1077"/>
      <c r="G55" s="1083"/>
      <c r="H55" s="1077"/>
      <c r="I55" s="1077"/>
      <c r="J55" s="502" t="str">
        <f t="shared" si="6"/>
        <v/>
      </c>
      <c r="K55" t="str" cm="1">
        <f t="array" ref="K55">_xlfn.LET(_xlpm.baseThick,IFERROR(INDEX([6]HELPER!$BX$2:$BX$250,MATCH(1,(TEXT([6]HELPER!$BZ$2:$BZ$250,"0")=TEXT($B$51,"0"))*([6]HELPER!$CC$2:$CC$250=$AH$53)*([6]HELPER!$BW$2:$BW$250=C55),0)),""),IF(_xlpm.baseThick="","",_xlpm.baseThick))</f>
        <v/>
      </c>
      <c r="L55" t="str">
        <f>IFERROR(VLOOKUP(C55,[6]HELPER!$AP$1:$AQ$25,2,FALSE),"")</f>
        <v/>
      </c>
      <c r="M55" s="248" t="str">
        <f>IF(C55="","",IF(ISNUMBER(SEARCH("paper",C55)),42/1000*(J55/1000),IF(OR(L55="",L55=0),"",L55*1000*(K55/1000000)*(J55/1000))))</f>
        <v/>
      </c>
      <c r="N55" s="203" t="str" cm="1">
        <f t="array" ref="N55">IF($C55="","",_xlfn.LET(
    _xlpm.mat,TRIM($C55),
    _xlpm.matKey,UPPER(SUBSTITUTE(_xlpm.mat," ","")),
    _xlpm.pr,IFERROR(LOOKUP(2,1/($H$51:H55&lt;&gt;""),$H$51:H55),""),
    _xlpm.widthActual,IFERROR(LOOKUP(2,1/($E$51:E55&lt;&gt;""),$E$51:E55),$E55),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",""))=_xlpm.matKey)*(_xlpm.summaryThick=$K55)*(_xlpm.summaryCosts&gt;0))),INDEX(_xlfn._xlws.FILTER(_xlpm.summaryCosts,(UPPER(SUBSTITUTE(_xlpm.summaryNames," ",""))=_xlpm.matKey)*(_xlpm.summaryThick=$K55)*(_xlpm.summaryCosts&gt;0)),1)),""),""),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5" s="1077"/>
      <c r="P55" s="63" t="str">
        <f>IF(OR(C55="",A$51&lt;=0),"",IFERROR(IF(O$51="Europe to US",IF(A$51&lt;500,10,IF(A$51&lt;1000,8,IF(A$51&lt;2500,6,IF(A$51&lt;5000,5,4)))),VLOOKUP(O$51,[6]HELPER!$AF$2:$AH$3,3,FALSE)),0))</f>
        <v/>
      </c>
      <c r="Q55" s="1077"/>
      <c r="R55" s="1088"/>
      <c r="S55" s="1074"/>
      <c r="T55" s="1075"/>
      <c r="U55" s="1089"/>
      <c r="V55" s="1090"/>
      <c r="W55" s="1079"/>
      <c r="X55" s="254" t="str">
        <f t="shared" si="7"/>
        <v/>
      </c>
      <c r="Y55" s="1080"/>
      <c r="Z55" s="201" t="str">
        <f>IF($M55="","",IFERROR(($N55+$P55)*$M55/$M$56,""))</f>
        <v/>
      </c>
      <c r="AG55" s="514" t="s">
        <v>572</v>
      </c>
      <c r="AH55" s="174">
        <v>5000</v>
      </c>
      <c r="AI55" s="515" t="s">
        <v>203</v>
      </c>
      <c r="AK55" s="514" t="s">
        <v>572</v>
      </c>
      <c r="AL55" s="174"/>
      <c r="AM55" s="515" t="s">
        <v>203</v>
      </c>
      <c r="AO55" s="514" t="s">
        <v>572</v>
      </c>
      <c r="AP55" s="174"/>
      <c r="AQ55" s="515" t="s">
        <v>203</v>
      </c>
    </row>
    <row r="56" spans="1:43" ht="15.75" hidden="1" outlineLevel="1">
      <c r="A56" s="1081"/>
      <c r="B56" s="1077"/>
      <c r="C56" s="38"/>
      <c r="D56" s="1077"/>
      <c r="E56" s="1077"/>
      <c r="F56" s="1077"/>
      <c r="G56" s="1083"/>
      <c r="H56" s="1077"/>
      <c r="I56" s="1077"/>
      <c r="J56" s="502" t="str">
        <f t="shared" si="6"/>
        <v/>
      </c>
      <c r="K56" s="170">
        <f>AH53</f>
        <v>53</v>
      </c>
      <c r="L56" t="str">
        <f>IFERROR(VLOOKUP(C56,[6]HELPER!$AP$1:$AQ$25,2,FALSE),"")</f>
        <v/>
      </c>
      <c r="M56" s="249">
        <f>SUM(M51:M55)</f>
        <v>5.5967999999999997E-2</v>
      </c>
      <c r="N56" s="203" t="str" cm="1">
        <f t="array" ref="N56">IF($C56="","",_xlfn.LET(
    _xlpm.mat,TRIM($C56),
    _xlpm.matKey,UPPER(SUBSTITUTE(_xlpm.mat," ","")),
    _xlpm.pr,IFERROR(LOOKUP(2,1/($H$51:H56&lt;&gt;""),$H$51:H56),""),
    _xlpm.widthActual,IFERROR(LOOKUP(2,1/($E$51:E56&lt;&gt;""),$E$51:E56),$E56),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",""))=_xlpm.matKey)*(_xlpm.summaryThick=$K56)*(_xlpm.summaryCosts&gt;0))),INDEX(_xlfn._xlws.FILTER(_xlpm.summaryCosts,(UPPER(SUBSTITUTE(_xlpm.summaryNames," ",""))=_xlpm.matKey)*(_xlpm.summaryThick=$K56)*(_xlpm.summaryCosts&gt;0)),1)),""),""),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6" s="1077"/>
      <c r="P56" s="73" t="str">
        <f>IF(OR(C56="",A$51&lt;=0),"",IFERROR(IF(O$51="Europe to US",IF(A$51&lt;500,10,IF(A$51&lt;1000,8,IF(A$51&lt;2500,6,IF(A$51&lt;5000,5,4)))),VLOOKUP(O$51,[6]HELPER!$AF$2:$AH$3,3,FALSE)),0))</f>
        <v/>
      </c>
      <c r="Q56" s="1077"/>
      <c r="R56" s="1088"/>
      <c r="S56" s="1074"/>
      <c r="T56" s="1075"/>
      <c r="U56" s="1089"/>
      <c r="V56" s="1090"/>
      <c r="W56" s="1079"/>
      <c r="X56" s="202" t="str">
        <f t="shared" si="7"/>
        <v/>
      </c>
      <c r="Y56" s="1080"/>
      <c r="Z56" s="201"/>
      <c r="AG56" s="514" t="s">
        <v>573</v>
      </c>
      <c r="AH56" s="174" t="s">
        <v>124</v>
      </c>
      <c r="AI56" s="515"/>
      <c r="AK56" s="514" t="s">
        <v>573</v>
      </c>
      <c r="AL56" s="174" t="s">
        <v>124</v>
      </c>
      <c r="AM56" s="515"/>
      <c r="AO56" s="514" t="s">
        <v>573</v>
      </c>
      <c r="AP56" s="174" t="s">
        <v>123</v>
      </c>
      <c r="AQ56" s="515"/>
    </row>
    <row r="57" spans="1:43" ht="15.75" hidden="1" outlineLevel="1">
      <c r="A57" s="1081">
        <f>IF(AL62="By Length",IF(AL63&lt;&gt;"",IFERROR(AL63*$M$62*($D57/$J57),""),""),IF(OR(AL62="By Imp",AL62="IMP"),IFERROR(AL90*$M$62*($D57/$J57),""),IF(AL55="","",AL55)))</f>
        <v>52.465000000000003</v>
      </c>
      <c r="B57" s="1077" t="str">
        <f>AL52</f>
        <v>821M</v>
      </c>
      <c r="C57" t="str" cm="1">
        <f t="array" ref="C57:C60">IFERROR(_xlfn.LET(_xlpm.lam,TEXT(B57,"0"),_xlpm.thick,AL53,_xlfn.TAKE(_xlfn._xlws.FILTER([6]HELPER!$BW$2:$BW$250,(TEXT([6]HELPER!$BZ$2:$BZ$250,"0")=_xlpm.lam)*([6]HELPER!$CC$2:$CC$250=_xlpm.thick)*([6]HELPER!$BW$2:$BW$250&lt;&gt;""),"No match"),6)),"")</f>
        <v>TIPA 302FG</v>
      </c>
      <c r="D57" s="1077">
        <f>AL54</f>
        <v>250</v>
      </c>
      <c r="E57" s="1082">
        <f>IF(D57="","",_xlfn.LET(_xlpm.cap,IF($Q57="Quantum",760,1220),IF(D57+50&gt;_xlpm.cap,"ERROR: Lamination Width &gt; "&amp;_xlpm.cap,D57*MAX(1,MIN(MAX(2,INT(900/D57)),INT((_xlpm.cap-50)/D57))))))</f>
        <v>750</v>
      </c>
      <c r="F57" s="1077"/>
      <c r="G57" s="1083">
        <f>IF(OR(AL62="IMP",AL62="By Imp",AL62="By Length"),IFERROR(AL65,""),IFERROR(IF(OR(A57="",A57=0,$D57="",$D57=0,$J57="",$M$62="",$M$62=0,A57&lt;=5),"",(A57-5)/$M$62*($J57/$D57)),""))</f>
        <v>2000</v>
      </c>
      <c r="H57" s="1077" t="str">
        <f>AL56</f>
        <v>Not Printed</v>
      </c>
      <c r="I57" s="1084">
        <f>IF(H57="Not Printed",0,AL57)</f>
        <v>0</v>
      </c>
      <c r="J57" s="502">
        <f t="shared" ref="J57:J62" si="8">IF($C57="","",IF($E$57="","",IF(ISNUMBER($E$57),_xlfn.LET(_xlpm.cap,IF($Q$57="Quantum",760,1220),IF($E$57+50&gt;_xlpm.cap,"ERROR: Lamination Width &gt; "&amp;_xlpm.cap,$E$57+50)),$E$57)))</f>
        <v>800</v>
      </c>
      <c r="K57" cm="1">
        <f t="array" ref="K57">_xlfn.LET(_xlpm.baseThick,IFERROR(INDEX([6]HELPER!$BX$2:$BX$250,MATCH(1,(TEXT([6]HELPER!$BZ$2:$BZ$250,"0")=TEXT($B$57,"0"))*([6]HELPER!$CC$2:$CC$250=$AL$53)*([6]HELPER!$BW$2:$BW$250=C57),0)),""),IF(_xlpm.baseThick="","",_xlpm.baseThick))</f>
        <v>25</v>
      </c>
      <c r="L57">
        <f>IFERROR(VLOOKUP(C57,[6]HELPER!$AP$1:$AQ$25,2,FALSE),"")</f>
        <v>1.25</v>
      </c>
      <c r="M57" s="248">
        <f>IF(C57="","",IF(ISNUMBER(SEARCH("paper",C57)),42/1000*(J57/1000),IF(OR(L57="",L57=0),"",L57*1000*(K57/1000000)*(J57/1000))))</f>
        <v>2.5000000000000001E-2</v>
      </c>
      <c r="N57" s="203" cm="1">
        <f t="array" ref="N57">IF($C57="","",_xlfn.LET(
    _xlpm.mat,TRIM($C57),
    _xlpm.matKey,UPPER(SUBSTITUTE(_xlpm.mat," ","")),
    _xlpm.pr,IFERROR(LOOKUP(2,1/($H$57:H57&lt;&gt;""),$H$57:H57),""),
    _xlpm.widthActual,IFERROR(LOOKUP(2,1/($E$57:E57&lt;&gt;""),$E$57:E57),$E57),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",""))=_xlpm.matKey)*(_xlpm.summaryThick=$K57)*(_xlpm.summaryCosts&gt;0))),INDEX(_xlfn._xlws.FILTER(_xlpm.summaryCosts,(UPPER(SUBSTITUTE(_xlpm.summaryNames," ",""))=_xlpm.matKey)*(_xlpm.summaryThick=$K57)*(_xlpm.summaryCosts&gt;0)),1)),""),""),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6.6535064000000004</v>
      </c>
      <c r="O57" s="1077" t="str">
        <f>AL60</f>
        <v>EXW</v>
      </c>
      <c r="P57" s="73">
        <f>IF(OR(C57="",A$57&lt;=0),"",IFERROR(IF(O$57="Europe to US",IF(A$57&lt;500,10,IF(A$57&lt;1000,8,IF(A$57&lt;2500,6,IF(A$57&lt;5000,5,4)))),VLOOKUP(O$57,[6]HELPER!$AF$2:$AH$3,3,FALSE)),0))</f>
        <v>0</v>
      </c>
      <c r="Q57" s="1077" t="str">
        <f>AL61</f>
        <v>Marma</v>
      </c>
      <c r="R57" s="1074" cm="1">
        <f t="array" ref="R57">IF(OR($Q57="",$G57=""),"",IF($J57&gt;IF($Q57="Quantum",760,1220),"Error! lamination width exceeds supplier maximum",_xlfn.LET(_xlpm.struct,$C$57:$C$62,_xlpm.realLayers,SUMPRODUCT(--(_xlpm.struct&lt;&gt;""),--ISERROR(SEARCH("EPOTAL",_xlpm.struct&amp;"")),--ISERROR(SEARCH("BASONAT",_xlpm.struct&amp;"")),--ISERROR(SEARCH("ADH",_xlpm.struct&amp;"")),--ISERROR(SEARCH("HARDENER",_xlpm.struct&amp;""))),_xlpm.lamSteps,MAX(0,_xlpm.realLayers-1),_xlpm.len,$G57,_xlpm.colNum,IF(_xlpm.len&lt;3000,1,IF(_xlpm.len&lt;10000,2,IF(_xlpm.len&lt;25000,3,IF(_xlpm.len&lt;50000,4,IF(_xlpm.len&lt;100000,5,IF(_xlpm.len&lt;250000,6,7)))))),_xlpm.widthRow,IF(AND($D57&gt;=710,$D57&lt;=760),0,IF($D57&lt;900,0,5)),_xlpm.supplierRow,IF($Q57="Marma",3,IF(OR($Q57="Bastin",$Q57="Quantum"),13,0)),_xlpm.baseRate,IF(_xlpm.supplierRow=0,"",INDEX('[6]Lmntn &amp; Prntng- Marma &amp; Bastin '!$D$1:$K$22,_xlpm.supplierRow+_xlpm.widthRow,_xlpm.colNum)),IF(_xlpm.realLayers=0,"",_xlpm.baseRate*_xlpm.lamSteps))))</f>
        <v>0.23346</v>
      </c>
      <c r="S57" s="1074" t="str" cm="1">
        <f t="array" ref="S57">IF($Q57="Quantum",IF(OR($Q57="",$I57=0,$I57="0"),"",IF($J57&gt;IF($Q57="Quantum",760,1220),"Error! lamination width exceeds supplier maximum",IF($E57&gt;1200,"Data is missing",_xlfn.LET(_xlpm.len,$G57,_xlpm.colors,$I57,_xlpm.qWidth,IF($E57&lt;=450,450,IF($E57&lt;=760,760,1200)),_xlpm.band,IF(_xlpm.colors=1,"1",IF(OR(_xlpm.colors=2,_xlpm.colors=3),"2-3",IF(OR(_xlpm.colors=4,_xlpm.colors=5),"4-5","6-8"))),_xlpm.widths,'[6]Digital_per_meter- Quantum'!$A$32:$A$91,_xlpm.bands,'[6]Digital_per_meter- Quantum'!$C$32:$C$91,_xlpm.meters,'[6]Digital_per_meter- Quantum'!$D$32:$D$91,_xlpm.rates,'[6]Digital_per_meter-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[6]HELPER!$AK$2)))),IF(OR($Q57="",$I57=0,$I57="0"),"",IF($J57&gt;IF($Q57="Quantum",760,1220),"Error! lamination width exceeds supplier maximum",_xlfn.LET(_xlpm.len,$AL$71,_xlpm.colors,$I57,_xlpm.colNum,IF(_xlpm.len&lt;3000,1,IF(_xlpm.len&lt;10000,2,IF(_xlpm.len&lt;25000,3,IF(_xlpm.len&lt;50000,4,IF(_xlpm.len&lt;100000,5,IF(_xlpm.len&lt;250000,6,IF(_xlpm.len&lt;500000,7,8))))))),_xlpm.widthRow,IF($E57&lt;900,0,5),_xlpm.colorOffset,IF(OR(_xlpm.colors=1,_xlpm.colors=2,_xlpm.colors="1-2"),1,IF(OR(_xlpm.colors=3,_xlpm.colors=4,_xlpm.colors="3-4"),2,IF(OR(_xlpm.colors&gt;=5,_xlpm.colors="5-6",_xlpm.colors="5-8"),3,0))),_xlpm.supplierRow,IF($Q57="Marma",3,IF($Q57="Bastin",13,0)),IF(OR(_xlpm.supplierRow=0,_xlpm.colorOffset=0),"",INDEX('[6]Lmntn &amp; Prntng- Marma &amp; Bastin '!$D$1:$K$22,_xlpm.supplierRow+_xlpm.widthRow+_xlpm.colorOffset,_xlpm.colNum))))))</f>
        <v/>
      </c>
      <c r="T57" s="1075" t="str">
        <f>IF(OR($S57="",$K57=""),"",IFERROR($S57*(1/$M$62)*($J57/($D57*MAX(1,ROUNDDOWN(760/$D57,0)))),""))</f>
        <v/>
      </c>
      <c r="U57" s="1074" cm="1">
        <f t="array" ref="U57">IF($Q57="","",IF($J57&gt;IF($Q57="Quantum",760,1220),"Error! lamination width exceeds supplier maximum",_xlfn.LET(_xlpm.len,$G57,_xlpm.colNum,IF(_xlpm.len&lt;3000,1,IF(_xlpm.len&lt;10000,2,IF(_xlpm.len&lt;25000,3,IF(_xlpm.len&lt;50000,4,IF(_xlpm.len&lt;100000,5,IF(_xlpm.len&lt;250000,6,7)))))),_xlpm.widthRow,IF($E57&lt;900,0,5),_xlpm.supplierRow,IF($Q57="Marma",7,IF(OR($Q57="Bastin",$Q57="Quantum"),17,0)),IF(_xlpm.supplierRow=0,"",INDEX('[6]Lmntn &amp; Prntng- Marma &amp; Bastin '!$D$1:$K$22,_xlpm.supplierRow+_xlpm.widthRow,_xlpm.colNum)))))</f>
        <v>3.492E-2</v>
      </c>
      <c r="V57" s="1076">
        <f>IFERROR(IF(AL72="","",IF($K62&gt;31,(5%+250/$G$57)*AL72,VLOOKUP($K62,[6]HELPER!$BH$3:$BI$5,2,TRUE)*AL72)),"")</f>
        <v>1.5279015788303312</v>
      </c>
      <c r="W57" s="1079">
        <f>IF(OR($H57&lt;&gt;"Printed",$I57=0,$I57="0"),0,IFERROR(AL72*0.028,0)+IFERROR(AL93,0))</f>
        <v>0</v>
      </c>
      <c r="X57" s="202">
        <f t="shared" si="7"/>
        <v>0.16633766000000003</v>
      </c>
      <c r="Y57" s="1080">
        <f>IFERROR((SUM(X57:X62)+SUM(R57:S57,U57))*(1/M62)*(J57/E57)+V57+W57,"")</f>
        <v>13.6690412592522</v>
      </c>
      <c r="Z57" s="201">
        <f>IF($M57="","",IFERROR(($N57+$P57)*$M57/$M$62,""))</f>
        <v>1.981531258934528</v>
      </c>
      <c r="AA57" s="595">
        <f>AL58</f>
        <v>1</v>
      </c>
      <c r="AB57" s="95" t="str">
        <f>IF(OR(AL62="IMP",AL62="By Imp"),IFERROR(AL63/AA57,""),"")</f>
        <v/>
      </c>
      <c r="AC57" s="624">
        <f>AL92</f>
        <v>0.66666666666666663</v>
      </c>
      <c r="AG57" s="514" t="s">
        <v>798</v>
      </c>
      <c r="AH57" s="175" t="s">
        <v>221</v>
      </c>
      <c r="AI57" s="515"/>
      <c r="AK57" s="514" t="s">
        <v>798</v>
      </c>
      <c r="AL57" s="175" t="s">
        <v>221</v>
      </c>
      <c r="AM57" s="515"/>
      <c r="AO57" s="514" t="s">
        <v>798</v>
      </c>
      <c r="AP57" s="175" t="s">
        <v>122</v>
      </c>
      <c r="AQ57" s="515"/>
    </row>
    <row r="58" spans="1:43" ht="15.75" hidden="1" outlineLevel="1">
      <c r="A58" s="1081"/>
      <c r="B58" s="1077"/>
      <c r="C58" t="str">
        <v>NK White</v>
      </c>
      <c r="D58" s="1077"/>
      <c r="E58" s="1077"/>
      <c r="F58" s="1077"/>
      <c r="G58" s="1081"/>
      <c r="H58" s="1077"/>
      <c r="I58" s="1077"/>
      <c r="J58" s="502">
        <f t="shared" si="8"/>
        <v>800</v>
      </c>
      <c r="K58" cm="1">
        <f t="array" ref="K58">_xlfn.LET(_xlpm.baseThick,IFERROR(INDEX([6]HELPER!$BX$2:$BX$250,MATCH(1,(TEXT([6]HELPER!$BZ$2:$BZ$250,"0")=TEXT($B$57,"0"))*([6]HELPER!$CC$2:$CC$250=$AL$53)*([6]HELPER!$BW$2:$BW$250=C58),0)),""),IF(_xlpm.baseThick="","",_xlpm.baseThick))</f>
        <v>22</v>
      </c>
      <c r="L58">
        <f>IFERROR(VLOOKUP(C58,[6]HELPER!$AP$1:$AQ$25,2,FALSE),"")</f>
        <v>1.44</v>
      </c>
      <c r="M58" s="248">
        <f>IF(C58="","",IF(ISNUMBER(SEARCH("paper",C58)),42/1000*(J58/1000),IF(OR(L58="",L58=0),"",L58*1000*(K58/1000000)*(J58/1000))))</f>
        <v>2.5344000000000002E-2</v>
      </c>
      <c r="N58" s="204" cm="1">
        <f t="array" ref="N58">IF($C58="","",_xlfn.LET(
    _xlpm.mat,TRIM($C58),
    _xlpm.matKey,UPPER(SUBSTITUTE(_xlpm.mat," ","")),
    _xlpm.pr,IFERROR(LOOKUP(2,1/($H$57:H58&lt;&gt;""),$H$57:H58),""),
    _xlpm.widthActual,IFERROR(LOOKUP(2,1/($E$57:E58&lt;&gt;""),$E$57:E58),$E58),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",""))=_xlpm.matKey)*(_xlpm.summaryThick=$K58)*(_xlpm.summaryCosts&gt;0))),INDEX(_xlfn._xlws.FILTER(_xlpm.summaryCosts,(UPPER(SUBSTITUTE(_xlpm.summaryNames," ",""))=_xlpm.matKey)*(_xlpm.summaryThick=$K58)*(_xlpm.summaryCosts&gt;0)),1)),""),""),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9.7199999999999989</v>
      </c>
      <c r="O58" s="1077"/>
      <c r="P58" s="73">
        <f>IF(OR(C58="",A$57&lt;=0),"",IFERROR(IF(O$57="Europe to US",IF(A$57&lt;500,10,IF(A$57&lt;1000,8,IF(A$57&lt;2500,6,IF(A$57&lt;5000,5,4)))),VLOOKUP(O$57,[6]HELPER!$AF$2:$AH$3,3,FALSE)),0))</f>
        <v>0</v>
      </c>
      <c r="Q58" s="1077"/>
      <c r="R58" s="1074"/>
      <c r="S58" s="1074"/>
      <c r="T58" s="1075"/>
      <c r="U58" s="1074"/>
      <c r="V58" s="1077"/>
      <c r="W58" s="1079"/>
      <c r="X58" s="202">
        <f t="shared" si="7"/>
        <v>0.24634367999999998</v>
      </c>
      <c r="Y58" s="1080"/>
      <c r="Z58" s="201">
        <f>IF($M58="","",IFERROR(($N58+$P58)*$M58/$M$62,""))</f>
        <v>2.9346192699895166</v>
      </c>
      <c r="AG58" s="514" t="s">
        <v>2382</v>
      </c>
      <c r="AH58" s="175" t="s">
        <v>1215</v>
      </c>
      <c r="AI58" s="515"/>
      <c r="AJ58" s="38"/>
      <c r="AK58" s="514" t="s">
        <v>2382</v>
      </c>
      <c r="AL58" s="175">
        <v>1</v>
      </c>
      <c r="AM58" s="515"/>
      <c r="AN58" s="38"/>
      <c r="AO58" s="514" t="s">
        <v>2382</v>
      </c>
      <c r="AP58" s="175">
        <v>1</v>
      </c>
      <c r="AQ58" s="515"/>
    </row>
    <row r="59" spans="1:43" ht="15.75" hidden="1" outlineLevel="1">
      <c r="A59" s="1081"/>
      <c r="B59" s="1077"/>
      <c r="C59" t="str">
        <v> NK MATT</v>
      </c>
      <c r="D59" s="1077"/>
      <c r="E59" s="1077"/>
      <c r="F59" s="1077"/>
      <c r="G59" s="1081"/>
      <c r="H59" s="1077"/>
      <c r="I59" s="1077"/>
      <c r="J59" s="502">
        <f t="shared" si="8"/>
        <v>800</v>
      </c>
      <c r="K59" cm="1">
        <f t="array" ref="K59">_xlfn.LET(_xlpm.baseThick,IFERROR(INDEX([6]HELPER!$BX$2:$BX$250,MATCH(1,(TEXT([6]HELPER!$BZ$2:$BZ$250,"0")=TEXT($B$57,"0"))*([6]HELPER!$CC$2:$CC$250=$AL$53)*([6]HELPER!$BW$2:$BW$250=C59),0)),""),IF(_xlpm.baseThick="","",_xlpm.baseThick))</f>
        <v>25</v>
      </c>
      <c r="L59">
        <f>IFERROR(VLOOKUP(C59,[6]HELPER!$AP$1:$AQ$25,2,FALSE),"")</f>
        <v>1.44</v>
      </c>
      <c r="M59" s="248">
        <f>IF(C59="","",IF(ISNUMBER(SEARCH("paper",C59)),42/1000*(J59/1000),IF(OR(L59="",L59=0),"",L59*1000*(K59/1000000)*(J59/1000))))</f>
        <v>2.8800000000000006E-2</v>
      </c>
      <c r="N59" s="203" cm="1">
        <f t="array" ref="N59">IF($C59="","",_xlfn.LET(
    _xlpm.mat,TRIM($C59),
    _xlpm.matKey,UPPER(SUBSTITUTE(_xlpm.mat," ","")),
    _xlpm.pr,IFERROR(LOOKUP(2,1/($H$57:H59&lt;&gt;""),$H$57:H59),""),
    _xlpm.widthActual,IFERROR(LOOKUP(2,1/($E$57:E59&lt;&gt;""),$E$57:E59),$E59),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",""))=_xlpm.matKey)*(_xlpm.summaryThick=$K59)*(_xlpm.summaryCosts&gt;0))),INDEX(_xlfn._xlws.FILTER(_xlpm.summaryCosts,(UPPER(SUBSTITUTE(_xlpm.summaryNames," ",""))=_xlpm.matKey)*(_xlpm.summaryThick=$K59)*(_xlpm.summaryCosts&gt;0)),1)),""),""),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8.7199999999999989</v>
      </c>
      <c r="O59" s="1077"/>
      <c r="P59" s="73">
        <f>IF(OR(C59="",A$57&lt;=0),"",IFERROR(IF(O$57="Europe to US",IF(A$57&lt;500,10,IF(A$57&lt;1000,8,IF(A$57&lt;2500,6,IF(A$57&lt;5000,5,4)))),VLOOKUP(O$57,[6]HELPER!$AF$2:$AH$3,3,FALSE)),0))</f>
        <v>0</v>
      </c>
      <c r="Q59" s="1077"/>
      <c r="R59" s="1074"/>
      <c r="S59" s="1074"/>
      <c r="T59" s="1075"/>
      <c r="U59" s="1074"/>
      <c r="V59" s="1077"/>
      <c r="W59" s="1079"/>
      <c r="X59" s="202">
        <f t="shared" si="7"/>
        <v>0.25113600000000003</v>
      </c>
      <c r="Y59" s="1080"/>
      <c r="Z59" s="201">
        <f>IF($M59="","",IFERROR(($N59+$P59)*$M59/$M$62,""))</f>
        <v>2.9917087582197657</v>
      </c>
      <c r="AG59" s="514" t="s">
        <v>2384</v>
      </c>
      <c r="AH59" s="175" t="s">
        <v>2385</v>
      </c>
      <c r="AI59" s="515"/>
      <c r="AJ59" s="38"/>
      <c r="AK59" s="514" t="s">
        <v>2384</v>
      </c>
      <c r="AL59" s="175" t="s">
        <v>2385</v>
      </c>
      <c r="AM59" s="515"/>
      <c r="AN59" s="38"/>
      <c r="AO59" s="514" t="s">
        <v>2384</v>
      </c>
      <c r="AP59" s="175" t="s">
        <v>2385</v>
      </c>
      <c r="AQ59" s="515"/>
    </row>
    <row r="60" spans="1:43" ht="15.75" hidden="1" outlineLevel="1">
      <c r="A60" s="1081"/>
      <c r="B60" s="1077"/>
      <c r="C60" t="str">
        <v>RM G Epotal ECO 3675</v>
      </c>
      <c r="D60" s="1077"/>
      <c r="E60" s="1077"/>
      <c r="F60" s="1077"/>
      <c r="G60" s="1081"/>
      <c r="H60" s="1077"/>
      <c r="I60" s="1077"/>
      <c r="J60" s="502">
        <f t="shared" si="8"/>
        <v>800</v>
      </c>
      <c r="K60" cm="1">
        <f t="array" ref="K60">_xlfn.LET(_xlpm.baseThick,IFERROR(INDEX([6]HELPER!$BX$2:$BX$250,MATCH(1,(TEXT([6]HELPER!$BZ$2:$BZ$250,"0")=TEXT($B$57,"0"))*([6]HELPER!$CC$2:$CC$250=$AL$53)*([6]HELPER!$BW$2:$BW$250=C60),0)),""),IF(_xlpm.baseThick="","",_xlpm.baseThick))</f>
        <v>6</v>
      </c>
      <c r="L60">
        <f>IFERROR(VLOOKUP(C60,[6]HELPER!$AP$1:$AQ$25,2,FALSE),"")</f>
        <v>1</v>
      </c>
      <c r="M60" s="248">
        <f>IF(C60="","",IF(ISNUMBER(SEARCH("paper",C60)),42/1000*(J60/1000),IF(OR(L60="",L60=0),"",L60*1000*(K60/1000000)*(J60/1000))))</f>
        <v>4.8000000000000004E-3</v>
      </c>
      <c r="N60" s="203" cm="1">
        <f t="array" ref="N60">IF($C60="","",_xlfn.LET(
    _xlpm.mat,TRIM($C60),
    _xlpm.matKey,UPPER(SUBSTITUTE(_xlpm.mat," ","")),
    _xlpm.pr,IFERROR(LOOKUP(2,1/($H$57:H60&lt;&gt;""),$H$57:H60),""),
    _xlpm.widthActual,IFERROR(LOOKUP(2,1/($E$57:E60&lt;&gt;""),$E$57:E60),$E60),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",""))=_xlpm.matKey)*(_xlpm.summaryThick=$K60)*(_xlpm.summaryCosts&gt;0))),INDEX(_xlfn._xlws.FILTER(_xlpm.summaryCosts,(UPPER(SUBSTITUTE(_xlpm.summaryNames," ",""))=_xlpm.matKey)*(_xlpm.summaryThick=$K60)*(_xlpm.summaryCosts&gt;0)),1)),""),""),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0" s="1077"/>
      <c r="P60" s="73">
        <f>IF(OR(C60="",A$57&lt;=0),"",IFERROR(IF(O$57="Europe to US",IF(A$57&lt;500,10,IF(A$57&lt;1000,8,IF(A$57&lt;2500,6,IF(A$57&lt;5000,5,4)))),VLOOKUP(O$57,[6]HELPER!$AF$2:$AH$3,3,FALSE)),0))</f>
        <v>0</v>
      </c>
      <c r="Q60" s="1077"/>
      <c r="R60" s="1074"/>
      <c r="S60" s="1074"/>
      <c r="T60" s="1075"/>
      <c r="U60" s="1074"/>
      <c r="V60" s="1077"/>
      <c r="W60" s="1079"/>
      <c r="X60" s="202">
        <f t="shared" si="7"/>
        <v>2.3280000000000006E-2</v>
      </c>
      <c r="Y60" s="1080"/>
      <c r="Z60" s="201">
        <f>IF($M60="","",IFERROR(($N60+$P60)*$M60/$M$62,""))</f>
        <v>0.27732774230439344</v>
      </c>
      <c r="AG60" s="514" t="s">
        <v>2386</v>
      </c>
      <c r="AH60" s="174" t="s">
        <v>2387</v>
      </c>
      <c r="AI60" s="515"/>
      <c r="AK60" s="514" t="s">
        <v>2386</v>
      </c>
      <c r="AL60" s="174" t="s">
        <v>2387</v>
      </c>
      <c r="AM60" s="515"/>
      <c r="AO60" s="514" t="s">
        <v>2386</v>
      </c>
      <c r="AP60" s="174" t="s">
        <v>2387</v>
      </c>
      <c r="AQ60" s="515"/>
    </row>
    <row r="61" spans="1:43" ht="15.75" hidden="1" outlineLevel="1">
      <c r="A61" s="1081"/>
      <c r="B61" s="1077"/>
      <c r="D61" s="1077"/>
      <c r="E61" s="1077"/>
      <c r="F61" s="1077"/>
      <c r="G61" s="1081"/>
      <c r="H61" s="1077"/>
      <c r="I61" s="1077"/>
      <c r="J61" s="502" t="str">
        <f t="shared" si="8"/>
        <v/>
      </c>
      <c r="K61" t="str" cm="1">
        <f t="array" ref="K61">_xlfn.LET(_xlpm.baseThick,IFERROR(INDEX([6]HELPER!$BX$2:$BX$250,MATCH(1,(TEXT([6]HELPER!$BZ$2:$BZ$250,"0")=TEXT($B$57,"0"))*([6]HELPER!$CC$2:$CC$250=$AL$53)*([6]HELPER!$BW$2:$BW$250=C61),0)),""),IF(_xlpm.baseThick="","",_xlpm.baseThick))</f>
        <v/>
      </c>
      <c r="L61" t="str">
        <f>IFERROR(VLOOKUP(C61,[6]HELPER!$AP$1:$AQ$25,2,FALSE),"")</f>
        <v/>
      </c>
      <c r="M61" s="248" t="str">
        <f>IF(C61="","",IF(ISNUMBER(SEARCH("paper",C61)),42/1000*(J61/1000),IF(OR(L61="",L61=0),"",L61*1000*(K61/1000000)*(J61/1000))))</f>
        <v/>
      </c>
      <c r="N61" s="203" t="str" cm="1">
        <f t="array" ref="N61">IF($C61="","",_xlfn.LET(
    _xlpm.mat,TRIM($C61),
    _xlpm.matKey,UPPER(SUBSTITUTE(_xlpm.mat," ","")),
    _xlpm.pr,IFERROR(LOOKUP(2,1/($H$57:H61&lt;&gt;""),$H$57:H61),""),
    _xlpm.widthActual,IFERROR(LOOKUP(2,1/($E$57:E61&lt;&gt;""),$E$57:E61),$E61),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",""))=_xlpm.matKey)*(_xlpm.summaryThick=$K61)*(_xlpm.summaryCosts&gt;0))),INDEX(_xlfn._xlws.FILTER(_xlpm.summaryCosts,(UPPER(SUBSTITUTE(_xlpm.summaryNames," ",""))=_xlpm.matKey)*(_xlpm.summaryThick=$K61)*(_xlpm.summaryCosts&gt;0)),1)),""),""),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1" s="1077"/>
      <c r="P61" s="73" t="str">
        <f>IF(OR(C61="",A$57&lt;=0),"",IFERROR(IF(O$57="Europe to US",IF(A$57&lt;500,10,IF(A$57&lt;1000,8,IF(A$57&lt;2500,6,IF(A$57&lt;5000,5,4)))),VLOOKUP(O$57,[6]HELPER!$AF$2:$AH$3,3,FALSE)),0))</f>
        <v/>
      </c>
      <c r="Q61" s="1077"/>
      <c r="R61" s="1074"/>
      <c r="S61" s="1074"/>
      <c r="T61" s="1075"/>
      <c r="U61" s="1074"/>
      <c r="V61" s="1077"/>
      <c r="W61" s="1079"/>
      <c r="X61" s="202" t="str">
        <f t="shared" si="7"/>
        <v/>
      </c>
      <c r="Y61" s="1080"/>
      <c r="Z61" s="201"/>
      <c r="AG61" s="514" t="s">
        <v>2388</v>
      </c>
      <c r="AH61" s="174" t="s">
        <v>240</v>
      </c>
      <c r="AI61" s="515"/>
      <c r="AK61" s="514" t="s">
        <v>2388</v>
      </c>
      <c r="AL61" s="174" t="s">
        <v>250</v>
      </c>
      <c r="AM61" s="515"/>
      <c r="AO61" s="514" t="s">
        <v>2388</v>
      </c>
      <c r="AP61" s="174" t="s">
        <v>250</v>
      </c>
      <c r="AQ61" s="515"/>
    </row>
    <row r="62" spans="1:43" ht="15.75" hidden="1" outlineLevel="1">
      <c r="A62" s="1081"/>
      <c r="B62" s="1077"/>
      <c r="C62" s="38"/>
      <c r="D62" s="1077"/>
      <c r="E62" s="1077"/>
      <c r="F62" s="1077"/>
      <c r="G62" s="1081"/>
      <c r="H62" s="1077"/>
      <c r="I62" s="1077"/>
      <c r="J62" s="502" t="str">
        <f t="shared" si="8"/>
        <v/>
      </c>
      <c r="K62" s="170">
        <f>AL53</f>
        <v>79</v>
      </c>
      <c r="L62" t="str">
        <f>IFERROR(VLOOKUP(C62,[6]HELPER!$AP$1:$AQ$25,2,FALSE),"")</f>
        <v/>
      </c>
      <c r="M62" s="249">
        <f>SUM(M57:M61)</f>
        <v>8.3944000000000005E-2</v>
      </c>
      <c r="N62" s="203" t="str" cm="1">
        <f t="array" ref="N62">IF($C62="","",_xlfn.LET(
    _xlpm.mat,TRIM($C62),
    _xlpm.matKey,UPPER(SUBSTITUTE(_xlpm.mat," ","")),
    _xlpm.pr,IFERROR(LOOKUP(2,1/($H$57:H62&lt;&gt;""),$H$57:H62),""),
    _xlpm.widthActual,IFERROR(LOOKUP(2,1/($E$57:E62&lt;&gt;""),$E$57:E62),$E62),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",""))=_xlpm.matKey)*(_xlpm.summaryThick=$K62)*(_xlpm.summaryCosts&gt;0))),INDEX(_xlfn._xlws.FILTER(_xlpm.summaryCosts,(UPPER(SUBSTITUTE(_xlpm.summaryNames," ",""))=_xlpm.matKey)*(_xlpm.summaryThick=$K62)*(_xlpm.summaryCosts&gt;0)),1)),""),""),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2" s="1077"/>
      <c r="P62" s="73" t="str">
        <f>IF(OR(C62="",A$57&lt;=0),"",IFERROR(IF(O$57="Europe to US",IF(A$57&lt;500,10,IF(A$57&lt;1000,8,IF(A$57&lt;2500,6,IF(A$57&lt;5000,5,4)))),VLOOKUP(O$57,[6]HELPER!$AF$2:$AH$3,3,FALSE)),0))</f>
        <v/>
      </c>
      <c r="Q62" s="1077"/>
      <c r="R62" s="1074"/>
      <c r="S62" s="1074"/>
      <c r="T62" s="1075"/>
      <c r="U62" s="1074"/>
      <c r="V62" s="1077"/>
      <c r="W62" s="1079"/>
      <c r="X62" s="202" t="str">
        <f t="shared" si="7"/>
        <v/>
      </c>
      <c r="Y62" s="1080"/>
      <c r="Z62" s="201"/>
      <c r="AG62" s="528" t="s">
        <v>2389</v>
      </c>
      <c r="AH62" s="634" t="s">
        <v>560</v>
      </c>
      <c r="AI62" s="516"/>
      <c r="AJ62" s="235"/>
      <c r="AK62" s="528" t="s">
        <v>2389</v>
      </c>
      <c r="AL62" s="634" t="s">
        <v>561</v>
      </c>
      <c r="AM62" s="516"/>
      <c r="AO62" s="528" t="s">
        <v>2389</v>
      </c>
      <c r="AP62" s="634" t="s">
        <v>1040</v>
      </c>
      <c r="AQ62" s="516"/>
    </row>
    <row r="63" spans="1:43" ht="15.75" hidden="1" outlineLevel="1">
      <c r="A63" s="1081">
        <f>IF(AP62="By Length",IF(AP63&lt;&gt;"",IFERROR(AP63*$M$68*($D63/$J63),""),""),IF(OR(AP62="By Imp",AP62="IMP"),IFERROR(AP90*$M$68*($D63/$J63),""),IF(AP55="","",AP55)))</f>
        <v>392.31176250000004</v>
      </c>
      <c r="B63" s="1077">
        <f>AP52</f>
        <v>819</v>
      </c>
      <c r="C63" t="str" cm="1">
        <f t="array" ref="C63:C66">IFERROR(_xlfn.LET(_xlpm.lam,TEXT(B63,"0"),_xlpm.thick,AP53,_xlfn.TAKE(_xlfn._xlws.FILTER([6]HELPER!$BW$2:$BW$250,(TEXT([6]HELPER!$BZ$2:$BZ$250,"0")=_xlpm.lam)*([6]HELPER!$CC$2:$CC$250=_xlpm.thick)*([6]HELPER!$BW$2:$BW$250&lt;&gt;""),"No match"),6)),"")</f>
        <v>NK</v>
      </c>
      <c r="D63" s="1077">
        <f>AP54</f>
        <v>750</v>
      </c>
      <c r="E63" s="1082">
        <f>IF(D63="","",_xlfn.LET(_xlpm.cap,IF($Q63="Quantum",760,1220),IF(D63+50&gt;_xlpm.cap,"ERROR: Lamination Width &gt; "&amp;_xlpm.cap,D63*MAX(1,MIN(MAX(2,INT(900/D63)),INT((_xlpm.cap-50)/D63))))))</f>
        <v>750</v>
      </c>
      <c r="F63" s="1077"/>
      <c r="G63" s="1083">
        <f>IF(OR(AP62="IMP",AP62="By Imp",AP62="By Length"),IFERROR(AP65,""),IFERROR(IF(OR(A63="",A63=0,$D63="",$D63=0,$J63="",$M$68="",$M$68=0,A63&lt;=5),"",(A63-5)/$M$68*($J63/$D63)),""))</f>
        <v>4987.5</v>
      </c>
      <c r="H63" s="1077" t="str">
        <f>AP56</f>
        <v>Printed</v>
      </c>
      <c r="I63" s="1084" t="str">
        <f>IF(H63="Not Printed",0,AP57)</f>
        <v>3-4</v>
      </c>
      <c r="J63" s="502">
        <f t="shared" ref="J63:J74" si="9">IF($C63="","",IF($E$63="","",IF(ISNUMBER($E$63),_xlfn.LET(_xlpm.cap,IF($Q$63="Quantum",760,1220),IF($E$63+50&gt;_xlpm.cap,"ERROR: Lamination Width &gt; "&amp;_xlpm.cap,$E$63+50)),$E$63)))</f>
        <v>800</v>
      </c>
      <c r="K63" cm="1">
        <f t="array" ref="K63">_xlfn.LET(_xlpm.baseThick,IFERROR(INDEX([6]HELPER!$BX$2:$BX$250,MATCH(1,(TEXT([6]HELPER!$BZ$2:$BZ$250,"0")=TEXT($B$63,"0"))*([6]HELPER!$CC$2:$CC$250=$AP$53)*([6]HELPER!$BW$2:$BW$250=C63),0)),""),IF(_xlpm.baseThick="","",_xlpm.baseThick))</f>
        <v>23</v>
      </c>
      <c r="L63">
        <f>IFERROR(VLOOKUP(C63,[6]HELPER!$AP$1:$AQ$25,2,FALSE),"")</f>
        <v>1.44</v>
      </c>
      <c r="M63" s="250">
        <f>IF(C63="","",IF(ISNUMBER(SEARCH("paper",C63)),42/1000*(J63/1000),IF(OR(L63="",L63=0),"",L63*1000*(K63/1000000)*(J63/1000))))</f>
        <v>2.6495999999999999E-2</v>
      </c>
      <c r="N63" s="203" cm="1">
        <f t="array" ref="N63">IF($C63="","",_xlfn.LET(
    _xlpm.mat,TRIM($C63),
    _xlpm.matKey,UPPER(SUBSTITUTE(_xlpm.mat," ","")),
    _xlpm.pr,IFERROR(LOOKUP(2,1/($H$63:H63&lt;&gt;""),$H$63:H63),""),
    _xlpm.widthActual,IFERROR(LOOKUP(2,1/($E$63:E63&lt;&gt;""),$E$63:E63),$E63),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",""))=_xlpm.matKey)*(_xlpm.summaryThick=$K63)*(_xlpm.summaryCosts&gt;0))),INDEX(_xlfn._xlws.FILTER(_xlpm.summaryCosts,(UPPER(SUBSTITUTE(_xlpm.summaryNames," ",""))=_xlpm.matKey)*(_xlpm.summaryThick=$K63)*(_xlpm.summaryCosts&gt;0)),1)),""),""),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63" s="1077" t="str">
        <f>AP60</f>
        <v>EXW</v>
      </c>
      <c r="P63" s="73">
        <f>IF(OR(C63="",A$63&lt;=0),"",IFERROR(IF(O$63="Europe to US",IF(A$63&lt;500,10,IF(A$63&lt;1000,8,IF(A$63&lt;2500,6,IF(A$63&lt;5000,5,4)))),VLOOKUP(O$63,[6]HELPER!$AF$2:$AH$3,3,FALSE)),0))</f>
        <v>0</v>
      </c>
      <c r="Q63" s="1077" t="str">
        <f>AP61</f>
        <v>Marma</v>
      </c>
      <c r="R63" s="1074" cm="1">
        <f t="array" ref="R63">IF(OR($Q63="",$G63=""),"",IF($J63&gt;IF($Q63="Quantum",760,1220),"Error! lamination width exceeds supplier maximum",_xlfn.LET(_xlpm.struct,$C$63:$C$68,_xlpm.realLayers,SUMPRODUCT(--(_xlpm.struct&lt;&gt;""),--ISERROR(SEARCH("EPOTAL",_xlpm.struct&amp;"")),--ISERROR(SEARCH("BASONAT",_xlpm.struct&amp;"")),--ISERROR(SEARCH("ADH",_xlpm.struct&amp;"")),--ISERROR(SEARCH("HARDENER",_xlpm.struct&amp;""))),_xlpm.lamSteps,MAX(0,_xlpm.realLayers-1),_xlpm.len,$G63,_xlpm.colNum,IF(_xlpm.len&lt;3000,1,IF(_xlpm.len&lt;10000,2,IF(_xlpm.len&lt;25000,3,IF(_xlpm.len&lt;50000,4,IF(_xlpm.len&lt;100000,5,IF(_xlpm.len&lt;250000,6,7)))))),_xlpm.widthRow,IF(AND($D63&gt;=710,$D63&lt;=760),0,IF($D63&lt;900,0,5)),_xlpm.supplierRow,IF($Q63="Marma",3,IF(OR($Q63="Bastin",$Q63="Quantum"),13,0)),_xlpm.baseRate,IF(_xlpm.supplierRow=0,"",INDEX('[6]Lmntn &amp; Prntng- Marma &amp; Bastin '!$D$1:$K$22,_xlpm.supplierRow+_xlpm.widthRow,_xlpm.colNum)),IF(_xlpm.realLayers=0,"",_xlpm.baseRate*_xlpm.lamSteps))))</f>
        <v>0.20826</v>
      </c>
      <c r="S63" s="1074" cm="1">
        <f t="array" ref="S63">IF($Q63="Quantum",IF(OR($Q63="",$I63=0,$I63="0"),"",IF($J63&gt;IF($Q63="Quantum",760,1220),"Error! lamination width exceeds supplier maximum",IF($E63&gt;1200,"Data is missing",_xlfn.LET(_xlpm.len,$G63,_xlpm.colors,$I63,_xlpm.qWidth,IF($E63&lt;=450,450,IF($E63&lt;=760,760,1200)),_xlpm.band,IF(_xlpm.colors=1,"1",IF(OR(_xlpm.colors=2,_xlpm.colors=3),"2-3",IF(OR(_xlpm.colors=4,_xlpm.colors=5),"4-5","6-8"))),_xlpm.widths,'[6]Digital_per_meter- Quantum'!$A$32:$A$91,_xlpm.bands,'[6]Digital_per_meter- Quantum'!$C$32:$C$91,_xlpm.meters,'[6]Digital_per_meter- Quantum'!$D$32:$D$91,_xlpm.rates,'[6]Digital_per_meter-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[6]HELPER!$AK$2)))),IF(OR($Q63="",$I63=0,$I63="0"),"",IF($J63&gt;IF($Q63="Quantum",760,1220),"Error! lamination width exceeds supplier maximum",_xlfn.LET(_xlpm.len,$G63,_xlpm.colors,$I63,_xlpm.colNum,IF(_xlpm.len&lt;3000,1,IF(_xlpm.len&lt;10000,2,IF(_xlpm.len&lt;25000,3,IF(_xlpm.len&lt;50000,4,IF(_xlpm.len&lt;100000,5,IF(_xlpm.len&lt;250000,6,IF(_xlpm.len&lt;500000,7,8))))))),_xlpm.widthRow,IF($E63&lt;900,0,5),_xlpm.colorOffset,IF(OR(_xlpm.colors=1,_xlpm.colors=2,_xlpm.colors="1-2"),1,IF(OR(_xlpm.colors=3,_xlpm.colors=4,_xlpm.colors="3-4"),2,IF(OR(_xlpm.colors&gt;=5,_xlpm.colors="5-6",_xlpm.colors="5-8"),3,0))),_xlpm.supplierRow,IF($Q63="Marma",3,IF($Q63="Bastin",13,0)),IF(OR(_xlpm.supplierRow=0,_xlpm.colorOffset=0),"",INDEX('[6]Lmntn &amp; Prntng- Marma &amp; Bastin '!$D$1:$K$22,_xlpm.supplierRow+_xlpm.widthRow+_xlpm.colorOffset,_xlpm.colNum))))))</f>
        <v>0.17702000000000001</v>
      </c>
      <c r="T63" s="1075">
        <f>IF(OR($S63="",$K63=""),"",IFERROR($S63*(1/$M$68)*($J63/($D63*MAX(1,ROUNDDOWN(760/$D63,0)))),""))</f>
        <v>2.1004419922280562</v>
      </c>
      <c r="U63" s="1074" cm="1">
        <f t="array" ref="U63">IF(OR($Q63="",$G63=""),"",IF($J63&gt;IF($Q63="Quantum",760,1220),"Error! lamination width exceeds supplier maximum",_xlfn.LET(_xlpm.len,$G63,_xlpm.colNum,IF(_xlpm.len&lt;3000,1,IF(_xlpm.len&lt;10000,2,IF(_xlpm.len&lt;25000,3,IF(_xlpm.len&lt;50000,4,IF(_xlpm.len&lt;100000,5,IF(_xlpm.len&lt;250000,6,7)))))),_xlpm.widthRow,IF($E63&lt;900,0,5),_xlpm.supplierRow,IF($Q63="Marma",7,IF(OR($Q63="Bastin",$Q63="Quantum"),17,0)),IF(_xlpm.supplierRow=0,"",INDEX('[6]Lmntn &amp; Prntng- Marma &amp; Bastin '!$D$1:$K$22,_xlpm.supplierRow+_xlpm.widthRow,_xlpm.colNum)))))</f>
        <v>3.0420000000000003E-2</v>
      </c>
      <c r="V63" s="1076">
        <f>IFERROR(IF(AP72="","",IF($K68&gt;31,(5%+250/$G$63)*AP72,VLOOKUP($K68,[6]HELPER!$BH$3:$BI$5,2,TRUE)*AP72)),"")</f>
        <v>0.53580376609703795</v>
      </c>
      <c r="W63" s="1079">
        <f>IF(OR($H63&lt;&gt;"Printed",$I63=0,$I63="0"),0,IFERROR(AP72*0.028,0)+IFERROR(AP93,0))</f>
        <v>1.1372964832364505</v>
      </c>
      <c r="X63" s="202">
        <f t="shared" si="7"/>
        <v>0.2106432</v>
      </c>
      <c r="Y63" s="1080">
        <f>IFERROR((SUM(X63:X68)+SUM(R63:S63,U63))*(1/M68)*(J63/E63)+V63+W63,"")</f>
        <v>11.956946590290446</v>
      </c>
      <c r="Z63" s="201">
        <f>IF(OR($M63="",$M$68=""),"",IFERROR(($N63+$P63)*$M63/$M$68,""))</f>
        <v>2.3431876835454304</v>
      </c>
      <c r="AA63" s="595">
        <f>AP58</f>
        <v>1</v>
      </c>
      <c r="AB63" s="95">
        <f>IF(OR(AP62="IMP",AP62="By Imp"),IFERROR(AP63/AA63,""),"")</f>
        <v>475000</v>
      </c>
      <c r="AC63" s="624">
        <f>AP92</f>
        <v>0.33333333333333331</v>
      </c>
      <c r="AG63" s="528" t="s">
        <v>2390</v>
      </c>
      <c r="AH63" s="512">
        <v>5000</v>
      </c>
      <c r="AI63" s="527" t="str">
        <f>IF(AH62="IMP","IMP",IF(AH62="By Length","m",""))</f>
        <v/>
      </c>
      <c r="AJ63" s="513"/>
      <c r="AK63" s="528" t="s">
        <v>2390</v>
      </c>
      <c r="AL63" s="512">
        <v>2000</v>
      </c>
      <c r="AM63" s="527" t="str">
        <f>IF(AL62="IMP","IMP",IF(AL62="By Length","m",""))</f>
        <v>m</v>
      </c>
      <c r="AN63" s="513"/>
      <c r="AO63" s="528" t="s">
        <v>2390</v>
      </c>
      <c r="AP63" s="512">
        <v>475000</v>
      </c>
      <c r="AQ63" s="527" t="str">
        <f>IF(AP62="IMP","IMP",IF(AP62="By Length","m",""))</f>
        <v/>
      </c>
    </row>
    <row r="64" spans="1:43" ht="15.75" hidden="1" outlineLevel="1">
      <c r="A64" s="1081"/>
      <c r="B64" s="1077"/>
      <c r="C64" t="str">
        <v>TIPA 302FG</v>
      </c>
      <c r="D64" s="1077"/>
      <c r="E64" s="1077"/>
      <c r="F64" s="1077"/>
      <c r="G64" s="1081"/>
      <c r="H64" s="1077"/>
      <c r="I64" s="1077"/>
      <c r="J64" s="502">
        <f t="shared" si="9"/>
        <v>800</v>
      </c>
      <c r="K64" cm="1">
        <f t="array" ref="K64">_xlfn.LET(_xlpm.baseThick,IFERROR(INDEX([6]HELPER!$BX$2:$BX$250,MATCH(1,(TEXT([6]HELPER!$BZ$2:$BZ$250,"0")=TEXT($B$63,"0"))*([6]HELPER!$CC$2:$CC$250=$AP$53)*([6]HELPER!$BW$2:$BW$250=C64),0)),""),IF(_xlpm.baseThick="","",_xlpm.baseThick))</f>
        <v>25</v>
      </c>
      <c r="L64">
        <f>IFERROR(VLOOKUP(C64,[6]HELPER!$AP$1:$AQ$25,2,FALSE),"")</f>
        <v>1.25</v>
      </c>
      <c r="M64" s="250">
        <f>IF(C64="","",IF(ISNUMBER(SEARCH("paper",C64)),42/1000*(J64/1000),IF(OR(L64="",L64=0),"",L64*1000*(K64/1000000)*(J64/1000))))</f>
        <v>2.5000000000000001E-2</v>
      </c>
      <c r="N64" s="204" cm="1">
        <f t="array" ref="N64">IF($C64="","",_xlfn.LET(
    _xlpm.mat,TRIM($C64),
    _xlpm.matKey,UPPER(SUBSTITUTE(_xlpm.mat," ","")),
    _xlpm.pr,IFERROR(LOOKUP(2,1/($H$63:H64&lt;&gt;""),$H$63:H64),""),
    _xlpm.widthActual,IFERROR(LOOKUP(2,1/($E$63:E64&lt;&gt;""),$E$63:E64),$E64),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",""))=_xlpm.matKey)*(_xlpm.summaryThick=$K64)*(_xlpm.summaryCosts&gt;0))),INDEX(_xlfn._xlws.FILTER(_xlpm.summaryCosts,(UPPER(SUBSTITUTE(_xlpm.summaryNames," ",""))=_xlpm.matKey)*(_xlpm.summaryThick=$K64)*(_xlpm.summaryCosts&gt;0)),1)),""),""),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6.6535064000000004</v>
      </c>
      <c r="O64" s="1077"/>
      <c r="P64" s="73">
        <f>IF(OR(C64="",A$63&lt;=0),"",IFERROR(IF(O$63="Europe to US",IF(A$63&lt;500,10,IF(A$63&lt;1000,8,IF(A$63&lt;2500,6,IF(A$63&lt;5000,5,4)))),VLOOKUP(O$63,[6]HELPER!$AF$2:$AH$3,3,FALSE)),0))</f>
        <v>0</v>
      </c>
      <c r="Q64" s="1077"/>
      <c r="R64" s="1074"/>
      <c r="S64" s="1074"/>
      <c r="T64" s="1075"/>
      <c r="U64" s="1074"/>
      <c r="V64" s="1077"/>
      <c r="W64" s="1079"/>
      <c r="X64" s="202">
        <f t="shared" si="7"/>
        <v>0.16633766000000003</v>
      </c>
      <c r="Y64" s="1080"/>
      <c r="Z64" s="201">
        <f>IF(OR($M64="",$M$68=""),"",IFERROR(($N64+$P64)*$M64/$M$68,""))</f>
        <v>1.8503343864020647</v>
      </c>
      <c r="AG64" s="517" t="s">
        <v>1214</v>
      </c>
      <c r="AH64" s="658"/>
      <c r="AI64" s="552"/>
      <c r="AK64" s="517" t="s">
        <v>1214</v>
      </c>
      <c r="AL64" s="658"/>
      <c r="AM64" s="552"/>
      <c r="AO64" s="517" t="s">
        <v>1214</v>
      </c>
      <c r="AP64" s="658">
        <v>70</v>
      </c>
      <c r="AQ64" s="552">
        <v>105</v>
      </c>
    </row>
    <row r="65" spans="1:43" ht="15.75" hidden="1" outlineLevel="1">
      <c r="A65" s="1081"/>
      <c r="B65" s="1077"/>
      <c r="C65" t="str">
        <v>Billerud Kraft White Paper</v>
      </c>
      <c r="D65" s="1077"/>
      <c r="E65" s="1077"/>
      <c r="F65" s="1077"/>
      <c r="G65" s="1081"/>
      <c r="H65" s="1077"/>
      <c r="I65" s="1077"/>
      <c r="J65" s="502">
        <f t="shared" si="9"/>
        <v>800</v>
      </c>
      <c r="K65" cm="1">
        <f t="array" ref="K65">_xlfn.LET(_xlpm.baseThick,IFERROR(INDEX([6]HELPER!$BX$2:$BX$250,MATCH(1,(TEXT([6]HELPER!$BZ$2:$BZ$250,"0")=TEXT($B$63,"0"))*([6]HELPER!$CC$2:$CC$250=$AP$53)*([6]HELPER!$BW$2:$BW$250=C65),0)),""),IF(_xlpm.baseThick="","",_xlpm.baseThick))</f>
        <v>67</v>
      </c>
      <c r="L65">
        <f>IFERROR(VLOOKUP(C65,[6]HELPER!$AP$1:$AQ$25,2,FALSE),"")</f>
        <v>1</v>
      </c>
      <c r="M65" s="250">
        <f>IF(C65="","",IF(ISNUMBER(SEARCH("paper",C65)),42/1000*(J65/1000),IF(OR(L65="",L65=0),"",L65*1000*(K65/1000000)*(J65/1000))))</f>
        <v>3.3600000000000005E-2</v>
      </c>
      <c r="N65" s="203" cm="1">
        <f t="array" ref="N65">IF($C65="","",_xlfn.LET(
    _xlpm.mat,TRIM($C65),
    _xlpm.matKey,UPPER(SUBSTITUTE(_xlpm.mat," ","")),
    _xlpm.pr,IFERROR(LOOKUP(2,1/($H$63:H65&lt;&gt;""),$H$63:H65),""),
    _xlpm.widthActual,IFERROR(LOOKUP(2,1/($E$63:E65&lt;&gt;""),$E$63:E65),$E65),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",""))=_xlpm.matKey)*(_xlpm.summaryThick=$K65)*(_xlpm.summaryCosts&gt;0))),INDEX(_xlfn._xlws.FILTER(_xlpm.summaryCosts,(UPPER(SUBSTITUTE(_xlpm.summaryNames," ",""))=_xlpm.matKey)*(_xlpm.summaryThick=$K65)*(_xlpm.summaryCosts&gt;0)),1)),""),""),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1.51</v>
      </c>
      <c r="O65" s="1077"/>
      <c r="P65" s="73">
        <f>IF(OR(C65="",A$63&lt;=0),"",IFERROR(IF(O$63="Europe to US",IF(A$63&lt;500,10,IF(A$63&lt;1000,8,IF(A$63&lt;2500,6,IF(A$63&lt;5000,5,4)))),VLOOKUP(O$63,[6]HELPER!$AF$2:$AH$3,3,FALSE)),0))</f>
        <v>0</v>
      </c>
      <c r="Q65" s="1077"/>
      <c r="R65" s="1074"/>
      <c r="S65" s="1074"/>
      <c r="T65" s="1075"/>
      <c r="U65" s="1074"/>
      <c r="V65" s="1077"/>
      <c r="W65" s="1079"/>
      <c r="X65" s="202">
        <f t="shared" si="7"/>
        <v>5.073600000000001E-2</v>
      </c>
      <c r="Y65" s="1080"/>
      <c r="Z65" s="201">
        <f>IF(OR($M65="",$M$68=""),"",IFERROR(($N65+$P65)*$M65/$M$68,""))</f>
        <v>0.56438551214737043</v>
      </c>
      <c r="AG65" s="518" t="s">
        <v>575</v>
      </c>
      <c r="AH65" s="654" cm="1">
        <f t="array" ref="AH65">IF(OR(AH62="IMP",AH62="By Imp"),IFERROR(AH63/(ROUNDDOWN(AH54/AH64,0))*(AI64/1000),""),IF(AH62="By Length",IFERROR(AH63,""),IF(AH62="By Weight",IFERROR(ROUND(INDEX($G$51:$G$56,MATCH(1,($B$51:$B$56=AH52)*($D$51:$D$56=AH54)*($A$51:$A$56=IF(AH55&lt;&gt;"",AH55,A51))*($O$51:$O$56=AH60),0)),0),""),"")))</f>
        <v>285592</v>
      </c>
      <c r="AI65" s="519" t="s">
        <v>580</v>
      </c>
      <c r="AK65" s="518" t="s">
        <v>575</v>
      </c>
      <c r="AL65" s="654" cm="1">
        <f t="array" ref="AL65">IF(OR(AL62="IMP",AL62="By Imp"),IFERROR(AL63/(ROUNDDOWN(AL54/AL64,0))*(AM64/1000),""),IF(AL62="By Length",IFERROR(AL63,""),IF(AL62="By Weight",IFERROR(ROUND(INDEX($G$57:$G$62,MATCH(1,($B$57:$B$62=AL52)*($D$57:$D$62=AL54)*($A$57:$A$62=IF(AL55&lt;&gt;"",AL55,A57))*($O$57:$O$62=AL60),0)),0),""),"")))</f>
        <v>2000</v>
      </c>
      <c r="AM65" s="519" t="s">
        <v>580</v>
      </c>
      <c r="AO65" s="518" t="s">
        <v>575</v>
      </c>
      <c r="AP65" s="654" cm="1">
        <f t="array" ref="AP65">IF(OR(AP62="IMP",AP62="By Imp"),IFERROR(AP63/(ROUNDDOWN(AP54/AP64,0))*(AQ64/1000),""),IF(AP62="By Length",IFERROR(AP63,""),IF(AP62="By Weight",IFERROR(ROUND(INDEX($G$63:$G$68,MATCH(1,($B$63:$B$68=AP52)*($D$63:$D$68=AP54)*($A$63:$A$68=IF(AP55&lt;&gt;"",AP55,A63))*($O$63:$O$68=AP60),0)),0),""),"")))</f>
        <v>4987.5</v>
      </c>
      <c r="AQ65" s="519" t="s">
        <v>580</v>
      </c>
    </row>
    <row r="66" spans="1:43" ht="15.75" hidden="1" outlineLevel="1">
      <c r="A66" s="1081"/>
      <c r="B66" s="1077"/>
      <c r="C66" t="str">
        <v>RM G Epotal ECO 3675</v>
      </c>
      <c r="D66" s="1077"/>
      <c r="E66" s="1077"/>
      <c r="F66" s="1077"/>
      <c r="G66" s="1081"/>
      <c r="H66" s="1077"/>
      <c r="I66" s="1077"/>
      <c r="J66" s="502">
        <f t="shared" si="9"/>
        <v>800</v>
      </c>
      <c r="K66" cm="1">
        <f t="array" ref="K66">_xlfn.LET(_xlpm.baseThick,IFERROR(INDEX([6]HELPER!$BX$2:$BX$250,MATCH(1,(TEXT([6]HELPER!$BZ$2:$BZ$250,"0")=TEXT($B$63,"0"))*([6]HELPER!$CC$2:$CC$250=$AP$53)*([6]HELPER!$BW$2:$BW$250=C66),0)),""),IF(_xlpm.baseThick="","",_xlpm.baseThick))</f>
        <v>6</v>
      </c>
      <c r="L66">
        <f>IFERROR(VLOOKUP(C66,[6]HELPER!$AP$1:$AQ$25,2,FALSE),"")</f>
        <v>1</v>
      </c>
      <c r="M66" s="250">
        <f>IF(C66="","",IF(ISNUMBER(SEARCH("paper",C66)),42/1000*(J66/1000),IF(OR(L66="",L66=0),"",L66*1000*(K66/1000000)*(J66/1000))))</f>
        <v>4.8000000000000004E-3</v>
      </c>
      <c r="N66" s="203" cm="1">
        <f t="array" ref="N66">IF($C66="","",_xlfn.LET(
    _xlpm.mat,TRIM($C66),
    _xlpm.matKey,UPPER(SUBSTITUTE(_xlpm.mat," ","")),
    _xlpm.pr,IFERROR(LOOKUP(2,1/($H$63:H66&lt;&gt;""),$H$63:H66),""),
    _xlpm.widthActual,IFERROR(LOOKUP(2,1/($E$63:E66&lt;&gt;""),$E$63:E66),$E66),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",""))=_xlpm.matKey)*(_xlpm.summaryThick=$K66)*(_xlpm.summaryCosts&gt;0))),INDEX(_xlfn._xlws.FILTER(_xlpm.summaryCosts,(UPPER(SUBSTITUTE(_xlpm.summaryNames," ",""))=_xlpm.matKey)*(_xlpm.summaryThick=$K66)*(_xlpm.summaryCosts&gt;0)),1)),""),""),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6" s="1077"/>
      <c r="P66" s="73">
        <f>IF(OR(C66="",A$63&lt;=0),"",IFERROR(IF(O$63="Europe to US",IF(A$63&lt;500,10,IF(A$63&lt;1000,8,IF(A$63&lt;2500,6,IF(A$63&lt;5000,5,4)))),VLOOKUP(O$63,[6]HELPER!$AF$2:$AH$3,3,FALSE)),0))</f>
        <v>0</v>
      </c>
      <c r="Q66" s="1077"/>
      <c r="R66" s="1074"/>
      <c r="S66" s="1074"/>
      <c r="T66" s="1075"/>
      <c r="U66" s="1074"/>
      <c r="V66" s="1077"/>
      <c r="W66" s="1079"/>
      <c r="X66" s="202">
        <f t="shared" si="7"/>
        <v>2.3280000000000006E-2</v>
      </c>
      <c r="Y66" s="1080"/>
      <c r="Z66" s="201">
        <f>IF(OR($M66="",$M$68=""),"",IFERROR(($N66+$P66)*$M66/$M$68,""))</f>
        <v>0.25896591616979625</v>
      </c>
      <c r="AG66" s="520" t="s">
        <v>576</v>
      </c>
      <c r="AH66" s="196">
        <f>IF(AH88&lt;&gt;"",IFERROR(AH88*AH68,""),"")</f>
        <v>53747.656879761758</v>
      </c>
      <c r="AI66" s="521" t="s">
        <v>496</v>
      </c>
      <c r="AK66" s="520" t="s">
        <v>576</v>
      </c>
      <c r="AL66" s="196">
        <f>IF(AL88&lt;&gt;"",IFERROR(AL88*AL68,""),"")</f>
        <v>785.49145596292772</v>
      </c>
      <c r="AM66" s="521" t="s">
        <v>496</v>
      </c>
      <c r="AO66" s="520" t="s">
        <v>576</v>
      </c>
      <c r="AP66" s="196">
        <f>IF(AP88&lt;&gt;"",IFERROR(AP88*AP68,""),"")</f>
        <v>5085.6962946891781</v>
      </c>
      <c r="AQ66" s="521" t="s">
        <v>496</v>
      </c>
    </row>
    <row r="67" spans="1:43" ht="15.75" hidden="1" outlineLevel="1">
      <c r="A67" s="1081"/>
      <c r="B67" s="1077"/>
      <c r="D67" s="1077"/>
      <c r="E67" s="1077"/>
      <c r="F67" s="1077"/>
      <c r="G67" s="1081"/>
      <c r="H67" s="1077"/>
      <c r="I67" s="1077"/>
      <c r="J67" s="502" t="str">
        <f t="shared" si="9"/>
        <v/>
      </c>
      <c r="K67" t="str" cm="1">
        <f t="array" ref="K67">_xlfn.LET(_xlpm.baseThick,IFERROR(INDEX([6]HELPER!$BX$2:$BX$250,MATCH(1,(TEXT([6]HELPER!$BZ$2:$BZ$250,"0")=TEXT($B$63,"0"))*([6]HELPER!$CC$2:$CC$250=$AP$53)*([6]HELPER!$BW$2:$BW$250=C67),0)),""),IF(_xlpm.baseThick="","",_xlpm.baseThick))</f>
        <v/>
      </c>
      <c r="L67" t="str">
        <f>IFERROR(VLOOKUP(C67,[6]HELPER!$AP$1:$AQ$25,2,FALSE),"")</f>
        <v/>
      </c>
      <c r="M67" s="250" t="str">
        <f>IF(C67="","",IF(ISNUMBER(SEARCH("paper",C67)),42/1000*(J67/1000),IF(OR(L67="",L67=0),"",L67*1000*(K67/1000000)*(J67/1000))))</f>
        <v/>
      </c>
      <c r="N67" s="203" t="str" cm="1">
        <f t="array" ref="N67">IF($C67="","",_xlfn.LET(
    _xlpm.mat,TRIM($C67),
    _xlpm.matKey,UPPER(SUBSTITUTE(_xlpm.mat," ","")),
    _xlpm.pr,IFERROR(LOOKUP(2,1/($H$63:H67&lt;&gt;""),$H$63:H67),""),
    _xlpm.widthActual,IFERROR(LOOKUP(2,1/($E$63:E67&lt;&gt;""),$E$63:E67),$E67),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",""))=_xlpm.matKey)*(_xlpm.summaryThick=$K67)*(_xlpm.summaryCosts&gt;0))),INDEX(_xlfn._xlws.FILTER(_xlpm.summaryCosts,(UPPER(SUBSTITUTE(_xlpm.summaryNames," ",""))=_xlpm.matKey)*(_xlpm.summaryThick=$K67)*(_xlpm.summaryCosts&gt;0)),1)),""),""),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7" s="1077"/>
      <c r="P67" s="73" t="str">
        <f>IF(OR(C67="",A$63&lt;=0),"",IFERROR(IF(O$63="Europe to US",IF(A$63&lt;500,10,IF(A$63&lt;1000,8,IF(A$63&lt;2500,6,IF(A$63&lt;5000,5,4)))),VLOOKUP(O$63,[6]HELPER!$AF$2:$AH$3,3,FALSE)),0))</f>
        <v/>
      </c>
      <c r="Q67" s="1077"/>
      <c r="R67" s="1074"/>
      <c r="S67" s="1074"/>
      <c r="T67" s="1075"/>
      <c r="U67" s="1074"/>
      <c r="V67" s="1077"/>
      <c r="W67" s="1079"/>
      <c r="X67" s="202" t="str">
        <f t="shared" si="7"/>
        <v/>
      </c>
      <c r="Y67" s="1080"/>
      <c r="Z67" s="201"/>
      <c r="AG67" s="520" t="s">
        <v>577</v>
      </c>
      <c r="AH67" s="197">
        <f>IF(AH66&lt;&gt;"",IFERROR(AH66*1.16,""),"")</f>
        <v>62347.281980523636</v>
      </c>
      <c r="AI67" s="521" t="s">
        <v>270</v>
      </c>
      <c r="AK67" s="520" t="s">
        <v>577</v>
      </c>
      <c r="AL67" s="197">
        <f>IF(AL66&lt;&gt;"",IFERROR(AL66*1.16,""),"")</f>
        <v>911.17008891699606</v>
      </c>
      <c r="AM67" s="521" t="s">
        <v>270</v>
      </c>
      <c r="AO67" s="520" t="s">
        <v>577</v>
      </c>
      <c r="AP67" s="197">
        <f>IF(AP66&lt;&gt;"",IFERROR(AP66*1.16,""),"")</f>
        <v>5899.4077018394464</v>
      </c>
      <c r="AQ67" s="521" t="s">
        <v>270</v>
      </c>
    </row>
    <row r="68" spans="1:43" ht="15.75" hidden="1" outlineLevel="1">
      <c r="A68" s="1081"/>
      <c r="B68" s="1077"/>
      <c r="D68" s="1077"/>
      <c r="E68" s="1077"/>
      <c r="F68" s="1077"/>
      <c r="G68" s="1081"/>
      <c r="H68" s="1077"/>
      <c r="I68" s="1077"/>
      <c r="J68" s="502" t="str">
        <f t="shared" si="9"/>
        <v/>
      </c>
      <c r="K68" s="170">
        <f>AP53</f>
        <v>121</v>
      </c>
      <c r="L68" t="str">
        <f>IFERROR(VLOOKUP(C68,[6]HELPER!$AP$1:$AQ$25,2,FALSE),"")</f>
        <v/>
      </c>
      <c r="M68" s="251">
        <f>SUM(M63:M67)</f>
        <v>8.9896000000000004E-2</v>
      </c>
      <c r="N68" s="203" t="str" cm="1">
        <f t="array" ref="N68">IF($C68="","",_xlfn.LET(
    _xlpm.mat,TRIM($C68),
    _xlpm.matKey,UPPER(SUBSTITUTE(_xlpm.mat," ","")),
    _xlpm.pr,IFERROR(LOOKUP(2,1/($H$63:H68&lt;&gt;""),$H$63:H68),""),
    _xlpm.widthActual,IFERROR(LOOKUP(2,1/($E$63:E68&lt;&gt;""),$E$63:E68),$E68),
    _xlpm.euShip,IFERROR([6]HELPER!$AH$3,0),
    _xlpm.metSetup,IFERROR([6]HELPER!$CH$2,0),
    _xlpm.filmNames,[6]!Table1[Film Type],
    _xlpm.filmCosts,[6]!Table1[For Laminates calculation purposes],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",""))=_xlpm.matKey)*(_xlpm.summaryThick=$K68)*(_xlpm.summaryCosts&gt;0))),INDEX(_xlfn._xlws.FILTER(_xlpm.summaryCosts,(UPPER(SUBSTITUTE(_xlpm.summaryNames," ",""))=_xlpm.matKey)*(_xlpm.summaryThick=$K68)*(_xlpm.summaryCosts&gt;0)),1)),""),""),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8" s="1077"/>
      <c r="P68" s="73" t="str">
        <f>IF(OR(C68="",A$63&lt;=0),"",IFERROR(IF(O$63="Europe to US",IF(A$63&lt;500,10,IF(A$63&lt;1000,8,IF(A$63&lt;2500,6,IF(A$63&lt;5000,5,4)))),VLOOKUP(O$63,[6]HELPER!$AF$2:$AH$3,3,FALSE)),0))</f>
        <v/>
      </c>
      <c r="Q68" s="1077"/>
      <c r="R68" s="1074"/>
      <c r="S68" s="1074"/>
      <c r="T68" s="1075"/>
      <c r="U68" s="1074"/>
      <c r="V68" s="1077"/>
      <c r="W68" s="1079"/>
      <c r="X68" s="202"/>
      <c r="Y68" s="1080"/>
      <c r="AG68" s="522" t="s">
        <v>578</v>
      </c>
      <c r="AH68" s="200" cm="1">
        <f t="array" ref="AH68">_xlfn.LET(_xlpm.base,IF(OR(AND(AH62="By Weight",AH55&lt;&gt;""),AND(AH62="By Length",AH63&lt;&gt;""),AND(OR(AH62="IMP",AH62="By Imp"),AH63&lt;&gt;"",AH64&lt;&gt;"")),IFERROR(_xlfn.LET(_xlpm.r,MATCH(1,($B$51:$B$56=AH52)*($D$51:$D$56=AH54)*($A$51:$A$56=IF(AH55&lt;&gt;"",AH55,A51))*($O$51:$O$56=AH60),0)+2,SUM(AH72:AH73,AH75)+INDEX($V$51:$V$56,_xlpm.r-2)),""),""),IF(_xlpm.base="","",_xlpm.base+IF(AH59="3''",[6]HELPER!$DQ$1,0)))</f>
        <v>10.749531375952351</v>
      </c>
      <c r="AI68" s="523" t="s">
        <v>496</v>
      </c>
      <c r="AK68" s="522" t="s">
        <v>578</v>
      </c>
      <c r="AL68" s="200" cm="1">
        <f t="array" ref="AL68">_xlfn.LET(_xlpm.base,IF(OR(AND(AL62="By Weight",AL55&lt;&gt;""),AND(AL62="By Length",AL63&lt;&gt;""),AND(OR(AL62="IMP",AL62="By Imp"),AL63&lt;&gt;"",AL64&lt;&gt;"")),IFERROR(_xlfn.LET(_xlpm.r,MATCH(1,($B$57:$B$62=AL52)*($D$57:$D$62=AL54)*($A$57:$A$62=IF(AL55&lt;&gt;"",AL55,A57))*($O$57:$O$62=AL60),0)+2,SUM(AL72:AL73,AL75)+INDEX($V$57:$V$62,_xlpm.r-2)),""),""),IF(_xlpm.base="","",_xlpm.base+IF(AL59="3''",[6]HELPER!$DQ$1,0)))</f>
        <v>13.6690412592522</v>
      </c>
      <c r="AM68" s="523" t="s">
        <v>496</v>
      </c>
      <c r="AO68" s="522" t="s">
        <v>578</v>
      </c>
      <c r="AP68" s="200" cm="1">
        <f t="array" ref="AP68">_xlfn.LET(_xlpm.base,IF(OR(AND(AP62="By Weight",AP55&lt;&gt;""),AND(AP62="By Length",AP63&lt;&gt;""),AND(OR(AP62="IMP",AP62="By Imp"),AP63&lt;&gt;"",AP64&lt;&gt;"")),IFERROR(_xlfn.LET(_xlpm.r,MATCH(1,($B$63:$B$68=AP52)*($D$63:$D$68=AP54)*($A$63:$A$68=IF(AP55&lt;&gt;"",AP55,A63))*($O$63:$O$68=AP60),0)+2,SUM(AP72:AP73,AP75)+INDEX($V$63:$V$68,_xlpm.r-2)),""),""),IF(_xlpm.base="","",_xlpm.base+IF(AP59="3''",[6]HELPER!$DQ$1,0)))</f>
        <v>11.956946590290446</v>
      </c>
      <c r="AQ68" s="523" t="s">
        <v>496</v>
      </c>
    </row>
    <row r="69" spans="1:43" ht="15.75" hidden="1" outlineLevel="1">
      <c r="A69"/>
      <c r="C69" s="38"/>
      <c r="G69">
        <f>85772/(ROUNDDOWN(J51/D51,0))</f>
        <v>28590.666666666668</v>
      </c>
      <c r="J69" s="502" t="str">
        <f t="shared" si="9"/>
        <v/>
      </c>
      <c r="K69" s="169">
        <v>202</v>
      </c>
      <c r="M69" s="250"/>
      <c r="N69" s="203" t="str" cm="1">
        <f t="array" ref="N69">IF($C69="","",_xlfn.LET(
    _xlpm.mat,TRIM($C69),
    _xlpm.matKey,UPPER(SUBSTITUTE(_xlpm.mat," ","")),
    _xlpm.pr,IFERROR(LOOKUP(2,1/($H$51:H69&lt;&gt;""),$H$51:H69),""),
    _xlpm.widthActual,IFERROR(LOOKUP(2,1/($E$51:E69&lt;&gt;""),$E$51:E69),$E69),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",""))=_xlpm.matKey)*(_xlpm.summaryThick=$K69)*(_xlpm.summaryCosts&gt;0))),INDEX(_xlfn._xlws.FILTER(_xlpm.summaryCosts,(UPPER(SUBSTITUTE(_xlpm.summaryNames," ",""))=_xlpm.matKey)*(_xlpm.summaryThick=$K69)*(_xlpm.summaryCosts&gt;0)),1)),""),""),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69"/>
      <c r="S69"/>
      <c r="T69" s="1073" t="str">
        <f>IF(OR($S69="",$K69=""),"",IFERROR($S69*(1/$M$74)*($J69/($D69*MAX(1,ROUNDDOWN(760/$D69,0)))),""))</f>
        <v/>
      </c>
      <c r="U69"/>
      <c r="X69" s="202"/>
      <c r="Y69" s="202"/>
      <c r="Z69" s="201"/>
      <c r="AG69" s="520" t="s">
        <v>579</v>
      </c>
      <c r="AH69" s="197">
        <f>IF(AH68&lt;&gt;"",IFERROR(AH68*1.16,""),"")</f>
        <v>12.469456396104727</v>
      </c>
      <c r="AI69" s="521" t="s">
        <v>270</v>
      </c>
      <c r="AJ69" s="236"/>
      <c r="AK69" s="520" t="s">
        <v>579</v>
      </c>
      <c r="AL69" s="197">
        <f>IF(AL68&lt;&gt;"",IFERROR(AL68*1.16,""),"")</f>
        <v>15.856087860732551</v>
      </c>
      <c r="AM69" s="521" t="s">
        <v>270</v>
      </c>
      <c r="AO69" s="520" t="s">
        <v>579</v>
      </c>
      <c r="AP69" s="197">
        <f>IF(AP68&lt;&gt;"",IFERROR(AP68*1.16,""),"")</f>
        <v>13.870058044736917</v>
      </c>
      <c r="AQ69" s="521" t="s">
        <v>270</v>
      </c>
    </row>
    <row r="70" spans="1:43" ht="16.5" hidden="1" outlineLevel="1" thickBot="1">
      <c r="A70"/>
      <c r="J70" s="502" t="str">
        <f t="shared" si="9"/>
        <v/>
      </c>
      <c r="M70" s="250"/>
      <c r="N70" s="203" t="str" cm="1">
        <f t="array" ref="N70">IF($C70="","",_xlfn.LET(
    _xlpm.mat,TRIM($C70),
    _xlpm.matKey,UPPER(SUBSTITUTE(_xlpm.mat," ","")),
    _xlpm.pr,IFERROR(LOOKUP(2,1/($H$51:H70&lt;&gt;""),$H$51:H70),""),
    _xlpm.widthActual,IFERROR(LOOKUP(2,1/($E$51:E70&lt;&gt;""),$E$51:E70),$E70),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",""))=_xlpm.matKey)*(_xlpm.summaryThick=$K70)*(_xlpm.summaryCosts&gt;0))),INDEX(_xlfn._xlws.FILTER(_xlpm.summaryCosts,(UPPER(SUBSTITUTE(_xlpm.summaryNames," ",""))=_xlpm.matKey)*(_xlpm.summaryThick=$K70)*(_xlpm.summaryCosts&gt;0)),1)),""),""),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0"/>
      <c r="S70"/>
      <c r="T70" s="1073"/>
      <c r="U70"/>
      <c r="X70" s="64"/>
      <c r="Y70" s="64" t="s">
        <v>508</v>
      </c>
      <c r="AG70" s="524" t="s">
        <v>836</v>
      </c>
      <c r="AH70" s="525">
        <f>IF(AH88&lt;&gt;"",IFERROR(AH66/AH88,""),"")</f>
        <v>10.749531375952351</v>
      </c>
      <c r="AI70" s="526" t="s">
        <v>837</v>
      </c>
      <c r="AK70" s="524" t="s">
        <v>836</v>
      </c>
      <c r="AL70" s="525">
        <f>IF(AL88&lt;&gt;"",IFERROR(AL66/AL88,""),"")</f>
        <v>13.6690412592522</v>
      </c>
      <c r="AM70" s="526" t="s">
        <v>837</v>
      </c>
      <c r="AO70" s="524" t="s">
        <v>836</v>
      </c>
      <c r="AP70" s="525">
        <f>IF(AP88&lt;&gt;"",IFERROR(AP66/AP88,""),"")</f>
        <v>11.956946590290448</v>
      </c>
      <c r="AQ70" s="526" t="s">
        <v>837</v>
      </c>
    </row>
    <row r="71" spans="1:43" hidden="1" outlineLevel="1">
      <c r="A71"/>
      <c r="J71" s="502" t="str">
        <f t="shared" si="9"/>
        <v/>
      </c>
      <c r="M71" s="250"/>
      <c r="N71" s="203" t="str" cm="1">
        <f t="array" ref="N71">IF($C71="","",_xlfn.LET(
    _xlpm.mat,TRIM($C71),
    _xlpm.matKey,UPPER(SUBSTITUTE(_xlpm.mat," ","")),
    _xlpm.pr,IFERROR(LOOKUP(2,1/($H$51:H71&lt;&gt;""),$H$51:H71),""),
    _xlpm.widthActual,IFERROR(LOOKUP(2,1/($E$51:E71&lt;&gt;""),$E$51:E71),$E71),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",""))=_xlpm.matKey)*(_xlpm.summaryThick=$K71)*(_xlpm.summaryCosts&gt;0))),INDEX(_xlfn._xlws.FILTER(_xlpm.summaryCosts,(UPPER(SUBSTITUTE(_xlpm.summaryNames," ",""))=_xlpm.matKey)*(_xlpm.summaryThick=$K71)*(_xlpm.summaryCosts&gt;0)),1)),""),""),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1"/>
      <c r="S71"/>
      <c r="T71" s="1073"/>
      <c r="U71"/>
      <c r="Z71" s="445"/>
      <c r="AG71" t="s">
        <v>1213</v>
      </c>
      <c r="AH71" s="74">
        <f>IFERROR(AH90*AH92,"")</f>
        <v>2500</v>
      </c>
      <c r="AI71" t="s">
        <v>580</v>
      </c>
      <c r="AK71" t="s">
        <v>1213</v>
      </c>
      <c r="AL71" s="74">
        <f>IFERROR(AL90*AL92,"")</f>
        <v>1333.3333333333333</v>
      </c>
      <c r="AM71" t="s">
        <v>580</v>
      </c>
      <c r="AO71" t="s">
        <v>1213</v>
      </c>
      <c r="AP71" s="74">
        <f>IFERROR(AP90*AP92,"")</f>
        <v>1551.6666666666665</v>
      </c>
      <c r="AQ71" t="s">
        <v>580</v>
      </c>
    </row>
    <row r="72" spans="1:43" hidden="1" outlineLevel="1">
      <c r="A72"/>
      <c r="J72" s="502" t="str">
        <f t="shared" si="9"/>
        <v/>
      </c>
      <c r="M72" s="250"/>
      <c r="N72" s="203" t="str" cm="1">
        <f t="array" ref="N72">IF($C72="","",_xlfn.LET(
    _xlpm.mat,TRIM($C72),
    _xlpm.matKey,UPPER(SUBSTITUTE(_xlpm.mat," ","")),
    _xlpm.pr,IFERROR(LOOKUP(2,1/($H$51:H72&lt;&gt;""),$H$51:H72),""),
    _xlpm.widthActual,IFERROR(LOOKUP(2,1/($E$51:E72&lt;&gt;""),$E$51:E72),$E72),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",""))=_xlpm.matKey)*(_xlpm.summaryThick=$K72)*(_xlpm.summaryCosts&gt;0))),INDEX(_xlfn._xlws.FILTER(_xlpm.summaryCosts,(UPPER(SUBSTITUTE(_xlpm.summaryNames," ",""))=_xlpm.matKey)*(_xlpm.summaryThick=$K72)*(_xlpm.summaryCosts&gt;0)),1)),""),""),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2"/>
      <c r="S72"/>
      <c r="T72" s="1073"/>
      <c r="U72"/>
      <c r="AG72" t="s">
        <v>581</v>
      </c>
      <c r="AH72" s="253" cm="1">
        <f t="array" ref="AH72">IF(OR(AND(AH62="By Weight",AH55&lt;&gt;""),AND(AH62="By Length",AH63&lt;&gt;""),AND(OR(AH62="IMP",AH62="By Imp"),AH63&lt;&gt;"",AH64&lt;&gt;"")),IFERROR(_xlfn.LET(_xlpm.r,MATCH(1,($B$51:$B$56=AH52)*($D$51:$D$56=AH54)*($A$51:$A$56=IF(AH55&lt;&gt;"",AH55,A51))*($O$51:$O$56=AH60),0)+2,SUMPRODUCT(INDEX($N$51:$N$56,_xlpm.r-2):INDEX($N$51:$N$56,_xlpm.r+3),INDEX($M$51:$M$56,_xlpm.r-2):INDEX($M$51:$M$56,_xlpm.r+3))*(1/INDEX($M$51:$M$56,MATCH(1,($B$51:$B$56=AH52)*($D$51:$D$56=AH54)*($A$51:$A$56=IF(AH55&lt;&gt;"",AH55,A51))*($O$51:$O$56=AH60),0)+5))*(INDEX($J$51:$J$56,_xlpm.r-2)/INDEX($E$51:$E$56,_xlpm.r-2))),""),"")</f>
        <v>7.7182136992567187</v>
      </c>
      <c r="AK72" t="s">
        <v>587</v>
      </c>
      <c r="AL72" s="253" cm="1">
        <f t="array" ref="AL72">IF(OR(AND(AL62="By Weight",AL55&lt;&gt;""),AND(AL62="By Length",AL63&lt;&gt;""),AND(OR(AL62="IMP",AL62="By Imp"),AL63&lt;&gt;"",AL64&lt;&gt;"")),IFERROR(_xlfn.LET(_xlpm.r,MATCH(1,($B$57:$B$62=AL52)*($D$57:$D$62=AL54)*($A$57:$A$62=IF(AL55&lt;&gt;"",AL55,A57))*($O$57:$O$62=AL60),0)+2,SUMPRODUCT(INDEX($N$57:$N$62,_xlpm.r-2):INDEX($N$57:$N$62,_xlpm.r+3),INDEX($M$57:$M$62,_xlpm.r-2):INDEX($M$57:$M$62,_xlpm.r+3))*(1/INDEX($M$57:$M$62,MATCH(1,($B$57:$B$62=AL52)*($D$57:$D$62=AL54)*($A$57:$A$62=IF(AL55&lt;&gt;"",AL55,A57))*($O$57:$O$62=AL60),0)+5))*(INDEX($J$57:$J$62,_xlpm.r-2)/INDEX($E$57:$E$62,_xlpm.r-2))),""),"")</f>
        <v>8.7308661647447501</v>
      </c>
      <c r="AO72" t="s">
        <v>587</v>
      </c>
      <c r="AP72" s="253" cm="1">
        <f t="array" ref="AP72">IF(OR(AND(AP62="By Weight",AP55&lt;&gt;""),AND(AP62="By Length",AP63&lt;&gt;""),AND(OR(AP62="IMP",AP62="By Imp"),AP63&lt;&gt;"",AP64&lt;&gt;"")),IFERROR(_xlfn.LET(_xlpm.r,MATCH(1,($B$63:$B$68=AP52)*($D$63:$D$68=AP54)*($A$63:$A$68=IF(AP55&lt;&gt;"",AP55,A63))*($O$63:$O$68=AP60),0)+2,SUMPRODUCT(INDEX($N$63:$N$68,_xlpm.r-2):INDEX($N$63:$N$68,_xlpm.r+3),INDEX($M$63:$M$68,_xlpm.r-2):INDEX($M$63:$M$68,_xlpm.r+3))*(1/INDEX($M$63:$M$68,MATCH(1,($B$63:$B$68=AP52)*($D$63:$D$68=AP54)*($A$63:$A$68=IF(AP55&lt;&gt;"",AP55,A63))*($O$63:$O$68=AP60),0)+5))*(INDEX($J$63:$J$68,_xlpm.r-2)/INDEX($E$63:$E$68,_xlpm.r-2))),""),"")</f>
        <v>5.3513317314823059</v>
      </c>
    </row>
    <row r="73" spans="1:43" hidden="1" outlineLevel="1">
      <c r="A73"/>
      <c r="J73" s="502" t="str">
        <f t="shared" si="9"/>
        <v/>
      </c>
      <c r="M73" s="250"/>
      <c r="N73" s="203" t="str" cm="1">
        <f t="array" ref="N73">IF($C73="","",_xlfn.LET(
    _xlpm.mat,TRIM($C73),
    _xlpm.matKey,UPPER(SUBSTITUTE(_xlpm.mat," ","")),
    _xlpm.pr,IFERROR(LOOKUP(2,1/($H$51:H73&lt;&gt;""),$H$51:H73),""),
    _xlpm.widthActual,IFERROR(LOOKUP(2,1/($E$51:E73&lt;&gt;""),$E$51:E73),$E73),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",""))=_xlpm.matKey)*(_xlpm.summaryThick=$K73)*(_xlpm.summaryCosts&gt;0))),INDEX(_xlfn._xlws.FILTER(_xlpm.summaryCosts,(UPPER(SUBSTITUTE(_xlpm.summaryNames," ",""))=_xlpm.matKey)*(_xlpm.summaryThick=$K73)*(_xlpm.summaryCosts&gt;0)),1)),""),""),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3"/>
      <c r="S73"/>
      <c r="T73" s="1073"/>
      <c r="U73"/>
      <c r="AG73" t="s">
        <v>582</v>
      </c>
      <c r="AH73" s="253" cm="1">
        <f t="array" ref="AH73">IF(OR(AND(AH62="By Weight",AH55&lt;&gt;""),AND(AH62="By Length",AH63&lt;&gt;""),AND(OR(AH62="IMP",AH62="By Imp"),AH63&lt;&gt;"",AH64&lt;&gt;"")),IFERROR(_xlfn.LET(_xlpm.r,MATCH(1,($B$51:$B$56=AH52)*($D$51:$D$56=AH54)*($A$51:$A$56=IF(AH55&lt;&gt;"",AH55,A51))*($O$51:$O$56=AH60),0)+2,SUMPRODUCT(INDEX($P$51:$P$56,_xlpm.r-2):INDEX($P$51:$P$56,_xlpm.r+3),INDEX($M$51:$M$56,_xlpm.r-2):INDEX($M$51:$M$56,_xlpm.r+3))*(1/INDEX($M$51:$M$56,MATCH(1,($B$51:$B$56=AH52)*($D$51:$D$56=AH54)*($A$51:$A$56=IF(AH55&lt;&gt;"",AH55,A51))*($O$51:$O$56=AH60),0)+5))*(INDEX($J$51:$J$56,_xlpm.r-2)/INDEX($E$51:$E$56,_xlpm.r-2))),""),"")</f>
        <v>0</v>
      </c>
      <c r="AK73" t="s">
        <v>588</v>
      </c>
      <c r="AL73" s="253" cm="1">
        <f t="array" ref="AL73">IF(OR(AND(AL62="By Weight",AL55&lt;&gt;""),AND(AL62="By Length",AL63&lt;&gt;""),AND(OR(AL62="IMP",AL62="By Imp"),AL63&lt;&gt;"",AL64&lt;&gt;"")),IFERROR(_xlfn.LET(_xlpm.r,MATCH(1,($B$57:$B$62=AL52)*($D$57:$D$62=AL54)*($A$57:$A$62=IF(AL55&lt;&gt;"",AL55,A57))*($O$57:$O$62=AL60),0)+2,SUMPRODUCT(INDEX($P$57:$P$62,_xlpm.r-2):INDEX($P$57:$P$62,_xlpm.r+3),INDEX($M$57:$M$62,_xlpm.r-2):INDEX($M$57:$M$62,_xlpm.r+3))*(1/INDEX($M$57:$M$62,MATCH(1,($B$57:$B$62=AL52)*($D$57:$D$62=AL54)*($A$57:$A$62=IF(AL55&lt;&gt;"",AL55,A57))*($O$57:$O$62=AL60),0)+5))*(INDEX($J$57:$J$62,_xlpm.r-2)/INDEX($E$57:$E$62,_xlpm.r-2))),""),"")</f>
        <v>0</v>
      </c>
      <c r="AO73" t="s">
        <v>588</v>
      </c>
      <c r="AP73" s="253" cm="1">
        <f t="array" ref="AP73">IF(OR(AND(AP62="By Weight",AP55&lt;&gt;""),AND(AP62="By Length",AP63&lt;&gt;""),AND(OR(AP62="IMP",AP62="By Imp"),AP63&lt;&gt;"",AP64&lt;&gt;"")),IFERROR(_xlfn.LET(_xlpm.r,MATCH(1,($B$63:$B$68=AP52)*($D$63:$D$68=AP54)*($A$63:$A$68=IF(AP55&lt;&gt;"",AP55,A63))*($O$63:$O$68=AP60),0)+2,SUMPRODUCT(INDEX($P$63:$P$68,_xlpm.r-2):INDEX($P$63:$P$68,_xlpm.r+3),INDEX($M$63:$M$68,_xlpm.r-2):INDEX($M$63:$M$68,_xlpm.r+3))*(1/INDEX($M$63:$M$68,MATCH(1,($B$63:$B$68=AP52)*($D$63:$D$68=AP54)*($A$63:$A$68=IF(AP55&lt;&gt;"",AP55,A63))*($O$63:$O$68=AP60),0)+5))*(INDEX($J$63:$J$68,_xlpm.r-2)/INDEX($E$63:$E$68,_xlpm.r-2))),""),"")</f>
        <v>0</v>
      </c>
    </row>
    <row r="74" spans="1:43" hidden="1" outlineLevel="1">
      <c r="A74"/>
      <c r="J74" s="502" t="str">
        <f t="shared" si="9"/>
        <v/>
      </c>
      <c r="M74" s="250"/>
      <c r="N74" s="203" t="str" cm="1">
        <f t="array" ref="N74">IF($C74="","",_xlfn.LET(
    _xlpm.mat,TRIM($C74),
    _xlpm.matKey,UPPER(SUBSTITUTE(_xlpm.mat," ","")),
    _xlpm.pr,IFERROR(LOOKUP(2,1/($H$51:H74&lt;&gt;""),$H$51:H74),""),
    _xlpm.widthActual,IFERROR(LOOKUP(2,1/($E$51:E74&lt;&gt;""),$E$51:E74),$E74),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",""))=_xlpm.matKey)*(_xlpm.summaryThick=$K74)*(_xlpm.summaryCosts&gt;0))),INDEX(_xlfn._xlws.FILTER(_xlpm.summaryCosts,(UPPER(SUBSTITUTE(_xlpm.summaryNames," ",""))=_xlpm.matKey)*(_xlpm.summaryThick=$K74)*(_xlpm.summaryCosts&gt;0)),1)),""),""),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4"/>
      <c r="S74"/>
      <c r="T74" s="1073"/>
      <c r="U74"/>
      <c r="AG74" t="s">
        <v>583</v>
      </c>
      <c r="AH74" s="253" cm="1">
        <f t="array" ref="AH74">IF(OR(AND(AH62="By Weight",AH55&lt;&gt;""),AND(AH62="By Length",AH63&lt;&gt;""),AND(OR(AH62="IMP",AH62="By Imp"),AH63&lt;&gt;"",AH64&lt;&gt;"")),IFERROR(_xlfn.LET(_xlpm.r,MATCH(1,($B$51:$B$56=AH52)*($D$51:$D$56=AH54)*($A$51:$A$56=IF(AH55&lt;&gt;"",AH55,A51))*($O$51:$O$56=AH60),0)+2,INDEX($R$51:$R$56,_xlpm.r-2)*(1/INDEX($M$51:$M$56,MATCH(1,($B$51:$B$56=AH52)*($D$51:$D$56=AH54)*($A$51:$A$56=IF(AH55&lt;&gt;"",AH55,A51))*($O$51:$O$56=AH60),0)+5))*(INDEX($J$51:$J$56,_xlpm.r-2)/INDEX($E$51:$E$56,_xlpm.r-2))),""),"")</f>
        <v>2.0678101772441395</v>
      </c>
      <c r="AK74" t="s">
        <v>589</v>
      </c>
      <c r="AL74" s="253" cm="1">
        <f t="array" ref="AL74">IF(OR(AND(AL62="By Weight",AL55&lt;&gt;""),AND(AL62="By Length",AL63&lt;&gt;""),AND(OR(AL62="IMP",AL62="By Imp"),AL63&lt;&gt;"",AL64&lt;&gt;"")),IFERROR(_xlfn.LET(_xlpm.r,MATCH(1,($B$57:$B$62=AL52)*($D$57:$D$62=AL54)*($A$57:$A$62=IF(AL55&lt;&gt;"",AL55,A57))*($O$57:$O$62=AL60),0)+2,INDEX($R$57:$R$62,_xlpm.r-2)*(1/INDEX($M$57:$M$62,MATCH(1,($B$57:$B$62=AL52)*($D$57:$D$62=AL54)*($A$57:$A$62=IF(AL55&lt;&gt;"",AL55,A57))*($O$57:$O$62=AL60),0)+5))*(INDEX($J$57:$J$62,_xlpm.r-2)/INDEX($E$57:$E$62,_xlpm.r-2))),""),"")</f>
        <v>2.966549127990088</v>
      </c>
      <c r="AO74" t="s">
        <v>589</v>
      </c>
      <c r="AP74" s="253" cm="1">
        <f t="array" ref="AP74">IF(OR(AND(AP62="By Weight",AP55&lt;&gt;""),AND(AP62="By Length",AP63&lt;&gt;""),AND(OR(AP62="IMP",AP62="By Imp"),AP63&lt;&gt;"",AP64&lt;&gt;"")),IFERROR(_xlfn.LET(_xlpm.r,MATCH(1,($B$63:$B$68=AP52)*($D$63:$D$68=AP54)*($A$63:$A$68=IF(AP55&lt;&gt;"",AP55,A63))*($O$63:$O$68=AP60),0)+2,INDEX($R$63:$R$68,_xlpm.r-2)*(1/INDEX($M$63:$M$68,MATCH(1,($B$63:$B$68=AP52)*($D$63:$D$68=AP54)*($A$63:$A$68=IF(AP55&lt;&gt;"",AP55,A63))*($O$63:$O$68=AP60),0)+5))*(INDEX($J$63:$J$68,_xlpm.r-2)/INDEX($E$63:$E$68,_xlpm.r-2))),""),"")</f>
        <v>2.4711221856367356</v>
      </c>
    </row>
    <row r="75" spans="1:43" hidden="1" outlineLevel="1">
      <c r="A75"/>
      <c r="J75" s="502"/>
      <c r="M75" s="250"/>
      <c r="N75" s="203"/>
      <c r="R75"/>
      <c r="S75"/>
      <c r="T75" s="509"/>
      <c r="U75"/>
      <c r="AG75" t="s">
        <v>840</v>
      </c>
      <c r="AH75" s="253" cm="1">
        <f t="array" ref="AH75">IF(OR(AND(AH62="By Weight",AH55&lt;&gt;""),AND(AH62="By Length",AH63&lt;&gt;""),AND(OR(AH62="IMP",AH62="By Imp"),AH63&lt;&gt;"",AH64&lt;&gt;"")),IFERROR(_xlfn.LET(_xlpm.r,MATCH(1,($B$51:$B$56=AH52)*($D$51:$D$56=AH54)*($A$51:$A$56=IF(AH55&lt;&gt;"",AH55,A51))*($O$51:$O$56=AH60),0)+2,(SUM(INDEX($R$51:$S$56,_xlpm.r-2,1):INDEX($R$51:$S$56,_xlpm.r-2,2))+INDEX($U$51:$U$56,_xlpm.r-2))*(1/INDEX($M$51:$M$56,MATCH(1,($B$51:$B$56=AH52)*($D$51:$D$56=AH54)*($A$51:$A$56=IF(AH55&lt;&gt;"",AH55,A51))*($O$51:$O$56=AH60),0)+5))*(INDEX($J$51:$J$56,_xlpm.r-2)/INDEX($E$51:$E$56,_xlpm.r-2))+INDEX($W$51:$W$56,_xlpm.r-2)),""),"")</f>
        <v>2.638650657518582</v>
      </c>
      <c r="AK75" t="s">
        <v>841</v>
      </c>
      <c r="AL75" s="253" cm="1">
        <f t="array" ref="AL75">IF(OR(AND(AL62="By Weight",AL55&lt;&gt;""),AND(AL62="By Length",AL63&lt;&gt;""),AND(OR(AL62="IMP",AL62="By Imp"),AL63&lt;&gt;"",AL64&lt;&gt;"")),IFERROR(_xlfn.LET(_xlpm.r,MATCH(1,($B$57:$B$62=AL52)*($D$57:$D$62=AL54)*($A$57:$A$62=IF(AL55&lt;&gt;"",AL55,A57))*($O$57:$O$62=AL60),0)+2,(SUM(INDEX($R$57:$S$62,_xlpm.r-2,1):INDEX($R$57:$S$62,_xlpm.r-2,2))+INDEX($U$57:$U$62,_xlpm.r-2))*(1/INDEX($M$57:$M$62,MATCH(1,($B$57:$B$62=AL52)*($D$57:$D$62=AL54)*($A$57:$A$62=IF(AL55&lt;&gt;"",AL55,A57))*($O$57:$O$62=AL60),0)+5))*(INDEX($J$57:$J$62,_xlpm.r-2)/INDEX($E$57:$E$62,_xlpm.r-2))+INDEX($W$57:$W$62,_xlpm.r-2)),""),"")</f>
        <v>3.410273515677118</v>
      </c>
      <c r="AO75" t="s">
        <v>841</v>
      </c>
      <c r="AP75" s="253" cm="1">
        <f t="array" ref="AP75">IF(OR(AND(AP62="By Weight",AP55&lt;&gt;""),AND(AP62="By Length",AP63&lt;&gt;""),AND(OR(AP62="IMP",AP62="By Imp"),AP63&lt;&gt;"",AP64&lt;&gt;"")),IFERROR(_xlfn.LET(_xlpm.r,MATCH(1,($B$63:$B$68=AP52)*($D$63:$D$68=AP54)*($A$63:$A$68=IF(AP55&lt;&gt;"",AP55,A63))*($O$63:$O$68=AP60),0)+2,(SUM(INDEX($R$63:$S$68,_xlpm.r-2,1):INDEX($R$63:$S$68,_xlpm.r-2,2))+INDEX($U$63:$U$68,_xlpm.r-2))*(1/INDEX($M$63:$M$68,MATCH(1,($B$63:$B$68=AP52)*($D$63:$D$68=AP54)*($A$63:$A$68=IF(AP55&lt;&gt;"",AP55,A63))*($O$63:$O$68=AP60),0)+5))*(INDEX($J$63:$J$68,_xlpm.r-2)/INDEX($E$63:$E$68,_xlpm.r-2))+INDEX($W$63:$W$68,_xlpm.r-2)),""),"")</f>
        <v>6.0698110927111024</v>
      </c>
    </row>
    <row r="76" spans="1:43" ht="15.75" hidden="1" outlineLevel="1">
      <c r="A76"/>
      <c r="J76" s="502"/>
      <c r="M76" s="250"/>
      <c r="N76" s="203"/>
      <c r="R76"/>
      <c r="S76"/>
      <c r="T76" s="509"/>
      <c r="U76"/>
      <c r="AG76" s="1064" t="s">
        <v>997</v>
      </c>
      <c r="AH76" s="1065"/>
      <c r="AI76" s="1066"/>
      <c r="AK76" s="1064" t="s">
        <v>997</v>
      </c>
      <c r="AL76" s="1065"/>
      <c r="AM76" s="1066"/>
      <c r="AO76" s="1064" t="s">
        <v>997</v>
      </c>
      <c r="AP76" s="1065"/>
      <c r="AQ76" s="1066"/>
    </row>
    <row r="77" spans="1:43" ht="21" hidden="1" outlineLevel="1">
      <c r="A77"/>
      <c r="J77" s="502" t="str">
        <f>IF($C77="","",IF($E$63="","",IF(ISNUMBER($E$63),_xlfn.LET(_xlpm.cap,IF($Q$63="Quantum",760,1220),IF($E$63+50&gt;_xlpm.cap,"ERROR: Lamination Width &gt; "&amp;_xlpm.cap,$E$63+50)),$E$63)))</f>
        <v/>
      </c>
      <c r="M77" s="250"/>
      <c r="N77" s="203" t="str" cm="1">
        <f t="array" ref="N77">IF($C77="","",_xlfn.LET(
    _xlpm.mat,TRIM($C77),
    _xlpm.matKey,UPPER(SUBSTITUTE(_xlpm.mat," ","")),
    _xlpm.pr,IFERROR(LOOKUP(2,1/($H$51:H77&lt;&gt;""),$H$51:H77),""),
    _xlpm.widthActual,IFERROR(LOOKUP(2,1/($E$51:E77&lt;&gt;""),$E$51:E77),$E77),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",""))=_xlpm.matKey)*(_xlpm.summaryThick=$K77)*(_xlpm.summaryCosts&gt;0))),INDEX(_xlfn._xlws.FILTER(_xlpm.summaryCosts,(UPPER(SUBSTITUTE(_xlpm.summaryNames," ",""))=_xlpm.matKey)*(_xlpm.summaryThick=$K77)*(_xlpm.summaryCosts&gt;0)),1)),""),""),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7"/>
      <c r="S77"/>
      <c r="T77" t="str">
        <f>IF(OR($S77="",$K77=""),"",IFERROR($S77*(1/$M$85)*($J77/($D77*MAX(1,ROUNDDOWN(760/$D77,0)))),""))</f>
        <v/>
      </c>
      <c r="U77"/>
      <c r="AG77" s="1067">
        <f>IF(AH88&lt;&gt;"",IFERROR(AH68/(1-AH50),""),"")</f>
        <v>13.436914219940439</v>
      </c>
      <c r="AH77" s="1068"/>
      <c r="AI77" s="1069"/>
      <c r="AK77" s="1067">
        <f>IF(AL88&lt;&gt;"",IFERROR(AL68/(1-AL50),""),"")</f>
        <v>17.086301574065249</v>
      </c>
      <c r="AL77" s="1068"/>
      <c r="AM77" s="1069"/>
      <c r="AO77" s="1067">
        <f>IF(AP88&lt;&gt;"",IFERROR(AP68/(1-AP50),""),"")</f>
        <v>14.946183237863057</v>
      </c>
      <c r="AP77" s="1068"/>
      <c r="AQ77" s="1069"/>
    </row>
    <row r="78" spans="1:43" hidden="1" outlineLevel="1">
      <c r="A78"/>
      <c r="J78" s="502"/>
      <c r="M78" s="250"/>
      <c r="N78" s="203"/>
      <c r="R78"/>
      <c r="S78"/>
      <c r="T78"/>
      <c r="U78"/>
      <c r="AG78" s="531" t="s">
        <v>1041</v>
      </c>
      <c r="AH78" s="445">
        <f>IF(OR(AH65="",AH88=""),"",IFERROR(AG77*AH88/AH65,""))</f>
        <v>0.23524668442989369</v>
      </c>
      <c r="AI78" s="532" t="s">
        <v>998</v>
      </c>
      <c r="AK78" s="531" t="s">
        <v>1041</v>
      </c>
      <c r="AL78" s="445">
        <f>IF(OR(AL65="",AL88=""),"",IFERROR(AK77*AL88/AL65,""))</f>
        <v>0.49093215997682976</v>
      </c>
      <c r="AM78" s="532" t="s">
        <v>998</v>
      </c>
      <c r="AO78" s="531" t="s">
        <v>1041</v>
      </c>
      <c r="AP78" s="445">
        <f>IF(OR(AP65="",AP88=""),"",IFERROR(AO77*AP88/AP65,""))</f>
        <v>1.2746106001727262</v>
      </c>
      <c r="AQ78" s="532" t="s">
        <v>998</v>
      </c>
    </row>
    <row r="79" spans="1:43" hidden="1" outlineLevel="1">
      <c r="A79"/>
      <c r="J79" s="502"/>
      <c r="M79" s="250"/>
      <c r="N79" s="203"/>
      <c r="R79"/>
      <c r="S79"/>
      <c r="T79"/>
      <c r="U79"/>
      <c r="AG79" s="531" t="s">
        <v>1042</v>
      </c>
      <c r="AH79" s="253">
        <f>IFERROR(AG77,"")</f>
        <v>13.436914219940439</v>
      </c>
      <c r="AI79" s="532" t="s">
        <v>837</v>
      </c>
      <c r="AK79" s="531" t="s">
        <v>1042</v>
      </c>
      <c r="AL79" s="253">
        <f>IFERROR(AK77,"")</f>
        <v>17.086301574065249</v>
      </c>
      <c r="AM79" s="532" t="s">
        <v>837</v>
      </c>
      <c r="AO79" s="531" t="s">
        <v>1042</v>
      </c>
      <c r="AP79" s="253">
        <f>IFERROR(AO77,"")</f>
        <v>14.946183237863057</v>
      </c>
      <c r="AQ79" s="532" t="s">
        <v>837</v>
      </c>
    </row>
    <row r="80" spans="1:43" hidden="1" outlineLevel="1">
      <c r="A80"/>
      <c r="J80" s="502" t="str">
        <f>IF($C80="","",IF($E$63="","",IF(ISNUMBER($E$63),_xlfn.LET(_xlpm.cap,IF($Q$63="Quantum",760,1220),IF($E$63+50&gt;_xlpm.cap,"ERROR: Lamination Width &gt; "&amp;_xlpm.cap,$E$63+50)),$E$63)))</f>
        <v/>
      </c>
      <c r="M80" s="250"/>
      <c r="N80" s="203" t="str" cm="1">
        <f t="array" ref="N80">IF($C80="","",_xlfn.LET(
    _xlpm.mat,TRIM($C80),
    _xlpm.matKey,UPPER(SUBSTITUTE(_xlpm.mat," ","")),
    _xlpm.pr,IFERROR(LOOKUP(2,1/($H$51:H80&lt;&gt;""),$H$51:H80),""),
    _xlpm.widthActual,IFERROR(LOOKUP(2,1/($E$51:E80&lt;&gt;""),$E$51:E80),$E80),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",""))=_xlpm.matKey)*(_xlpm.summaryThick=$K80)*(_xlpm.summaryCosts&gt;0))),INDEX(_xlfn._xlws.FILTER(_xlpm.summaryCosts,(UPPER(SUBSTITUTE(_xlpm.summaryNames," ",""))=_xlpm.matKey)*(_xlpm.summaryThick=$K80)*(_xlpm.summaryCosts&gt;0)),1)),""),""),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0"/>
      <c r="S80"/>
      <c r="T80"/>
      <c r="U80"/>
      <c r="AG80" s="531" t="s">
        <v>1043</v>
      </c>
      <c r="AH80" s="445" t="str">
        <f>IF(OR(AH78="",AH54="",AH64="",AI64=""),"",IFERROR(AH78*(AI64/1000)/ROUNDDOWN(AH54/AH64,0),""))</f>
        <v/>
      </c>
      <c r="AI80" s="532" t="s">
        <v>1044</v>
      </c>
      <c r="AK80" s="531" t="s">
        <v>1043</v>
      </c>
      <c r="AL80" s="445" t="str">
        <f>IF(OR(AL78="",AL54="",AL64="",AM64=""),"",IFERROR(AL78*(AM64/1000)/ROUNDDOWN(AL54/AL64,0),""))</f>
        <v/>
      </c>
      <c r="AM80" s="532" t="s">
        <v>1044</v>
      </c>
      <c r="AO80" s="531" t="s">
        <v>1043</v>
      </c>
      <c r="AP80" s="445">
        <f>IF(OR(AP78="",AP54="",AP64="",AQ64=""),"",IFERROR(AP78*(AQ64/1000)/ROUNDDOWN(AP54/AP64,0),""))</f>
        <v>1.3383411301813624E-2</v>
      </c>
      <c r="AQ80" s="532" t="s">
        <v>1044</v>
      </c>
    </row>
    <row r="81" spans="1:43" hidden="1" outlineLevel="1">
      <c r="A81"/>
      <c r="J81" s="502"/>
      <c r="M81" s="250"/>
      <c r="N81" s="203"/>
      <c r="R81"/>
      <c r="S81"/>
      <c r="T81"/>
      <c r="U81"/>
      <c r="AG81" s="533" t="s">
        <v>1045</v>
      </c>
      <c r="AH81" s="529">
        <f>IFERROR(AH78*1.16,"")</f>
        <v>0.27288615393867666</v>
      </c>
      <c r="AI81" s="534" t="s">
        <v>1046</v>
      </c>
      <c r="AK81" s="533" t="s">
        <v>1045</v>
      </c>
      <c r="AL81" s="529">
        <f>IFERROR(AL78*1.16,"")</f>
        <v>0.56948130557312249</v>
      </c>
      <c r="AM81" s="534" t="s">
        <v>1046</v>
      </c>
      <c r="AO81" s="533" t="s">
        <v>1045</v>
      </c>
      <c r="AP81" s="529">
        <f>IFERROR(AP78*1.16,"")</f>
        <v>1.4785482962003622</v>
      </c>
      <c r="AQ81" s="534" t="s">
        <v>1046</v>
      </c>
    </row>
    <row r="82" spans="1:43" hidden="1" outlineLevel="1">
      <c r="A82"/>
      <c r="J82" s="502" t="str">
        <f t="shared" ref="J82:J93" si="10">IF($C82="","",IF($E$63="","",IF(ISNUMBER($E$63),_xlfn.LET(_xlpm.cap,IF($Q$63="Quantum",760,1220),IF($E$63+50&gt;_xlpm.cap,"ERROR: Lamination Width &gt; "&amp;_xlpm.cap,$E$63+50)),$E$63)))</f>
        <v/>
      </c>
      <c r="M82" s="250"/>
      <c r="N82" s="203" t="str" cm="1">
        <f t="array" ref="N82">IF($C82="","",_xlfn.LET(
    _xlpm.mat,TRIM($C82),
    _xlpm.matKey,UPPER(SUBSTITUTE(_xlpm.mat," ","")),
    _xlpm.pr,IFERROR(LOOKUP(2,1/($H$51:H82&lt;&gt;""),$H$51:H82),""),
    _xlpm.widthActual,IFERROR(LOOKUP(2,1/($E$51:E82&lt;&gt;""),$E$51:E82),$E82),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",""))=_xlpm.matKey)*(_xlpm.summaryThick=$K82)*(_xlpm.summaryCosts&gt;0))),INDEX(_xlfn._xlws.FILTER(_xlpm.summaryCosts,(UPPER(SUBSTITUTE(_xlpm.summaryNames," ",""))=_xlpm.matKey)*(_xlpm.summaryThick=$K82)*(_xlpm.summaryCosts&gt;0)),1)),""),""),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2"/>
      <c r="S82"/>
      <c r="T82"/>
      <c r="U82"/>
      <c r="AG82" s="533" t="s">
        <v>1047</v>
      </c>
      <c r="AH82" s="511">
        <f>IFERROR(AH79*1.16,"")</f>
        <v>15.586820495130908</v>
      </c>
      <c r="AI82" s="534" t="s">
        <v>1038</v>
      </c>
      <c r="AK82" s="533" t="s">
        <v>1047</v>
      </c>
      <c r="AL82" s="511">
        <f>IFERROR(AL79*1.16,"")</f>
        <v>19.820109825915686</v>
      </c>
      <c r="AM82" s="534" t="s">
        <v>1038</v>
      </c>
      <c r="AO82" s="533" t="s">
        <v>1047</v>
      </c>
      <c r="AP82" s="511">
        <f>IFERROR(AP79*1.16,"")</f>
        <v>17.337572555921145</v>
      </c>
      <c r="AQ82" s="534" t="s">
        <v>1038</v>
      </c>
    </row>
    <row r="83" spans="1:43" hidden="1" outlineLevel="1">
      <c r="A83"/>
      <c r="J83" s="502" t="str">
        <f t="shared" si="10"/>
        <v/>
      </c>
      <c r="M83" s="250"/>
      <c r="N83" s="203" t="str" cm="1">
        <f t="array" ref="N83">IF($C83="","",_xlfn.LET(
    _xlpm.mat,TRIM($C83),
    _xlpm.matKey,UPPER(SUBSTITUTE(_xlpm.mat," ","")),
    _xlpm.pr,IFERROR(LOOKUP(2,1/($H$51:H83&lt;&gt;""),$H$51:H83),""),
    _xlpm.widthActual,IFERROR(LOOKUP(2,1/($E$51:E83&lt;&gt;""),$E$51:E83),$E83),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",""))=_xlpm.matKey)*(_xlpm.summaryThick=$K83)*(_xlpm.summaryCosts&gt;0))),INDEX(_xlfn._xlws.FILTER(_xlpm.summaryCosts,(UPPER(SUBSTITUTE(_xlpm.summaryNames," ",""))=_xlpm.matKey)*(_xlpm.summaryThick=$K83)*(_xlpm.summaryCosts&gt;0)),1)),""),""),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3"/>
      <c r="S83"/>
      <c r="T83"/>
      <c r="U83"/>
      <c r="AG83" s="533" t="s">
        <v>1048</v>
      </c>
      <c r="AH83" s="529" t="str">
        <f>IF(OR(AH81="",AH54="",AH64="",AI64=""),"",IFERROR(AH81*(AI64/1000)/(AH54/AH64),""))</f>
        <v/>
      </c>
      <c r="AI83" s="534" t="s">
        <v>1037</v>
      </c>
      <c r="AK83" s="533" t="s">
        <v>1048</v>
      </c>
      <c r="AL83" s="529" t="str">
        <f>IF(OR(AL81="",AL54="",AL64="",AM64=""),"",IFERROR(AL81*(AM64/1000)/(AL54/AL64),""))</f>
        <v/>
      </c>
      <c r="AM83" s="534" t="s">
        <v>1037</v>
      </c>
      <c r="AO83" s="533" t="s">
        <v>1048</v>
      </c>
      <c r="AP83" s="529">
        <f>IF(OR(AP81="",AP54="",AP64="",AQ64=""),"",IFERROR(AP81*(AQ64/1000)/(AP54/AP64),""))</f>
        <v>1.4489773302763551E-2</v>
      </c>
      <c r="AQ83" s="534" t="s">
        <v>1037</v>
      </c>
    </row>
    <row r="84" spans="1:43" hidden="1" outlineLevel="1">
      <c r="A84"/>
      <c r="J84" s="502" t="str">
        <f t="shared" si="10"/>
        <v/>
      </c>
      <c r="M84" s="250"/>
      <c r="N84" s="203" t="str" cm="1">
        <f t="array" ref="N84">IF($C84="","",_xlfn.LET(
    _xlpm.mat,TRIM($C84),
    _xlpm.matKey,UPPER(SUBSTITUTE(_xlpm.mat," ","")),
    _xlpm.pr,IFERROR(LOOKUP(2,1/($H$51:H84&lt;&gt;""),$H$51:H84),""),
    _xlpm.widthActual,IFERROR(LOOKUP(2,1/($E$51:E84&lt;&gt;""),$E$51:E84),$E84),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",""))=_xlpm.matKey)*(_xlpm.summaryThick=$K84)*(_xlpm.summaryCosts&gt;0))),INDEX(_xlfn._xlws.FILTER(_xlpm.summaryCosts,(UPPER(SUBSTITUTE(_xlpm.summaryNames," ",""))=_xlpm.matKey)*(_xlpm.summaryThick=$K84)*(_xlpm.summaryCosts&gt;0)),1)),""),""),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4"/>
      <c r="S84"/>
      <c r="T84"/>
      <c r="U84"/>
      <c r="AG84" s="535" t="s">
        <v>1049</v>
      </c>
      <c r="AH84" s="530" cm="1">
        <f t="array" ref="AH84">IFERROR(_xlfn.SWITCH(AH62,"By Imp",AH63*AH80,"IMP",AH63*AH80,"By Length",AH63*AH78,"By Weight",AH63*AH79,AG77*AH88),"")</f>
        <v>67184.571099702196</v>
      </c>
      <c r="AI84" s="534" t="s">
        <v>1050</v>
      </c>
      <c r="AK84" s="535" t="s">
        <v>1049</v>
      </c>
      <c r="AL84" s="530" cm="1">
        <f t="array" ref="AL84">IFERROR(_xlfn.SWITCH(AL62,"By Imp",AL63*AL80,"IMP",AL63*AL80,"By Length",AL63*AL78,"By Weight",AL63*AL79,AK77*AL88),"")</f>
        <v>981.86431995365956</v>
      </c>
      <c r="AM84" s="534" t="s">
        <v>1050</v>
      </c>
      <c r="AO84" s="535" t="s">
        <v>1049</v>
      </c>
      <c r="AP84" s="530" cm="1">
        <f t="array" ref="AP84">IFERROR(_xlfn.SWITCH(AP62,"By Imp",AP63*AP80,"IMP",AP63*AP80,"By Length",AP63*AP78,"By Weight",AP63*AP79,AO77*AP88),"")</f>
        <v>6357.1203683614713</v>
      </c>
      <c r="AQ84" s="534" t="s">
        <v>1050</v>
      </c>
    </row>
    <row r="85" spans="1:43" hidden="1" outlineLevel="1">
      <c r="A85"/>
      <c r="J85" s="502" t="str">
        <f t="shared" si="10"/>
        <v/>
      </c>
      <c r="M85" s="250"/>
      <c r="N85" s="203" t="str" cm="1">
        <f t="array" ref="N85">IF($C85="","",_xlfn.LET(
    _xlpm.mat,TRIM($C85),
    _xlpm.matKey,UPPER(SUBSTITUTE(_xlpm.mat," ","")),
    _xlpm.pr,IFERROR(LOOKUP(2,1/($H$51:H85&lt;&gt;""),$H$51:H85),""),
    _xlpm.widthActual,IFERROR(LOOKUP(2,1/($E$51:E85&lt;&gt;""),$E$51:E85),$E85),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",""))=_xlpm.matKey)*(_xlpm.summaryThick=$K85)*(_xlpm.summaryCosts&gt;0))),INDEX(_xlfn._xlws.FILTER(_xlpm.summaryCosts,(UPPER(SUBSTITUTE(_xlpm.summaryNames," ",""))=_xlpm.matKey)*(_xlpm.summaryThick=$K85)*(_xlpm.summaryCosts&gt;0)),1)),""),""),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5"/>
      <c r="S85"/>
      <c r="T85"/>
      <c r="U85"/>
      <c r="AG85" s="535" t="s">
        <v>1051</v>
      </c>
      <c r="AH85" s="511" cm="1">
        <f t="array" ref="AH85">IFERROR(_xlfn.SWITCH(AH62,"By Imp",AH63*AH83,"IMP",AH63*AH83,"By Length",AH63*AH81,"By Weight",AH63*AH82,AG77*AH88*1.16),"")</f>
        <v>77934.102475654538</v>
      </c>
      <c r="AI85" s="534" t="s">
        <v>1052</v>
      </c>
      <c r="AK85" s="535" t="s">
        <v>1051</v>
      </c>
      <c r="AL85" s="511" cm="1">
        <f t="array" ref="AL85">IFERROR(_xlfn.SWITCH(AL62,"By Imp",AL63*AL83,"IMP",AL63*AL83,"By Length",AL63*AL81,"By Weight",AL63*AL82,AK77*AL88*1.16),"")</f>
        <v>1138.9626111462451</v>
      </c>
      <c r="AM85" s="534" t="s">
        <v>1052</v>
      </c>
      <c r="AO85" s="535" t="s">
        <v>1051</v>
      </c>
      <c r="AP85" s="511" cm="1">
        <f t="array" ref="AP85">IFERROR(_xlfn.SWITCH(AP62,"By Imp",AP63*AP83,"IMP",AP63*AP83,"By Length",AP63*AP81,"By Weight",AP63*AP82,AO77*AP88*1.16),"")</f>
        <v>6882.6423188126864</v>
      </c>
      <c r="AQ85" s="534" t="s">
        <v>1052</v>
      </c>
    </row>
    <row r="86" spans="1:43" hidden="1" outlineLevel="1">
      <c r="J86" s="502" t="str">
        <f t="shared" si="10"/>
        <v/>
      </c>
      <c r="M86" s="250"/>
      <c r="N86" s="203" t="str" cm="1">
        <f t="array" ref="N86">IF($C86="","",_xlfn.LET(
    _xlpm.mat,TRIM($C86),
    _xlpm.matKey,UPPER(SUBSTITUTE(_xlpm.mat," ","")),
    _xlpm.pr,IFERROR(LOOKUP(2,1/($H$51:H86&lt;&gt;""),$H$51:H86),""),
    _xlpm.widthActual,IFERROR(LOOKUP(2,1/($E$51:E86&lt;&gt;""),$E$51:E86),$E86),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",""))=_xlpm.matKey)*(_xlpm.summaryThick=$K86)*(_xlpm.summaryCosts&gt;0))),INDEX(_xlfn._xlws.FILTER(_xlpm.summaryCosts,(UPPER(SUBSTITUTE(_xlpm.summaryNames," ",""))=_xlpm.matKey)*(_xlpm.summaryThick=$K86)*(_xlpm.summaryCosts&gt;0)),1)),""),""),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6"/>
      <c r="T86" t="str">
        <f>IF(OR($S86="",$K86=""),"",IFERROR($S86*(1/$M$89)*($J86/($D86*MAX(1,ROUNDDOWN(760/$D86,0)))),""))</f>
        <v/>
      </c>
      <c r="U86"/>
      <c r="AG86" s="536" t="s">
        <v>844</v>
      </c>
      <c r="AH86" s="537">
        <f>IFERROR(AH87/($M$56*($D$51/$J$51))+5,"")</f>
        <v>28592.764436821042</v>
      </c>
      <c r="AI86" s="538" t="s">
        <v>580</v>
      </c>
      <c r="AK86" s="536" t="s">
        <v>844</v>
      </c>
      <c r="AL86" s="537">
        <f>IFERROR(AL87/($M$62*($D$57/$J$57))+5,"")</f>
        <v>19065.325931573429</v>
      </c>
      <c r="AM86" s="538" t="s">
        <v>580</v>
      </c>
      <c r="AO86" s="536" t="s">
        <v>844</v>
      </c>
      <c r="AP86" s="537">
        <f>IFERROR(AP87/($M$68*($D$63/$J$63))+5,"")</f>
        <v>5937.7815846459607</v>
      </c>
      <c r="AQ86" s="538" t="s">
        <v>580</v>
      </c>
    </row>
    <row r="87" spans="1:43" hidden="1" outlineLevel="1">
      <c r="J87" s="502" t="str">
        <f t="shared" si="10"/>
        <v/>
      </c>
      <c r="M87" s="250"/>
      <c r="N87" s="203" t="str" cm="1">
        <f t="array" ref="N87">IF($C87="","",_xlfn.LET(
    _xlpm.mat,TRIM($C87),
    _xlpm.matKey,UPPER(SUBSTITUTE(_xlpm.mat," ","")),
    _xlpm.pr,IFERROR(LOOKUP(2,1/($H$51:H87&lt;&gt;""),$H$51:H87),""),
    _xlpm.widthActual,IFERROR(LOOKUP(2,1/($E$51:E87&lt;&gt;""),$E$51:E87),$E87),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",""))=_xlpm.matKey)*(_xlpm.summaryThick=$K87)*(_xlpm.summaryCosts&gt;0))),INDEX(_xlfn._xlws.FILTER(_xlpm.summaryCosts,(UPPER(SUBSTITUTE(_xlpm.summaryNames," ",""))=_xlpm.matKey)*(_xlpm.summaryThick=$K87)*(_xlpm.summaryCosts&gt;0)),1)),""),""),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7"/>
      <c r="T87"/>
      <c r="U87"/>
      <c r="AG87" s="536" t="s">
        <v>845</v>
      </c>
      <c r="AH87" s="537">
        <f>_xlfn.LET(_xlpm.lam,UPPER(SUBSTITUTE(AH52&amp;"","LAMINATE","")),IF(_xlpm.lam="608W",2000,IF(_xlpm.lam="608",750,500)))</f>
        <v>500</v>
      </c>
      <c r="AI87" s="538" t="s">
        <v>203</v>
      </c>
      <c r="AK87" s="536" t="s">
        <v>845</v>
      </c>
      <c r="AL87" s="537">
        <f>_xlfn.LET(_xlpm.lam,UPPER(SUBSTITUTE(AL52&amp;"","LAMINATE","")),IF(_xlpm.lam="608W",2000,IF(_xlpm.lam="608",750,500)))</f>
        <v>500</v>
      </c>
      <c r="AM87" s="538" t="s">
        <v>203</v>
      </c>
      <c r="AO87" s="536" t="s">
        <v>845</v>
      </c>
      <c r="AP87" s="537">
        <f>_xlfn.LET(_xlpm.lam,UPPER(SUBSTITUTE(AP52&amp;"","LAMINATE","")),IF(_xlpm.lam="608W",2000,IF(_xlpm.lam="608",750,500)))</f>
        <v>500</v>
      </c>
      <c r="AQ87" s="538" t="s">
        <v>203</v>
      </c>
    </row>
    <row r="88" spans="1:43" ht="15.75" hidden="1" outlineLevel="1" thickBot="1">
      <c r="J88" s="502" t="str">
        <f t="shared" si="10"/>
        <v/>
      </c>
      <c r="M88" s="250"/>
      <c r="N88" s="203" t="str" cm="1">
        <f t="array" ref="N88">IF($C88="","",_xlfn.LET(
    _xlpm.mat,TRIM($C88),
    _xlpm.matKey,UPPER(SUBSTITUTE(_xlpm.mat," ","")),
    _xlpm.pr,IFERROR(LOOKUP(2,1/($H$51:H88&lt;&gt;""),$H$51:H88),""),
    _xlpm.widthActual,IFERROR(LOOKUP(2,1/($E$51:E88&lt;&gt;""),$E$51:E88),$E88),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",""))=_xlpm.matKey)*(_xlpm.summaryThick=$K88)*(_xlpm.summaryCosts&gt;0))),INDEX(_xlfn._xlws.FILTER(_xlpm.summaryCosts,(UPPER(SUBSTITUTE(_xlpm.summaryNames," ",""))=_xlpm.matKey)*(_xlpm.summaryThick=$K88)*(_xlpm.summaryCosts&gt;0)),1)),""),""),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8"/>
      <c r="T88"/>
      <c r="U88"/>
      <c r="AG88" s="539" t="s">
        <v>846</v>
      </c>
      <c r="AH88" s="540">
        <f>IF(OR(AH62="IMP",AH62="By Imp"),IFERROR(AH65*$M$56*($D$51/$J$51)+5,""),IF(AH62="By Length",IFERROR(AH63*$M$56*($D$51/$J$51)+5,""),IF(AH62="By Weight",IFERROR(IF(AH55&lt;&gt;"",AH55,A51),""),"")))</f>
        <v>5000</v>
      </c>
      <c r="AI88" s="541" t="s">
        <v>203</v>
      </c>
      <c r="AJ88" s="237"/>
      <c r="AK88" s="539" t="s">
        <v>846</v>
      </c>
      <c r="AL88" s="540">
        <f>IF(OR(AL62="IMP",AL62="By Imp"),IFERROR(AL65*$M$62*($D$57/$J$57)+5,""),IF(AL62="By Length",IFERROR(AL63*$M$62*($D$57/$J$57)+5,""),IF(AL62="By Weight",IFERROR(IF(AL55&lt;&gt;"",AL55,A57),""),"")))</f>
        <v>57.465000000000003</v>
      </c>
      <c r="AM88" s="541" t="s">
        <v>203</v>
      </c>
      <c r="AN88" s="237"/>
      <c r="AO88" s="539" t="s">
        <v>846</v>
      </c>
      <c r="AP88" s="540">
        <f>IF(OR(AP62="IMP",AP62="By Imp"),IFERROR(AP65*$M$68*($D$63/$J$63)+5,""),IF(AP62="By Length",IFERROR(AP63*$M$68*($D$63/$J$63)+5,""),IF(AP62="By Weight",IFERROR(IF(AP55&lt;&gt;"",AP55,A63),""),"")))</f>
        <v>425.33403125000001</v>
      </c>
      <c r="AQ88" s="541" t="s">
        <v>203</v>
      </c>
    </row>
    <row r="89" spans="1:43" ht="15.75" hidden="1" outlineLevel="1" thickBot="1">
      <c r="J89" s="502" t="str">
        <f t="shared" si="10"/>
        <v/>
      </c>
      <c r="M89" s="250"/>
      <c r="N89" s="203" t="str" cm="1">
        <f t="array" ref="N89">IF($C89="","",_xlfn.LET(
    _xlpm.mat,TRIM($C89),
    _xlpm.matKey,UPPER(SUBSTITUTE(_xlpm.mat," ","")),
    _xlpm.pr,IFERROR(LOOKUP(2,1/($H$51:H89&lt;&gt;""),$H$51:H89),""),
    _xlpm.widthActual,IFERROR(LOOKUP(2,1/($E$51:E89&lt;&gt;""),$E$51:E89),$E89),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",""))=_xlpm.matKey)*(_xlpm.summaryThick=$K89)*(_xlpm.summaryCosts&gt;0))),INDEX(_xlfn._xlws.FILTER(_xlpm.summaryCosts,(UPPER(SUBSTITUTE(_xlpm.summaryNames," ",""))=_xlpm.matKey)*(_xlpm.summaryThick=$K89)*(_xlpm.summaryCosts&gt;0)),1)),""),""),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9"/>
      <c r="T89"/>
      <c r="U89"/>
      <c r="AG89" s="1070" t="s">
        <v>1039</v>
      </c>
      <c r="AH89" s="1071"/>
      <c r="AI89" s="1072"/>
      <c r="AK89" s="1070" t="s">
        <v>1039</v>
      </c>
      <c r="AL89" s="1071"/>
      <c r="AM89" s="1072"/>
      <c r="AO89" s="1070" t="s">
        <v>1039</v>
      </c>
      <c r="AP89" s="1071"/>
      <c r="AQ89" s="1072"/>
    </row>
    <row r="90" spans="1:43" hidden="1" outlineLevel="1">
      <c r="J90" s="502" t="str">
        <f t="shared" si="10"/>
        <v/>
      </c>
      <c r="M90" s="250"/>
      <c r="N90" s="203" t="str" cm="1">
        <f t="array" ref="N90">IF($C90="","",_xlfn.LET(
    _xlpm.mat,TRIM($C90),
    _xlpm.matKey,UPPER(SUBSTITUTE(_xlpm.mat," ","")),
    _xlpm.pr,IFERROR(LOOKUP(2,1/($H$51:H90&lt;&gt;""),$H$51:H90),""),
    _xlpm.widthActual,IFERROR(LOOKUP(2,1/($E$51:E90&lt;&gt;""),$E$51:E90),$E90),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",""))=_xlpm.matKey)*(_xlpm.summaryThick=$K90)*(_xlpm.summaryCosts&gt;0))),INDEX(_xlfn._xlws.FILTER(_xlpm.summaryCosts,(UPPER(SUBSTITUTE(_xlpm.summaryNames," ",""))=_xlpm.matKey)*(_xlpm.summaryThick=$K90)*(_xlpm.summaryCosts&gt;0)),1)),""),""),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0"/>
      <c r="T90" t="str">
        <f>IF(OR($S90="",$K90=""),"",IFERROR($S90*(1/$M$95)*($J90/($D90*MAX(1,ROUNDDOWN(760/$D90,0)))),""))</f>
        <v/>
      </c>
      <c r="U90"/>
      <c r="Y90" t="str">
        <f>IFERROR((SUM(X90:X95)+SUM(R90:S90,U90))*(1/M95)*(J90/(D90*MAX(1,ROUNDDOWN(760/D90,0))))+W90,"")</f>
        <v/>
      </c>
      <c r="AG90" s="625" t="s">
        <v>1036</v>
      </c>
      <c r="AH90" s="95">
        <f>IF(OR(AH62="IMP",AH62="By Imp"),IFERROR(AH63/(AH54/AH64)*(AI64/1000),""),IFERROR(AH63,""))</f>
        <v>5000</v>
      </c>
      <c r="AI90" s="237" t="s">
        <v>580</v>
      </c>
      <c r="AK90" s="625" t="s">
        <v>1036</v>
      </c>
      <c r="AL90" s="95">
        <f>IF(OR(AL62="IMP",AL62="By Imp"),IFERROR(AL63/(AL54/AL64)*(AM64/1000),""),IFERROR(AL63,""))</f>
        <v>2000</v>
      </c>
      <c r="AM90" s="237" t="s">
        <v>580</v>
      </c>
      <c r="AO90" s="625" t="s">
        <v>1036</v>
      </c>
      <c r="AP90" s="95">
        <f>IF(OR(AP62="IMP",AP62="By Imp"),IFERROR(AP63/(AP54/AP64)*(AQ64/1000),""),IFERROR(AP63,""))</f>
        <v>4655</v>
      </c>
      <c r="AQ90" s="237" t="s">
        <v>580</v>
      </c>
    </row>
    <row r="91" spans="1:43" hidden="1" outlineLevel="1">
      <c r="J91" s="502" t="str">
        <f t="shared" si="10"/>
        <v/>
      </c>
      <c r="M91" s="250"/>
      <c r="N91" s="203" t="str" cm="1">
        <f t="array" ref="N91">IF($C91="","",_xlfn.LET(
    _xlpm.mat,TRIM($C91),
    _xlpm.matKey,UPPER(SUBSTITUTE(_xlpm.mat," ","")),
    _xlpm.pr,IFERROR(LOOKUP(2,1/($H$51:H91&lt;&gt;""),$H$51:H91),""),
    _xlpm.widthActual,IFERROR(LOOKUP(2,1/($E$51:E91&lt;&gt;""),$E$51:E91),$E91),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",""))=_xlpm.matKey)*(_xlpm.summaryThick=$K91)*(_xlpm.summaryCosts&gt;0))),INDEX(_xlfn._xlws.FILTER(_xlpm.summaryCosts,(UPPER(SUBSTITUTE(_xlpm.summaryNames," ",""))=_xlpm.matKey)*(_xlpm.summaryThick=$K91)*(_xlpm.summaryCosts&gt;0)),1)),""),""),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1"/>
      <c r="T91"/>
      <c r="U91"/>
      <c r="AG91" s="625" t="s">
        <v>2396</v>
      </c>
      <c r="AH91" s="629" t="str">
        <f>IF(OR(AH62="IMP",AH62="By Imp"),IFERROR(AH63/AH58,""),"")</f>
        <v/>
      </c>
      <c r="AI91" s="625" t="s">
        <v>1031</v>
      </c>
      <c r="AK91" s="625" t="s">
        <v>2396</v>
      </c>
      <c r="AL91" s="629" t="str">
        <f>IF(OR(AL62="IMP",AL62="By Imp"),IFERROR(AL63/AL58,""),"")</f>
        <v/>
      </c>
      <c r="AM91" s="625" t="s">
        <v>1031</v>
      </c>
      <c r="AO91" s="625" t="s">
        <v>2396</v>
      </c>
      <c r="AP91" s="629">
        <f>IF(OR(AP62="IMP",AP62="By Imp"),IFERROR(AP63/AP58,""),"")</f>
        <v>475000</v>
      </c>
      <c r="AQ91" s="625" t="s">
        <v>1031</v>
      </c>
    </row>
    <row r="92" spans="1:43" hidden="1" outlineLevel="1">
      <c r="J92" s="502" t="str">
        <f t="shared" si="10"/>
        <v/>
      </c>
      <c r="N92" s="203" t="str" cm="1">
        <f t="array" ref="N92">IF($C92="","",_xlfn.LET(
    _xlpm.mat,TRIM($C92),
    _xlpm.matKey,UPPER(SUBSTITUTE(_xlpm.mat," ","")),
    _xlpm.pr,IFERROR(LOOKUP(2,1/($H$51:H92&lt;&gt;""),$H$51:H92),""),
    _xlpm.widthActual,IFERROR(LOOKUP(2,1/($E$51:E92&lt;&gt;""),$E$51:E92),$E92),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",""))=_xlpm.matKey)*(_xlpm.summaryThick=$K92)*(_xlpm.summaryCosts&gt;0))),INDEX(_xlfn._xlws.FILTER(_xlpm.summaryCosts,(UPPER(SUBSTITUTE(_xlpm.summaryNames," ",""))=_xlpm.matKey)*(_xlpm.summaryThick=$K92)*(_xlpm.summaryCosts&gt;0)),1)),""),""),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2"/>
      <c r="T92"/>
      <c r="U92"/>
      <c r="AG92" s="625" t="s">
        <v>1151</v>
      </c>
      <c r="AH92" s="630" cm="1">
        <f t="array" ref="AH92">_xlfn.LET(_xlpm.lam,TEXT(AH52,"0"),_xlpm.thick,AH53,_xlpm.mats,_xlfn._xlws.FILTER([6]HELPER!$BW$2:$BW$250,(TEXT([6]HELPER!$BZ$2:$BZ$250,"0")=_xlpm.lam)*([6]HELPER!$CC$2:$CC$250=_xlpm.thick)*([6]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0.5</v>
      </c>
      <c r="AI92" s="625" t="s">
        <v>1152</v>
      </c>
      <c r="AK92" s="625" t="s">
        <v>1151</v>
      </c>
      <c r="AL92" s="626" cm="1">
        <f t="array" ref="AL92">_xlfn.LET(_xlpm.lam,TEXT(AL52,"0"),_xlpm.thick,AL53,_xlpm.mats,_xlfn._xlws.FILTER([6]HELPER!$BW$2:$BW$250,(TEXT([6]HELPER!$BZ$2:$BZ$250,"0")=_xlpm.lam)*([6]HELPER!$CC$2:$CC$250=_xlpm.thick)*([6]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0.66666666666666663</v>
      </c>
      <c r="AM92" s="625" t="s">
        <v>1152</v>
      </c>
      <c r="AO92" s="625" t="s">
        <v>1151</v>
      </c>
      <c r="AP92" s="626" cm="1">
        <f t="array" ref="AP92">_xlfn.LET(_xlpm.lam,TEXT(AP52,"0"),_xlpm.thick,AP53,_xlpm.mats,_xlfn._xlws.FILTER([6]HELPER!$BW$2:$BW$250,(TEXT([6]HELPER!$BZ$2:$BZ$250,"0")=_xlpm.lam)*([6]HELPER!$CC$2:$CC$250=_xlpm.thick)*([6]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92" s="625" t="s">
        <v>1152</v>
      </c>
    </row>
    <row r="93" spans="1:43" hidden="1" outlineLevel="1">
      <c r="J93" s="502" t="str">
        <f t="shared" si="10"/>
        <v/>
      </c>
      <c r="N93" s="203" t="str" cm="1">
        <f t="array" ref="N93">IF($C93="","",_xlfn.LET(
    _xlpm.mat,TRIM($C93),
    _xlpm.matKey,UPPER(SUBSTITUTE(_xlpm.mat," ","")),
    _xlpm.pr,IFERROR(LOOKUP(2,1/($H$51:H93&lt;&gt;""),$H$51:H93),""),
    _xlpm.widthActual,IFERROR(LOOKUP(2,1/($E$51:E93&lt;&gt;""),$E$51:E93),$E93),
    _xlpm.euShip,IFERROR([6]HELPER!$AH$3,0),
    _xlpm.metSetup,IFERROR([6]HELPER!$CH$2,0),
    _xlpm.filmNames,[6]!Table1[Film Type],
    _xlpm.filmCosts,[6]!Table1[Total Cost],
    _xlpm.printCosts,[6]!Table1[Printing],
    _xlpm.printWaste,[6]!Table1[Printing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",""))=_xlpm.matKey)*(_xlpm.summaryThick=$K93)*(_xlpm.summaryCosts&gt;0))),INDEX(_xlfn._xlws.FILTER(_xlpm.summaryCosts,(UPPER(SUBSTITUTE(_xlpm.summaryNames," ",""))=_xlpm.matKey)*(_xlpm.summaryThick=$K93)*(_xlpm.summaryCosts&gt;0)),1)),""),""),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_xlpm.metluxCost,IFERROR(INDEX([6]HELPER!$E$2:$E$32,MATCH(TRUE,TRIM([6]HELPER!$A$2:$A$32)="MET LUX",0)),IFERROR(INDEX([6]HELPER!$E$2:$E$32,MATCH(TRUE,TRIM([6]HELPER!$B$2:$B$32)="MET LUX",0)),IFERROR(INDEX([6]HELPER!$E$2:$E$32,MATCH(TRUE,TRIM([6]HELPER!$C$2:$C$32)="MET LUX",0)),IFERROR(INDEX([6]HELPER!$E$2:$E$32,MATCH(TRUE,TRIM([6]HELPER!$D$2:$D$32)="MET LUX",0)),0)))),
    _xlpm.helperCost,IFERROR(INDEX([6]HELPER!$E$2:$E$32,MATCH(TRUE,TRIM([6]HELPER!$A$2:$A$32)=_xlpm.mat,0)),IFERROR(INDEX([6]HELPER!$E$2:$E$32,MATCH(TRUE,TRIM([6]HELPER!$B$2:$B$32)=_xlpm.mat,0)),IFERROR(INDEX([6]HELPER!$E$2:$E$32,MATCH(TRUE,TRIM([6]HELPER!$C$2:$C$32)=_xlpm.mat,0)),IFERROR(INDEX([6]HELPER!$E$2:$E$32,MATCH(TRUE,TRIM([6]HELPER!$D$2:$D$32)=_xlpm.mat,0)),"")))),
    _xlpm.specialCost,IFERROR(_xlfn.XLOOKUP(_xlpm.mat,[6]HELPER!$CK$2:$CK$105,[6]HELPER!$CO$2:$CO$105,""),""),
    _xlpm.nkHelperCost,IFERROR(INDEX([6]HELPER!$E$2:$E$32,MATCH(TRUE,TRIM([6]HELPER!$A$2:$A$32)="NK",0)),IFERROR(INDEX([6]HELPER!$E$2:$E$32,MATCH(TRUE,TRIM([6]HELPER!$B$2:$B$32)="NK",0)),IFERROR(INDEX([6]HELPER!$E$2:$E$32,MATCH(TRUE,TRIM([6]HELPER!$C$2:$C$32)="NK",0)),IFERROR(INDEX([6]HELPER!$E$2:$E$32,MATCH(TRUE,TRIM([6]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3"/>
      <c r="T93"/>
      <c r="U93"/>
      <c r="AG93" s="625" t="s">
        <v>2397</v>
      </c>
      <c r="AH93" s="628">
        <f>IF(OR(AH56&lt;&gt;"Printed",AH57=0,AH57="0",AH57=""),0,IFERROR(IF(AH61="Quantum",S51*100*MAX(1,IFERROR(AH58,0))/AH88,_xlfn.LET(_xlpm.colors,AH57,_xlpm.numColors,IF(ISNUMBER(_xlpm.colors),_xlpm.colors,IFERROR(--RIGHT(_xlpm.colors,LEN(_xlpm.colors)-FIND("-",_xlpm.colors)),IFERROR(--_xlpm.colors,0))),[6]HELPER!$DB$1*_xlpm.numColors*MAX(1,IFERROR(AH58,0))*1.05*AH92/AH88)),0))</f>
        <v>0</v>
      </c>
      <c r="AI93" s="625" t="s">
        <v>837</v>
      </c>
      <c r="AK93" s="625" t="s">
        <v>2397</v>
      </c>
      <c r="AL93" s="628">
        <f>IF(OR(AL56&lt;&gt;"Printed",AL57=0,AL57="0",AL57=""),0,IFERROR(IF(AL61="Quantum",S57*100*MAX(1,IFERROR(AL58,0))/AL88,_xlfn.LET(_xlpm.colors,AL57,_xlpm.numColors,IF(ISNUMBER(_xlpm.colors),_xlpm.colors,IFERROR(--RIGHT(_xlpm.colors,LEN(_xlpm.colors)-FIND("-",_xlpm.colors)),IFERROR(--_xlpm.colors,0))),[6]HELPER!$DB$1*_xlpm.numColors*MAX(1,IFERROR(AL58,0))*1.05*AL92/AL88)),0))</f>
        <v>0</v>
      </c>
      <c r="AM93" s="625" t="s">
        <v>837</v>
      </c>
      <c r="AO93" s="625" t="s">
        <v>2397</v>
      </c>
      <c r="AP93" s="628">
        <f>IF(OR(AP56&lt;&gt;"Printed",AP57=0,AP57="0",AP57=""),0,IFERROR(IF(AP61="Quantum",S63*100*MAX(1,IFERROR(AP58,0))/AP88,_xlfn.LET(_xlpm.colors,AP57,_xlpm.numColors,IF(ISNUMBER(_xlpm.colors),_xlpm.colors,IFERROR(--RIGHT(_xlpm.colors,LEN(_xlpm.colors)-FIND("-",_xlpm.colors)),IFERROR(--_xlpm.colors,0))),[6]HELPER!$DB$1*_xlpm.numColors*MAX(1,IFERROR(AP58,0))*1.05*AP92/AP88)),0))</f>
        <v>0.98745919475494592</v>
      </c>
      <c r="AQ93" s="625" t="s">
        <v>837</v>
      </c>
    </row>
    <row r="94" spans="1:43" hidden="1" outlineLevel="1">
      <c r="S94"/>
      <c r="T94"/>
      <c r="U94"/>
      <c r="AG94" s="627" t="s">
        <v>1154</v>
      </c>
      <c r="AH94" s="629">
        <f>IFERROR(IF(OR(AH62="IMP",AH62="By Imp"),AH63/(AH54/AH64)*(AI64/1000),AH63)*AH92,"")</f>
        <v>2500</v>
      </c>
      <c r="AI94" s="625" t="s">
        <v>580</v>
      </c>
      <c r="AK94" s="625" t="s">
        <v>1154</v>
      </c>
      <c r="AL94" s="629">
        <f>IFERROR(IF(OR(AL62="IMP",AL62="By Imp"),AL63/(AL54/AL64)*(AM64/1000),AL63)*AL92,"")</f>
        <v>1333.3333333333333</v>
      </c>
      <c r="AM94" s="625" t="s">
        <v>580</v>
      </c>
      <c r="AO94" s="625" t="s">
        <v>1154</v>
      </c>
      <c r="AP94" s="629">
        <f>IFERROR(IF(OR(AP62="IMP",AP62="By Imp"),AP63/(AP54/AP64)*(AQ64/1000),AP63)*AP92,"")</f>
        <v>1551.6666666666665</v>
      </c>
      <c r="AQ94" s="625" t="s">
        <v>580</v>
      </c>
    </row>
    <row r="95" spans="1:43" hidden="1" outlineLevel="1">
      <c r="S95"/>
      <c r="T95"/>
      <c r="U95"/>
      <c r="AG95" s="625" t="s">
        <v>1154</v>
      </c>
      <c r="AH95" s="629">
        <f>IFERROR(IF(OR(AH62="IMP",AH62="By Imp"),AH63/(AH54/AH64)*(AI64/1000),AH65)*AH92,"")</f>
        <v>142796</v>
      </c>
      <c r="AI95" s="625" t="s">
        <v>580</v>
      </c>
      <c r="AK95" s="625" t="s">
        <v>1154</v>
      </c>
      <c r="AL95" s="629">
        <f>IFERROR(IF(OR(AL62="IMP",AL62="By Imp"),AL63/(AL54/AL64)*(AM64/1000),AL65)*AL92,"")</f>
        <v>1333.3333333333333</v>
      </c>
      <c r="AM95" s="625" t="s">
        <v>580</v>
      </c>
      <c r="AO95" s="625" t="s">
        <v>1154</v>
      </c>
      <c r="AP95" s="629">
        <f>IFERROR(IF(OR(AP62="IMP",AP62="By Imp"),AP63/(AP54/AP64)*(AQ64/1000),AP65)*AP92,"")</f>
        <v>1551.6666666666665</v>
      </c>
      <c r="AQ95" s="625" t="s">
        <v>580</v>
      </c>
    </row>
    <row r="96" spans="1:43" hidden="1" outlineLevel="1">
      <c r="S96"/>
      <c r="T96"/>
      <c r="U96"/>
      <c r="AG96" s="1078"/>
      <c r="AH96" s="1078"/>
      <c r="AI96" s="1078"/>
      <c r="AJ96" s="647"/>
      <c r="AK96" s="1078"/>
      <c r="AL96" s="1078"/>
      <c r="AM96" s="1078"/>
      <c r="AN96" s="647"/>
      <c r="AO96" s="647"/>
      <c r="AP96" s="647"/>
      <c r="AQ96" s="647"/>
    </row>
    <row r="97" spans="19:43" ht="27" hidden="1" outlineLevel="1">
      <c r="S97"/>
      <c r="T97"/>
      <c r="U97"/>
      <c r="AG97" s="637" t="s">
        <v>1196</v>
      </c>
      <c r="AH97" s="638">
        <f>IF(AH78="","",AH78*1000)</f>
        <v>235.24668442989369</v>
      </c>
      <c r="AI97" s="639" t="s">
        <v>1197</v>
      </c>
      <c r="AJ97" s="640"/>
      <c r="AK97" s="637" t="s">
        <v>1196</v>
      </c>
      <c r="AL97" s="638">
        <f>IF(AL78="","",AL78*1000)</f>
        <v>490.93215997682978</v>
      </c>
      <c r="AM97" s="639" t="s">
        <v>1197</v>
      </c>
      <c r="AN97" s="640"/>
      <c r="AO97" s="637" t="s">
        <v>1196</v>
      </c>
      <c r="AP97" s="638">
        <f>IF(AP78="","",AP78*1000)</f>
        <v>1274.6106001727262</v>
      </c>
      <c r="AQ97" s="639" t="s">
        <v>1197</v>
      </c>
    </row>
    <row r="98" spans="19:43" collapsed="1">
      <c r="S98"/>
      <c r="T98"/>
      <c r="U98"/>
    </row>
    <row r="99" spans="19:43">
      <c r="S99"/>
      <c r="T99"/>
      <c r="U99"/>
    </row>
    <row r="100" spans="19:43">
      <c r="S100"/>
      <c r="T100"/>
      <c r="U100"/>
    </row>
    <row r="101" spans="19:43">
      <c r="S101"/>
      <c r="T101"/>
      <c r="U101"/>
    </row>
    <row r="102" spans="19:43">
      <c r="S102"/>
      <c r="T102"/>
      <c r="U102"/>
    </row>
    <row r="103" spans="19:43">
      <c r="S103"/>
      <c r="T103"/>
      <c r="U103"/>
    </row>
    <row r="104" spans="19:43">
      <c r="S104"/>
      <c r="T104"/>
      <c r="U104"/>
    </row>
    <row r="105" spans="19:43">
      <c r="S105"/>
      <c r="T105"/>
      <c r="U105"/>
    </row>
    <row r="106" spans="19:43">
      <c r="S106"/>
      <c r="T106"/>
      <c r="U106"/>
    </row>
    <row r="107" spans="19:43">
      <c r="S107"/>
      <c r="T107"/>
      <c r="U107"/>
    </row>
    <row r="108" spans="19:43">
      <c r="S108"/>
      <c r="T108"/>
      <c r="U108"/>
    </row>
    <row r="109" spans="19:43">
      <c r="S109"/>
      <c r="T109"/>
      <c r="U109"/>
    </row>
    <row r="110" spans="19:43">
      <c r="S110"/>
      <c r="T110"/>
      <c r="U110"/>
    </row>
    <row r="111" spans="19:43">
      <c r="S111"/>
      <c r="T111"/>
      <c r="U111"/>
    </row>
    <row r="112" spans="19:43">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sheetData>
  <mergeCells count="130">
    <mergeCell ref="AG96:AI96"/>
    <mergeCell ref="AK96:AM96"/>
    <mergeCell ref="AO76:AQ76"/>
    <mergeCell ref="AG77:AI77"/>
    <mergeCell ref="AK77:AM77"/>
    <mergeCell ref="AO77:AQ77"/>
    <mergeCell ref="AG89:AI89"/>
    <mergeCell ref="AK89:AM89"/>
    <mergeCell ref="AO89:AQ89"/>
    <mergeCell ref="V63:V68"/>
    <mergeCell ref="W63:W68"/>
    <mergeCell ref="Y63:Y68"/>
    <mergeCell ref="T69:T74"/>
    <mergeCell ref="AG76:AI76"/>
    <mergeCell ref="AK76:AM76"/>
    <mergeCell ref="O63:O68"/>
    <mergeCell ref="Q63:Q68"/>
    <mergeCell ref="R63:R68"/>
    <mergeCell ref="S63:S68"/>
    <mergeCell ref="T63:T68"/>
    <mergeCell ref="U63:U68"/>
    <mergeCell ref="W57:W62"/>
    <mergeCell ref="Y57:Y62"/>
    <mergeCell ref="A63:A68"/>
    <mergeCell ref="B63:B68"/>
    <mergeCell ref="D63:D68"/>
    <mergeCell ref="E63:E68"/>
    <mergeCell ref="F63:F68"/>
    <mergeCell ref="G63:G68"/>
    <mergeCell ref="H63:H68"/>
    <mergeCell ref="I63:I68"/>
    <mergeCell ref="Q57:Q62"/>
    <mergeCell ref="R57:R62"/>
    <mergeCell ref="S57:S62"/>
    <mergeCell ref="T57:T62"/>
    <mergeCell ref="U57:U62"/>
    <mergeCell ref="V57:V62"/>
    <mergeCell ref="AO51:AQ51"/>
    <mergeCell ref="A57:A62"/>
    <mergeCell ref="B57:B62"/>
    <mergeCell ref="D57:D62"/>
    <mergeCell ref="E57:E62"/>
    <mergeCell ref="F57:F62"/>
    <mergeCell ref="G57:G62"/>
    <mergeCell ref="H57:H62"/>
    <mergeCell ref="I57:I62"/>
    <mergeCell ref="O57:O62"/>
    <mergeCell ref="U51:U56"/>
    <mergeCell ref="V51:V56"/>
    <mergeCell ref="W51:W56"/>
    <mergeCell ref="Y51:Y56"/>
    <mergeCell ref="AG51:AI51"/>
    <mergeCell ref="AK51:AM51"/>
    <mergeCell ref="I51:I56"/>
    <mergeCell ref="O51:O56"/>
    <mergeCell ref="Q51:Q56"/>
    <mergeCell ref="R51:R56"/>
    <mergeCell ref="S51:S56"/>
    <mergeCell ref="T51:T56"/>
    <mergeCell ref="AG40:AI40"/>
    <mergeCell ref="AK40:AM40"/>
    <mergeCell ref="AO40:AQ40"/>
    <mergeCell ref="A51:A56"/>
    <mergeCell ref="B51:B56"/>
    <mergeCell ref="D51:D56"/>
    <mergeCell ref="E51:E56"/>
    <mergeCell ref="F51:F56"/>
    <mergeCell ref="G51:G56"/>
    <mergeCell ref="H51:H56"/>
    <mergeCell ref="T21:T26"/>
    <mergeCell ref="AG27:AI27"/>
    <mergeCell ref="AK27:AM27"/>
    <mergeCell ref="AO27:AQ27"/>
    <mergeCell ref="AG28:AI28"/>
    <mergeCell ref="AK28:AM28"/>
    <mergeCell ref="AO28:AQ28"/>
    <mergeCell ref="S15:S20"/>
    <mergeCell ref="T15:T20"/>
    <mergeCell ref="U15:U20"/>
    <mergeCell ref="V15:V20"/>
    <mergeCell ref="W15:W20"/>
    <mergeCell ref="Y15:Y20"/>
    <mergeCell ref="G15:G20"/>
    <mergeCell ref="H15:H20"/>
    <mergeCell ref="I15:I20"/>
    <mergeCell ref="O15:O20"/>
    <mergeCell ref="Q15:Q20"/>
    <mergeCell ref="R15:R20"/>
    <mergeCell ref="T9:T14"/>
    <mergeCell ref="U9:U14"/>
    <mergeCell ref="V9:V14"/>
    <mergeCell ref="W9:W14"/>
    <mergeCell ref="Y9:Y14"/>
    <mergeCell ref="A15:A20"/>
    <mergeCell ref="B15:B20"/>
    <mergeCell ref="D15:D20"/>
    <mergeCell ref="E15:E20"/>
    <mergeCell ref="F15:F20"/>
    <mergeCell ref="H9:H14"/>
    <mergeCell ref="I9:I14"/>
    <mergeCell ref="O9:O14"/>
    <mergeCell ref="Q9:Q14"/>
    <mergeCell ref="R9:R14"/>
    <mergeCell ref="S9:S14"/>
    <mergeCell ref="U3:U8"/>
    <mergeCell ref="V3:V8"/>
    <mergeCell ref="W3:W8"/>
    <mergeCell ref="Y3:Y8"/>
    <mergeCell ref="A9:A14"/>
    <mergeCell ref="B9:B14"/>
    <mergeCell ref="D9:D14"/>
    <mergeCell ref="E9:E14"/>
    <mergeCell ref="F9:F14"/>
    <mergeCell ref="G9:G14"/>
    <mergeCell ref="I3:I8"/>
    <mergeCell ref="O3:O8"/>
    <mergeCell ref="Q3:Q8"/>
    <mergeCell ref="R3:R8"/>
    <mergeCell ref="S3:S8"/>
    <mergeCell ref="T3:T8"/>
    <mergeCell ref="AG2:AI2"/>
    <mergeCell ref="AK2:AM2"/>
    <mergeCell ref="AO2:AQ2"/>
    <mergeCell ref="A3:A8"/>
    <mergeCell ref="B3:B8"/>
    <mergeCell ref="D3:D8"/>
    <mergeCell ref="E3:E8"/>
    <mergeCell ref="F3:F8"/>
    <mergeCell ref="G3:G8"/>
    <mergeCell ref="H3:H8"/>
  </mergeCells>
  <conditionalFormatting sqref="C3:C21">
    <cfRule type="expression" dxfId="69" priority="7">
      <formula>AND(INDIRECT("C"&amp;(3+FLOOR((ROW()-3)/6,1)*6))&lt;&gt;"",C3="")</formula>
    </cfRule>
  </conditionalFormatting>
  <conditionalFormatting sqref="C51:C69">
    <cfRule type="expression" dxfId="68" priority="1">
      <formula>AND(INDIRECT("C"&amp;(3+FLOOR((ROW()-3)/6,1)*6))&lt;&gt;"",C51="")</formula>
    </cfRule>
  </conditionalFormatting>
  <conditionalFormatting sqref="I3">
    <cfRule type="expression" dxfId="67" priority="9">
      <formula>OR(AND($H$3="Printed",OR($I$3=0,$I$3="0",$I$3="")),AND($H$3="Not Printed",NOT(OR($I$3=0,$I$3="0",$I$3=""))))</formula>
    </cfRule>
  </conditionalFormatting>
  <conditionalFormatting sqref="I9">
    <cfRule type="expression" dxfId="66" priority="10">
      <formula>OR(AND($H$9="Printed",OR($I$9=0,$I$9="0",$I$9="")),AND($H$9="Not Printed",NOT(OR($I$9=0,$I$9="0",$I$9=""))))</formula>
    </cfRule>
  </conditionalFormatting>
  <conditionalFormatting sqref="I15">
    <cfRule type="expression" dxfId="65" priority="11">
      <formula>OR(AND($H$15="Printed",OR($I$15=0,$I$15="0",$I$15="")),AND($H$15="Not Printed",NOT(OR($I$15=0,$I$15="0",$I$15=""))))</formula>
    </cfRule>
  </conditionalFormatting>
  <conditionalFormatting sqref="I51">
    <cfRule type="expression" dxfId="64" priority="3">
      <formula>OR(AND($H$3="Printed",OR($I$3=0,$I$3="0",$I$3="")),AND($H$3="Not Printed",NOT(OR($I$3=0,$I$3="0",$I$3=""))))</formula>
    </cfRule>
  </conditionalFormatting>
  <conditionalFormatting sqref="I57">
    <cfRule type="expression" dxfId="63" priority="4">
      <formula>OR(AND($H$9="Printed",OR($I$9=0,$I$9="0",$I$9="")),AND($H$9="Not Printed",NOT(OR($I$9=0,$I$9="0",$I$9=""))))</formula>
    </cfRule>
  </conditionalFormatting>
  <conditionalFormatting sqref="I63">
    <cfRule type="expression" dxfId="62" priority="5">
      <formula>OR(AND($H$15="Printed",OR($I$15=0,$I$15="0",$I$15="")),AND($H$15="Not Printed",NOT(OR($I$15=0,$I$15="0",$I$15=""))))</formula>
    </cfRule>
  </conditionalFormatting>
  <conditionalFormatting sqref="J3:J45">
    <cfRule type="containsText" dxfId="61" priority="8" operator="containsText" text="ERROR">
      <formula>NOT(ISERROR(SEARCH("ERROR",J3)))</formula>
    </cfRule>
  </conditionalFormatting>
  <conditionalFormatting sqref="J51:J93">
    <cfRule type="containsText" dxfId="60" priority="2" operator="containsText" text="ERROR">
      <formula>NOT(ISERROR(SEARCH("ERROR",J51)))</formula>
    </cfRule>
  </conditionalFormatting>
  <conditionalFormatting sqref="V1:W2 Z1:Z2 R1:U3 R4:S8 U4:U8 R9:U9 R10:S14 U10:U14 R15:U15 R16:S20 U16:U20 R21:U21 R22:S28 U22:U28 R29:R48 V49:W50 Z49:Z50 R49:U51 R52:S56 U52:U56 R57:U57 R58:S62 U58:U62 R63:U63 R64:S68 U64:U68 R69:U69 R70:S76 U70:U76 R77:R178 R179:U1048576">
    <cfRule type="containsText" dxfId="59" priority="6" operator="containsText" text="Error! please choose width not higher than 1220">
      <formula>NOT(ISERROR(SEARCH("Error! please choose width not higher than 1220",R1)))</formula>
    </cfRule>
  </conditionalFormatting>
  <dataValidations count="10">
    <dataValidation type="list" allowBlank="1" showInputMessage="1" showErrorMessage="1" errorTitle="Invalid designs" error="Please choose a whole number from 1 to 8." promptTitle="Number of designs" prompt="Choose 1 to 8 designs." sqref="AP59 AH59 AL59" xr:uid="{C5D1DFA2-EA3B-4C68-BAD3-1391BFF238FA}">
      <formula1>"6'',3''"</formula1>
    </dataValidation>
    <dataValidation type="list" allowBlank="1" showInputMessage="1" showErrorMessage="1" errorTitle="Invalid number of designs" error="Choose a number of designs from 1 to 8. Zero is not allowed." promptTitle="Number of designs" prompt="Choose 1–8 designs." sqref="AP10 AH10 AL10" xr:uid="{75B40ECA-0DAF-47DE-9016-6E9C6D631265}">
      <formula1>"6'',3''"</formula1>
    </dataValidation>
    <dataValidation type="list" allowBlank="1" showInputMessage="1" showErrorMessage="1" errorTitle="Invalid number of designs" error="Choose a number of designs from 1 to 8. Zero is not allowed." promptTitle="Number of designs" prompt="Choose 1–8 designs." sqref="AH9 AP9 AL9" xr:uid="{3992B9D1-3160-4DA7-AD2A-DC956EC4316C}">
      <formula1>"1,2,3,4,5,6,7,8"</formula1>
    </dataValidation>
    <dataValidation type="list" allowBlank="1" showInputMessage="1" showErrorMessage="1" errorTitle="Invalid designs" error="Please choose a whole number from 1 to 8." promptTitle="Number of designs" prompt="Choose 1 to 8 designs." sqref="AP58 AL58 AH58" xr:uid="{CEE3D9FB-4A5A-4B42-AA43-F5824031D47A}">
      <formula1>"0,1,2,3,4,5,6,7,8"</formula1>
    </dataValidation>
    <dataValidation type="list" allowBlank="1" showInputMessage="1" showErrorMessage="1" errorTitle="Invalid designs" error="Please choose a whole number from 1 to 8." promptTitle="Number of designs" prompt="Choose 1 to 8 designs." sqref="AH42 AP42 AL42 AH91 AP91 AL91" xr:uid="{985ABE9D-52A3-452E-8102-F6612A311480}">
      <formula1>"1,2,3,4,5,6,7,8"</formula1>
    </dataValidation>
    <dataValidation type="list" allowBlank="1" showInputMessage="1" showErrorMessage="1" sqref="AH8 AL8 AP8 AH57 AL57 AP57" xr:uid="{E200E131-8083-4F86-AEA5-E6151A96E029}">
      <formula1>"0,1-2,3-4,5-8"</formula1>
    </dataValidation>
    <dataValidation type="list" allowBlank="1" showInputMessage="1" showErrorMessage="1" errorTitle="Invalid input mode" error="Choose By Weight, By Length, or By Imp." sqref="AH13 AL13 AL62 AH62 AP62 AP13" xr:uid="{117C27F1-B5DF-4E13-B9A8-CE325DA9256A}">
      <formula1>"By Weight,By Length,By Imp"</formula1>
    </dataValidation>
    <dataValidation type="list" allowBlank="1" showInputMessage="1" showErrorMessage="1" sqref="AH12 AL12 AP12 AH61 AP61 AL61" xr:uid="{ED2AE872-378C-4B2A-AE68-C459E05B9832}">
      <formula1>"Marma,Bastin,Quantum"</formula1>
    </dataValidation>
    <dataValidation type="list" allowBlank="1" showInputMessage="1" showErrorMessage="1" sqref="AP60 AH11 AL11 AP11 AH60 AL60" xr:uid="{155B502C-457E-4366-B50F-999D6C196281}">
      <formula1>"Europe to US,EXW,Europe to Canada"</formula1>
    </dataValidation>
    <dataValidation type="list" allowBlank="1" showInputMessage="1" showErrorMessage="1" sqref="AH7 AL7 AP7 AH56 AL56 AP56" xr:uid="{E8FCB18E-195A-4E99-8742-36BA8566C6ED}">
      <formula1>"Printed,Not Printed"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4183-9BBC-41E8-BE28-37F672F38505}">
  <dimension ref="A1:AA404"/>
  <sheetViews>
    <sheetView topLeftCell="D1" zoomScaleNormal="100" workbookViewId="0">
      <pane ySplit="1" topLeftCell="A62" activePane="bottomLeft" state="frozen"/>
      <selection pane="bottomLeft" activeCell="O62" sqref="O62"/>
    </sheetView>
  </sheetViews>
  <sheetFormatPr defaultRowHeight="15" outlineLevelCol="1"/>
  <cols>
    <col min="1" max="1" width="57.5703125" style="34" bestFit="1" customWidth="1"/>
    <col min="2" max="2" width="19.5703125" style="34" bestFit="1" customWidth="1" outlineLevel="1"/>
    <col min="3" max="3" width="15.5703125" style="34" bestFit="1" customWidth="1" outlineLevel="1"/>
    <col min="4" max="5" width="19.85546875" style="34" bestFit="1" customWidth="1" outlineLevel="1"/>
    <col min="6" max="6" width="13.42578125" style="35" bestFit="1" customWidth="1" outlineLevel="1"/>
    <col min="7" max="7" width="20.28515625" style="35" bestFit="1" customWidth="1" outlineLevel="1"/>
    <col min="8" max="8" width="11.7109375" style="32" bestFit="1" customWidth="1" outlineLevel="1"/>
    <col min="9" max="9" width="18.7109375" style="8" bestFit="1" customWidth="1" outlineLevel="1"/>
    <col min="10" max="10" width="48" style="47" bestFit="1" customWidth="1" outlineLevel="1"/>
    <col min="11" max="11" width="2.5703125" customWidth="1"/>
    <col min="12" max="12" width="14.42578125" bestFit="1" customWidth="1" outlineLevel="1"/>
    <col min="13" max="13" width="19.85546875" style="3" bestFit="1" customWidth="1" outlineLevel="1"/>
    <col min="14" max="14" width="19.85546875" style="3" bestFit="1" customWidth="1"/>
    <col min="15" max="15" width="37.42578125" style="3" bestFit="1" customWidth="1" outlineLevel="1"/>
    <col min="16" max="16" width="2.5703125" customWidth="1"/>
    <col min="17" max="17" width="14.42578125" bestFit="1" customWidth="1"/>
    <col min="18" max="18" width="25.140625" customWidth="1"/>
    <col min="19" max="19" width="15.85546875" bestFit="1" customWidth="1"/>
    <col min="20" max="20" width="2.5703125" customWidth="1"/>
    <col min="21" max="21" width="14" bestFit="1" customWidth="1"/>
    <col min="22" max="22" width="13.42578125" bestFit="1" customWidth="1"/>
    <col min="23" max="23" width="17.5703125" bestFit="1" customWidth="1"/>
    <col min="24" max="24" width="18.5703125" bestFit="1" customWidth="1"/>
    <col min="25" max="25" width="10.7109375" bestFit="1" customWidth="1"/>
    <col min="26" max="26" width="20.42578125" bestFit="1" customWidth="1"/>
    <col min="27" max="27" width="20.5703125" style="5" bestFit="1" customWidth="1"/>
  </cols>
  <sheetData>
    <row r="1" spans="1:27" ht="30.75" thickBot="1">
      <c r="A1" s="22" t="s">
        <v>1</v>
      </c>
      <c r="B1" s="23" t="s">
        <v>2</v>
      </c>
      <c r="C1" s="23" t="s">
        <v>3</v>
      </c>
      <c r="D1" s="23" t="s">
        <v>22</v>
      </c>
      <c r="E1" s="23" t="s">
        <v>72</v>
      </c>
      <c r="F1" s="24" t="s">
        <v>21</v>
      </c>
      <c r="G1" s="24" t="s">
        <v>4</v>
      </c>
      <c r="H1" s="24" t="s">
        <v>50</v>
      </c>
      <c r="I1" s="24" t="s">
        <v>31</v>
      </c>
      <c r="J1" s="24" t="s">
        <v>52</v>
      </c>
      <c r="K1" s="6"/>
      <c r="L1" s="11" t="s">
        <v>1</v>
      </c>
      <c r="M1" s="12" t="s">
        <v>22</v>
      </c>
      <c r="N1" s="12" t="s">
        <v>72</v>
      </c>
      <c r="O1" s="13" t="s">
        <v>52</v>
      </c>
      <c r="P1" s="6"/>
      <c r="Q1" s="60" t="s">
        <v>1</v>
      </c>
      <c r="R1" s="61" t="s">
        <v>31</v>
      </c>
      <c r="S1" s="62" t="s">
        <v>148</v>
      </c>
      <c r="T1" s="6"/>
      <c r="U1" s="599" t="s">
        <v>1</v>
      </c>
      <c r="V1" s="599" t="s">
        <v>3</v>
      </c>
      <c r="W1" s="599" t="s">
        <v>22</v>
      </c>
      <c r="X1" s="599" t="s">
        <v>72</v>
      </c>
      <c r="Y1" s="599" t="s">
        <v>21</v>
      </c>
      <c r="Z1" s="599" t="s">
        <v>1103</v>
      </c>
      <c r="AA1" s="602" t="s">
        <v>1104</v>
      </c>
    </row>
    <row r="2" spans="1:27" ht="15.75" hidden="1" thickTop="1">
      <c r="A2" s="25" t="s">
        <v>0</v>
      </c>
      <c r="B2" s="26" t="s">
        <v>5</v>
      </c>
      <c r="C2" s="26" t="s">
        <v>12</v>
      </c>
      <c r="D2" s="26" t="str">
        <f>IF(C2="","",IFERROR(_xlfn.XLOOKUP(C2,HELPER!$A$2:$A$81,HELPER!$B$2:$B$81,""),D2))</f>
        <v>FD92PM</v>
      </c>
      <c r="E2" s="26" t="str">
        <f>IFERROR(_xlfn.XLOOKUP(D2,HELPER!$B:$B,HELPER!$C:$C,""),"")</f>
        <v>RMPM2</v>
      </c>
      <c r="F2" s="27" t="str">
        <f>IFERROR(_xlfn.XLOOKUP(D2,HELPER!$B:$B,HELPER!$D:$D,""),"")</f>
        <v>Resin 9C</v>
      </c>
      <c r="G2" s="27">
        <v>8</v>
      </c>
      <c r="H2" s="31">
        <v>0.82599999999999996</v>
      </c>
      <c r="I2" s="21">
        <f>IF(AND(H2&lt;&gt;"",IFERROR(_xlfn.XLOOKUP(D2,HELPER!$B:$B,HELPER!$E:$E,""),"")=""),"Missing price",IFERROR(_xlfn.XLOOKUP(D2,HELPER!$B:$B,HELPER!$E:$E,"")," "))</f>
        <v>6.75</v>
      </c>
      <c r="J2" s="53">
        <f>IFERROR(H2*(IF(G2=8,I2*HELPER!$G$2,BOM!I2*HELPER!$G$3))," ")</f>
        <v>1.1151</v>
      </c>
      <c r="K2" s="7"/>
      <c r="L2" s="14" t="str" cm="1">
        <f t="array" ref="L2">IFERROR(_xlfn.LET(_xlpm.films,Table4[Film],_xlpm.grades,Table4[Grade],_xlpm.pairs,_xlfn._xlws.FILTER(_xlfn.HSTACK(_xlpm.films,_xlpm.grades),(_xlpm.films&lt;&gt;"")*(TRIM(_xlpm.grades)&lt;&gt;"")),_xlpm.uniquePairs,_xlfn.UNIQUE(_xlpm.pairs),_xlpm.sortedPairs,_xlfn._xlws.SORT(_xlpm.uniquePairs,1,1),INDEX(_xlpm.sortedPairs,ROWS($L$2:L2),1)),"")</f>
        <v>301N</v>
      </c>
      <c r="M2" s="15" t="str" cm="1">
        <f t="array" ref="M2">IFERROR(_xlfn.LET(_xlpm.films,Table4[Film],_xlpm.grades,Table4[Grade],_xlpm.pairs,_xlfn._xlws.FILTER(_xlfn.HSTACK(_xlpm.films,_xlpm.grades),(_xlpm.films&lt;&gt;"")*(TRIM(_xlpm.grades)&lt;&gt;"")),_xlpm.uniquePairs,_xlfn.UNIQUE(_xlpm.pairs),_xlpm.sortedPairs,_xlfn._xlws.SORT(_xlpm.uniquePairs,1,1),INDEX(_xlpm.sortedPairs,ROWS($M$2:M2),2)),"")</f>
        <v>FD92PM</v>
      </c>
      <c r="N2" s="15" t="str" cm="1">
        <f t="array" ref="N2">IF(OR(Table2[[#This Row],[Film]]="",Table2[[#This Row],[Grade]]=""),"",IFERROR(INDEX(Table4[Serial Number],MATCH(1,(Table4[Film]=Table2[[#This Row],[Film]])*(Table4[Grade]=Table2[[#This Row],[Grade]]),0)),""))</f>
        <v>RMPM2</v>
      </c>
      <c r="O2" s="51">
        <f>IF(OR(Table2[[#This Row],[Film]]="",Table2[[#This Row],[Grade]]=""),"",SUMIFS(Table4[Price Calculated(€) Thickness &amp; QTY related],Table4[Film],Table2[[#This Row],[Film]],Table4[Grade],Table2[[#This Row],[Grade]]))</f>
        <v>6.3827999999999996</v>
      </c>
      <c r="P2" s="7"/>
      <c r="Q2" s="19" t="str" cm="1">
        <f t="array" ref="Q2">IFERROR(INDEX(Table2[Film],MATCH(0,COUNTIF($Q$1:Q1,Table2[Film])+IF(Table2[Film]="",1,0),0)),"")</f>
        <v>301N</v>
      </c>
      <c r="R2" s="56">
        <f>SUMIF(Table2[Film],"TIPA 312 MFG",Table2[Price Calculated(€) Thickness &amp; QTY related])+_xlfn.XLOOKUP("MET LUX ",HELPER!$A:$A,HELPER!$E:$E,0)</f>
        <v>5.3805880000000004</v>
      </c>
      <c r="S2" s="58">
        <f>IFERROR(R2*HELPER!$AK$2," ")</f>
        <v>6.2414820799999999</v>
      </c>
      <c r="T2" s="7"/>
      <c r="U2" s="2" t="s">
        <v>46</v>
      </c>
      <c r="V2" s="2" t="s">
        <v>19</v>
      </c>
      <c r="W2" s="2" t="s">
        <v>30</v>
      </c>
      <c r="X2" s="2" t="s">
        <v>30</v>
      </c>
      <c r="Y2" s="2" t="s">
        <v>30</v>
      </c>
      <c r="Z2" s="600" cm="1">
        <f t="array" ref="Z2">SUMPRODUCT((BOM!$A$2:$A$391=U2)*(BOM!$F$2:$F$391=Y2)*BOM!$H$2:$H$391*BOM!$G$2:$G$391)/SUMPRODUCT((BOM!$A$2:$A$391=U2)*BOM!$H$2:$H$391*BOM!$G$2:$G$391)</f>
        <v>0.25400000000000006</v>
      </c>
      <c r="AA2" s="603">
        <f>SUMIF(tblResinWeightedQty12[Film],tblResinWeightedQty12[[#This Row],[Film]],tblResinWeightedQty12[Weighted QTY %])</f>
        <v>1.0000000000000002</v>
      </c>
    </row>
    <row r="3" spans="1:27" ht="15.75" hidden="1" thickTop="1">
      <c r="A3" s="25" t="s">
        <v>0</v>
      </c>
      <c r="B3" s="26" t="s">
        <v>5</v>
      </c>
      <c r="C3" s="26" t="s">
        <v>13</v>
      </c>
      <c r="D3" s="26" t="str">
        <f>IF(C3="","",IFERROR(_xlfn.XLOOKUP(C3,HELPER!$A$2:$A$81,HELPER!$B$2:$B$81,""),D3))</f>
        <v>LX175</v>
      </c>
      <c r="E3" s="26" t="str">
        <f>IFERROR(_xlfn.XLOOKUP(D3,HELPER!$B:$B,HELPER!$C:$C,""),"")</f>
        <v>RMLX175</v>
      </c>
      <c r="F3" s="27" t="str">
        <f>IFERROR(_xlfn.XLOOKUP(D3,HELPER!$B:$B,HELPER!$D:$D,""),"")</f>
        <v>Resin 1A</v>
      </c>
      <c r="G3" s="27">
        <v>8</v>
      </c>
      <c r="H3" s="31">
        <v>0.14399999999999999</v>
      </c>
      <c r="I3" s="21">
        <f>IF(AND(H3&lt;&gt;"",IFERROR(_xlfn.XLOOKUP(D3,HELPER!$B:$B,HELPER!$E:$E,""),"")=""),"Missing price",IFERROR(_xlfn.XLOOKUP(D3,HELPER!$B:$B,HELPER!$E:$E,"")," "))</f>
        <v>3.17</v>
      </c>
      <c r="J3" s="53">
        <f>IFERROR(H3*(IF(G3=8,I3*HELPER!$G$2,BOM!I3*HELPER!$G$3))," ")</f>
        <v>9.1295999999999988E-2</v>
      </c>
      <c r="K3" s="6"/>
      <c r="L3" s="16" t="str" cm="1">
        <f t="array" ref="L3">IFERROR(_xlfn.LET(_xlpm.films,Table4[Film],_xlpm.grades,Table4[Grade],_xlpm.pairs,_xlfn._xlws.FILTER(_xlfn.HSTACK(_xlpm.films,_xlpm.grades),(_xlpm.films&lt;&gt;"")*(TRIM(_xlpm.grades)&lt;&gt;"")),_xlpm.uniquePairs,_xlfn.UNIQUE(_xlpm.pairs),_xlpm.sortedPairs,_xlfn._xlws.SORT(_xlpm.uniquePairs,1,1),INDEX(_xlpm.sortedPairs,ROWS($L$2:L3),1)),"")</f>
        <v>301N</v>
      </c>
      <c r="M3" s="17" t="str" cm="1">
        <f t="array" ref="M3">IFERROR(_xlfn.LET(_xlpm.films,Table4[Film],_xlpm.grades,Table4[Grade],_xlpm.pairs,_xlfn._xlws.FILTER(_xlfn.HSTACK(_xlpm.films,_xlpm.grades),(_xlpm.films&lt;&gt;"")*(TRIM(_xlpm.grades)&lt;&gt;"")),_xlpm.uniquePairs,_xlfn.UNIQUE(_xlpm.pairs),_xlpm.sortedPairs,_xlfn._xlws.SORT(_xlpm.uniquePairs,1,1),INDEX(_xlpm.sortedPairs,ROWS($M$2:M3),2)),"")</f>
        <v>LX175</v>
      </c>
      <c r="N3" s="17" t="str" cm="1">
        <f t="array" ref="N3">IF(OR(Table2[[#This Row],[Film]]="",Table2[[#This Row],[Grade]]=""),"",IFERROR(INDEX(Table4[Serial Number],MATCH(1,(Table4[Film]=Table2[[#This Row],[Film]])*(Table4[Grade]=Table2[[#This Row],[Grade]]),0)),""))</f>
        <v>RMLX175</v>
      </c>
      <c r="O3" s="52">
        <f>IF(OR(Table2[[#This Row],[Film]]="",Table2[[#This Row],[Grade]]=""),"",SUMIFS(Table4[Price Calculated(€) Thickness &amp; QTY related],Table4[Film],Table2[[#This Row],[Film]],Table4[Grade],Table2[[#This Row],[Grade]]))</f>
        <v>1.032786</v>
      </c>
      <c r="P3" s="6"/>
      <c r="Q3" s="20" t="str" cm="1">
        <f t="array" ref="Q3">IFERROR(INDEX(Table2[Film],MATCH(0,COUNTIF($Q$1:Q2,Table2[Film])+IF(Table2[Film]="",1,0),0)),"")</f>
        <v>mediane check</v>
      </c>
      <c r="R3" s="57">
        <f>SUMIF(Table2[Film],"TIPA 312 MFG",Table2[Price Calculated(€) Thickness &amp; QTY related])+_xlfn.XLOOKUP("MET LUX ",HELPER!$A:$A,HELPER!$E:$E,0)</f>
        <v>5.3805880000000004</v>
      </c>
      <c r="S3" s="59">
        <f>IFERROR(R3*HELPER!$AK$2," ")</f>
        <v>6.2414820799999999</v>
      </c>
      <c r="T3" s="6"/>
      <c r="U3" s="2" t="s">
        <v>46</v>
      </c>
      <c r="V3" s="2" t="s">
        <v>13</v>
      </c>
      <c r="W3" s="2" t="s">
        <v>73</v>
      </c>
      <c r="X3" s="2" t="s">
        <v>74</v>
      </c>
      <c r="Y3" s="2" t="s">
        <v>33</v>
      </c>
      <c r="Z3" s="600" cm="1">
        <f t="array" ref="Z3">SUMPRODUCT((BOM!$A$2:$A$391=U3)*(BOM!$F$2:$F$391=Y3)*BOM!$H$2:$H$391*BOM!$G$2:$G$391)/SUMPRODUCT((BOM!$A$2:$A$391=U3)*BOM!$H$2:$H$391*BOM!$G$2:$G$391)</f>
        <v>8.5199999999999998E-2</v>
      </c>
      <c r="AA3" s="603">
        <f>SUMIF(tblResinWeightedQty12[Film],tblResinWeightedQty12[[#This Row],[Film]],tblResinWeightedQty12[Weighted QTY %])</f>
        <v>1.0000000000000002</v>
      </c>
    </row>
    <row r="4" spans="1:27" ht="15.75" hidden="1" thickTop="1">
      <c r="A4" s="25" t="s">
        <v>0</v>
      </c>
      <c r="B4" s="26" t="s">
        <v>5</v>
      </c>
      <c r="C4" s="26" t="s">
        <v>18</v>
      </c>
      <c r="D4" s="26" t="str">
        <f>IF(C4="","",IFERROR(_xlfn.XLOOKUP(C4,HELPER!$A$2:$A$81,HELPER!$B$2:$B$81,""),D4))</f>
        <v>KAB59A</v>
      </c>
      <c r="E4" s="26" t="str">
        <f>IFERROR(_xlfn.XLOOKUP(D4,HELPER!$B:$B,HELPER!$C:$C,""),"")</f>
        <v>RM A KAB59A</v>
      </c>
      <c r="F4" s="27" t="str">
        <f>IFERROR(_xlfn.XLOOKUP(D4,HELPER!$B:$B,HELPER!$D:$D,""),"")</f>
        <v>Resin 8</v>
      </c>
      <c r="G4" s="27">
        <v>8</v>
      </c>
      <c r="H4" s="31">
        <v>1.4999999999999999E-2</v>
      </c>
      <c r="I4" s="21">
        <f>IF(AND(H4&lt;&gt;"",IFERROR(_xlfn.XLOOKUP(D4,HELPER!$B:$B,HELPER!$E:$E,""),"")=""),"Missing price",IFERROR(_xlfn.XLOOKUP(D4,HELPER!$B:$B,HELPER!$E:$E,"")," "))</f>
        <v>7.55</v>
      </c>
      <c r="J4" s="53">
        <f>IFERROR(H4*(IF(G4=8,I4*HELPER!$G$2,BOM!I4*HELPER!$G$3))," ")</f>
        <v>2.265E-2</v>
      </c>
      <c r="K4" s="6"/>
      <c r="L4" s="14" t="str" cm="1">
        <f t="array" ref="L4">IFERROR(_xlfn.LET(_xlpm.films,Table4[Film],_xlpm.grades,Table4[Grade],_xlpm.pairs,_xlfn._xlws.FILTER(_xlfn.HSTACK(_xlpm.films,_xlpm.grades),(_xlpm.films&lt;&gt;"")*(TRIM(_xlpm.grades)&lt;&gt;"")),_xlpm.uniquePairs,_xlfn.UNIQUE(_xlpm.pairs),_xlpm.sortedPairs,_xlfn._xlws.SORT(_xlpm.uniquePairs,1,1),INDEX(_xlpm.sortedPairs,ROWS($L$2:L4),1)),"")</f>
        <v>301N</v>
      </c>
      <c r="M4" s="15" t="str" cm="1">
        <f t="array" ref="M4">IFERROR(_xlfn.LET(_xlpm.films,Table4[Film],_xlpm.grades,Table4[Grade],_xlpm.pairs,_xlfn._xlws.FILTER(_xlfn.HSTACK(_xlpm.films,_xlpm.grades),(_xlpm.films&lt;&gt;"")*(TRIM(_xlpm.grades)&lt;&gt;"")),_xlpm.uniquePairs,_xlfn.UNIQUE(_xlpm.pairs),_xlpm.sortedPairs,_xlfn._xlws.SORT(_xlpm.uniquePairs,1,1),INDEX(_xlpm.sortedPairs,ROWS($M$2:M4),2)),"")</f>
        <v>KAB59A</v>
      </c>
      <c r="N4" s="15" t="str" cm="1">
        <f t="array" ref="N4">IF(OR(Table2[[#This Row],[Film]]="",Table2[[#This Row],[Grade]]=""),"",IFERROR(INDEX(Table4[Serial Number],MATCH(1,(Table4[Film]=Table2[[#This Row],[Film]])*(Table4[Grade]=Table2[[#This Row],[Grade]]),0)),""))</f>
        <v>RM A KAB59A</v>
      </c>
      <c r="O4" s="51">
        <f>IF(OR(Table2[[#This Row],[Film]]="",Table2[[#This Row],[Grade]]=""),"",SUMIFS(Table4[Price Calculated(€) Thickness &amp; QTY related],Table4[Film],Table2[[#This Row],[Film]],Table4[Grade],Table2[[#This Row],[Grade]]))</f>
        <v>0.13589999999999997</v>
      </c>
      <c r="P4" s="6"/>
      <c r="Q4" s="19" t="str" cm="1">
        <f t="array" ref="Q4">IFERROR(INDEX(Table2[Film],MATCH(0,COUNTIF($Q$1:Q3,Table2[Film])+IF(Table2[Film]="",1,0),0)),"")</f>
        <v>PL202.1</v>
      </c>
      <c r="R4" s="56">
        <f>SUMIF(Table2[Film],"TIPA 312 MFG",Table2[Price Calculated(€) Thickness &amp; QTY related])+_xlfn.XLOOKUP("MET LUX ",HELPER!$A:$A,HELPER!$E:$E,0)</f>
        <v>5.3805880000000004</v>
      </c>
      <c r="S4" s="58">
        <f>IFERROR(R4*HELPER!$AK$2," ")</f>
        <v>6.2414820799999999</v>
      </c>
      <c r="T4" s="6"/>
      <c r="U4" s="2" t="s">
        <v>46</v>
      </c>
      <c r="V4" s="2" t="s">
        <v>14</v>
      </c>
      <c r="W4" s="2" t="s">
        <v>23</v>
      </c>
      <c r="X4" s="2" t="s">
        <v>76</v>
      </c>
      <c r="Y4" s="2" t="s">
        <v>35</v>
      </c>
      <c r="Z4" s="600" cm="1">
        <f t="array" ref="Z4">SUMPRODUCT((BOM!$A$2:$A$391=U4)*(BOM!$F$2:$F$391=Y4)*BOM!$H$2:$H$391*BOM!$G$2:$G$391)/SUMPRODUCT((BOM!$A$2:$A$391=U4)*BOM!$H$2:$H$391*BOM!$G$2:$G$391)</f>
        <v>0.13800000000000001</v>
      </c>
      <c r="AA4" s="603">
        <f>SUMIF(tblResinWeightedQty12[Film],tblResinWeightedQty12[[#This Row],[Film]],tblResinWeightedQty12[Weighted QTY %])</f>
        <v>1.0000000000000002</v>
      </c>
    </row>
    <row r="5" spans="1:27" ht="15.75" hidden="1" thickTop="1">
      <c r="A5" s="25" t="s">
        <v>0</v>
      </c>
      <c r="B5" s="26" t="s">
        <v>5</v>
      </c>
      <c r="C5" s="26" t="s">
        <v>16</v>
      </c>
      <c r="D5" s="26" t="str">
        <f>IF(C5="","",IFERROR(_xlfn.XLOOKUP(C5,HELPER!$A$2:$A$81,HELPER!$B$2:$B$81,""),D5))</f>
        <v>S723</v>
      </c>
      <c r="E5" s="26" t="str">
        <f>IFERROR(_xlfn.XLOOKUP(D5,HELPER!$B:$B,HELPER!$C:$C,""),"")</f>
        <v>RM TA45-08 S723</v>
      </c>
      <c r="F5" s="27" t="str">
        <f>IFERROR(_xlfn.XLOOKUP(D5,HELPER!$B:$B,HELPER!$D:$D,""),"")</f>
        <v>Resin 6</v>
      </c>
      <c r="G5" s="27">
        <v>8</v>
      </c>
      <c r="H5" s="31">
        <v>1.4999999999999999E-2</v>
      </c>
      <c r="I5" s="21">
        <f>IF(AND(H5&lt;&gt;"",IFERROR(_xlfn.XLOOKUP(D5,HELPER!$B:$B,HELPER!$E:$E,""),"")=""),"Missing price",IFERROR(_xlfn.XLOOKUP(D5,HELPER!$B:$B,HELPER!$E:$E,"")," "))</f>
        <v>16.16</v>
      </c>
      <c r="J5" s="53">
        <f>IFERROR(H5*(IF(G5=8,I5*HELPER!$G$2,BOM!I5*HELPER!$G$3))," ")</f>
        <v>4.8480000000000002E-2</v>
      </c>
      <c r="K5" s="6"/>
      <c r="L5" s="16" t="str" cm="1">
        <f t="array" ref="L5">IFERROR(_xlfn.LET(_xlpm.films,Table4[Film],_xlpm.grades,Table4[Grade],_xlpm.pairs,_xlfn._xlws.FILTER(_xlfn.HSTACK(_xlpm.films,_xlpm.grades),(_xlpm.films&lt;&gt;"")*(TRIM(_xlpm.grades)&lt;&gt;"")),_xlpm.uniquePairs,_xlfn.UNIQUE(_xlpm.pairs),_xlpm.sortedPairs,_xlfn._xlws.SORT(_xlpm.uniquePairs,1,1),INDEX(_xlpm.sortedPairs,ROWS($L$2:L5),1)),"")</f>
        <v>301N</v>
      </c>
      <c r="M5" s="17" t="str" cm="1">
        <f t="array" ref="M5">IFERROR(_xlfn.LET(_xlpm.films,Table4[Film],_xlpm.grades,Table4[Grade],_xlpm.pairs,_xlfn._xlws.FILTER(_xlfn.HSTACK(_xlpm.films,_xlpm.grades),(_xlpm.films&lt;&gt;"")*(TRIM(_xlpm.grades)&lt;&gt;"")),_xlpm.uniquePairs,_xlfn.UNIQUE(_xlpm.pairs),_xlpm.sortedPairs,_xlfn._xlws.SORT(_xlpm.uniquePairs,1,1),INDEX(_xlpm.sortedPairs,ROWS($M$2:M5),2)),"")</f>
        <v>S723</v>
      </c>
      <c r="N5" s="17" t="str" cm="1">
        <f t="array" ref="N5">IF(OR(Table2[[#This Row],[Film]]="",Table2[[#This Row],[Grade]]=""),"",IFERROR(INDEX(Table4[Serial Number],MATCH(1,(Table4[Film]=Table2[[#This Row],[Film]])*(Table4[Grade]=Table2[[#This Row],[Grade]]),0)),""))</f>
        <v>RM TA45-08 S723</v>
      </c>
      <c r="O5" s="52">
        <f>IF(OR(Table2[[#This Row],[Film]]="",Table2[[#This Row],[Grade]]=""),"",SUMIFS(Table4[Price Calculated(€) Thickness &amp; QTY related],Table4[Film],Table2[[#This Row],[Film]],Table4[Grade],Table2[[#This Row],[Grade]]))</f>
        <v>0.72719999999999996</v>
      </c>
      <c r="P5" s="6"/>
      <c r="Q5" s="20" t="str" cm="1">
        <f t="array" ref="Q5">IFERROR(INDEX(Table2[Film],MATCH(0,COUNTIF($Q$1:Q4,Table2[Film])+IF(Table2[Film]="",1,0),0)),"")</f>
        <v>PL202.2</v>
      </c>
      <c r="R5" s="57">
        <f>SUMIF(Table2[Film],"TIPA 312 MFG",Table2[Price Calculated(€) Thickness &amp; QTY related])+_xlfn.XLOOKUP("MET LUX ",HELPER!$A:$A,HELPER!$E:$E,0)</f>
        <v>5.3805880000000004</v>
      </c>
      <c r="S5" s="59">
        <f>IFERROR(R5*HELPER!$AK$2," ")</f>
        <v>6.2414820799999999</v>
      </c>
      <c r="T5" s="6"/>
      <c r="U5" s="2" t="s">
        <v>46</v>
      </c>
      <c r="V5" s="2" t="s">
        <v>16</v>
      </c>
      <c r="W5" s="2" t="s">
        <v>10</v>
      </c>
      <c r="X5" s="2" t="s">
        <v>80</v>
      </c>
      <c r="Y5" s="2" t="s">
        <v>38</v>
      </c>
      <c r="Z5" s="600" cm="1">
        <f t="array" ref="Z5">SUMPRODUCT((BOM!$A$2:$A$391=U5)*(BOM!$F$2:$F$391=Y5)*BOM!$H$2:$H$391*BOM!$G$2:$G$391)/SUMPRODUCT((BOM!$A$2:$A$391=U5)*BOM!$H$2:$H$391*BOM!$G$2:$G$391)</f>
        <v>2.0000000000000004E-2</v>
      </c>
      <c r="AA5" s="603">
        <f>SUMIF(tblResinWeightedQty12[Film],tblResinWeightedQty12[[#This Row],[Film]],tblResinWeightedQty12[Weighted QTY %])</f>
        <v>1.0000000000000002</v>
      </c>
    </row>
    <row r="6" spans="1:27" ht="15.75" hidden="1" thickTop="1">
      <c r="A6" s="25" t="s">
        <v>0</v>
      </c>
      <c r="B6" s="26" t="s">
        <v>5</v>
      </c>
      <c r="C6" s="28"/>
      <c r="D6" s="28" t="str">
        <f>IF(C6="","",IFERROR(_xlfn.XLOOKUP(C6,HELPER!$A$2:$A$81,HELPER!$B$2:$B$81,""),D6))</f>
        <v/>
      </c>
      <c r="E6" s="28" t="str">
        <f>IFERROR(_xlfn.XLOOKUP(D6,HELPER!$B:$B,HELPER!$C:$C,""),"")</f>
        <v/>
      </c>
      <c r="F6" s="30" t="str">
        <f>IFERROR(_xlfn.XLOOKUP(D6,HELPER!$B:$B,HELPER!$D:$D,""),"")</f>
        <v/>
      </c>
      <c r="G6" s="27">
        <v>8</v>
      </c>
      <c r="H6" s="31"/>
      <c r="I6" s="21" t="str">
        <f>IF(AND(H6&lt;&gt;"",IFERROR(_xlfn.XLOOKUP(D6,HELPER!$B:$B,HELPER!$E:$E,""),"")=""),"Missing price",IFERROR(_xlfn.XLOOKUP(D6,HELPER!$B:$B,HELPER!$E:$E,"")," "))</f>
        <v/>
      </c>
      <c r="J6" s="53" t="str">
        <f>IFERROR(H6*(IF(G6=8,I6*HELPER!$G$2,BOM!I6*HELPER!$G$3))," ")</f>
        <v xml:space="preserve"> </v>
      </c>
      <c r="K6" s="6"/>
      <c r="L6" s="14" t="str" cm="1">
        <f t="array" ref="L6">IFERROR(_xlfn.LET(_xlpm.films,Table4[Film],_xlpm.grades,Table4[Grade],_xlpm.pairs,_xlfn._xlws.FILTER(_xlfn.HSTACK(_xlpm.films,_xlpm.grades),(_xlpm.films&lt;&gt;"")*(TRIM(_xlpm.grades)&lt;&gt;"")),_xlpm.uniquePairs,_xlfn.UNIQUE(_xlpm.pairs),_xlpm.sortedPairs,_xlfn._xlws.SORT(_xlpm.uniquePairs,1,1),INDEX(_xlpm.sortedPairs,ROWS($L$2:L6),1)),"")</f>
        <v>301N</v>
      </c>
      <c r="M6" s="15" t="str" cm="1">
        <f t="array" ref="M6">IFERROR(_xlfn.LET(_xlpm.films,Table4[Film],_xlpm.grades,Table4[Grade],_xlpm.pairs,_xlfn._xlws.FILTER(_xlfn.HSTACK(_xlpm.films,_xlpm.grades),(_xlpm.films&lt;&gt;"")*(TRIM(_xlpm.grades)&lt;&gt;"")),_xlpm.uniquePairs,_xlfn.UNIQUE(_xlpm.pairs),_xlpm.sortedPairs,_xlfn._xlws.SORT(_xlpm.uniquePairs,1,1),INDEX(_xlpm.sortedPairs,ROWS($M$2:M6),2)),"")</f>
        <v>S724</v>
      </c>
      <c r="N6" s="15" t="str" cm="1">
        <f t="array" ref="N6">IF(OR(Table2[[#This Row],[Film]]="",Table2[[#This Row],[Grade]]=""),"",IFERROR(INDEX(Table4[Serial Number],MATCH(1,(Table4[Film]=Table2[[#This Row],[Film]])*(Table4[Grade]=Table2[[#This Row],[Grade]]),0)),""))</f>
        <v>RM TA45-08 S724</v>
      </c>
      <c r="O6" s="51">
        <f>IF(OR(Table2[[#This Row],[Film]]="",Table2[[#This Row],[Grade]]=""),"",SUMIFS(Table4[Price Calculated(€) Thickness &amp; QTY related],Table4[Film],Table2[[#This Row],[Film]],Table4[Grade],Table2[[#This Row],[Grade]]))</f>
        <v>0.75851999999999986</v>
      </c>
      <c r="P6" s="6"/>
      <c r="Q6" s="19" t="str" cm="1">
        <f t="array" ref="Q6">IFERROR(INDEX(Table2[Film],MATCH(0,COUNTIF($Q$1:Q5,Table2[Film])+IF(Table2[Film]="",1,0),0)),"")</f>
        <v>PL202.3</v>
      </c>
      <c r="R6" s="56">
        <f>SUMIF(Table2[Film],"TIPA 312 MFG",Table2[Price Calculated(€) Thickness &amp; QTY related])+_xlfn.XLOOKUP("MET LUX ",HELPER!$A:$A,HELPER!$E:$E,0)</f>
        <v>5.3805880000000004</v>
      </c>
      <c r="S6" s="58">
        <f>IFERROR(R6*HELPER!$AK$2," ")</f>
        <v>6.2414820799999999</v>
      </c>
      <c r="T6" s="6"/>
      <c r="U6" s="2" t="s">
        <v>46</v>
      </c>
      <c r="V6" s="2" t="s">
        <v>17</v>
      </c>
      <c r="W6" s="2" t="s">
        <v>11</v>
      </c>
      <c r="X6" s="2" t="s">
        <v>81</v>
      </c>
      <c r="Y6" s="2" t="s">
        <v>39</v>
      </c>
      <c r="Z6" s="600" cm="1">
        <f t="array" ref="Z6">SUMPRODUCT((BOM!$A$2:$A$391=U6)*(BOM!$F$2:$F$391=Y6)*BOM!$H$2:$H$391*BOM!$G$2:$G$391)/SUMPRODUCT((BOM!$A$2:$A$391=U6)*BOM!$H$2:$H$391*BOM!$G$2:$G$391)</f>
        <v>1.2000000000000002E-2</v>
      </c>
      <c r="AA6" s="603">
        <f>SUMIF(tblResinWeightedQty12[Film],tblResinWeightedQty12[[#This Row],[Film]],tblResinWeightedQty12[Weighted QTY %])</f>
        <v>1.0000000000000002</v>
      </c>
    </row>
    <row r="7" spans="1:27" ht="15.75" hidden="1" thickTop="1">
      <c r="A7" s="25" t="s">
        <v>0</v>
      </c>
      <c r="B7" s="26" t="s">
        <v>5</v>
      </c>
      <c r="C7" s="28"/>
      <c r="D7" s="28" t="str">
        <f>IF(C7="","",IFERROR(_xlfn.XLOOKUP(C7,HELPER!$A$2:$A$81,HELPER!$B$2:$B$81,""),D7))</f>
        <v/>
      </c>
      <c r="E7" s="28" t="str">
        <f>IFERROR(_xlfn.XLOOKUP(D7,HELPER!$B:$B,HELPER!$C:$C,""),"")</f>
        <v/>
      </c>
      <c r="F7" s="27" t="str">
        <f>IFERROR(_xlfn.XLOOKUP(D7,HELPER!$B:$B,HELPER!$D:$D,""),"")</f>
        <v/>
      </c>
      <c r="G7" s="27">
        <v>8</v>
      </c>
      <c r="H7" s="31"/>
      <c r="I7" s="21" t="str">
        <f>IF(AND(H7&lt;&gt;"",IFERROR(_xlfn.XLOOKUP(D7,HELPER!$B:$B,HELPER!$E:$E,""),"")=""),"Missing price",IFERROR(_xlfn.XLOOKUP(D7,HELPER!$B:$B,HELPER!$E:$E,"")," "))</f>
        <v/>
      </c>
      <c r="J7" s="53" t="str">
        <f>IFERROR(H7*(IF(G7=8,I7*HELPER!$G$2,BOM!I7*HELPER!$G$3))," ")</f>
        <v xml:space="preserve"> </v>
      </c>
      <c r="K7" s="6"/>
      <c r="L7" s="14" t="str" cm="1">
        <f t="array" ref="L7">IFERROR(_xlfn.LET(_xlpm.films,Table4[Film],_xlpm.grades,Table4[Grade],_xlpm.pairs,_xlfn._xlws.FILTER(_xlfn.HSTACK(_xlpm.films,_xlpm.grades),(_xlpm.films&lt;&gt;"")*(TRIM(_xlpm.grades)&lt;&gt;"")),_xlpm.uniquePairs,_xlfn.UNIQUE(_xlpm.pairs),_xlpm.sortedPairs,_xlfn._xlws.SORT(_xlpm.uniquePairs,1,1),INDEX(_xlpm.sortedPairs,ROWS($L$2:L7),1)),"")</f>
        <v>301N</v>
      </c>
      <c r="M7" s="15" t="str" cm="1">
        <f t="array" ref="M7">IFERROR(_xlfn.LET(_xlpm.films,Table4[Film],_xlpm.grades,Table4[Grade],_xlpm.pairs,_xlfn._xlws.FILTER(_xlfn.HSTACK(_xlpm.films,_xlpm.grades),(_xlpm.films&lt;&gt;"")*(TRIM(_xlpm.grades)&lt;&gt;"")),_xlpm.uniquePairs,_xlfn.UNIQUE(_xlpm.pairs),_xlpm.sortedPairs,_xlfn._xlws.SORT(_xlpm.uniquePairs,1,1),INDEX(_xlpm.sortedPairs,ROWS($M$2:M7),2)),"")</f>
        <v>B12</v>
      </c>
      <c r="N7" s="15" t="str" cm="1">
        <f t="array" ref="N7">IF(OR(Table2[[#This Row],[Film]]="",Table2[[#This Row],[Grade]]=""),"",IFERROR(INDEX(Table4[Serial Number],MATCH(1,(Table4[Film]=Table2[[#This Row],[Film]])*(Table4[Grade]=Table2[[#This Row],[Grade]]),0)),""))</f>
        <v>RMB12</v>
      </c>
      <c r="O7" s="51">
        <f>IF(OR(Table2[[#This Row],[Film]]="",Table2[[#This Row],[Grade]]=""),"",SUMIFS(Table4[Price Calculated(€) Thickness &amp; QTY related],Table4[Film],Table2[[#This Row],[Film]],Table4[Grade],Table2[[#This Row],[Grade]]))</f>
        <v>2.1394200000000003</v>
      </c>
      <c r="P7" s="6"/>
      <c r="Q7" s="20" t="str" cm="1">
        <f t="array" ref="Q7">IFERROR(INDEX(Table2[Film],MATCH(0,COUNTIF($Q$1:Q6,Table2[Film])+IF(Table2[Film]="",1,0),0)),"")</f>
        <v>TIPA 302FG</v>
      </c>
      <c r="R7" s="57">
        <f>SUMIF(Table2[Film],"TIPA 312 MFG",Table2[Price Calculated(€) Thickness &amp; QTY related])+_xlfn.XLOOKUP("MET LUX ",HELPER!$A:$A,HELPER!$E:$E,0)</f>
        <v>5.3805880000000004</v>
      </c>
      <c r="S7" s="59">
        <f>IFERROR(R7*HELPER!$AK$2," ")</f>
        <v>6.2414820799999999</v>
      </c>
      <c r="T7" s="6"/>
      <c r="U7" s="2" t="s">
        <v>46</v>
      </c>
      <c r="V7" s="2" t="s">
        <v>18</v>
      </c>
      <c r="W7" s="2" t="s">
        <v>9</v>
      </c>
      <c r="X7" s="2" t="s">
        <v>82</v>
      </c>
      <c r="Y7" s="2" t="s">
        <v>40</v>
      </c>
      <c r="Z7" s="600" cm="1">
        <f t="array" ref="Z7">SUMPRODUCT((BOM!$A$2:$A$391=U7)*(BOM!$F$2:$F$391=Y7)*BOM!$H$2:$H$391*BOM!$G$2:$G$391)/SUMPRODUCT((BOM!$A$2:$A$391=U7)*BOM!$H$2:$H$391*BOM!$G$2:$G$391)</f>
        <v>9.0000000000000011E-3</v>
      </c>
      <c r="AA7" s="603">
        <f>SUMIF(tblResinWeightedQty12[Film],tblResinWeightedQty12[[#This Row],[Film]],tblResinWeightedQty12[Weighted QTY %])</f>
        <v>1.0000000000000002</v>
      </c>
    </row>
    <row r="8" spans="1:27" ht="15.75" hidden="1" thickTop="1">
      <c r="A8" s="25" t="s">
        <v>0</v>
      </c>
      <c r="B8" s="26" t="s">
        <v>5</v>
      </c>
      <c r="C8" s="28"/>
      <c r="D8" s="28" t="str">
        <f>IF(C8="","",IFERROR(_xlfn.XLOOKUP(C8,HELPER!$A$2:$A$81,HELPER!$B$2:$B$81,""),D8))</f>
        <v/>
      </c>
      <c r="E8" s="28" t="str">
        <f>IFERROR(_xlfn.XLOOKUP(D8,HELPER!$B:$B,HELPER!$C:$C,""),"")</f>
        <v/>
      </c>
      <c r="F8" s="27" t="str">
        <f>IFERROR(_xlfn.XLOOKUP(D8,HELPER!$B:$B,HELPER!$D:$D,""),"")</f>
        <v/>
      </c>
      <c r="G8" s="27">
        <v>8</v>
      </c>
      <c r="H8" s="31"/>
      <c r="I8" s="21" t="str">
        <f>IF(AND(H8&lt;&gt;"",IFERROR(_xlfn.XLOOKUP(D8,HELPER!$B:$B,HELPER!$E:$E,""),"")=""),"Missing price",IFERROR(_xlfn.XLOOKUP(D8,HELPER!$B:$B,HELPER!$E:$E,"")," "))</f>
        <v/>
      </c>
      <c r="J8" s="53" t="str">
        <f>IFERROR(H8*(IF(G8=8,I8*HELPER!$G$2,BOM!I8*HELPER!$G$3))," ")</f>
        <v xml:space="preserve"> </v>
      </c>
      <c r="K8" s="6"/>
      <c r="L8" s="16" t="str" cm="1">
        <f t="array" ref="L8">IFERROR(_xlfn.LET(_xlpm.films,Table4[Film],_xlpm.grades,Table4[Grade],_xlpm.pairs,_xlfn._xlws.FILTER(_xlfn.HSTACK(_xlpm.films,_xlpm.grades),(_xlpm.films&lt;&gt;"")*(TRIM(_xlpm.grades)&lt;&gt;"")),_xlpm.uniquePairs,_xlfn.UNIQUE(_xlpm.pairs),_xlpm.sortedPairs,_xlfn._xlws.SORT(_xlpm.uniquePairs,1,1),INDEX(_xlpm.sortedPairs,ROWS($L$2:L8),1)),"")</f>
        <v>301N</v>
      </c>
      <c r="M8" s="17" t="str" cm="1">
        <f t="array" ref="M8">IFERROR(_xlfn.LET(_xlpm.films,Table4[Film],_xlpm.grades,Table4[Grade],_xlpm.pairs,_xlfn._xlws.FILTER(_xlfn.HSTACK(_xlpm.films,_xlpm.grades),(_xlpm.films&lt;&gt;"")*(TRIM(_xlpm.grades)&lt;&gt;"")),_xlpm.uniquePairs,_xlfn.UNIQUE(_xlpm.pairs),_xlpm.sortedPairs,_xlfn._xlws.SORT(_xlpm.uniquePairs,1,1),INDEX(_xlpm.sortedPairs,ROWS($M$2:M8),2)),"")</f>
        <v>P65D</v>
      </c>
      <c r="N8" s="17" t="str" cm="1">
        <f t="array" ref="N8">IF(OR(Table2[[#This Row],[Film]]="",Table2[[#This Row],[Grade]]=""),"",IFERROR(INDEX(Table4[Serial Number],MATCH(1,(Table4[Film]=Table2[[#This Row],[Film]])*(Table4[Grade]=Table2[[#This Row],[Grade]]),0)),""))</f>
        <v>RMP65D</v>
      </c>
      <c r="O8" s="52">
        <f>IF(OR(Table2[[#This Row],[Film]]="",Table2[[#This Row],[Grade]]=""),"",SUMIFS(Table4[Price Calculated(€) Thickness &amp; QTY related],Table4[Film],Table2[[#This Row],[Film]],Table4[Grade],Table2[[#This Row],[Grade]]))</f>
        <v>0.83219999999999994</v>
      </c>
      <c r="P8" s="6"/>
      <c r="Q8" s="19" t="str" cm="1">
        <f t="array" ref="Q8">IFERROR(INDEX(Table2[Film],MATCH(0,COUNTIF($Q$1:Q7,Table2[Film])+IF(Table2[Film]="",1,0),0)),"")</f>
        <v>TIPA 302FG W</v>
      </c>
      <c r="R8" s="56">
        <f>SUMIF(Table2[Film],"TIPA 312 MFG",Table2[Price Calculated(€) Thickness &amp; QTY related])+_xlfn.XLOOKUP("MET LUX ",HELPER!$A:$A,HELPER!$E:$E,0)</f>
        <v>5.3805880000000004</v>
      </c>
      <c r="S8" s="58">
        <f>IFERROR(R8*HELPER!$AK$2," ")</f>
        <v>6.2414820799999999</v>
      </c>
      <c r="T8" s="6"/>
      <c r="U8" s="2" t="s">
        <v>46</v>
      </c>
      <c r="V8" s="2" t="s">
        <v>12</v>
      </c>
      <c r="W8" s="2" t="s">
        <v>8</v>
      </c>
      <c r="X8" s="2" t="s">
        <v>83</v>
      </c>
      <c r="Y8" s="2" t="s">
        <v>42</v>
      </c>
      <c r="Z8" s="600" cm="1">
        <f t="array" ref="Z8">SUMPRODUCT((BOM!$A$2:$A$391=U8)*(BOM!$F$2:$F$391=Y8)*BOM!$H$2:$H$391*BOM!$G$2:$G$391)/SUMPRODUCT((BOM!$A$2:$A$391=U8)*BOM!$H$2:$H$391*BOM!$G$2:$G$391)</f>
        <v>0.48180000000000012</v>
      </c>
      <c r="AA8" s="603">
        <f>SUMIF(tblResinWeightedQty12[Film],tblResinWeightedQty12[[#This Row],[Film]],tblResinWeightedQty12[Weighted QTY %])</f>
        <v>1.0000000000000002</v>
      </c>
    </row>
    <row r="9" spans="1:27" ht="15.75" hidden="1" thickTop="1">
      <c r="A9" s="25" t="s">
        <v>0</v>
      </c>
      <c r="B9" s="26" t="s">
        <v>5</v>
      </c>
      <c r="C9" s="28"/>
      <c r="D9" s="28" t="str">
        <f>IF(C9="","",IFERROR(_xlfn.XLOOKUP(C9,HELPER!$A$2:$A$81,HELPER!$B$2:$B$81,""),D9))</f>
        <v/>
      </c>
      <c r="E9" s="28" t="str">
        <f>IFERROR(_xlfn.XLOOKUP(D9,HELPER!$B:$B,HELPER!$C:$C,""),"")</f>
        <v/>
      </c>
      <c r="F9" s="27" t="str">
        <f>IFERROR(_xlfn.XLOOKUP(D9,HELPER!$B:$B,HELPER!$D:$D,""),"")</f>
        <v/>
      </c>
      <c r="G9" s="27">
        <v>8</v>
      </c>
      <c r="H9" s="31"/>
      <c r="I9" s="21" t="str">
        <f>IF(AND(H9&lt;&gt;"",IFERROR(_xlfn.XLOOKUP(D9,HELPER!$B:$B,HELPER!$E:$E,""),"")=""),"Missing price",IFERROR(_xlfn.XLOOKUP(D9,HELPER!$B:$B,HELPER!$E:$E,"")," "))</f>
        <v/>
      </c>
      <c r="J9" s="53" t="str">
        <f>IFERROR(H9*(IF(G9=8,I9*HELPER!$G$2,BOM!I9*HELPER!$G$3))," ")</f>
        <v xml:space="preserve"> </v>
      </c>
      <c r="K9" s="6"/>
      <c r="L9" s="14" t="str" cm="1">
        <f t="array" ref="L9">IFERROR(_xlfn.LET(_xlpm.films,Table4[Film],_xlpm.grades,Table4[Grade],_xlpm.pairs,_xlfn._xlws.FILTER(_xlfn.HSTACK(_xlpm.films,_xlpm.grades),(_xlpm.films&lt;&gt;"")*(TRIM(_xlpm.grades)&lt;&gt;"")),_xlpm.uniquePairs,_xlfn.UNIQUE(_xlpm.pairs),_xlpm.sortedPairs,_xlfn._xlws.SORT(_xlpm.uniquePairs,1,1),INDEX(_xlpm.sortedPairs,ROWS($L$2:L9),1)),"")</f>
        <v>mediane check</v>
      </c>
      <c r="M9" s="15" t="str" cm="1">
        <f t="array" ref="M9">IFERROR(_xlfn.LET(_xlpm.films,Table4[Film],_xlpm.grades,Table4[Grade],_xlpm.pairs,_xlfn._xlws.FILTER(_xlfn.HSTACK(_xlpm.films,_xlpm.grades),(_xlpm.films&lt;&gt;"")*(TRIM(_xlpm.grades)&lt;&gt;"")),_xlpm.uniquePairs,_xlfn.UNIQUE(_xlpm.pairs),_xlpm.sortedPairs,_xlfn._xlws.SORT(_xlpm.uniquePairs,1,1),INDEX(_xlpm.sortedPairs,ROWS($M$2:M9),2)),"")</f>
        <v>S723</v>
      </c>
      <c r="N9" s="15" t="str" cm="1">
        <f t="array" ref="N9">IF(OR(Table2[[#This Row],[Film]]="",Table2[[#This Row],[Grade]]=""),"",IFERROR(INDEX(Table4[Serial Number],MATCH(1,(Table4[Film]=Table2[[#This Row],[Film]])*(Table4[Grade]=Table2[[#This Row],[Grade]]),0)),""))</f>
        <v>RM TA45-08 S723</v>
      </c>
      <c r="O9" s="51">
        <f>IF(OR(Table2[[#This Row],[Film]]="",Table2[[#This Row],[Grade]]=""),"",SUMIFS(Table4[Price Calculated(€) Thickness &amp; QTY related],Table4[Film],Table2[[#This Row],[Film]],Table4[Grade],Table2[[#This Row],[Grade]]))</f>
        <v>0.16483200000000001</v>
      </c>
      <c r="P9" s="6"/>
      <c r="Q9" s="20" t="str" cm="1">
        <f t="array" ref="Q9">IFERROR(INDEX(Table2[Film],MATCH(0,COUNTIF($Q$1:Q8,Table2[Film])+IF(Table2[Film]="",1,0),0)),"")</f>
        <v>TIPA 306M</v>
      </c>
      <c r="R9" s="57">
        <f>SUMIF(Table2[Film],"TIPA 312 MFG",Table2[Price Calculated(€) Thickness &amp; QTY related])+_xlfn.XLOOKUP("MET LUX ",HELPER!$A:$A,HELPER!$E:$E,0)</f>
        <v>5.3805880000000004</v>
      </c>
      <c r="S9" s="59">
        <f>IFERROR(R9*HELPER!$AK$2," ")</f>
        <v>6.2414820799999999</v>
      </c>
      <c r="T9" s="6"/>
      <c r="U9" s="2" t="s">
        <v>47</v>
      </c>
      <c r="V9" s="2" t="s">
        <v>19</v>
      </c>
      <c r="W9" s="2" t="s">
        <v>30</v>
      </c>
      <c r="X9" s="2" t="s">
        <v>30</v>
      </c>
      <c r="Y9" s="2" t="s">
        <v>30</v>
      </c>
      <c r="Z9" s="600" cm="1">
        <f t="array" ref="Z9">SUMPRODUCT((BOM!$A$2:$A$391=U9)*(BOM!$F$2:$F$391=Y9)*BOM!$H$2:$H$391*BOM!$G$2:$G$391)/SUMPRODUCT((BOM!$A$2:$A$391=U9)*BOM!$H$2:$H$391*BOM!$G$2:$G$391)</f>
        <v>0.25400000000000006</v>
      </c>
      <c r="AA9" s="603">
        <f>SUMIF(tblResinWeightedQty12[Film],tblResinWeightedQty12[[#This Row],[Film]],tblResinWeightedQty12[Weighted QTY %])</f>
        <v>1.0000000000000002</v>
      </c>
    </row>
    <row r="10" spans="1:27" ht="15.75" hidden="1" thickTop="1">
      <c r="A10" s="25" t="s">
        <v>0</v>
      </c>
      <c r="B10" s="26" t="s">
        <v>5</v>
      </c>
      <c r="C10" s="28"/>
      <c r="D10" s="28" t="str">
        <f>IF(C10="","",IFERROR(_xlfn.XLOOKUP(C10,HELPER!$A$2:$A$81,HELPER!$B$2:$B$81,""),D10))</f>
        <v/>
      </c>
      <c r="E10" s="28" t="str">
        <f>IFERROR(_xlfn.XLOOKUP(D10,HELPER!$B:$B,HELPER!$C:$C,""),"")</f>
        <v/>
      </c>
      <c r="F10" s="27" t="str">
        <f>IFERROR(_xlfn.XLOOKUP(D10,HELPER!$B:$B,HELPER!$D:$D,""),"")</f>
        <v/>
      </c>
      <c r="G10" s="27">
        <v>8</v>
      </c>
      <c r="H10" s="31"/>
      <c r="I10" s="21" t="str">
        <f>IF(AND(H10&lt;&gt;"",IFERROR(_xlfn.XLOOKUP(D10,HELPER!$B:$B,HELPER!$E:$E,""),"")=""),"Missing price",IFERROR(_xlfn.XLOOKUP(D10,HELPER!$B:$B,HELPER!$E:$E,"")," "))</f>
        <v/>
      </c>
      <c r="J10" s="53" t="str">
        <f>IFERROR(H10*(IF(G10=8,I10*HELPER!$G$2,BOM!I10*HELPER!$G$3))," ")</f>
        <v xml:space="preserve"> </v>
      </c>
      <c r="K10" s="6"/>
      <c r="L10" s="16" t="str" cm="1">
        <f t="array" ref="L10">IFERROR(_xlfn.LET(_xlpm.films,Table4[Film],_xlpm.grades,Table4[Grade],_xlpm.pairs,_xlfn._xlws.FILTER(_xlfn.HSTACK(_xlpm.films,_xlpm.grades),(_xlpm.films&lt;&gt;"")*(TRIM(_xlpm.grades)&lt;&gt;"")),_xlpm.uniquePairs,_xlfn.UNIQUE(_xlpm.pairs),_xlpm.sortedPairs,_xlfn._xlws.SORT(_xlpm.uniquePairs,1,1),INDEX(_xlpm.sortedPairs,ROWS($L$2:L10),1)),"")</f>
        <v>mediane check</v>
      </c>
      <c r="M10" s="17" t="str" cm="1">
        <f t="array" ref="M10">IFERROR(_xlfn.LET(_xlpm.films,Table4[Film],_xlpm.grades,Table4[Grade],_xlpm.pairs,_xlfn._xlws.FILTER(_xlfn.HSTACK(_xlpm.films,_xlpm.grades),(_xlpm.films&lt;&gt;"")*(TRIM(_xlpm.grades)&lt;&gt;"")),_xlpm.uniquePairs,_xlfn.UNIQUE(_xlpm.pairs),_xlpm.sortedPairs,_xlfn._xlws.SORT(_xlpm.uniquePairs,1,1),INDEX(_xlpm.sortedPairs,ROWS($M$2:M10),2)),"")</f>
        <v>FD92PM</v>
      </c>
      <c r="N10" s="17" t="str" cm="1">
        <f t="array" ref="N10">IF(OR(Table2[[#This Row],[Film]]="",Table2[[#This Row],[Grade]]=""),"",IFERROR(INDEX(Table4[Serial Number],MATCH(1,(Table4[Film]=Table2[[#This Row],[Film]])*(Table4[Grade]=Table2[[#This Row],[Grade]]),0)),""))</f>
        <v>RMPM2</v>
      </c>
      <c r="O10" s="52">
        <f>IF(OR(Table2[[#This Row],[Film]]="",Table2[[#This Row],[Grade]]=""),"",SUMIFS(Table4[Price Calculated(€) Thickness &amp; QTY related],Table4[Film],Table2[[#This Row],[Film]],Table4[Grade],Table2[[#This Row],[Grade]]))</f>
        <v>3.2805</v>
      </c>
      <c r="P10" s="6"/>
      <c r="Q10" s="19" t="str" cm="1">
        <f t="array" ref="Q10">IFERROR(INDEX(Table2[Film],MATCH(0,COUNTIF($Q$1:Q9,Table2[Film])+IF(Table2[Film]="",1,0),0)),"")</f>
        <v>TIPA 306W</v>
      </c>
      <c r="R10" s="56">
        <f>SUMIF(Table2[Film],"TIPA 312 MFG",Table2[Price Calculated(€) Thickness &amp; QTY related])+_xlfn.XLOOKUP("MET LUX ",HELPER!$A:$A,HELPER!$E:$E,0)</f>
        <v>5.3805880000000004</v>
      </c>
      <c r="S10" s="58">
        <f>IFERROR(R10*HELPER!$AK$2," ")</f>
        <v>6.2414820799999999</v>
      </c>
      <c r="T10" s="6"/>
      <c r="U10" s="2" t="s">
        <v>47</v>
      </c>
      <c r="V10" s="2" t="s">
        <v>13</v>
      </c>
      <c r="W10" s="2" t="s">
        <v>73</v>
      </c>
      <c r="X10" s="2" t="s">
        <v>74</v>
      </c>
      <c r="Y10" s="2" t="s">
        <v>33</v>
      </c>
      <c r="Z10" s="600" cm="1">
        <f t="array" ref="Z10">SUMPRODUCT((BOM!$A$2:$A$391=U10)*(BOM!$F$2:$F$391=Y10)*BOM!$H$2:$H$391*BOM!$G$2:$G$391)/SUMPRODUCT((BOM!$A$2:$A$391=U10)*BOM!$H$2:$H$391*BOM!$G$2:$G$391)</f>
        <v>0.47400000000000009</v>
      </c>
      <c r="AA10" s="603">
        <f>SUMIF(tblResinWeightedQty12[Film],tblResinWeightedQty12[[#This Row],[Film]],tblResinWeightedQty12[Weighted QTY %])</f>
        <v>1.0000000000000002</v>
      </c>
    </row>
    <row r="11" spans="1:27" ht="15.75" hidden="1" thickTop="1">
      <c r="A11" s="25" t="s">
        <v>0</v>
      </c>
      <c r="B11" s="26" t="s">
        <v>5</v>
      </c>
      <c r="C11" s="28"/>
      <c r="D11" s="28" t="str">
        <f>IF(C11="","",IFERROR(_xlfn.XLOOKUP(C11,HELPER!$A$2:$A$81,HELPER!$B$2:$B$81,""),D11))</f>
        <v/>
      </c>
      <c r="E11" s="28" t="str">
        <f>IFERROR(_xlfn.XLOOKUP(D11,HELPER!$B:$B,HELPER!$C:$C,""),"")</f>
        <v/>
      </c>
      <c r="F11" s="27" t="str">
        <f>IFERROR(_xlfn.XLOOKUP(D11,HELPER!$B:$B,HELPER!$D:$D,""),"")</f>
        <v/>
      </c>
      <c r="G11" s="27">
        <v>8</v>
      </c>
      <c r="H11" s="31"/>
      <c r="I11" s="21" t="str">
        <f>IF(AND(H11&lt;&gt;"",IFERROR(_xlfn.XLOOKUP(D11,HELPER!$B:$B,HELPER!$E:$E,""),"")=""),"Missing price",IFERROR(_xlfn.XLOOKUP(D11,HELPER!$B:$B,HELPER!$E:$E,"")," "))</f>
        <v/>
      </c>
      <c r="J11" s="53" t="str">
        <f>IFERROR(H11*(IF(G11=8,I11*HELPER!$G$2,BOM!I11*HELPER!$G$3))," ")</f>
        <v xml:space="preserve"> </v>
      </c>
      <c r="K11" s="6"/>
      <c r="L11" s="14" t="str" cm="1">
        <f t="array" ref="L11">IFERROR(_xlfn.LET(_xlpm.films,Table4[Film],_xlpm.grades,Table4[Grade],_xlpm.pairs,_xlfn._xlws.FILTER(_xlfn.HSTACK(_xlpm.films,_xlpm.grades),(_xlpm.films&lt;&gt;"")*(TRIM(_xlpm.grades)&lt;&gt;"")),_xlpm.uniquePairs,_xlfn.UNIQUE(_xlpm.pairs),_xlpm.sortedPairs,_xlfn._xlws.SORT(_xlpm.uniquePairs,1,1),INDEX(_xlpm.sortedPairs,ROWS($L$2:L11),1)),"")</f>
        <v>mediane check</v>
      </c>
      <c r="M11" s="15" t="str" cm="1">
        <f t="array" ref="M11">IFERROR(_xlfn.LET(_xlpm.films,Table4[Film],_xlpm.grades,Table4[Grade],_xlpm.pairs,_xlfn._xlws.FILTER(_xlfn.HSTACK(_xlpm.films,_xlpm.grades),(_xlpm.films&lt;&gt;"")*(TRIM(_xlpm.grades)&lt;&gt;"")),_xlpm.uniquePairs,_xlfn.UNIQUE(_xlpm.pairs),_xlpm.sortedPairs,_xlfn._xlws.SORT(_xlpm.uniquePairs,1,1),INDEX(_xlpm.sortedPairs,ROWS($M$2:M11),2)),"")</f>
        <v>LX175</v>
      </c>
      <c r="N11" s="15" t="str" cm="1">
        <f t="array" ref="N11">IF(OR(Table2[[#This Row],[Film]]="",Table2[[#This Row],[Grade]]=""),"",IFERROR(INDEX(Table4[Serial Number],MATCH(1,(Table4[Film]=Table2[[#This Row],[Film]])*(Table4[Grade]=Table2[[#This Row],[Grade]]),0)),""))</f>
        <v>RMLX175</v>
      </c>
      <c r="O11" s="51">
        <f>IF(OR(Table2[[#This Row],[Film]]="",Table2[[#This Row],[Grade]]=""),"",SUMIFS(Table4[Price Calculated(€) Thickness &amp; QTY related],Table4[Film],Table2[[#This Row],[Film]],Table4[Grade],Table2[[#This Row],[Grade]]))</f>
        <v>0.27198599999999995</v>
      </c>
      <c r="P11" s="6"/>
      <c r="Q11" s="644" t="s">
        <v>180</v>
      </c>
      <c r="R11" s="645">
        <f>SUMIF(Table2[Film],"TIPA 312 MFG",Table2[Price Calculated(€) Thickness &amp; QTY related])+_xlfn.XLOOKUP("MET LUX ",HELPER!$A:$A,HELPER!$E:$E,0)</f>
        <v>5.3805880000000004</v>
      </c>
      <c r="S11" s="646">
        <f>IFERROR(R11*HELPER!$AK$2," ")</f>
        <v>6.2414820799999999</v>
      </c>
      <c r="T11" s="6"/>
      <c r="U11" s="2" t="s">
        <v>47</v>
      </c>
      <c r="V11" s="2" t="s">
        <v>14</v>
      </c>
      <c r="W11" s="2" t="s">
        <v>23</v>
      </c>
      <c r="X11" s="2" t="s">
        <v>76</v>
      </c>
      <c r="Y11" s="2" t="s">
        <v>35</v>
      </c>
      <c r="Z11" s="600" cm="1">
        <f t="array" ref="Z11">SUMPRODUCT((BOM!$A$2:$A$391=U11)*(BOM!$F$2:$F$391=Y11)*BOM!$H$2:$H$391*BOM!$G$2:$G$391)/SUMPRODUCT((BOM!$A$2:$A$391=U11)*BOM!$H$2:$H$391*BOM!$G$2:$G$391)</f>
        <v>0.13800000000000001</v>
      </c>
      <c r="AA11" s="603">
        <f>SUMIF(tblResinWeightedQty12[Film],tblResinWeightedQty12[[#This Row],[Film]],tblResinWeightedQty12[Weighted QTY %])</f>
        <v>1.0000000000000002</v>
      </c>
    </row>
    <row r="12" spans="1:27" ht="15.75" hidden="1" thickTop="1">
      <c r="A12" s="25" t="s">
        <v>0</v>
      </c>
      <c r="B12" s="26" t="s">
        <v>6</v>
      </c>
      <c r="C12" s="28"/>
      <c r="D12" s="28" t="str">
        <f>IF(C12="","",IFERROR(_xlfn.XLOOKUP(C12,HELPER!$A$2:$A$81,HELPER!$B$2:$B$81,""),D12))</f>
        <v/>
      </c>
      <c r="E12" s="28" t="str">
        <f>IFERROR(_xlfn.XLOOKUP(D12,HELPER!$B:$B,HELPER!$C:$C,""),"")</f>
        <v/>
      </c>
      <c r="F12" s="27" t="str">
        <f>IFERROR(_xlfn.XLOOKUP(D12,HELPER!$B:$B,HELPER!$D:$D,""),"")</f>
        <v/>
      </c>
      <c r="G12" s="27">
        <v>8</v>
      </c>
      <c r="H12" s="31"/>
      <c r="I12" s="21" t="str">
        <f>IF(AND(H12&lt;&gt;"",IFERROR(_xlfn.XLOOKUP(D12,HELPER!$B:$B,HELPER!$E:$E,""),"")=""),"Missing price",IFERROR(_xlfn.XLOOKUP(D12,HELPER!$B:$B,HELPER!$E:$E,"")," "))</f>
        <v/>
      </c>
      <c r="J12" s="53" t="str">
        <f>IFERROR(H12*(IF(G12=8,I12*HELPER!$G$2,BOM!I12*HELPER!$G$3))," ")</f>
        <v xml:space="preserve"> </v>
      </c>
      <c r="K12" s="6"/>
      <c r="L12" s="16" t="str" cm="1">
        <f t="array" ref="L12">IFERROR(_xlfn.LET(_xlpm.films,Table4[Film],_xlpm.grades,Table4[Grade],_xlpm.pairs,_xlfn._xlws.FILTER(_xlfn.HSTACK(_xlpm.films,_xlpm.grades),(_xlpm.films&lt;&gt;"")*(TRIM(_xlpm.grades)&lt;&gt;"")),_xlpm.uniquePairs,_xlfn.UNIQUE(_xlpm.pairs),_xlpm.sortedPairs,_xlfn._xlws.SORT(_xlpm.uniquePairs,1,1),INDEX(_xlpm.sortedPairs,ROWS($L$2:L12),1)),"")</f>
        <v>mediane check</v>
      </c>
      <c r="M12" s="17" t="str" cm="1">
        <f t="array" ref="M12">IFERROR(_xlfn.LET(_xlpm.films,Table4[Film],_xlpm.grades,Table4[Grade],_xlpm.pairs,_xlfn._xlws.FILTER(_xlfn.HSTACK(_xlpm.films,_xlpm.grades),(_xlpm.films&lt;&gt;"")*(TRIM(_xlpm.grades)&lt;&gt;"")),_xlpm.uniquePairs,_xlfn.UNIQUE(_xlpm.pairs),_xlpm.sortedPairs,_xlfn._xlws.SORT(_xlpm.uniquePairs,1,1),INDEX(_xlpm.sortedPairs,ROWS($M$2:M12),2)),"")</f>
        <v>S724</v>
      </c>
      <c r="N12" s="17" t="str" cm="1">
        <f t="array" ref="N12">IF(OR(Table2[[#This Row],[Film]]="",Table2[[#This Row],[Grade]]=""),"",IFERROR(INDEX(Table4[Serial Number],MATCH(1,(Table4[Film]=Table2[[#This Row],[Film]])*(Table4[Grade]=Table2[[#This Row],[Grade]]),0)),""))</f>
        <v>RM TA45-08 S724</v>
      </c>
      <c r="O12" s="52">
        <f>IF(OR(Table2[[#This Row],[Film]]="",Table2[[#This Row],[Grade]]=""),"",SUMIFS(Table4[Price Calculated(€) Thickness &amp; QTY related],Table4[Film],Table2[[#This Row],[Film]],Table4[Grade],Table2[[#This Row],[Grade]]))</f>
        <v>0.13229999999999997</v>
      </c>
      <c r="P12" s="6"/>
      <c r="Q12" s="19" t="str" cm="1">
        <f t="array" ref="Q12">IFERROR(INDEX(Table2[Film],MATCH(0,COUNTIF($Q$1:Q11,Table2[Film])+IF(Table2[Film]="",1,0),0)),"")</f>
        <v>TIPA 312 MFG</v>
      </c>
      <c r="R12" s="56">
        <f>SUMIF(Table2[Film],"TIPA 312 MFG",Table2[Price Calculated(€) Thickness &amp; QTY related])+_xlfn.XLOOKUP("MET LUX ",HELPER!$A:$A,HELPER!$E:$E,0)</f>
        <v>5.3805880000000004</v>
      </c>
      <c r="S12" s="58">
        <f>IFERROR(R12*HELPER!$AK$2," ")</f>
        <v>6.2414820799999999</v>
      </c>
      <c r="T12" s="6"/>
      <c r="U12" s="2" t="s">
        <v>47</v>
      </c>
      <c r="V12" s="2" t="s">
        <v>15</v>
      </c>
      <c r="W12" s="2" t="s">
        <v>24</v>
      </c>
      <c r="X12" s="2" t="s">
        <v>79</v>
      </c>
      <c r="Y12" s="2" t="s">
        <v>37</v>
      </c>
      <c r="Z12" s="600" cm="1">
        <f t="array" ref="Z12">SUMPRODUCT((BOM!$A$2:$A$391=U12)*(BOM!$F$2:$F$391=Y12)*BOM!$H$2:$H$391*BOM!$G$2:$G$391)/SUMPRODUCT((BOM!$A$2:$A$391=U12)*BOM!$H$2:$H$391*BOM!$G$2:$G$391)</f>
        <v>0.11400000000000003</v>
      </c>
      <c r="AA12" s="603">
        <f>SUMIF(tblResinWeightedQty12[Film],tblResinWeightedQty12[[#This Row],[Film]],tblResinWeightedQty12[Weighted QTY %])</f>
        <v>1.0000000000000002</v>
      </c>
    </row>
    <row r="13" spans="1:27" ht="15.75" hidden="1" thickTop="1">
      <c r="A13" s="25" t="s">
        <v>0</v>
      </c>
      <c r="B13" s="26" t="s">
        <v>6</v>
      </c>
      <c r="C13" s="28"/>
      <c r="D13" s="28" t="str">
        <f>IF(C13="","",IFERROR(_xlfn.XLOOKUP(C13,HELPER!$A$2:$A$81,HELPER!$B$2:$B$81,""),D13))</f>
        <v/>
      </c>
      <c r="E13" s="28" t="str">
        <f>IFERROR(_xlfn.XLOOKUP(D13,HELPER!$B:$B,HELPER!$C:$C,""),"")</f>
        <v/>
      </c>
      <c r="F13" s="27" t="str">
        <f>IFERROR(_xlfn.XLOOKUP(D13,HELPER!$B:$B,HELPER!$D:$D,""),"")</f>
        <v/>
      </c>
      <c r="G13" s="27">
        <v>24</v>
      </c>
      <c r="H13" s="31"/>
      <c r="I13" s="21" t="str">
        <f>IF(AND(H13&lt;&gt;"",IFERROR(_xlfn.XLOOKUP(D13,HELPER!$B:$B,HELPER!$E:$E,""),"")=""),"Missing price",IFERROR(_xlfn.XLOOKUP(D13,HELPER!$B:$B,HELPER!$E:$E,"")," "))</f>
        <v/>
      </c>
      <c r="J13" s="53" t="str">
        <f>IFERROR(H13*(IF(G13=8,I13*HELPER!$G$2,BOM!I13*HELPER!$G$3))," ")</f>
        <v xml:space="preserve"> </v>
      </c>
      <c r="K13" s="6"/>
      <c r="L13" s="14" t="str" cm="1">
        <f t="array" ref="L13">IFERROR(_xlfn.LET(_xlpm.films,Table4[Film],_xlpm.grades,Table4[Grade],_xlpm.pairs,_xlfn._xlws.FILTER(_xlfn.HSTACK(_xlpm.films,_xlpm.grades),(_xlpm.films&lt;&gt;"")*(TRIM(_xlpm.grades)&lt;&gt;"")),_xlpm.uniquePairs,_xlfn.UNIQUE(_xlpm.pairs),_xlpm.sortedPairs,_xlfn._xlws.SORT(_xlpm.uniquePairs,1,1),INDEX(_xlpm.sortedPairs,ROWS($L$2:L13),1)),"")</f>
        <v>mediane check</v>
      </c>
      <c r="M13" s="15" t="str" cm="1">
        <f t="array" ref="M13">IFERROR(_xlfn.LET(_xlpm.films,Table4[Film],_xlpm.grades,Table4[Grade],_xlpm.pairs,_xlfn._xlws.FILTER(_xlfn.HSTACK(_xlpm.films,_xlpm.grades),(_xlpm.films&lt;&gt;"")*(TRIM(_xlpm.grades)&lt;&gt;"")),_xlpm.uniquePairs,_xlfn.UNIQUE(_xlpm.pairs),_xlpm.sortedPairs,_xlfn._xlws.SORT(_xlpm.uniquePairs,1,1),INDEX(_xlpm.sortedPairs,ROWS($M$2:M13),2)),"")</f>
        <v>KAB59A</v>
      </c>
      <c r="N13" s="15" t="str" cm="1">
        <f t="array" ref="N13">IF(OR(Table2[[#This Row],[Film]]="",Table2[[#This Row],[Grade]]=""),"",IFERROR(INDEX(Table4[Serial Number],MATCH(1,(Table4[Film]=Table2[[#This Row],[Film]])*(Table4[Grade]=Table2[[#This Row],[Grade]]),0)),""))</f>
        <v>RM A KAB59A</v>
      </c>
      <c r="O13" s="51">
        <f>IF(OR(Table2[[#This Row],[Film]]="",Table2[[#This Row],[Grade]]=""),"",SUMIFS(Table4[Price Calculated(€) Thickness &amp; QTY related],Table4[Film],Table2[[#This Row],[Film]],Table4[Grade],Table2[[#This Row],[Grade]]))</f>
        <v>6.7949999999999983E-2</v>
      </c>
      <c r="P13" s="6"/>
      <c r="Q13" s="20" t="str" cm="1">
        <f t="array" ref="Q13">IFERROR(INDEX(Table2[Film],MATCH(0,COUNTIF($Q$1:Q12,Table2[Film])+IF(Table2[Film]="",1,0),0)),"")</f>
        <v>TIPA 312MFGW</v>
      </c>
      <c r="R13" s="57">
        <f>SUMIF(Table2[Film],"TIPA 312 MFG",Table2[Price Calculated(€) Thickness &amp; QTY related])+_xlfn.XLOOKUP("MET LUX ",HELPER!$A:$A,HELPER!$E:$E,0)</f>
        <v>5.3805880000000004</v>
      </c>
      <c r="S13" s="59">
        <f>IFERROR(R13*HELPER!$AK$2," ")</f>
        <v>6.2414820799999999</v>
      </c>
      <c r="T13" s="6"/>
      <c r="U13" s="2" t="s">
        <v>47</v>
      </c>
      <c r="V13" s="2" t="s">
        <v>16</v>
      </c>
      <c r="W13" s="2" t="s">
        <v>10</v>
      </c>
      <c r="X13" s="2" t="s">
        <v>80</v>
      </c>
      <c r="Y13" s="2" t="s">
        <v>38</v>
      </c>
      <c r="Z13" s="600" cm="1">
        <f t="array" ref="Z13">SUMPRODUCT((BOM!$A$2:$A$391=U13)*(BOM!$F$2:$F$391=Y13)*BOM!$H$2:$H$391*BOM!$G$2:$G$391)/SUMPRODUCT((BOM!$A$2:$A$391=U13)*BOM!$H$2:$H$391*BOM!$G$2:$G$391)</f>
        <v>2.0000000000000004E-2</v>
      </c>
      <c r="AA13" s="603">
        <f>SUMIF(tblResinWeightedQty12[Film],tblResinWeightedQty12[[#This Row],[Film]],tblResinWeightedQty12[Weighted QTY %])</f>
        <v>1.0000000000000002</v>
      </c>
    </row>
    <row r="14" spans="1:27" ht="15.75" hidden="1" thickTop="1">
      <c r="A14" s="25" t="s">
        <v>0</v>
      </c>
      <c r="B14" s="26" t="s">
        <v>6</v>
      </c>
      <c r="C14" s="28"/>
      <c r="D14" s="28" t="str">
        <f>IF(C14="","",IFERROR(_xlfn.XLOOKUP(C14,HELPER!$A$2:$A$81,HELPER!$B$2:$B$81,""),D14))</f>
        <v/>
      </c>
      <c r="E14" s="28" t="str">
        <f>IFERROR(_xlfn.XLOOKUP(D14,HELPER!$B:$B,HELPER!$C:$C,""),"")</f>
        <v/>
      </c>
      <c r="F14" s="27" t="str">
        <f>IFERROR(_xlfn.XLOOKUP(D14,HELPER!$B:$B,HELPER!$D:$D,""),"")</f>
        <v/>
      </c>
      <c r="G14" s="27">
        <v>24</v>
      </c>
      <c r="H14" s="31"/>
      <c r="I14" s="21" t="str">
        <f>IF(AND(H14&lt;&gt;"",IFERROR(_xlfn.XLOOKUP(D14,HELPER!$B:$B,HELPER!$E:$E,""),"")=""),"Missing price",IFERROR(_xlfn.XLOOKUP(D14,HELPER!$B:$B,HELPER!$E:$E,"")," "))</f>
        <v/>
      </c>
      <c r="J14" s="53" t="str">
        <f>IFERROR(H14*(IF(G14=8,I14*HELPER!$G$2,BOM!I14*HELPER!$G$3))," ")</f>
        <v xml:space="preserve"> </v>
      </c>
      <c r="K14" s="6"/>
      <c r="L14" s="16" t="str" cm="1">
        <f t="array" ref="L14">IFERROR(_xlfn.LET(_xlpm.films,Table4[Film],_xlpm.grades,Table4[Grade],_xlpm.pairs,_xlfn._xlws.FILTER(_xlfn.HSTACK(_xlpm.films,_xlpm.grades),(_xlpm.films&lt;&gt;"")*(TRIM(_xlpm.grades)&lt;&gt;"")),_xlpm.uniquePairs,_xlfn.UNIQUE(_xlpm.pairs),_xlpm.sortedPairs,_xlfn._xlws.SORT(_xlpm.uniquePairs,1,1),INDEX(_xlpm.sortedPairs,ROWS($L$2:L14),1)),"")</f>
        <v>PL202.1</v>
      </c>
      <c r="M14" s="17" t="str" cm="1">
        <f t="array" ref="M14">IFERROR(_xlfn.LET(_xlpm.films,Table4[Film],_xlpm.grades,Table4[Grade],_xlpm.pairs,_xlfn._xlws.FILTER(_xlfn.HSTACK(_xlpm.films,_xlpm.grades),(_xlpm.films&lt;&gt;"")*(TRIM(_xlpm.grades)&lt;&gt;"")),_xlpm.uniquePairs,_xlfn.UNIQUE(_xlpm.pairs),_xlpm.sortedPairs,_xlfn._xlws.SORT(_xlpm.uniquePairs,1,1),INDEX(_xlpm.sortedPairs,ROWS($M$2:M14),2)),"")</f>
        <v>FD92PM</v>
      </c>
      <c r="N14" s="17" t="str" cm="1">
        <f t="array" ref="N14">IF(OR(Table2[[#This Row],[Film]]="",Table2[[#This Row],[Grade]]=""),"",IFERROR(INDEX(Table4[Serial Number],MATCH(1,(Table4[Film]=Table2[[#This Row],[Film]])*(Table4[Grade]=Table2[[#This Row],[Grade]]),0)),""))</f>
        <v>RMPM2</v>
      </c>
      <c r="O14" s="52">
        <f>IF(OR(Table2[[#This Row],[Film]]="",Table2[[#This Row],[Grade]]=""),"",SUMIFS(Table4[Price Calculated(€) Thickness &amp; QTY related],Table4[Film],Table2[[#This Row],[Film]],Table4[Grade],Table2[[#This Row],[Grade]]))</f>
        <v>3.2521499999999999</v>
      </c>
      <c r="P14" s="6"/>
      <c r="Q14" s="19" t="str" cm="1">
        <f t="array" ref="Q14">IFERROR(INDEX(Table2[Film],MATCH(0,COUNTIF($Q$1:Q13,Table2[Film])+IF(Table2[Film]="",1,0),0)),"")</f>
        <v/>
      </c>
      <c r="R14" s="56">
        <f>SUMIF(Table2[Film],"TIPA 312 MFG",Table2[Price Calculated(€) Thickness &amp; QTY related])+_xlfn.XLOOKUP("MET LUX ",HELPER!$A:$A,HELPER!$E:$E,0)</f>
        <v>5.3805880000000004</v>
      </c>
      <c r="S14" s="58">
        <f>IFERROR(R14*HELPER!$AK$2," ")</f>
        <v>6.2414820799999999</v>
      </c>
      <c r="T14" s="6"/>
      <c r="U14" s="2" t="s">
        <v>48</v>
      </c>
      <c r="V14" s="2" t="s">
        <v>19</v>
      </c>
      <c r="W14" s="2" t="s">
        <v>30</v>
      </c>
      <c r="X14" s="2" t="s">
        <v>30</v>
      </c>
      <c r="Y14" s="2" t="s">
        <v>30</v>
      </c>
      <c r="Z14" s="600" cm="1">
        <f t="array" ref="Z14">SUMPRODUCT((BOM!$A$2:$A$391=U14)*(BOM!$F$2:$F$391=Y14)*BOM!$H$2:$H$391*BOM!$G$2:$G$391)/SUMPRODUCT((BOM!$A$2:$A$391=U14)*BOM!$H$2:$H$391*BOM!$G$2:$G$391)</f>
        <v>0.19600000000000001</v>
      </c>
      <c r="AA14" s="603">
        <f>SUMIF(tblResinWeightedQty12[Film],tblResinWeightedQty12[[#This Row],[Film]],tblResinWeightedQty12[Weighted QTY %])</f>
        <v>1</v>
      </c>
    </row>
    <row r="15" spans="1:27" ht="15.75" hidden="1" thickTop="1">
      <c r="A15" s="25" t="s">
        <v>0</v>
      </c>
      <c r="B15" s="26" t="s">
        <v>6</v>
      </c>
      <c r="C15" s="28"/>
      <c r="D15" s="28" t="str">
        <f>IF(C15="","",IFERROR(_xlfn.XLOOKUP(C15,HELPER!$A$2:$A$81,HELPER!$B$2:$B$81,""),D15))</f>
        <v/>
      </c>
      <c r="E15" s="28" t="str">
        <f>IFERROR(_xlfn.XLOOKUP(D15,HELPER!$B:$B,HELPER!$C:$C,""),"")</f>
        <v/>
      </c>
      <c r="F15" s="27" t="str">
        <f>IFERROR(_xlfn.XLOOKUP(D15,HELPER!$B:$B,HELPER!$D:$D,""),"")</f>
        <v/>
      </c>
      <c r="G15" s="27">
        <v>24</v>
      </c>
      <c r="H15" s="31"/>
      <c r="I15" s="21" t="str">
        <f>IF(AND(H15&lt;&gt;"",IFERROR(_xlfn.XLOOKUP(D15,HELPER!$B:$B,HELPER!$E:$E,""),"")=""),"Missing price",IFERROR(_xlfn.XLOOKUP(D15,HELPER!$B:$B,HELPER!$E:$E,"")," "))</f>
        <v/>
      </c>
      <c r="J15" s="53" t="str">
        <f>IFERROR(H15*(IF(G15=8,I15*HELPER!$G$2,BOM!I15*HELPER!$G$3))," ")</f>
        <v xml:space="preserve"> </v>
      </c>
      <c r="K15" s="6"/>
      <c r="L15" s="14" t="str" cm="1">
        <f t="array" ref="L15">IFERROR(_xlfn.LET(_xlpm.films,Table4[Film],_xlpm.grades,Table4[Grade],_xlpm.pairs,_xlfn._xlws.FILTER(_xlfn.HSTACK(_xlpm.films,_xlpm.grades),(_xlpm.films&lt;&gt;"")*(TRIM(_xlpm.grades)&lt;&gt;"")),_xlpm.uniquePairs,_xlfn.UNIQUE(_xlpm.pairs),_xlpm.sortedPairs,_xlfn._xlws.SORT(_xlpm.uniquePairs,1,1),INDEX(_xlpm.sortedPairs,ROWS($L$2:L15),1)),"")</f>
        <v>PL202.1</v>
      </c>
      <c r="M15" s="15" t="str" cm="1">
        <f t="array" ref="M15">IFERROR(_xlfn.LET(_xlpm.films,Table4[Film],_xlpm.grades,Table4[Grade],_xlpm.pairs,_xlfn._xlws.FILTER(_xlfn.HSTACK(_xlpm.films,_xlpm.grades),(_xlpm.films&lt;&gt;"")*(TRIM(_xlpm.grades)&lt;&gt;"")),_xlpm.uniquePairs,_xlfn.UNIQUE(_xlpm.pairs),_xlpm.sortedPairs,_xlfn._xlws.SORT(_xlpm.uniquePairs,1,1),INDEX(_xlpm.sortedPairs,ROWS($M$2:M15),2)),"")</f>
        <v>LX175</v>
      </c>
      <c r="N15" s="15" t="str" cm="1">
        <f t="array" ref="N15">IF(OR(Table2[[#This Row],[Film]]="",Table2[[#This Row],[Grade]]=""),"",IFERROR(INDEX(Table4[Serial Number],MATCH(1,(Table4[Film]=Table2[[#This Row],[Film]])*(Table4[Grade]=Table2[[#This Row],[Grade]]),0)),""))</f>
        <v>RMLX175</v>
      </c>
      <c r="O15" s="51">
        <f>IF(OR(Table2[[#This Row],[Film]]="",Table2[[#This Row],[Grade]]=""),"",SUMIFS(Table4[Price Calculated(€) Thickness &amp; QTY related],Table4[Film],Table2[[#This Row],[Film]],Table4[Grade],Table2[[#This Row],[Grade]]))</f>
        <v>0.27008399999999999</v>
      </c>
      <c r="P15" s="6"/>
      <c r="Q15" s="20" t="str" cm="1">
        <f t="array" ref="Q15">IFERROR(INDEX(Table2[Film],MATCH(0,COUNTIF($Q$1:Q14,Table2[Film])+IF(Table2[Film]="",1,0),0)),"")</f>
        <v/>
      </c>
      <c r="R15" s="57">
        <f>SUMIF(Table2[Film],"TIPA 312 MFG",Table2[Price Calculated(€) Thickness &amp; QTY related])+_xlfn.XLOOKUP("MET LUX ",HELPER!$A:$A,HELPER!$E:$E,0)</f>
        <v>5.3805880000000004</v>
      </c>
      <c r="S15" s="59">
        <f>IFERROR(R15*HELPER!$AK$2," ")</f>
        <v>6.2414820799999999</v>
      </c>
      <c r="T15" s="6"/>
      <c r="U15" s="2" t="s">
        <v>48</v>
      </c>
      <c r="V15" s="2" t="s">
        <v>13</v>
      </c>
      <c r="W15" s="2" t="s">
        <v>73</v>
      </c>
      <c r="X15" s="2" t="s">
        <v>74</v>
      </c>
      <c r="Y15" s="2" t="s">
        <v>33</v>
      </c>
      <c r="Z15" s="600" cm="1">
        <f t="array" ref="Z15">SUMPRODUCT((BOM!$A$2:$A$391=U15)*(BOM!$F$2:$F$391=Y15)*BOM!$H$2:$H$391*BOM!$G$2:$G$391)/SUMPRODUCT((BOM!$A$2:$A$391=U15)*BOM!$H$2:$H$391*BOM!$G$2:$G$391)</f>
        <v>0.47400000000000003</v>
      </c>
      <c r="AA15" s="603">
        <f>SUMIF(tblResinWeightedQty12[Film],tblResinWeightedQty12[[#This Row],[Film]],tblResinWeightedQty12[Weighted QTY %])</f>
        <v>1</v>
      </c>
    </row>
    <row r="16" spans="1:27" ht="15.75" hidden="1" thickTop="1">
      <c r="A16" s="25" t="s">
        <v>0</v>
      </c>
      <c r="B16" s="26" t="s">
        <v>6</v>
      </c>
      <c r="C16" s="28" t="s">
        <v>16</v>
      </c>
      <c r="D16" s="28" t="str">
        <f>IF(C16="","",IFERROR(_xlfn.XLOOKUP(C16,HELPER!$A$2:$A$81,HELPER!$B$2:$B$81,""),D16))</f>
        <v>S723</v>
      </c>
      <c r="E16" s="28" t="str">
        <f>IFERROR(_xlfn.XLOOKUP(D16,HELPER!$B:$B,HELPER!$C:$C,""),"")</f>
        <v>RM TA45-08 S723</v>
      </c>
      <c r="F16" s="27" t="str">
        <f>IFERROR(_xlfn.XLOOKUP(D16,HELPER!$B:$B,HELPER!$D:$D,""),"")</f>
        <v>Resin 6</v>
      </c>
      <c r="G16" s="27">
        <v>24</v>
      </c>
      <c r="H16" s="31">
        <v>1.4999999999999999E-2</v>
      </c>
      <c r="I16" s="21">
        <f>IF(AND(H16&lt;&gt;"",IFERROR(_xlfn.XLOOKUP(D16,HELPER!$B:$B,HELPER!$E:$E,""),"")=""),"Missing price",IFERROR(_xlfn.XLOOKUP(D16,HELPER!$B:$B,HELPER!$E:$E,"")," "))</f>
        <v>16.16</v>
      </c>
      <c r="J16" s="53">
        <f>IFERROR(H16*(IF(G16=8,I16*HELPER!$G$2,BOM!I16*HELPER!$G$3))," ")</f>
        <v>0.14543999999999999</v>
      </c>
      <c r="K16" s="6"/>
      <c r="L16" s="16" t="str" cm="1">
        <f t="array" ref="L16">IFERROR(_xlfn.LET(_xlpm.films,Table4[Film],_xlpm.grades,Table4[Grade],_xlpm.pairs,_xlfn._xlws.FILTER(_xlfn.HSTACK(_xlpm.films,_xlpm.grades),(_xlpm.films&lt;&gt;"")*(TRIM(_xlpm.grades)&lt;&gt;"")),_xlpm.uniquePairs,_xlfn.UNIQUE(_xlpm.pairs),_xlpm.sortedPairs,_xlfn._xlws.SORT(_xlpm.uniquePairs,1,1),INDEX(_xlpm.sortedPairs,ROWS($L$2:L16),1)),"")</f>
        <v>PL202.1</v>
      </c>
      <c r="M16" s="17" t="str" cm="1">
        <f t="array" ref="M16">IFERROR(_xlfn.LET(_xlpm.films,Table4[Film],_xlpm.grades,Table4[Grade],_xlpm.pairs,_xlfn._xlws.FILTER(_xlfn.HSTACK(_xlpm.films,_xlpm.grades),(_xlpm.films&lt;&gt;"")*(TRIM(_xlpm.grades)&lt;&gt;"")),_xlpm.uniquePairs,_xlfn.UNIQUE(_xlpm.pairs),_xlpm.sortedPairs,_xlfn._xlws.SORT(_xlpm.uniquePairs,1,1),INDEX(_xlpm.sortedPairs,ROWS($M$2:M16),2)),"")</f>
        <v>S723</v>
      </c>
      <c r="N16" s="17" t="str" cm="1">
        <f t="array" ref="N16">IF(OR(Table2[[#This Row],[Film]]="",Table2[[#This Row],[Grade]]=""),"",IFERROR(INDEX(Table4[Serial Number],MATCH(1,(Table4[Film]=Table2[[#This Row],[Film]])*(Table4[Grade]=Table2[[#This Row],[Grade]]),0)),""))</f>
        <v>RM TA45-08 S723</v>
      </c>
      <c r="O16" s="52">
        <f>IF(OR(Table2[[#This Row],[Film]]="",Table2[[#This Row],[Grade]]=""),"",SUMIFS(Table4[Price Calculated(€) Thickness &amp; QTY related],Table4[Film],Table2[[#This Row],[Film]],Table4[Grade],Table2[[#This Row],[Grade]]))</f>
        <v>0.32320000000000004</v>
      </c>
      <c r="P16" s="6"/>
      <c r="Q16" s="19" t="str" cm="1">
        <f t="array" ref="Q16">IFERROR(INDEX(Table2[Film],MATCH(0,COUNTIF($Q$1:Q15,Table2[Film])+IF(Table2[Film]="",1,0),0)),"")</f>
        <v/>
      </c>
      <c r="R16" s="56">
        <f>SUMIF(Table2[Film],"TIPA 312 MFG",Table2[Price Calculated(€) Thickness &amp; QTY related])+_xlfn.XLOOKUP("MET LUX ",HELPER!$A:$A,HELPER!$E:$E,0)</f>
        <v>5.3805880000000004</v>
      </c>
      <c r="S16" s="58">
        <f>IFERROR(R16*HELPER!$AK$2," ")</f>
        <v>6.2414820799999999</v>
      </c>
      <c r="T16" s="6"/>
      <c r="U16" s="2" t="s">
        <v>48</v>
      </c>
      <c r="V16" s="2" t="s">
        <v>14</v>
      </c>
      <c r="W16" s="2" t="s">
        <v>23</v>
      </c>
      <c r="X16" s="2" t="s">
        <v>76</v>
      </c>
      <c r="Y16" s="2" t="s">
        <v>35</v>
      </c>
      <c r="Z16" s="600" cm="1">
        <f t="array" ref="Z16">SUMPRODUCT((BOM!$A$2:$A$391=U16)*(BOM!$F$2:$F$391=Y16)*BOM!$H$2:$H$391*BOM!$G$2:$G$391)/SUMPRODUCT((BOM!$A$2:$A$391=U16)*BOM!$H$2:$H$391*BOM!$G$2:$G$391)</f>
        <v>0.19600000000000001</v>
      </c>
      <c r="AA16" s="603">
        <f>SUMIF(tblResinWeightedQty12[Film],tblResinWeightedQty12[[#This Row],[Film]],tblResinWeightedQty12[Weighted QTY %])</f>
        <v>1</v>
      </c>
    </row>
    <row r="17" spans="1:27" ht="15.75" hidden="1" thickTop="1">
      <c r="A17" s="25" t="s">
        <v>0</v>
      </c>
      <c r="B17" s="26" t="s">
        <v>6</v>
      </c>
      <c r="C17" s="28"/>
      <c r="D17" s="28" t="str">
        <f>IF(C17="","",IFERROR(_xlfn.XLOOKUP(C17,HELPER!$A$2:$A$81,HELPER!$B$2:$B$81,""),D17))</f>
        <v/>
      </c>
      <c r="E17" s="28" t="str">
        <f>IFERROR(_xlfn.XLOOKUP(D17,HELPER!$B:$B,HELPER!$C:$C,""),"")</f>
        <v/>
      </c>
      <c r="F17" s="27" t="str">
        <f>IFERROR(_xlfn.XLOOKUP(D17,HELPER!$B:$B,HELPER!$D:$D,""),"")</f>
        <v/>
      </c>
      <c r="G17" s="27">
        <v>24</v>
      </c>
      <c r="H17" s="31"/>
      <c r="I17" s="21" t="str">
        <f>IF(AND(H17&lt;&gt;"",IFERROR(_xlfn.XLOOKUP(D17,HELPER!$B:$B,HELPER!$E:$E,""),"")=""),"Missing price",IFERROR(_xlfn.XLOOKUP(D17,HELPER!$B:$B,HELPER!$E:$E,"")," "))</f>
        <v/>
      </c>
      <c r="J17" s="53" t="str">
        <f>IFERROR(H17*(IF(G17=8,I17*HELPER!$G$2,BOM!I17*HELPER!$G$3))," ")</f>
        <v xml:space="preserve"> </v>
      </c>
      <c r="K17" s="6"/>
      <c r="L17" s="14" t="str" cm="1">
        <f t="array" ref="L17">IFERROR(_xlfn.LET(_xlpm.films,Table4[Film],_xlpm.grades,Table4[Grade],_xlpm.pairs,_xlfn._xlws.FILTER(_xlfn.HSTACK(_xlpm.films,_xlpm.grades),(_xlpm.films&lt;&gt;"")*(TRIM(_xlpm.grades)&lt;&gt;"")),_xlpm.uniquePairs,_xlfn.UNIQUE(_xlpm.pairs),_xlpm.sortedPairs,_xlfn._xlws.SORT(_xlpm.uniquePairs,1,1),INDEX(_xlpm.sortedPairs,ROWS($L$2:L17),1)),"")</f>
        <v>PL202.1</v>
      </c>
      <c r="M17" s="15" t="str" cm="1">
        <f t="array" ref="M17">IFERROR(_xlfn.LET(_xlpm.films,Table4[Film],_xlpm.grades,Table4[Grade],_xlpm.pairs,_xlfn._xlws.FILTER(_xlfn.HSTACK(_xlpm.films,_xlpm.grades),(_xlpm.films&lt;&gt;"")*(TRIM(_xlpm.grades)&lt;&gt;"")),_xlpm.uniquePairs,_xlfn.UNIQUE(_xlpm.pairs),_xlpm.sortedPairs,_xlfn._xlws.SORT(_xlpm.uniquePairs,1,1),INDEX(_xlpm.sortedPairs,ROWS($M$2:M17),2)),"")</f>
        <v>S724</v>
      </c>
      <c r="N17" s="15" t="str" cm="1">
        <f t="array" ref="N17">IF(OR(Table2[[#This Row],[Film]]="",Table2[[#This Row],[Grade]]=""),"",IFERROR(INDEX(Table4[Serial Number],MATCH(1,(Table4[Film]=Table2[[#This Row],[Film]])*(Table4[Grade]=Table2[[#This Row],[Grade]]),0)),""))</f>
        <v>RM TA45-08 S724</v>
      </c>
      <c r="O17" s="51">
        <f>IF(OR(Table2[[#This Row],[Film]]="",Table2[[#This Row],[Grade]]=""),"",SUMIFS(Table4[Price Calculated(€) Thickness &amp; QTY related],Table4[Film],Table2[[#This Row],[Film]],Table4[Grade],Table2[[#This Row],[Grade]]))</f>
        <v>0.17639999999999997</v>
      </c>
      <c r="P17" s="6"/>
      <c r="Q17" s="20" t="str" cm="1">
        <f t="array" ref="Q17">IFERROR(INDEX(Table2[Film],MATCH(0,COUNTIF($Q$1:Q16,Table2[Film])+IF(Table2[Film]="",1,0),0)),"")</f>
        <v/>
      </c>
      <c r="R17" s="57">
        <f>SUMIF(Table2[Film],"TIPA 312 MFG",Table2[Price Calculated(€) Thickness &amp; QTY related])+_xlfn.XLOOKUP("MET LUX ",HELPER!$A:$A,HELPER!$E:$E,0)</f>
        <v>5.3805880000000004</v>
      </c>
      <c r="S17" s="59">
        <f>IFERROR(R17*HELPER!$AK$2," ")</f>
        <v>6.2414820799999999</v>
      </c>
      <c r="T17" s="6"/>
      <c r="U17" s="2" t="s">
        <v>48</v>
      </c>
      <c r="V17" s="2" t="s">
        <v>15</v>
      </c>
      <c r="W17" s="2" t="s">
        <v>24</v>
      </c>
      <c r="X17" s="2" t="s">
        <v>79</v>
      </c>
      <c r="Y17" s="2" t="s">
        <v>37</v>
      </c>
      <c r="Z17" s="600" cm="1">
        <f t="array" ref="Z17">SUMPRODUCT((BOM!$A$2:$A$391=U17)*(BOM!$F$2:$F$391=Y17)*BOM!$H$2:$H$391*BOM!$G$2:$G$391)/SUMPRODUCT((BOM!$A$2:$A$391=U17)*BOM!$H$2:$H$391*BOM!$G$2:$G$391)</f>
        <v>0.11400000000000002</v>
      </c>
      <c r="AA17" s="603">
        <f>SUMIF(tblResinWeightedQty12[Film],tblResinWeightedQty12[[#This Row],[Film]],tblResinWeightedQty12[Weighted QTY %])</f>
        <v>1</v>
      </c>
    </row>
    <row r="18" spans="1:27" ht="15.75" hidden="1" thickTop="1">
      <c r="A18" s="25" t="s">
        <v>0</v>
      </c>
      <c r="B18" s="26" t="s">
        <v>6</v>
      </c>
      <c r="C18" s="28" t="s">
        <v>14</v>
      </c>
      <c r="D18" s="28" t="str">
        <f>IF(C18="","",IFERROR(_xlfn.XLOOKUP(C18,HELPER!$A$2:$A$81,HELPER!$B$2:$B$81,""),D18))</f>
        <v>B12</v>
      </c>
      <c r="E18" s="28" t="str">
        <f>IFERROR(_xlfn.XLOOKUP(D18,HELPER!$B:$B,HELPER!$C:$C,""),"")</f>
        <v>RMB12</v>
      </c>
      <c r="F18" s="27" t="str">
        <f>IFERROR(_xlfn.XLOOKUP(D18,HELPER!$B:$B,HELPER!$D:$D,""),"")</f>
        <v>Resin 2A</v>
      </c>
      <c r="G18" s="27">
        <v>24</v>
      </c>
      <c r="H18" s="31">
        <v>0.98499999999999999</v>
      </c>
      <c r="I18" s="21">
        <f>IF(AND(H18&lt;&gt;"",IFERROR(_xlfn.XLOOKUP(D18,HELPER!$B:$B,HELPER!$E:$E,""),"")=""),"Missing price",IFERROR(_xlfn.XLOOKUP(D18,HELPER!$B:$B,HELPER!$E:$E,"")," "))</f>
        <v>1.81</v>
      </c>
      <c r="J18" s="53">
        <f>IFERROR(H18*(IF(G18=8,I18*HELPER!$G$2,BOM!I18*HELPER!$G$3))," ")</f>
        <v>1.0697100000000002</v>
      </c>
      <c r="K18" s="6"/>
      <c r="L18" s="16" t="str" cm="1">
        <f t="array" ref="L18">IFERROR(_xlfn.LET(_xlpm.films,Table4[Film],_xlpm.grades,Table4[Grade],_xlpm.pairs,_xlfn._xlws.FILTER(_xlfn.HSTACK(_xlpm.films,_xlpm.grades),(_xlpm.films&lt;&gt;"")*(TRIM(_xlpm.grades)&lt;&gt;"")),_xlpm.uniquePairs,_xlfn.UNIQUE(_xlpm.pairs),_xlpm.sortedPairs,_xlfn._xlws.SORT(_xlpm.uniquePairs,1,1),INDEX(_xlpm.sortedPairs,ROWS($L$2:L18),1)),"")</f>
        <v>PL202.1</v>
      </c>
      <c r="M18" s="17" t="str" cm="1">
        <f t="array" ref="M18">IFERROR(_xlfn.LET(_xlpm.films,Table4[Film],_xlpm.grades,Table4[Grade],_xlpm.pairs,_xlfn._xlws.FILTER(_xlfn.HSTACK(_xlpm.films,_xlpm.grades),(_xlpm.films&lt;&gt;"")*(TRIM(_xlpm.grades)&lt;&gt;"")),_xlpm.uniquePairs,_xlfn.UNIQUE(_xlpm.pairs),_xlpm.sortedPairs,_xlfn._xlws.SORT(_xlpm.uniquePairs,1,1),INDEX(_xlpm.sortedPairs,ROWS($M$2:M18),2)),"")</f>
        <v>KAB59A</v>
      </c>
      <c r="N18" s="17" t="str" cm="1">
        <f t="array" ref="N18">IF(OR(Table2[[#This Row],[Film]]="",Table2[[#This Row],[Grade]]=""),"",IFERROR(INDEX(Table4[Serial Number],MATCH(1,(Table4[Film]=Table2[[#This Row],[Film]])*(Table4[Grade]=Table2[[#This Row],[Grade]]),0)),""))</f>
        <v>RM A KAB59A</v>
      </c>
      <c r="O18" s="52">
        <f>IF(OR(Table2[[#This Row],[Film]]="",Table2[[#This Row],[Grade]]=""),"",SUMIFS(Table4[Price Calculated(€) Thickness &amp; QTY related],Table4[Film],Table2[[#This Row],[Film]],Table4[Grade],Table2[[#This Row],[Grade]]))</f>
        <v>6.7949999999999983E-2</v>
      </c>
      <c r="P18" s="6"/>
      <c r="Q18" s="19" t="str" cm="1">
        <f t="array" ref="Q18">IFERROR(INDEX(Table2[Film],MATCH(0,COUNTIF($Q$1:Q17,Table2[Film])+IF(Table2[Film]="",1,0),0)),"")</f>
        <v/>
      </c>
      <c r="R18" s="56">
        <f>SUMIF(Table2[Film],"TIPA 312 MFG",Table2[Price Calculated(€) Thickness &amp; QTY related])+_xlfn.XLOOKUP("MET LUX ",HELPER!$A:$A,HELPER!$E:$E,0)</f>
        <v>5.3805880000000004</v>
      </c>
      <c r="S18" s="58">
        <f>IFERROR(R18*HELPER!$AK$2," ")</f>
        <v>6.2414820799999999</v>
      </c>
      <c r="T18" s="6"/>
      <c r="U18" s="2" t="s">
        <v>48</v>
      </c>
      <c r="V18" s="2" t="s">
        <v>16</v>
      </c>
      <c r="W18" s="2" t="s">
        <v>10</v>
      </c>
      <c r="X18" s="2" t="s">
        <v>80</v>
      </c>
      <c r="Y18" s="2" t="s">
        <v>38</v>
      </c>
      <c r="Z18" s="600" cm="1">
        <f t="array" ref="Z18">SUMPRODUCT((BOM!$A$2:$A$391=U18)*(BOM!$F$2:$F$391=Y18)*BOM!$H$2:$H$391*BOM!$G$2:$G$391)/SUMPRODUCT((BOM!$A$2:$A$391=U18)*BOM!$H$2:$H$391*BOM!$G$2:$G$391)</f>
        <v>0.02</v>
      </c>
      <c r="AA18" s="603">
        <f>SUMIF(tblResinWeightedQty12[Film],tblResinWeightedQty12[[#This Row],[Film]],tblResinWeightedQty12[Weighted QTY %])</f>
        <v>1</v>
      </c>
    </row>
    <row r="19" spans="1:27" ht="15.75" hidden="1" thickTop="1">
      <c r="A19" s="25" t="s">
        <v>0</v>
      </c>
      <c r="B19" s="26" t="s">
        <v>6</v>
      </c>
      <c r="C19" s="28"/>
      <c r="D19" s="28" t="str">
        <f>IF(C19="","",IFERROR(_xlfn.XLOOKUP(C19,HELPER!$A$2:$A$81,HELPER!$B$2:$B$81,""),D19))</f>
        <v/>
      </c>
      <c r="E19" s="28" t="str">
        <f>IFERROR(_xlfn.XLOOKUP(D19,HELPER!$B:$B,HELPER!$C:$C,""),"")</f>
        <v/>
      </c>
      <c r="F19" s="27" t="str">
        <f>IFERROR(_xlfn.XLOOKUP(D19,HELPER!$B:$B,HELPER!$D:$D,""),"")</f>
        <v/>
      </c>
      <c r="G19" s="27">
        <v>24</v>
      </c>
      <c r="H19" s="31"/>
      <c r="I19" s="21" t="str">
        <f>IF(AND(H19&lt;&gt;"",IFERROR(_xlfn.XLOOKUP(D19,HELPER!$B:$B,HELPER!$E:$E,""),"")=""),"Missing price",IFERROR(_xlfn.XLOOKUP(D19,HELPER!$B:$B,HELPER!$E:$E,"")," "))</f>
        <v/>
      </c>
      <c r="J19" s="53" t="str">
        <f>IFERROR(H19*(IF(G19=8,I19*HELPER!$G$2,BOM!I19*HELPER!$G$3))," ")</f>
        <v xml:space="preserve"> </v>
      </c>
      <c r="K19" s="6"/>
      <c r="L19" s="14" t="str" cm="1">
        <f t="array" ref="L19">IFERROR(_xlfn.LET(_xlpm.films,Table4[Film],_xlpm.grades,Table4[Grade],_xlpm.pairs,_xlfn._xlws.FILTER(_xlfn.HSTACK(_xlpm.films,_xlpm.grades),(_xlpm.films&lt;&gt;"")*(TRIM(_xlpm.grades)&lt;&gt;"")),_xlpm.uniquePairs,_xlfn.UNIQUE(_xlpm.pairs),_xlpm.sortedPairs,_xlfn._xlws.SORT(_xlpm.uniquePairs,1,1),INDEX(_xlpm.sortedPairs,ROWS($L$2:L19),1)),"")</f>
        <v>PL202.1</v>
      </c>
      <c r="M19" s="15" t="str" cm="1">
        <f t="array" ref="M19">IFERROR(_xlfn.LET(_xlpm.films,Table4[Film],_xlpm.grades,Table4[Grade],_xlpm.pairs,_xlfn._xlws.FILTER(_xlfn.HSTACK(_xlpm.films,_xlpm.grades),(_xlpm.films&lt;&gt;"")*(TRIM(_xlpm.grades)&lt;&gt;"")),_xlpm.uniquePairs,_xlfn.UNIQUE(_xlpm.pairs),_xlpm.sortedPairs,_xlfn._xlws.SORT(_xlpm.uniquePairs,1,1),INDEX(_xlpm.sortedPairs,ROWS($M$2:M19),2)),"")</f>
        <v>BVE8049P</v>
      </c>
      <c r="N19" s="15" t="str" cm="1">
        <f t="array" ref="N19">IF(OR(Table2[[#This Row],[Film]]="",Table2[[#This Row],[Grade]]=""),"",IFERROR(INDEX(Table4[Serial Number],MATCH(1,(Table4[Film]=Table2[[#This Row],[Film]])*(Table4[Grade]=Table2[[#This Row],[Grade]]),0)),""))</f>
        <v>BVE8049P</v>
      </c>
      <c r="O19" s="51">
        <f>IF(OR(Table2[[#This Row],[Film]]="",Table2[[#This Row],[Grade]]=""),"",SUMIFS(Table4[Price Calculated(€) Thickness &amp; QTY related],Table4[Film],Table2[[#This Row],[Film]],Table4[Grade],Table2[[#This Row],[Grade]]))</f>
        <v>4.6989999999999998</v>
      </c>
      <c r="P19" s="6"/>
      <c r="Q19" s="20" t="str" cm="1">
        <f t="array" ref="Q19">IFERROR(INDEX(Table2[Film],MATCH(0,COUNTIF($Q$1:Q18,Table2[Film])+IF(Table2[Film]="",1,0),0)),"")</f>
        <v/>
      </c>
      <c r="R19" s="57">
        <f>SUMIF(Table2[Film],"TIPA 312 MFG",Table2[Price Calculated(€) Thickness &amp; QTY related])+_xlfn.XLOOKUP("MET LUX ",HELPER!$A:$A,HELPER!$E:$E,0)</f>
        <v>5.3805880000000004</v>
      </c>
      <c r="S19" s="59">
        <f>IFERROR(R19*HELPER!$AK$2," ")</f>
        <v>6.2414820799999999</v>
      </c>
      <c r="T19" s="6"/>
      <c r="U19" s="2" t="s">
        <v>0</v>
      </c>
      <c r="V19" s="2" t="s">
        <v>13</v>
      </c>
      <c r="W19" s="2" t="s">
        <v>73</v>
      </c>
      <c r="X19" s="2" t="s">
        <v>74</v>
      </c>
      <c r="Y19" s="2" t="s">
        <v>33</v>
      </c>
      <c r="Z19" s="600" cm="1">
        <f t="array" ref="Z19">SUMPRODUCT((BOM!$A$2:$A$391=U19)*(BOM!$F$2:$F$391=Y19)*BOM!$H$2:$H$391*BOM!$G$2:$G$391)/SUMPRODUCT((BOM!$A$2:$A$391=U19)*BOM!$H$2:$H$391*BOM!$G$2:$G$391)</f>
        <v>5.7600000000000005E-2</v>
      </c>
      <c r="AA19" s="603">
        <f>SUMIF(tblResinWeightedQty12[Film],tblResinWeightedQty12[[#This Row],[Film]],tblResinWeightedQty12[Weighted QTY %])</f>
        <v>1.0000000000000002</v>
      </c>
    </row>
    <row r="20" spans="1:27" ht="15.75" hidden="1" thickTop="1">
      <c r="A20" s="25" t="s">
        <v>0</v>
      </c>
      <c r="B20" s="26" t="s">
        <v>6</v>
      </c>
      <c r="C20" s="28"/>
      <c r="D20" s="28" t="str">
        <f>IF(C20="","",IFERROR(_xlfn.XLOOKUP(C20,HELPER!$A$2:$A$81,HELPER!$B$2:$B$81,""),D20))</f>
        <v/>
      </c>
      <c r="E20" s="28" t="str">
        <f>IFERROR(_xlfn.XLOOKUP(D20,HELPER!$B:$B,HELPER!$C:$C,""),"")</f>
        <v/>
      </c>
      <c r="F20" s="27" t="str">
        <f>IFERROR(_xlfn.XLOOKUP(D20,HELPER!$B:$B,HELPER!$D:$D,""),"")</f>
        <v/>
      </c>
      <c r="G20" s="27">
        <v>24</v>
      </c>
      <c r="H20" s="31"/>
      <c r="I20" s="21" t="str">
        <f>IF(AND(H20&lt;&gt;"",IFERROR(_xlfn.XLOOKUP(D20,HELPER!$B:$B,HELPER!$E:$E,""),"")=""),"Missing price",IFERROR(_xlfn.XLOOKUP(D20,HELPER!$B:$B,HELPER!$E:$E,"")," "))</f>
        <v/>
      </c>
      <c r="J20" s="53" t="str">
        <f>IFERROR(H20*(IF(G20=8,I20*HELPER!$G$2,BOM!I20*HELPER!$G$3))," ")</f>
        <v xml:space="preserve"> </v>
      </c>
      <c r="K20" s="6"/>
      <c r="L20" s="16" t="str" cm="1">
        <f t="array" ref="L20">IFERROR(_xlfn.LET(_xlpm.films,Table4[Film],_xlpm.grades,Table4[Grade],_xlpm.pairs,_xlfn._xlws.FILTER(_xlfn.HSTACK(_xlpm.films,_xlpm.grades),(_xlpm.films&lt;&gt;"")*(TRIM(_xlpm.grades)&lt;&gt;"")),_xlpm.uniquePairs,_xlfn.UNIQUE(_xlpm.pairs),_xlpm.sortedPairs,_xlfn._xlws.SORT(_xlpm.uniquePairs,1,1),INDEX(_xlpm.sortedPairs,ROWS($L$2:L20),1)),"")</f>
        <v>PL202.1</v>
      </c>
      <c r="M20" s="17" t="str" cm="1">
        <f t="array" ref="M20">IFERROR(_xlfn.LET(_xlpm.films,Table4[Film],_xlpm.grades,Table4[Grade],_xlpm.pairs,_xlfn._xlws.FILTER(_xlfn.HSTACK(_xlpm.films,_xlpm.grades),(_xlpm.films&lt;&gt;"")*(TRIM(_xlpm.grades)&lt;&gt;"")),_xlpm.uniquePairs,_xlfn.UNIQUE(_xlpm.pairs),_xlpm.sortedPairs,_xlfn._xlws.SORT(_xlpm.uniquePairs,1,1),INDEX(_xlpm.sortedPairs,ROWS($M$2:M20),2)),"")</f>
        <v>B12</v>
      </c>
      <c r="N20" s="17" t="str" cm="1">
        <f t="array" ref="N20">IF(OR(Table2[[#This Row],[Film]]="",Table2[[#This Row],[Grade]]=""),"",IFERROR(INDEX(Table4[Serial Number],MATCH(1,(Table4[Film]=Table2[[#This Row],[Film]])*(Table4[Grade]=Table2[[#This Row],[Grade]]),0)),""))</f>
        <v>RMB12</v>
      </c>
      <c r="O20" s="52">
        <f>IF(OR(Table2[[#This Row],[Film]]="",Table2[[#This Row],[Grade]]=""),"",SUMIFS(Table4[Price Calculated(€) Thickness &amp; QTY related],Table4[Film],Table2[[#This Row],[Film]],Table4[Grade],Table2[[#This Row],[Grade]]))</f>
        <v>0.24978</v>
      </c>
      <c r="P20" s="6"/>
      <c r="Q20" s="19" t="str" cm="1">
        <f t="array" ref="Q20">IFERROR(INDEX(Table2[Film],MATCH(0,COUNTIF($Q$1:Q19,Table2[Film])+IF(Table2[Film]="",1,0),0)),"")</f>
        <v/>
      </c>
      <c r="R20" s="56">
        <f>SUMIF(Table2[Film],"TIPA 312 MFG",Table2[Price Calculated(€) Thickness &amp; QTY related])+_xlfn.XLOOKUP("MET LUX ",HELPER!$A:$A,HELPER!$E:$E,0)</f>
        <v>5.3805880000000004</v>
      </c>
      <c r="S20" s="58">
        <f>IFERROR(R20*HELPER!$AK$2," ")</f>
        <v>6.2414820799999999</v>
      </c>
      <c r="T20" s="6"/>
      <c r="U20" s="2" t="s">
        <v>0</v>
      </c>
      <c r="V20" s="2" t="s">
        <v>14</v>
      </c>
      <c r="W20" s="2" t="s">
        <v>23</v>
      </c>
      <c r="X20" s="2" t="s">
        <v>76</v>
      </c>
      <c r="Y20" s="2" t="s">
        <v>35</v>
      </c>
      <c r="Z20" s="600" cm="1">
        <f t="array" ref="Z20">SUMPRODUCT((BOM!$A$2:$A$391=U20)*(BOM!$F$2:$F$391=Y20)*BOM!$H$2:$H$391*BOM!$G$2:$G$391)/SUMPRODUCT((BOM!$A$2:$A$391=U20)*BOM!$H$2:$H$391*BOM!$G$2:$G$391)</f>
        <v>0.59100000000000008</v>
      </c>
      <c r="AA20" s="603">
        <f>SUMIF(tblResinWeightedQty12[Film],tblResinWeightedQty12[[#This Row],[Film]],tblResinWeightedQty12[Weighted QTY %])</f>
        <v>1.0000000000000002</v>
      </c>
    </row>
    <row r="21" spans="1:27" ht="15.75" hidden="1" thickTop="1">
      <c r="A21" s="25" t="s">
        <v>0</v>
      </c>
      <c r="B21" s="26" t="s">
        <v>6</v>
      </c>
      <c r="C21" s="28"/>
      <c r="D21" s="28" t="str">
        <f>IF(C21="","",IFERROR(_xlfn.XLOOKUP(C21,HELPER!$A$2:$A$81,HELPER!$B$2:$B$81,""),D21))</f>
        <v/>
      </c>
      <c r="E21" s="28" t="str">
        <f>IFERROR(_xlfn.XLOOKUP(D21,HELPER!$B:$B,HELPER!$C:$C,""),"")</f>
        <v/>
      </c>
      <c r="F21" s="27" t="str">
        <f>IFERROR(_xlfn.XLOOKUP(D21,HELPER!$B:$B,HELPER!$D:$D,""),"")</f>
        <v/>
      </c>
      <c r="G21" s="27">
        <v>24</v>
      </c>
      <c r="H21" s="31"/>
      <c r="I21" s="21" t="str">
        <f>IF(AND(H21&lt;&gt;"",IFERROR(_xlfn.XLOOKUP(D21,HELPER!$B:$B,HELPER!$E:$E,""),"")=""),"Missing price",IFERROR(_xlfn.XLOOKUP(D21,HELPER!$B:$B,HELPER!$E:$E,"")," "))</f>
        <v/>
      </c>
      <c r="J21" s="53" t="str">
        <f>IFERROR(H21*(IF(G21=8,I21*HELPER!$G$2,BOM!I21*HELPER!$G$3))," ")</f>
        <v xml:space="preserve"> </v>
      </c>
      <c r="K21" s="6"/>
      <c r="L21" s="14" t="str" cm="1">
        <f t="array" ref="L21">IFERROR(_xlfn.LET(_xlpm.films,Table4[Film],_xlpm.grades,Table4[Grade],_xlpm.pairs,_xlfn._xlws.FILTER(_xlfn.HSTACK(_xlpm.films,_xlpm.grades),(_xlpm.films&lt;&gt;"")*(TRIM(_xlpm.grades)&lt;&gt;"")),_xlpm.uniquePairs,_xlfn.UNIQUE(_xlpm.pairs),_xlpm.sortedPairs,_xlfn._xlws.SORT(_xlpm.uniquePairs,1,1),INDEX(_xlpm.sortedPairs,ROWS($L$2:L21),1)),"")</f>
        <v>PL202.2</v>
      </c>
      <c r="M21" s="15" t="str" cm="1">
        <f t="array" ref="M21">IFERROR(_xlfn.LET(_xlpm.films,Table4[Film],_xlpm.grades,Table4[Grade],_xlpm.pairs,_xlfn._xlws.FILTER(_xlfn.HSTACK(_xlpm.films,_xlpm.grades),(_xlpm.films&lt;&gt;"")*(TRIM(_xlpm.grades)&lt;&gt;"")),_xlpm.uniquePairs,_xlfn.UNIQUE(_xlpm.pairs),_xlpm.sortedPairs,_xlfn._xlws.SORT(_xlpm.uniquePairs,1,1),INDEX(_xlpm.sortedPairs,ROWS($M$2:M21),2)),"")</f>
        <v>LX175</v>
      </c>
      <c r="N21" s="15" t="str" cm="1">
        <f t="array" ref="N21">IF(OR(Table2[[#This Row],[Film]]="",Table2[[#This Row],[Grade]]=""),"",IFERROR(INDEX(Table4[Serial Number],MATCH(1,(Table4[Film]=Table2[[#This Row],[Film]])*(Table4[Grade]=Table2[[#This Row],[Grade]]),0)),""))</f>
        <v>RMLX175</v>
      </c>
      <c r="O21" s="51">
        <f>IF(OR(Table2[[#This Row],[Film]]="",Table2[[#This Row],[Grade]]=""),"",SUMIFS(Table4[Price Calculated(€) Thickness &amp; QTY related],Table4[Film],Table2[[#This Row],[Film]],Table4[Grade],Table2[[#This Row],[Grade]]))</f>
        <v>1.50258</v>
      </c>
      <c r="P21" s="6"/>
      <c r="Q21" s="20" t="str" cm="1">
        <f t="array" ref="Q21">IFERROR(INDEX(Table2[Film],MATCH(0,COUNTIF($Q$1:Q20,Table2[Film])+IF(Table2[Film]="",1,0),0)),"")</f>
        <v/>
      </c>
      <c r="R21" s="57">
        <f>SUMIF(Table2[Film],"TIPA 312 MFG",Table2[Price Calculated(€) Thickness &amp; QTY related])+_xlfn.XLOOKUP("MET LUX ",HELPER!$A:$A,HELPER!$E:$E,0)</f>
        <v>5.3805880000000004</v>
      </c>
      <c r="S21" s="59">
        <f>IFERROR(R21*HELPER!$AK$2," ")</f>
        <v>6.2414820799999999</v>
      </c>
      <c r="T21" s="6"/>
      <c r="U21" s="2" t="s">
        <v>0</v>
      </c>
      <c r="V21" s="2" t="s">
        <v>16</v>
      </c>
      <c r="W21" s="2" t="s">
        <v>10</v>
      </c>
      <c r="X21" s="2" t="s">
        <v>80</v>
      </c>
      <c r="Y21" s="2" t="s">
        <v>38</v>
      </c>
      <c r="Z21" s="600" cm="1">
        <f t="array" ref="Z21">SUMPRODUCT((BOM!$A$2:$A$391=U21)*(BOM!$F$2:$F$391=Y21)*BOM!$H$2:$H$391*BOM!$G$2:$G$391)/SUMPRODUCT((BOM!$A$2:$A$391=U21)*BOM!$H$2:$H$391*BOM!$G$2:$G$391)</f>
        <v>1.5000000000000003E-2</v>
      </c>
      <c r="AA21" s="603">
        <f>SUMIF(tblResinWeightedQty12[Film],tblResinWeightedQty12[[#This Row],[Film]],tblResinWeightedQty12[Weighted QTY %])</f>
        <v>1.0000000000000002</v>
      </c>
    </row>
    <row r="22" spans="1:27" ht="15.75" hidden="1" thickTop="1">
      <c r="A22" s="25" t="s">
        <v>0</v>
      </c>
      <c r="B22" s="26" t="s">
        <v>7</v>
      </c>
      <c r="C22" s="28" t="s">
        <v>12</v>
      </c>
      <c r="D22" s="28" t="str">
        <f>IF(C22="","",IFERROR(_xlfn.XLOOKUP(C22,HELPER!$A$2:$A$81,HELPER!$B$2:$B$81,""),D22))</f>
        <v>FD92PM</v>
      </c>
      <c r="E22" s="28" t="str">
        <f>IFERROR(_xlfn.XLOOKUP(D22,HELPER!$B:$B,HELPER!$C:$C,""),"")</f>
        <v>RMPM2</v>
      </c>
      <c r="F22" s="27" t="str">
        <f>IFERROR(_xlfn.XLOOKUP(D22,HELPER!$B:$B,HELPER!$D:$D,""),"")</f>
        <v>Resin 9C</v>
      </c>
      <c r="G22" s="27">
        <v>8</v>
      </c>
      <c r="H22" s="31">
        <v>0.81799999999999995</v>
      </c>
      <c r="I22" s="21">
        <f>IF(AND(H22&lt;&gt;"",IFERROR(_xlfn.XLOOKUP(D22,HELPER!$B:$B,HELPER!$E:$E,""),"")=""),"Missing price",IFERROR(_xlfn.XLOOKUP(D22,HELPER!$B:$B,HELPER!$E:$E,"")," "))</f>
        <v>6.75</v>
      </c>
      <c r="J22" s="53">
        <f>IFERROR(H22*(IF(G22=8,I22*HELPER!$G$2,BOM!I22*HELPER!$G$3))," ")</f>
        <v>1.1043000000000001</v>
      </c>
      <c r="K22" s="6"/>
      <c r="L22" s="16" t="str" cm="1">
        <f t="array" ref="L22">IFERROR(_xlfn.LET(_xlpm.films,Table4[Film],_xlpm.grades,Table4[Grade],_xlpm.pairs,_xlfn._xlws.FILTER(_xlfn.HSTACK(_xlpm.films,_xlpm.grades),(_xlpm.films&lt;&gt;"")*(TRIM(_xlpm.grades)&lt;&gt;"")),_xlpm.uniquePairs,_xlfn.UNIQUE(_xlpm.pairs),_xlpm.sortedPairs,_xlfn._xlws.SORT(_xlpm.uniquePairs,1,1),INDEX(_xlpm.sortedPairs,ROWS($L$2:L22),1)),"")</f>
        <v>PL202.2</v>
      </c>
      <c r="M22" s="17" t="str" cm="1">
        <f t="array" ref="M22">IFERROR(_xlfn.LET(_xlpm.films,Table4[Film],_xlpm.grades,Table4[Grade],_xlpm.pairs,_xlfn._xlws.FILTER(_xlfn.HSTACK(_xlpm.films,_xlpm.grades),(_xlpm.films&lt;&gt;"")*(TRIM(_xlpm.grades)&lt;&gt;"")),_xlpm.uniquePairs,_xlfn.UNIQUE(_xlpm.pairs),_xlpm.sortedPairs,_xlfn._xlws.SORT(_xlpm.uniquePairs,1,1),INDEX(_xlpm.sortedPairs,ROWS($M$2:M22),2)),"")</f>
        <v>P65D</v>
      </c>
      <c r="N22" s="17" t="str" cm="1">
        <f t="array" ref="N22">IF(OR(Table2[[#This Row],[Film]]="",Table2[[#This Row],[Grade]]=""),"",IFERROR(INDEX(Table4[Serial Number],MATCH(1,(Table4[Film]=Table2[[#This Row],[Film]])*(Table4[Grade]=Table2[[#This Row],[Grade]]),0)),""))</f>
        <v>RMP65D</v>
      </c>
      <c r="O22" s="52">
        <f>IF(OR(Table2[[#This Row],[Film]]="",Table2[[#This Row],[Grade]]=""),"",SUMIFS(Table4[Price Calculated(€) Thickness &amp; QTY related],Table4[Film],Table2[[#This Row],[Film]],Table4[Grade],Table2[[#This Row],[Grade]]))</f>
        <v>0.83219999999999994</v>
      </c>
      <c r="P22" s="6"/>
      <c r="Q22" s="19" t="str" cm="1">
        <f t="array" ref="Q22">IFERROR(INDEX(Table2[Film],MATCH(0,COUNTIF($Q$1:Q21,Table2[Film])+IF(Table2[Film]="",1,0),0)),"")</f>
        <v/>
      </c>
      <c r="R22" s="56">
        <f>SUMIF(Table2[Film],"TIPA 312 MFG",Table2[Price Calculated(€) Thickness &amp; QTY related])+_xlfn.XLOOKUP("MET LUX ",HELPER!$A:$A,HELPER!$E:$E,0)</f>
        <v>5.3805880000000004</v>
      </c>
      <c r="S22" s="58">
        <f>IFERROR(R22*HELPER!$AK$2," ")</f>
        <v>6.2414820799999999</v>
      </c>
      <c r="T22" s="6"/>
      <c r="U22" s="2" t="s">
        <v>0</v>
      </c>
      <c r="V22" s="2" t="s">
        <v>17</v>
      </c>
      <c r="W22" s="2" t="s">
        <v>11</v>
      </c>
      <c r="X22" s="2" t="s">
        <v>81</v>
      </c>
      <c r="Y22" s="2" t="s">
        <v>39</v>
      </c>
      <c r="Z22" s="600" cm="1">
        <f t="array" ref="Z22">SUMPRODUCT((BOM!$A$2:$A$391=U22)*(BOM!$F$2:$F$391=Y22)*BOM!$H$2:$H$391*BOM!$G$2:$G$391)/SUMPRODUCT((BOM!$A$2:$A$391=U22)*BOM!$H$2:$H$391*BOM!$G$2:$G$391)</f>
        <v>1.6000000000000003E-3</v>
      </c>
      <c r="AA22" s="603">
        <f>SUMIF(tblResinWeightedQty12[Film],tblResinWeightedQty12[[#This Row],[Film]],tblResinWeightedQty12[Weighted QTY %])</f>
        <v>1.0000000000000002</v>
      </c>
    </row>
    <row r="23" spans="1:27" ht="15.75" hidden="1" thickTop="1">
      <c r="A23" s="25" t="s">
        <v>0</v>
      </c>
      <c r="B23" s="26" t="s">
        <v>7</v>
      </c>
      <c r="C23" s="28" t="s">
        <v>13</v>
      </c>
      <c r="D23" s="28" t="str">
        <f>IF(C23="","",IFERROR(_xlfn.XLOOKUP(C23,HELPER!$A$2:$A$81,HELPER!$B$2:$B$81,""),D23))</f>
        <v>LX175</v>
      </c>
      <c r="E23" s="28" t="str">
        <f>IFERROR(_xlfn.XLOOKUP(D23,HELPER!$B:$B,HELPER!$C:$C,""),"")</f>
        <v>RMLX175</v>
      </c>
      <c r="F23" s="27" t="str">
        <f>IFERROR(_xlfn.XLOOKUP(D23,HELPER!$B:$B,HELPER!$D:$D,""),"")</f>
        <v>Resin 1A</v>
      </c>
      <c r="G23" s="27">
        <v>8</v>
      </c>
      <c r="H23" s="31">
        <v>0.14399999999999999</v>
      </c>
      <c r="I23" s="21">
        <f>IF(AND(H23&lt;&gt;"",IFERROR(_xlfn.XLOOKUP(D23,HELPER!$B:$B,HELPER!$E:$E,""),"")=""),"Missing price",IFERROR(_xlfn.XLOOKUP(D23,HELPER!$B:$B,HELPER!$E:$E,"")," "))</f>
        <v>3.17</v>
      </c>
      <c r="J23" s="53">
        <f>IFERROR(H23*(IF(G23=8,I23*HELPER!$G$2,BOM!I23*HELPER!$G$3))," ")</f>
        <v>9.1295999999999988E-2</v>
      </c>
      <c r="K23" s="6"/>
      <c r="L23" s="14" t="str" cm="1">
        <f t="array" ref="L23">IFERROR(_xlfn.LET(_xlpm.films,Table4[Film],_xlpm.grades,Table4[Grade],_xlpm.pairs,_xlfn._xlws.FILTER(_xlfn.HSTACK(_xlpm.films,_xlpm.grades),(_xlpm.films&lt;&gt;"")*(TRIM(_xlpm.grades)&lt;&gt;"")),_xlpm.uniquePairs,_xlfn.UNIQUE(_xlpm.pairs),_xlpm.sortedPairs,_xlfn._xlws.SORT(_xlpm.uniquePairs,1,1),INDEX(_xlpm.sortedPairs,ROWS($L$2:L23),1)),"")</f>
        <v>PL202.2</v>
      </c>
      <c r="M23" s="15" t="str" cm="1">
        <f t="array" ref="M23">IFERROR(_xlfn.LET(_xlpm.films,Table4[Film],_xlpm.grades,Table4[Grade],_xlpm.pairs,_xlfn._xlws.FILTER(_xlfn.HSTACK(_xlpm.films,_xlpm.grades),(_xlpm.films&lt;&gt;"")*(TRIM(_xlpm.grades)&lt;&gt;"")),_xlpm.uniquePairs,_xlfn.UNIQUE(_xlpm.pairs),_xlpm.sortedPairs,_xlfn._xlws.SORT(_xlpm.uniquePairs,1,1),INDEX(_xlpm.sortedPairs,ROWS($M$2:M23),2)),"")</f>
        <v>S723</v>
      </c>
      <c r="N23" s="15" t="str" cm="1">
        <f t="array" ref="N23">IF(OR(Table2[[#This Row],[Film]]="",Table2[[#This Row],[Grade]]=""),"",IFERROR(INDEX(Table4[Serial Number],MATCH(1,(Table4[Film]=Table2[[#This Row],[Film]])*(Table4[Grade]=Table2[[#This Row],[Grade]]),0)),""))</f>
        <v>RM TA45-08 S723</v>
      </c>
      <c r="O23" s="51">
        <f>IF(OR(Table2[[#This Row],[Film]]="",Table2[[#This Row],[Grade]]=""),"",SUMIFS(Table4[Price Calculated(€) Thickness &amp; QTY related],Table4[Film],Table2[[#This Row],[Film]],Table4[Grade],Table2[[#This Row],[Grade]]))</f>
        <v>0.32320000000000004</v>
      </c>
      <c r="P23" s="6"/>
      <c r="Q23" s="20" t="str" cm="1">
        <f t="array" ref="Q23">IFERROR(INDEX(Table2[Film],MATCH(0,COUNTIF($Q$1:Q22,Table2[Film])+IF(Table2[Film]="",1,0),0)),"")</f>
        <v/>
      </c>
      <c r="R23" s="57">
        <f>SUMIF(Table2[Film],"TIPA 312 MFG",Table2[Price Calculated(€) Thickness &amp; QTY related])+_xlfn.XLOOKUP("MET LUX ",HELPER!$A:$A,HELPER!$E:$E,0)</f>
        <v>5.3805880000000004</v>
      </c>
      <c r="S23" s="59">
        <f>IFERROR(R23*HELPER!$AK$2," ")</f>
        <v>6.2414820799999999</v>
      </c>
      <c r="T23" s="6"/>
      <c r="U23" s="2" t="s">
        <v>0</v>
      </c>
      <c r="V23" s="2" t="s">
        <v>18</v>
      </c>
      <c r="W23" s="2" t="s">
        <v>9</v>
      </c>
      <c r="X23" s="2" t="s">
        <v>82</v>
      </c>
      <c r="Y23" s="2" t="s">
        <v>40</v>
      </c>
      <c r="Z23" s="600" cm="1">
        <f t="array" ref="Z23">SUMPRODUCT((BOM!$A$2:$A$391=U23)*(BOM!$F$2:$F$391=Y23)*BOM!$H$2:$H$391*BOM!$G$2:$G$391)/SUMPRODUCT((BOM!$A$2:$A$391=U23)*BOM!$H$2:$H$391*BOM!$G$2:$G$391)</f>
        <v>6.000000000000001E-3</v>
      </c>
      <c r="AA23" s="603">
        <f>SUMIF(tblResinWeightedQty12[Film],tblResinWeightedQty12[[#This Row],[Film]],tblResinWeightedQty12[Weighted QTY %])</f>
        <v>1.0000000000000002</v>
      </c>
    </row>
    <row r="24" spans="1:27" ht="15.75" hidden="1" thickTop="1">
      <c r="A24" s="25" t="s">
        <v>0</v>
      </c>
      <c r="B24" s="26" t="s">
        <v>7</v>
      </c>
      <c r="C24" s="28" t="s">
        <v>18</v>
      </c>
      <c r="D24" s="28" t="str">
        <f>IF(C24="","",IFERROR(_xlfn.XLOOKUP(C24,HELPER!$A$2:$A$81,HELPER!$B$2:$B$81,""),D24))</f>
        <v>KAB59A</v>
      </c>
      <c r="E24" s="28" t="str">
        <f>IFERROR(_xlfn.XLOOKUP(D24,HELPER!$B:$B,HELPER!$C:$C,""),"")</f>
        <v>RM A KAB59A</v>
      </c>
      <c r="F24" s="27" t="str">
        <f>IFERROR(_xlfn.XLOOKUP(D24,HELPER!$B:$B,HELPER!$D:$D,""),"")</f>
        <v>Resin 8</v>
      </c>
      <c r="G24" s="27">
        <v>8</v>
      </c>
      <c r="H24" s="31">
        <v>1.4999999999999999E-2</v>
      </c>
      <c r="I24" s="21">
        <f>IF(AND(H24&lt;&gt;"",IFERROR(_xlfn.XLOOKUP(D24,HELPER!$B:$B,HELPER!$E:$E,""),"")=""),"Missing price",IFERROR(_xlfn.XLOOKUP(D24,HELPER!$B:$B,HELPER!$E:$E,"")," "))</f>
        <v>7.55</v>
      </c>
      <c r="J24" s="53">
        <f>IFERROR(H24*(IF(G24=8,I24*HELPER!$G$2,BOM!I24*HELPER!$G$3))," ")</f>
        <v>2.265E-2</v>
      </c>
      <c r="K24" s="6"/>
      <c r="L24" s="16" t="str" cm="1">
        <f t="array" ref="L24">IFERROR(_xlfn.LET(_xlpm.films,Table4[Film],_xlpm.grades,Table4[Grade],_xlpm.pairs,_xlfn._xlws.FILTER(_xlfn.HSTACK(_xlpm.films,_xlpm.grades),(_xlpm.films&lt;&gt;"")*(TRIM(_xlpm.grades)&lt;&gt;"")),_xlpm.uniquePairs,_xlfn.UNIQUE(_xlpm.pairs),_xlpm.sortedPairs,_xlfn._xlws.SORT(_xlpm.uniquePairs,1,1),INDEX(_xlpm.sortedPairs,ROWS($L$2:L24),1)),"")</f>
        <v>PL202.2</v>
      </c>
      <c r="M24" s="17" t="str" cm="1">
        <f t="array" ref="M24">IFERROR(_xlfn.LET(_xlpm.films,Table4[Film],_xlpm.grades,Table4[Grade],_xlpm.pairs,_xlfn._xlws.FILTER(_xlfn.HSTACK(_xlpm.films,_xlpm.grades),(_xlpm.films&lt;&gt;"")*(TRIM(_xlpm.grades)&lt;&gt;"")),_xlpm.uniquePairs,_xlfn.UNIQUE(_xlpm.pairs),_xlpm.sortedPairs,_xlfn._xlws.SORT(_xlpm.uniquePairs,1,1),INDEX(_xlpm.sortedPairs,ROWS($M$2:M24),2)),"")</f>
        <v>BVE8049P</v>
      </c>
      <c r="N24" s="17" t="str" cm="1">
        <f t="array" ref="N24">IF(OR(Table2[[#This Row],[Film]]="",Table2[[#This Row],[Grade]]=""),"",IFERROR(INDEX(Table4[Serial Number],MATCH(1,(Table4[Film]=Table2[[#This Row],[Film]])*(Table4[Grade]=Table2[[#This Row],[Grade]]),0)),""))</f>
        <v>BVE8049P</v>
      </c>
      <c r="O24" s="52">
        <f>IF(OR(Table2[[#This Row],[Film]]="",Table2[[#This Row],[Grade]]=""),"",SUMIFS(Table4[Price Calculated(€) Thickness &amp; QTY related],Table4[Film],Table2[[#This Row],[Film]],Table4[Grade],Table2[[#This Row],[Grade]]))</f>
        <v>4.6989999999999998</v>
      </c>
      <c r="P24" s="6"/>
      <c r="Q24" s="19" t="str" cm="1">
        <f t="array" ref="Q24">IFERROR(INDEX(Table2[Film],MATCH(0,COUNTIF($Q$1:Q23,Table2[Film])+IF(Table2[Film]="",1,0),0)),"")</f>
        <v/>
      </c>
      <c r="R24" s="56">
        <f>SUMIF(Table2[Film],"TIPA 312 MFG",Table2[Price Calculated(€) Thickness &amp; QTY related])+_xlfn.XLOOKUP("MET LUX ",HELPER!$A:$A,HELPER!$E:$E,0)</f>
        <v>5.3805880000000004</v>
      </c>
      <c r="S24" s="58">
        <f>IFERROR(R24*HELPER!$AK$2," ")</f>
        <v>6.2414820799999999</v>
      </c>
      <c r="T24" s="6"/>
      <c r="U24" s="2" t="s">
        <v>0</v>
      </c>
      <c r="V24" s="2" t="s">
        <v>12</v>
      </c>
      <c r="W24" s="2" t="s">
        <v>8</v>
      </c>
      <c r="X24" s="2" t="s">
        <v>83</v>
      </c>
      <c r="Y24" s="2" t="s">
        <v>42</v>
      </c>
      <c r="Z24" s="600" cm="1">
        <f t="array" ref="Z24">SUMPRODUCT((BOM!$A$2:$A$391=U24)*(BOM!$F$2:$F$391=Y24)*BOM!$H$2:$H$391*BOM!$G$2:$G$391)/SUMPRODUCT((BOM!$A$2:$A$391=U24)*BOM!$H$2:$H$391*BOM!$G$2:$G$391)</f>
        <v>0.32880000000000004</v>
      </c>
      <c r="AA24" s="603">
        <f>SUMIF(tblResinWeightedQty12[Film],tblResinWeightedQty12[[#This Row],[Film]],tblResinWeightedQty12[Weighted QTY %])</f>
        <v>1.0000000000000002</v>
      </c>
    </row>
    <row r="25" spans="1:27" ht="15.75" hidden="1" thickTop="1">
      <c r="A25" s="25" t="s">
        <v>0</v>
      </c>
      <c r="B25" s="26" t="s">
        <v>7</v>
      </c>
      <c r="C25" s="28" t="s">
        <v>16</v>
      </c>
      <c r="D25" s="28" t="str">
        <f>IF(C25="","",IFERROR(_xlfn.XLOOKUP(C25,HELPER!$A$2:$A$81,HELPER!$B$2:$B$81,""),D25))</f>
        <v>S723</v>
      </c>
      <c r="E25" s="28" t="str">
        <f>IFERROR(_xlfn.XLOOKUP(D25,HELPER!$B:$B,HELPER!$C:$C,""),"")</f>
        <v>RM TA45-08 S723</v>
      </c>
      <c r="F25" s="27" t="str">
        <f>IFERROR(_xlfn.XLOOKUP(D25,HELPER!$B:$B,HELPER!$D:$D,""),"")</f>
        <v>Resin 6</v>
      </c>
      <c r="G25" s="27">
        <v>8</v>
      </c>
      <c r="H25" s="31">
        <v>1.4999999999999999E-2</v>
      </c>
      <c r="I25" s="21">
        <f>IF(AND(H25&lt;&gt;"",IFERROR(_xlfn.XLOOKUP(D25,HELPER!$B:$B,HELPER!$E:$E,""),"")=""),"Missing price",IFERROR(_xlfn.XLOOKUP(D25,HELPER!$B:$B,HELPER!$E:$E,"")," "))</f>
        <v>16.16</v>
      </c>
      <c r="J25" s="53">
        <f>IFERROR(H25*(IF(G25=8,I25*HELPER!$G$2,BOM!I25*HELPER!$G$3))," ")</f>
        <v>4.8480000000000002E-2</v>
      </c>
      <c r="K25" s="6"/>
      <c r="L25" s="14" t="str" cm="1">
        <f t="array" ref="L25">IFERROR(_xlfn.LET(_xlpm.films,Table4[Film],_xlpm.grades,Table4[Grade],_xlpm.pairs,_xlfn._xlws.FILTER(_xlfn.HSTACK(_xlpm.films,_xlpm.grades),(_xlpm.films&lt;&gt;"")*(TRIM(_xlpm.grades)&lt;&gt;"")),_xlpm.uniquePairs,_xlfn.UNIQUE(_xlpm.pairs),_xlpm.sortedPairs,_xlfn._xlws.SORT(_xlpm.uniquePairs,1,1),INDEX(_xlpm.sortedPairs,ROWS($L$2:L25),1)),"")</f>
        <v>PL202.2</v>
      </c>
      <c r="M25" s="15" t="str" cm="1">
        <f t="array" ref="M25">IFERROR(_xlfn.LET(_xlpm.films,Table4[Film],_xlpm.grades,Table4[Grade],_xlpm.pairs,_xlfn._xlws.FILTER(_xlfn.HSTACK(_xlpm.films,_xlpm.grades),(_xlpm.films&lt;&gt;"")*(TRIM(_xlpm.grades)&lt;&gt;"")),_xlpm.uniquePairs,_xlfn.UNIQUE(_xlpm.pairs),_xlpm.sortedPairs,_xlfn._xlws.SORT(_xlpm.uniquePairs,1,1),INDEX(_xlpm.sortedPairs,ROWS($M$2:M25),2)),"")</f>
        <v>B12</v>
      </c>
      <c r="N25" s="15" t="str" cm="1">
        <f t="array" ref="N25">IF(OR(Table2[[#This Row],[Film]]="",Table2[[#This Row],[Grade]]=""),"",IFERROR(INDEX(Table4[Serial Number],MATCH(1,(Table4[Film]=Table2[[#This Row],[Film]])*(Table4[Grade]=Table2[[#This Row],[Grade]]),0)),""))</f>
        <v>RMB12</v>
      </c>
      <c r="O25" s="51">
        <f>IF(OR(Table2[[#This Row],[Film]]="",Table2[[#This Row],[Grade]]=""),"",SUMIFS(Table4[Price Calculated(€) Thickness &amp; QTY related],Table4[Film],Table2[[#This Row],[Film]],Table4[Grade],Table2[[#This Row],[Grade]]))</f>
        <v>0.24978</v>
      </c>
      <c r="P25" s="6"/>
      <c r="Q25" s="20" t="str" cm="1">
        <f t="array" ref="Q25">IFERROR(INDEX(Table2[Film],MATCH(0,COUNTIF($Q$1:Q24,Table2[Film])+IF(Table2[Film]="",1,0),0)),"")</f>
        <v/>
      </c>
      <c r="R25" s="57">
        <f>SUMIF(Table2[Film],"TIPA 312 MFG",Table2[Price Calculated(€) Thickness &amp; QTY related])+_xlfn.XLOOKUP("MET LUX ",HELPER!$A:$A,HELPER!$E:$E,0)</f>
        <v>5.3805880000000004</v>
      </c>
      <c r="S25" s="59">
        <f>IFERROR(R25*HELPER!$AK$2," ")</f>
        <v>6.2414820799999999</v>
      </c>
      <c r="T25" s="6"/>
      <c r="U25" s="2" t="s">
        <v>43</v>
      </c>
      <c r="V25" s="2" t="s">
        <v>41</v>
      </c>
      <c r="W25" s="2" t="s">
        <v>26</v>
      </c>
      <c r="X25" s="2" t="s">
        <v>26</v>
      </c>
      <c r="Y25" s="2" t="s">
        <v>53</v>
      </c>
      <c r="Z25" s="600" cm="1">
        <f t="array" ref="Z25">SUMPRODUCT((BOM!$A$2:$A$391=U25)*(BOM!$F$2:$F$391=Y25)*BOM!$H$2:$H$391*BOM!$G$2:$G$391)/SUMPRODUCT((BOM!$A$2:$A$391=U25)*BOM!$H$2:$H$391*BOM!$G$2:$G$391)</f>
        <v>6.0000000000000012E-2</v>
      </c>
      <c r="AA25" s="603">
        <f>SUMIF(tblResinWeightedQty12[Film],tblResinWeightedQty12[[#This Row],[Film]],tblResinWeightedQty12[Weighted QTY %])</f>
        <v>1</v>
      </c>
    </row>
    <row r="26" spans="1:27" ht="15.75" hidden="1" thickTop="1">
      <c r="A26" s="25" t="s">
        <v>0</v>
      </c>
      <c r="B26" s="26" t="s">
        <v>7</v>
      </c>
      <c r="C26" s="28" t="s">
        <v>17</v>
      </c>
      <c r="D26" s="28" t="str">
        <f>IF(C26="","",IFERROR(_xlfn.XLOOKUP(C26,HELPER!$A$2:$A$81,HELPER!$B$2:$B$81,""),D26))</f>
        <v>S724</v>
      </c>
      <c r="E26" s="28" t="str">
        <f>IFERROR(_xlfn.XLOOKUP(D26,HELPER!$B:$B,HELPER!$C:$C,""),"")</f>
        <v>RM TA45-08 S724</v>
      </c>
      <c r="F26" s="27" t="str">
        <f>IFERROR(_xlfn.XLOOKUP(D26,HELPER!$B:$B,HELPER!$D:$D,""),"")</f>
        <v>Resin 7</v>
      </c>
      <c r="G26" s="27">
        <v>8</v>
      </c>
      <c r="H26" s="31">
        <v>8.0000000000000002E-3</v>
      </c>
      <c r="I26" s="21">
        <f>IF(AND(H26&lt;&gt;"",IFERROR(_xlfn.XLOOKUP(D26,HELPER!$B:$B,HELPER!$E:$E,""),"")=""),"Missing price",IFERROR(_xlfn.XLOOKUP(D26,HELPER!$B:$B,HELPER!$E:$E,"")," "))</f>
        <v>14.7</v>
      </c>
      <c r="J26" s="53">
        <f>IFERROR(H26*(IF(G26=8,I26*HELPER!$G$2,BOM!I26*HELPER!$G$3))," ")</f>
        <v>2.3519999999999999E-2</v>
      </c>
      <c r="K26" s="6"/>
      <c r="L26" s="16" t="str" cm="1">
        <f t="array" ref="L26">IFERROR(_xlfn.LET(_xlpm.films,Table4[Film],_xlpm.grades,Table4[Grade],_xlpm.pairs,_xlfn._xlws.FILTER(_xlfn.HSTACK(_xlpm.films,_xlpm.grades),(_xlpm.films&lt;&gt;"")*(TRIM(_xlpm.grades)&lt;&gt;"")),_xlpm.uniquePairs,_xlfn.UNIQUE(_xlpm.pairs),_xlpm.sortedPairs,_xlfn._xlws.SORT(_xlpm.uniquePairs,1,1),INDEX(_xlpm.sortedPairs,ROWS($L$2:L26),1)),"")</f>
        <v>PL202.3</v>
      </c>
      <c r="M26" s="17" t="str" cm="1">
        <f t="array" ref="M26">IFERROR(_xlfn.LET(_xlpm.films,Table4[Film],_xlpm.grades,Table4[Grade],_xlpm.pairs,_xlfn._xlws.FILTER(_xlfn.HSTACK(_xlpm.films,_xlpm.grades),(_xlpm.films&lt;&gt;"")*(TRIM(_xlpm.grades)&lt;&gt;"")),_xlpm.uniquePairs,_xlfn.UNIQUE(_xlpm.pairs),_xlpm.sortedPairs,_xlfn._xlws.SORT(_xlpm.uniquePairs,1,1),INDEX(_xlpm.sortedPairs,ROWS($M$2:M26),2)),"")</f>
        <v>LX175</v>
      </c>
      <c r="N26" s="17" t="str" cm="1">
        <f t="array" ref="N26">IF(OR(Table2[[#This Row],[Film]]="",Table2[[#This Row],[Grade]]=""),"",IFERROR(INDEX(Table4[Serial Number],MATCH(1,(Table4[Film]=Table2[[#This Row],[Film]])*(Table4[Grade]=Table2[[#This Row],[Grade]]),0)),""))</f>
        <v>RMLX175</v>
      </c>
      <c r="O26" s="52">
        <f>IF(OR(Table2[[#This Row],[Film]]="",Table2[[#This Row],[Grade]]=""),"",SUMIFS(Table4[Price Calculated(€) Thickness &amp; QTY related],Table4[Film],Table2[[#This Row],[Film]],Table4[Grade],Table2[[#This Row],[Grade]]))</f>
        <v>1.50258</v>
      </c>
      <c r="P26" s="6"/>
      <c r="Q26" s="19" t="str" cm="1">
        <f t="array" ref="Q26">IFERROR(INDEX(Table2[Film],MATCH(0,COUNTIF($Q$1:Q25,Table2[Film])+IF(Table2[Film]="",1,0),0)),"")</f>
        <v/>
      </c>
      <c r="R26" s="56">
        <f>SUMIF(Table2[Film],"TIPA 312 MFG",Table2[Price Calculated(€) Thickness &amp; QTY related])+_xlfn.XLOOKUP("MET LUX ",HELPER!$A:$A,HELPER!$E:$E,0)</f>
        <v>5.3805880000000004</v>
      </c>
      <c r="S26" s="58">
        <f>IFERROR(R26*HELPER!$AK$2," ")</f>
        <v>6.2414820799999999</v>
      </c>
      <c r="T26" s="6"/>
      <c r="U26" s="2" t="s">
        <v>43</v>
      </c>
      <c r="V26" s="2" t="s">
        <v>13</v>
      </c>
      <c r="W26" s="2" t="s">
        <v>73</v>
      </c>
      <c r="X26" s="2" t="s">
        <v>74</v>
      </c>
      <c r="Y26" s="2" t="s">
        <v>33</v>
      </c>
      <c r="Z26" s="600" cm="1">
        <f t="array" ref="Z26">SUMPRODUCT((BOM!$A$2:$A$391=U26)*(BOM!$F$2:$F$391=Y26)*BOM!$H$2:$H$391*BOM!$G$2:$G$391)/SUMPRODUCT((BOM!$A$2:$A$391=U26)*BOM!$H$2:$H$391*BOM!$G$2:$G$391)</f>
        <v>5.7599999999999998E-2</v>
      </c>
      <c r="AA26" s="603">
        <f>SUMIF(tblResinWeightedQty12[Film],tblResinWeightedQty12[[#This Row],[Film]],tblResinWeightedQty12[Weighted QTY %])</f>
        <v>1</v>
      </c>
    </row>
    <row r="27" spans="1:27" ht="15.75" hidden="1" thickTop="1">
      <c r="A27" s="25" t="s">
        <v>0</v>
      </c>
      <c r="B27" s="26" t="s">
        <v>7</v>
      </c>
      <c r="C27" s="28"/>
      <c r="D27" s="28" t="str">
        <f>IF(C27="","",IFERROR(_xlfn.XLOOKUP(C27,HELPER!$A$2:$A$81,HELPER!$B$2:$B$81,""),D27))</f>
        <v/>
      </c>
      <c r="E27" s="28" t="str">
        <f>IFERROR(_xlfn.XLOOKUP(D27,HELPER!$B:$B,HELPER!$C:$C,""),"")</f>
        <v/>
      </c>
      <c r="F27" s="27" t="str">
        <f>IFERROR(_xlfn.XLOOKUP(D27,HELPER!$B:$B,HELPER!$D:$D,""),"")</f>
        <v/>
      </c>
      <c r="G27" s="27">
        <v>8</v>
      </c>
      <c r="H27" s="31"/>
      <c r="I27" s="21" t="str">
        <f>IF(AND(H27&lt;&gt;"",IFERROR(_xlfn.XLOOKUP(D27,HELPER!$B:$B,HELPER!$E:$E,""),"")=""),"Missing price",IFERROR(_xlfn.XLOOKUP(D27,HELPER!$B:$B,HELPER!$E:$E,"")," "))</f>
        <v/>
      </c>
      <c r="J27" s="53" t="str">
        <f>IFERROR(H27*(IF(G27=8,I27*HELPER!$G$2,BOM!I27*HELPER!$G$3))," ")</f>
        <v xml:space="preserve"> </v>
      </c>
      <c r="K27" s="6"/>
      <c r="L27" s="14" t="str" cm="1">
        <f t="array" ref="L27">IFERROR(_xlfn.LET(_xlpm.films,Table4[Film],_xlpm.grades,Table4[Grade],_xlpm.pairs,_xlfn._xlws.FILTER(_xlfn.HSTACK(_xlpm.films,_xlpm.grades),(_xlpm.films&lt;&gt;"")*(TRIM(_xlpm.grades)&lt;&gt;"")),_xlpm.uniquePairs,_xlfn.UNIQUE(_xlpm.pairs),_xlpm.sortedPairs,_xlfn._xlws.SORT(_xlpm.uniquePairs,1,1),INDEX(_xlpm.sortedPairs,ROWS($L$2:L27),1)),"")</f>
        <v>PL202.3</v>
      </c>
      <c r="M27" s="15" t="str" cm="1">
        <f t="array" ref="M27">IFERROR(_xlfn.LET(_xlpm.films,Table4[Film],_xlpm.grades,Table4[Grade],_xlpm.pairs,_xlfn._xlws.FILTER(_xlfn.HSTACK(_xlpm.films,_xlpm.grades),(_xlpm.films&lt;&gt;"")*(TRIM(_xlpm.grades)&lt;&gt;"")),_xlpm.uniquePairs,_xlfn.UNIQUE(_xlpm.pairs),_xlpm.sortedPairs,_xlfn._xlws.SORT(_xlpm.uniquePairs,1,1),INDEX(_xlpm.sortedPairs,ROWS($M$2:M27),2)),"")</f>
        <v>P65D</v>
      </c>
      <c r="N27" s="15" t="str" cm="1">
        <f t="array" ref="N27">IF(OR(Table2[[#This Row],[Film]]="",Table2[[#This Row],[Grade]]=""),"",IFERROR(INDEX(Table4[Serial Number],MATCH(1,(Table4[Film]=Table2[[#This Row],[Film]])*(Table4[Grade]=Table2[[#This Row],[Grade]]),0)),""))</f>
        <v>RMP65D</v>
      </c>
      <c r="O27" s="51">
        <f>IF(OR(Table2[[#This Row],[Film]]="",Table2[[#This Row],[Grade]]=""),"",SUMIFS(Table4[Price Calculated(€) Thickness &amp; QTY related],Table4[Film],Table2[[#This Row],[Film]],Table4[Grade],Table2[[#This Row],[Grade]]))</f>
        <v>0.83219999999999994</v>
      </c>
      <c r="P27" s="6"/>
      <c r="Q27" s="20" t="str" cm="1">
        <f t="array" ref="Q27">IFERROR(INDEX(Table2[Film],MATCH(0,COUNTIF($Q$1:Q26,Table2[Film])+IF(Table2[Film]="",1,0),0)),"")</f>
        <v/>
      </c>
      <c r="R27" s="57">
        <f>SUMIF(Table2[Film],"TIPA 312 MFG",Table2[Price Calculated(€) Thickness &amp; QTY related])+_xlfn.XLOOKUP("MET LUX ",HELPER!$A:$A,HELPER!$E:$E,0)</f>
        <v>5.3805880000000004</v>
      </c>
      <c r="S27" s="59">
        <f>IFERROR(R27*HELPER!$AK$2," ")</f>
        <v>6.2414820799999999</v>
      </c>
      <c r="T27" s="6"/>
      <c r="U27" s="2" t="s">
        <v>43</v>
      </c>
      <c r="V27" s="2" t="s">
        <v>14</v>
      </c>
      <c r="W27" s="2" t="s">
        <v>23</v>
      </c>
      <c r="X27" s="2" t="s">
        <v>76</v>
      </c>
      <c r="Y27" s="2" t="s">
        <v>35</v>
      </c>
      <c r="Z27" s="600" cm="1">
        <f t="array" ref="Z27">SUMPRODUCT((BOM!$A$2:$A$391=U27)*(BOM!$F$2:$F$391=Y27)*BOM!$H$2:$H$391*BOM!$G$2:$G$391)/SUMPRODUCT((BOM!$A$2:$A$391=U27)*BOM!$H$2:$H$391*BOM!$G$2:$G$391)</f>
        <v>0.53100000000000003</v>
      </c>
      <c r="AA27" s="603">
        <f>SUMIF(tblResinWeightedQty12[Film],tblResinWeightedQty12[[#This Row],[Film]],tblResinWeightedQty12[Weighted QTY %])</f>
        <v>1</v>
      </c>
    </row>
    <row r="28" spans="1:27" ht="15.75" hidden="1" thickTop="1">
      <c r="A28" s="25" t="s">
        <v>0</v>
      </c>
      <c r="B28" s="26" t="s">
        <v>7</v>
      </c>
      <c r="C28" s="28"/>
      <c r="D28" s="28" t="str">
        <f>IF(C28="","",IFERROR(_xlfn.XLOOKUP(C28,HELPER!$A$2:$A$81,HELPER!$B$2:$B$81,""),D28))</f>
        <v/>
      </c>
      <c r="E28" s="28" t="str">
        <f>IFERROR(_xlfn.XLOOKUP(D28,HELPER!$B:$B,HELPER!$C:$C,""),"")</f>
        <v/>
      </c>
      <c r="F28" s="27" t="str">
        <f>IFERROR(_xlfn.XLOOKUP(D28,HELPER!$B:$B,HELPER!$D:$D,""),"")</f>
        <v/>
      </c>
      <c r="G28" s="27">
        <v>8</v>
      </c>
      <c r="H28" s="31"/>
      <c r="I28" s="21" t="str">
        <f>IF(AND(H28&lt;&gt;"",IFERROR(_xlfn.XLOOKUP(D28,HELPER!$B:$B,HELPER!$E:$E,""),"")=""),"Missing price",IFERROR(_xlfn.XLOOKUP(D28,HELPER!$B:$B,HELPER!$E:$E,"")," "))</f>
        <v/>
      </c>
      <c r="J28" s="53" t="str">
        <f>IFERROR(H28*(IF(G28=8,I28*HELPER!$G$2,BOM!I28*HELPER!$G$3))," ")</f>
        <v xml:space="preserve"> </v>
      </c>
      <c r="K28" s="6"/>
      <c r="L28" s="16" t="str" cm="1">
        <f t="array" ref="L28">IFERROR(_xlfn.LET(_xlpm.films,Table4[Film],_xlpm.grades,Table4[Grade],_xlpm.pairs,_xlfn._xlws.FILTER(_xlfn.HSTACK(_xlpm.films,_xlpm.grades),(_xlpm.films&lt;&gt;"")*(TRIM(_xlpm.grades)&lt;&gt;"")),_xlpm.uniquePairs,_xlfn.UNIQUE(_xlpm.pairs),_xlpm.sortedPairs,_xlfn._xlws.SORT(_xlpm.uniquePairs,1,1),INDEX(_xlpm.sortedPairs,ROWS($L$2:L28),1)),"")</f>
        <v>PL202.3</v>
      </c>
      <c r="M28" s="17" t="str" cm="1">
        <f t="array" ref="M28">IFERROR(_xlfn.LET(_xlpm.films,Table4[Film],_xlpm.grades,Table4[Grade],_xlpm.pairs,_xlfn._xlws.FILTER(_xlfn.HSTACK(_xlpm.films,_xlpm.grades),(_xlpm.films&lt;&gt;"")*(TRIM(_xlpm.grades)&lt;&gt;"")),_xlpm.uniquePairs,_xlfn.UNIQUE(_xlpm.pairs),_xlpm.sortedPairs,_xlfn._xlws.SORT(_xlpm.uniquePairs,1,1),INDEX(_xlpm.sortedPairs,ROWS($M$2:M28),2)),"")</f>
        <v>S723</v>
      </c>
      <c r="N28" s="17" t="str" cm="1">
        <f t="array" ref="N28">IF(OR(Table2[[#This Row],[Film]]="",Table2[[#This Row],[Grade]]=""),"",IFERROR(INDEX(Table4[Serial Number],MATCH(1,(Table4[Film]=Table2[[#This Row],[Film]])*(Table4[Grade]=Table2[[#This Row],[Grade]]),0)),""))</f>
        <v>RM TA45-08 S723</v>
      </c>
      <c r="O28" s="52">
        <f>IF(OR(Table2[[#This Row],[Film]]="",Table2[[#This Row],[Grade]]=""),"",SUMIFS(Table4[Price Calculated(€) Thickness &amp; QTY related],Table4[Film],Table2[[#This Row],[Film]],Table4[Grade],Table2[[#This Row],[Grade]]))</f>
        <v>0.32320000000000004</v>
      </c>
      <c r="P28" s="6"/>
      <c r="Q28" s="19" t="str" cm="1">
        <f t="array" ref="Q28">IFERROR(INDEX(Table2[Film],MATCH(0,COUNTIF($Q$1:Q27,Table2[Film])+IF(Table2[Film]="",1,0),0)),"")</f>
        <v/>
      </c>
      <c r="R28" s="56">
        <f>SUMIF(Table2[Film],"TIPA 312 MFG",Table2[Price Calculated(€) Thickness &amp; QTY related])+_xlfn.XLOOKUP("MET LUX ",HELPER!$A:$A,HELPER!$E:$E,0)</f>
        <v>5.3805880000000004</v>
      </c>
      <c r="S28" s="58">
        <f>IFERROR(R28*HELPER!$AK$2," ")</f>
        <v>6.2414820799999999</v>
      </c>
      <c r="T28" s="6"/>
      <c r="U28" s="2" t="s">
        <v>43</v>
      </c>
      <c r="V28" s="2" t="s">
        <v>16</v>
      </c>
      <c r="W28" s="2" t="s">
        <v>10</v>
      </c>
      <c r="X28" s="2" t="s">
        <v>80</v>
      </c>
      <c r="Y28" s="2" t="s">
        <v>38</v>
      </c>
      <c r="Z28" s="600" cm="1">
        <f t="array" ref="Z28">SUMPRODUCT((BOM!$A$2:$A$391=U28)*(BOM!$F$2:$F$391=Y28)*BOM!$H$2:$H$391*BOM!$G$2:$G$391)/SUMPRODUCT((BOM!$A$2:$A$391=U28)*BOM!$H$2:$H$391*BOM!$G$2:$G$391)</f>
        <v>1.4999999999999999E-2</v>
      </c>
      <c r="AA28" s="603">
        <f>SUMIF(tblResinWeightedQty12[Film],tblResinWeightedQty12[[#This Row],[Film]],tblResinWeightedQty12[Weighted QTY %])</f>
        <v>1</v>
      </c>
    </row>
    <row r="29" spans="1:27" ht="15.75" hidden="1" thickTop="1">
      <c r="A29" s="25" t="s">
        <v>0</v>
      </c>
      <c r="B29" s="26" t="s">
        <v>7</v>
      </c>
      <c r="C29" s="28"/>
      <c r="D29" s="28" t="str">
        <f>IF(C29="","",IFERROR(_xlfn.XLOOKUP(C29,HELPER!$A$2:$A$81,HELPER!$B$2:$B$81,""),D29))</f>
        <v/>
      </c>
      <c r="E29" s="28" t="str">
        <f>IFERROR(_xlfn.XLOOKUP(D29,HELPER!$B:$B,HELPER!$C:$C,""),"")</f>
        <v/>
      </c>
      <c r="F29" s="27" t="str">
        <f>IFERROR(_xlfn.XLOOKUP(D29,HELPER!$B:$B,HELPER!$D:$D,""),"")</f>
        <v/>
      </c>
      <c r="G29" s="27">
        <v>8</v>
      </c>
      <c r="H29" s="31"/>
      <c r="I29" s="21" t="str">
        <f>IF(AND(H29&lt;&gt;"",IFERROR(_xlfn.XLOOKUP(D29,HELPER!$B:$B,HELPER!$E:$E,""),"")=""),"Missing price",IFERROR(_xlfn.XLOOKUP(D29,HELPER!$B:$B,HELPER!$E:$E,"")," "))</f>
        <v/>
      </c>
      <c r="J29" s="53" t="str">
        <f>IFERROR(H29*(IF(G29=8,I29*HELPER!$G$2,BOM!I29*HELPER!$G$3))," ")</f>
        <v xml:space="preserve"> </v>
      </c>
      <c r="K29" s="6"/>
      <c r="L29" s="14" t="str" cm="1">
        <f t="array" ref="L29">IFERROR(_xlfn.LET(_xlpm.films,Table4[Film],_xlpm.grades,Table4[Grade],_xlpm.pairs,_xlfn._xlws.FILTER(_xlfn.HSTACK(_xlpm.films,_xlpm.grades),(_xlpm.films&lt;&gt;"")*(TRIM(_xlpm.grades)&lt;&gt;"")),_xlpm.uniquePairs,_xlfn.UNIQUE(_xlpm.pairs),_xlpm.sortedPairs,_xlfn._xlws.SORT(_xlpm.uniquePairs,1,1),INDEX(_xlpm.sortedPairs,ROWS($L$2:L29),1)),"")</f>
        <v>PL202.3</v>
      </c>
      <c r="M29" s="15" t="str" cm="1">
        <f t="array" ref="M29">IFERROR(_xlfn.LET(_xlpm.films,Table4[Film],_xlpm.grades,Table4[Grade],_xlpm.pairs,_xlfn._xlws.FILTER(_xlfn.HSTACK(_xlpm.films,_xlpm.grades),(_xlpm.films&lt;&gt;"")*(TRIM(_xlpm.grades)&lt;&gt;"")),_xlpm.uniquePairs,_xlfn.UNIQUE(_xlpm.pairs),_xlpm.sortedPairs,_xlfn._xlws.SORT(_xlpm.uniquePairs,1,1),INDEX(_xlpm.sortedPairs,ROWS($M$2:M29),2)),"")</f>
        <v>BVE8049P</v>
      </c>
      <c r="N29" s="15" t="str" cm="1">
        <f t="array" ref="N29">IF(OR(Table2[[#This Row],[Film]]="",Table2[[#This Row],[Grade]]=""),"",IFERROR(INDEX(Table4[Serial Number],MATCH(1,(Table4[Film]=Table2[[#This Row],[Film]])*(Table4[Grade]=Table2[[#This Row],[Grade]]),0)),""))</f>
        <v>BVE8049P</v>
      </c>
      <c r="O29" s="51">
        <f>IF(OR(Table2[[#This Row],[Film]]="",Table2[[#This Row],[Grade]]=""),"",SUMIFS(Table4[Price Calculated(€) Thickness &amp; QTY related],Table4[Film],Table2[[#This Row],[Film]],Table4[Grade],Table2[[#This Row],[Grade]]))</f>
        <v>3.6259999999999999</v>
      </c>
      <c r="P29" s="6"/>
      <c r="Q29" s="20" t="str" cm="1">
        <f t="array" ref="Q29">IFERROR(INDEX(Table2[Film],MATCH(0,COUNTIF($Q$1:Q28,Table2[Film])+IF(Table2[Film]="",1,0),0)),"")</f>
        <v/>
      </c>
      <c r="R29" s="57">
        <f>SUMIF(Table2[Film],"TIPA 312 MFG",Table2[Price Calculated(€) Thickness &amp; QTY related])+_xlfn.XLOOKUP("MET LUX ",HELPER!$A:$A,HELPER!$E:$E,0)</f>
        <v>5.3805880000000004</v>
      </c>
      <c r="S29" s="59">
        <f>IFERROR(R29*HELPER!$AK$2," ")</f>
        <v>6.2414820799999999</v>
      </c>
      <c r="T29" s="6"/>
      <c r="U29" s="2" t="s">
        <v>43</v>
      </c>
      <c r="V29" s="2" t="s">
        <v>17</v>
      </c>
      <c r="W29" s="2" t="s">
        <v>11</v>
      </c>
      <c r="X29" s="2" t="s">
        <v>81</v>
      </c>
      <c r="Y29" s="2" t="s">
        <v>39</v>
      </c>
      <c r="Z29" s="600" cm="1">
        <f t="array" ref="Z29">SUMPRODUCT((BOM!$A$2:$A$391=U29)*(BOM!$F$2:$F$391=Y29)*BOM!$H$2:$H$391*BOM!$G$2:$G$391)/SUMPRODUCT((BOM!$A$2:$A$391=U29)*BOM!$H$2:$H$391*BOM!$G$2:$G$391)</f>
        <v>6.4000000000000003E-3</v>
      </c>
      <c r="AA29" s="603">
        <f>SUMIF(tblResinWeightedQty12[Film],tblResinWeightedQty12[[#This Row],[Film]],tblResinWeightedQty12[Weighted QTY %])</f>
        <v>1</v>
      </c>
    </row>
    <row r="30" spans="1:27" ht="15.75" hidden="1" thickTop="1">
      <c r="A30" s="25" t="s">
        <v>0</v>
      </c>
      <c r="B30" s="26" t="s">
        <v>7</v>
      </c>
      <c r="C30" s="28"/>
      <c r="D30" s="28" t="str">
        <f>IF(C30="","",IFERROR(_xlfn.XLOOKUP(C30,HELPER!$A$2:$A$81,HELPER!$B$2:$B$81,""),D30))</f>
        <v/>
      </c>
      <c r="E30" s="28" t="str">
        <f>IFERROR(_xlfn.XLOOKUP(D30,HELPER!$B:$B,HELPER!$C:$C,""),"")</f>
        <v/>
      </c>
      <c r="F30" s="27" t="str">
        <f>IFERROR(_xlfn.XLOOKUP(D30,HELPER!$B:$B,HELPER!$D:$D,""),"")</f>
        <v/>
      </c>
      <c r="G30" s="27">
        <v>8</v>
      </c>
      <c r="H30" s="31"/>
      <c r="I30" s="21" t="str">
        <f>IF(AND(H30&lt;&gt;"",IFERROR(_xlfn.XLOOKUP(D30,HELPER!$B:$B,HELPER!$E:$E,""),"")=""),"Missing price",IFERROR(_xlfn.XLOOKUP(D30,HELPER!$B:$B,HELPER!$E:$E,"")," "))</f>
        <v/>
      </c>
      <c r="J30" s="53" t="str">
        <f>IFERROR(H30*(IF(G30=8,I30*HELPER!$G$2,BOM!I30*HELPER!$G$3))," ")</f>
        <v xml:space="preserve"> </v>
      </c>
      <c r="K30" s="6"/>
      <c r="L30" s="16" t="str" cm="1">
        <f t="array" ref="L30">IFERROR(_xlfn.LET(_xlpm.films,Table4[Film],_xlpm.grades,Table4[Grade],_xlpm.pairs,_xlfn._xlws.FILTER(_xlfn.HSTACK(_xlpm.films,_xlpm.grades),(_xlpm.films&lt;&gt;"")*(TRIM(_xlpm.grades)&lt;&gt;"")),_xlpm.uniquePairs,_xlfn.UNIQUE(_xlpm.pairs),_xlpm.sortedPairs,_xlfn._xlws.SORT(_xlpm.uniquePairs,1,1),INDEX(_xlpm.sortedPairs,ROWS($L$2:L30),1)),"")</f>
        <v>PL202.3</v>
      </c>
      <c r="M30" s="17" t="str" cm="1">
        <f t="array" ref="M30">IFERROR(_xlfn.LET(_xlpm.films,Table4[Film],_xlpm.grades,Table4[Grade],_xlpm.pairs,_xlfn._xlws.FILTER(_xlfn.HSTACK(_xlpm.films,_xlpm.grades),(_xlpm.films&lt;&gt;"")*(TRIM(_xlpm.grades)&lt;&gt;"")),_xlpm.uniquePairs,_xlfn.UNIQUE(_xlpm.pairs),_xlpm.sortedPairs,_xlfn._xlws.SORT(_xlpm.uniquePairs,1,1),INDEX(_xlpm.sortedPairs,ROWS($M$2:M30),2)),"")</f>
        <v>B12</v>
      </c>
      <c r="N30" s="17" t="str" cm="1">
        <f t="array" ref="N30">IF(OR(Table2[[#This Row],[Film]]="",Table2[[#This Row],[Grade]]=""),"",IFERROR(INDEX(Table4[Serial Number],MATCH(1,(Table4[Film]=Table2[[#This Row],[Film]])*(Table4[Grade]=Table2[[#This Row],[Grade]]),0)),""))</f>
        <v>RMB12</v>
      </c>
      <c r="O30" s="52">
        <f>IF(OR(Table2[[#This Row],[Film]]="",Table2[[#This Row],[Grade]]=""),"",SUMIFS(Table4[Price Calculated(€) Thickness &amp; QTY related],Table4[Film],Table2[[#This Row],[Film]],Table4[Grade],Table2[[#This Row],[Grade]]))</f>
        <v>0.35476000000000002</v>
      </c>
      <c r="P30" s="6"/>
      <c r="Q30" s="19" t="str" cm="1">
        <f t="array" ref="Q30">IFERROR(INDEX(Table2[Film],MATCH(0,COUNTIF($Q$1:Q29,Table2[Film])+IF(Table2[Film]="",1,0),0)),"")</f>
        <v/>
      </c>
      <c r="R30" s="56">
        <f>SUMIF(Table2[Film],"TIPA 312 MFG",Table2[Price Calculated(€) Thickness &amp; QTY related])+_xlfn.XLOOKUP("MET LUX ",HELPER!$A:$A,HELPER!$E:$E,0)</f>
        <v>5.3805880000000004</v>
      </c>
      <c r="S30" s="58">
        <f>IFERROR(R30*HELPER!$AK$2," ")</f>
        <v>6.2414820799999999</v>
      </c>
      <c r="T30" s="6"/>
      <c r="U30" s="2" t="s">
        <v>43</v>
      </c>
      <c r="V30" s="2" t="s">
        <v>18</v>
      </c>
      <c r="W30" s="2" t="s">
        <v>9</v>
      </c>
      <c r="X30" s="2" t="s">
        <v>82</v>
      </c>
      <c r="Y30" s="2" t="s">
        <v>40</v>
      </c>
      <c r="Z30" s="600" cm="1">
        <f t="array" ref="Z30">SUMPRODUCT((BOM!$A$2:$A$391=U30)*(BOM!$F$2:$F$391=Y30)*BOM!$H$2:$H$391*BOM!$G$2:$G$391)/SUMPRODUCT((BOM!$A$2:$A$391=U30)*BOM!$H$2:$H$391*BOM!$G$2:$G$391)</f>
        <v>6.0000000000000001E-3</v>
      </c>
      <c r="AA30" s="603">
        <f>SUMIF(tblResinWeightedQty12[Film],tblResinWeightedQty12[[#This Row],[Film]],tblResinWeightedQty12[Weighted QTY %])</f>
        <v>1</v>
      </c>
    </row>
    <row r="31" spans="1:27" ht="15.75" hidden="1" thickTop="1">
      <c r="A31" s="25" t="s">
        <v>0</v>
      </c>
      <c r="B31" s="26" t="s">
        <v>7</v>
      </c>
      <c r="C31" s="28"/>
      <c r="D31" s="28" t="str">
        <f>IF(C31="","",IFERROR(_xlfn.XLOOKUP(C31,HELPER!$A$2:$A$81,HELPER!$B$2:$B$81,""),D31))</f>
        <v/>
      </c>
      <c r="E31" s="28" t="str">
        <f>IFERROR(_xlfn.XLOOKUP(D31,HELPER!$B:$B,HELPER!$C:$C,""),"")</f>
        <v/>
      </c>
      <c r="F31" s="27" t="str">
        <f>IFERROR(_xlfn.XLOOKUP(D31,HELPER!$B:$B,HELPER!$D:$D,""),"")</f>
        <v/>
      </c>
      <c r="G31" s="27">
        <v>8</v>
      </c>
      <c r="H31" s="31"/>
      <c r="I31" s="21" t="str">
        <f>IF(AND(H31&lt;&gt;"",IFERROR(_xlfn.XLOOKUP(D31,HELPER!$B:$B,HELPER!$E:$E,""),"")=""),"Missing price",IFERROR(_xlfn.XLOOKUP(D31,HELPER!$B:$B,HELPER!$E:$E,"")," "))</f>
        <v/>
      </c>
      <c r="J31" s="53" t="str">
        <f>IFERROR(H31*(IF(G31=8,I31*HELPER!$G$2,BOM!I31*HELPER!$G$3))," ")</f>
        <v xml:space="preserve"> </v>
      </c>
      <c r="K31" s="6"/>
      <c r="L31" s="14" t="str" cm="1">
        <f t="array" ref="L31">IFERROR(_xlfn.LET(_xlpm.films,Table4[Film],_xlpm.grades,Table4[Grade],_xlpm.pairs,_xlfn._xlws.FILTER(_xlfn.HSTACK(_xlpm.films,_xlpm.grades),(_xlpm.films&lt;&gt;"")*(TRIM(_xlpm.grades)&lt;&gt;"")),_xlpm.uniquePairs,_xlfn.UNIQUE(_xlpm.pairs),_xlpm.sortedPairs,_xlfn._xlws.SORT(_xlpm.uniquePairs,1,1),INDEX(_xlpm.sortedPairs,ROWS($L$2:L31),1)),"")</f>
        <v>TIPA 302FG</v>
      </c>
      <c r="M31" s="15" t="str" cm="1">
        <f t="array" ref="M31">IFERROR(_xlfn.LET(_xlpm.films,Table4[Film],_xlpm.grades,Table4[Grade],_xlpm.pairs,_xlfn._xlws.FILTER(_xlfn.HSTACK(_xlpm.films,_xlpm.grades),(_xlpm.films&lt;&gt;"")*(TRIM(_xlpm.grades)&lt;&gt;"")),_xlpm.uniquePairs,_xlfn.UNIQUE(_xlpm.pairs),_xlpm.sortedPairs,_xlfn._xlws.SORT(_xlpm.uniquePairs,1,1),INDEX(_xlpm.sortedPairs,ROWS($M$2:M31),2)),"")</f>
        <v>FD92PM</v>
      </c>
      <c r="N31" s="15" t="str" cm="1">
        <f t="array" ref="N31">IF(OR(Table2[[#This Row],[Film]]="",Table2[[#This Row],[Grade]]=""),"",IFERROR(INDEX(Table4[Serial Number],MATCH(1,(Table4[Film]=Table2[[#This Row],[Film]])*(Table4[Grade]=Table2[[#This Row],[Grade]]),0)),""))</f>
        <v>RMPM2</v>
      </c>
      <c r="O31" s="51">
        <f>IF(OR(Table2[[#This Row],[Film]]="",Table2[[#This Row],[Grade]]=""),"",SUMIFS(Table4[Price Calculated(€) Thickness &amp; QTY related],Table4[Film],Table2[[#This Row],[Film]],Table4[Grade],Table2[[#This Row],[Grade]]))</f>
        <v>2.2194000000000003</v>
      </c>
      <c r="P31" s="6"/>
      <c r="Q31" s="20" t="str" cm="1">
        <f t="array" ref="Q31">IFERROR(INDEX(Table2[Film],MATCH(0,COUNTIF($Q$1:Q30,Table2[Film])+IF(Table2[Film]="",1,0),0)),"")</f>
        <v/>
      </c>
      <c r="R31" s="57">
        <f>SUMIF(Table2[Film],"TIPA 312 MFG",Table2[Price Calculated(€) Thickness &amp; QTY related])+_xlfn.XLOOKUP("MET LUX ",HELPER!$A:$A,HELPER!$E:$E,0)</f>
        <v>5.3805880000000004</v>
      </c>
      <c r="S31" s="59">
        <f>IFERROR(R31*HELPER!$AK$2," ")</f>
        <v>6.2414820799999999</v>
      </c>
      <c r="T31" s="6"/>
      <c r="U31" s="2" t="s">
        <v>43</v>
      </c>
      <c r="V31" s="2" t="s">
        <v>12</v>
      </c>
      <c r="W31" s="2" t="s">
        <v>8</v>
      </c>
      <c r="X31" s="2" t="s">
        <v>83</v>
      </c>
      <c r="Y31" s="2" t="s">
        <v>42</v>
      </c>
      <c r="Z31" s="600" cm="1">
        <f t="array" ref="Z31">SUMPRODUCT((BOM!$A$2:$A$391=U31)*(BOM!$F$2:$F$391=Y31)*BOM!$H$2:$H$391*BOM!$G$2:$G$391)/SUMPRODUCT((BOM!$A$2:$A$391=U31)*BOM!$H$2:$H$391*BOM!$G$2:$G$391)</f>
        <v>0.32400000000000001</v>
      </c>
      <c r="AA31" s="603">
        <f>SUMIF(tblResinWeightedQty12[Film],tblResinWeightedQty12[[#This Row],[Film]],tblResinWeightedQty12[Weighted QTY %])</f>
        <v>1</v>
      </c>
    </row>
    <row r="32" spans="1:27" ht="15.75" hidden="1" thickTop="1">
      <c r="A32" s="25" t="s">
        <v>43</v>
      </c>
      <c r="B32" s="26" t="s">
        <v>5</v>
      </c>
      <c r="C32" s="28" t="s">
        <v>12</v>
      </c>
      <c r="D32" s="28" t="str">
        <f>IF(C32="","",IFERROR(_xlfn.XLOOKUP(C32,HELPER!$A$2:$A$81,HELPER!$B$2:$B$81,""),D32))</f>
        <v>FD92PM</v>
      </c>
      <c r="E32" s="28" t="str">
        <f>IFERROR(_xlfn.XLOOKUP(D32,HELPER!$B:$B,HELPER!$C:$C,""),"")</f>
        <v>RMPM2</v>
      </c>
      <c r="F32" s="27" t="str">
        <f>IFERROR(_xlfn.XLOOKUP(D32,HELPER!$B:$B,HELPER!$D:$D,""),"")</f>
        <v>Resin 9C</v>
      </c>
      <c r="G32" s="27">
        <v>8</v>
      </c>
      <c r="H32" s="31">
        <v>0.81</v>
      </c>
      <c r="I32" s="21">
        <f>IF(AND(H32&lt;&gt;"",IFERROR(_xlfn.XLOOKUP(D32,HELPER!$B:$B,HELPER!$E:$E,""),"")=""),"Missing price",IFERROR(_xlfn.XLOOKUP(D32,HELPER!$B:$B,HELPER!$E:$E,"")," "))</f>
        <v>6.75</v>
      </c>
      <c r="J32" s="53">
        <f>IFERROR(H32*(IF(G32=8,I32*HELPER!$G$2,BOM!I32*HELPER!$G$3))," ")</f>
        <v>1.0935000000000001</v>
      </c>
      <c r="K32" s="6"/>
      <c r="L32" s="16" t="str" cm="1">
        <f t="array" ref="L32">IFERROR(_xlfn.LET(_xlpm.films,Table4[Film],_xlpm.grades,Table4[Grade],_xlpm.pairs,_xlfn._xlws.FILTER(_xlfn.HSTACK(_xlpm.films,_xlpm.grades),(_xlpm.films&lt;&gt;"")*(TRIM(_xlpm.grades)&lt;&gt;"")),_xlpm.uniquePairs,_xlfn.UNIQUE(_xlpm.pairs),_xlpm.sortedPairs,_xlfn._xlws.SORT(_xlpm.uniquePairs,1,1),INDEX(_xlpm.sortedPairs,ROWS($L$2:L32),1)),"")</f>
        <v>TIPA 302FG</v>
      </c>
      <c r="M32" s="17" t="str" cm="1">
        <f t="array" ref="M32">IFERROR(_xlfn.LET(_xlpm.films,Table4[Film],_xlpm.grades,Table4[Grade],_xlpm.pairs,_xlfn._xlws.FILTER(_xlfn.HSTACK(_xlpm.films,_xlpm.grades),(_xlpm.films&lt;&gt;"")*(TRIM(_xlpm.grades)&lt;&gt;"")),_xlpm.uniquePairs,_xlfn.UNIQUE(_xlpm.pairs),_xlpm.sortedPairs,_xlfn._xlws.SORT(_xlpm.uniquePairs,1,1),INDEX(_xlpm.sortedPairs,ROWS($M$2:M32),2)),"")</f>
        <v>LX175</v>
      </c>
      <c r="N32" s="17" t="str" cm="1">
        <f t="array" ref="N32">IF(OR(Table2[[#This Row],[Film]]="",Table2[[#This Row],[Grade]]=""),"",IFERROR(INDEX(Table4[Serial Number],MATCH(1,(Table4[Film]=Table2[[#This Row],[Film]])*(Table4[Grade]=Table2[[#This Row],[Grade]]),0)),""))</f>
        <v>RMLX175</v>
      </c>
      <c r="O32" s="52">
        <f>IF(OR(Table2[[#This Row],[Film]]="",Table2[[#This Row],[Grade]]=""),"",SUMIFS(Table4[Price Calculated(€) Thickness &amp; QTY related],Table4[Film],Table2[[#This Row],[Film]],Table4[Grade],Table2[[#This Row],[Grade]]))</f>
        <v>0.18259199999999998</v>
      </c>
      <c r="P32" s="6"/>
      <c r="Q32" s="19" t="str" cm="1">
        <f t="array" ref="Q32">IFERROR(INDEX(Table2[Film],MATCH(0,COUNTIF($Q$1:Q31,Table2[Film])+IF(Table2[Film]="",1,0),0)),"")</f>
        <v/>
      </c>
      <c r="R32" s="56">
        <f>SUMIF(Table2[Film],"TIPA 312 MFG",Table2[Price Calculated(€) Thickness &amp; QTY related])+_xlfn.XLOOKUP("MET LUX ",HELPER!$A:$A,HELPER!$E:$E,0)</f>
        <v>5.3805880000000004</v>
      </c>
      <c r="S32" s="58">
        <f>IFERROR(R32*HELPER!$AK$2," ")</f>
        <v>6.2414820799999999</v>
      </c>
      <c r="T32" s="6"/>
      <c r="U32" s="2" t="s">
        <v>44</v>
      </c>
      <c r="V32" s="2" t="s">
        <v>13</v>
      </c>
      <c r="W32" s="2" t="s">
        <v>73</v>
      </c>
      <c r="X32" s="2" t="s">
        <v>74</v>
      </c>
      <c r="Y32" s="2" t="s">
        <v>33</v>
      </c>
      <c r="Z32" s="600" cm="1">
        <f t="array" ref="Z32">SUMPRODUCT((BOM!$A$2:$A$391=U32)*(BOM!$F$2:$F$391=Y32)*BOM!$H$2:$H$391*BOM!$G$2:$G$391)/SUMPRODUCT((BOM!$A$2:$A$391=U32)*BOM!$H$2:$H$391*BOM!$G$2:$G$391)</f>
        <v>0.6644000000000001</v>
      </c>
      <c r="AA32" s="603">
        <f>SUMIF(tblResinWeightedQty12[Film],tblResinWeightedQty12[[#This Row],[Film]],tblResinWeightedQty12[Weighted QTY %])</f>
        <v>1.0000000000000002</v>
      </c>
    </row>
    <row r="33" spans="1:27" ht="15.75" hidden="1" thickTop="1">
      <c r="A33" s="25" t="s">
        <v>43</v>
      </c>
      <c r="B33" s="26" t="s">
        <v>5</v>
      </c>
      <c r="C33" s="28" t="s">
        <v>13</v>
      </c>
      <c r="D33" s="28" t="str">
        <f>IF(C33="","",IFERROR(_xlfn.XLOOKUP(C33,HELPER!$A$2:$A$81,HELPER!$B$2:$B$81,""),D33))</f>
        <v>LX175</v>
      </c>
      <c r="E33" s="28" t="str">
        <f>IFERROR(_xlfn.XLOOKUP(D33,HELPER!$B:$B,HELPER!$C:$C,""),"")</f>
        <v>RMLX175</v>
      </c>
      <c r="F33" s="27" t="str">
        <f>IFERROR(_xlfn.XLOOKUP(D33,HELPER!$B:$B,HELPER!$D:$D,""),"")</f>
        <v>Resin 1A</v>
      </c>
      <c r="G33" s="27">
        <v>8</v>
      </c>
      <c r="H33" s="31">
        <v>0.14399999999999999</v>
      </c>
      <c r="I33" s="21">
        <f>IF(AND(H33&lt;&gt;"",IFERROR(_xlfn.XLOOKUP(D33,HELPER!$B:$B,HELPER!$E:$E,""),"")=""),"Missing price",IFERROR(_xlfn.XLOOKUP(D33,HELPER!$B:$B,HELPER!$E:$E,"")," "))</f>
        <v>3.17</v>
      </c>
      <c r="J33" s="53">
        <f>IFERROR(H33*(IF(G33=8,I33*HELPER!$G$2,BOM!I33*HELPER!$G$3))," ")</f>
        <v>9.1295999999999988E-2</v>
      </c>
      <c r="K33" s="6"/>
      <c r="L33" s="14" t="str" cm="1">
        <f t="array" ref="L33">IFERROR(_xlfn.LET(_xlpm.films,Table4[Film],_xlpm.grades,Table4[Grade],_xlpm.pairs,_xlfn._xlws.FILTER(_xlfn.HSTACK(_xlpm.films,_xlpm.grades),(_xlpm.films&lt;&gt;"")*(TRIM(_xlpm.grades)&lt;&gt;"")),_xlpm.uniquePairs,_xlfn.UNIQUE(_xlpm.pairs),_xlpm.sortedPairs,_xlfn._xlws.SORT(_xlpm.uniquePairs,1,1),INDEX(_xlpm.sortedPairs,ROWS($L$2:L33),1)),"")</f>
        <v>TIPA 302FG</v>
      </c>
      <c r="M33" s="15" t="str" cm="1">
        <f t="array" ref="M33">IFERROR(_xlfn.LET(_xlpm.films,Table4[Film],_xlpm.grades,Table4[Grade],_xlpm.pairs,_xlfn._xlws.FILTER(_xlfn.HSTACK(_xlpm.films,_xlpm.grades),(_xlpm.films&lt;&gt;"")*(TRIM(_xlpm.grades)&lt;&gt;"")),_xlpm.uniquePairs,_xlfn.UNIQUE(_xlpm.pairs),_xlpm.sortedPairs,_xlfn._xlws.SORT(_xlpm.uniquePairs,1,1),INDEX(_xlpm.sortedPairs,ROWS($M$2:M33),2)),"")</f>
        <v>KAB59A</v>
      </c>
      <c r="N33" s="15" t="str" cm="1">
        <f t="array" ref="N33">IF(OR(Table2[[#This Row],[Film]]="",Table2[[#This Row],[Grade]]=""),"",IFERROR(INDEX(Table4[Serial Number],MATCH(1,(Table4[Film]=Table2[[#This Row],[Film]])*(Table4[Grade]=Table2[[#This Row],[Grade]]),0)),""))</f>
        <v>RM A KAB59A</v>
      </c>
      <c r="O33" s="51">
        <f>IF(OR(Table2[[#This Row],[Film]]="",Table2[[#This Row],[Grade]]=""),"",SUMIFS(Table4[Price Calculated(€) Thickness &amp; QTY related],Table4[Film],Table2[[#This Row],[Film]],Table4[Grade],Table2[[#This Row],[Grade]]))</f>
        <v>4.53E-2</v>
      </c>
      <c r="P33" s="6"/>
      <c r="Q33" s="20" t="str" cm="1">
        <f t="array" ref="Q33">IFERROR(INDEX(Table2[Film],MATCH(0,COUNTIF($Q$1:Q32,Table2[Film])+IF(Table2[Film]="",1,0),0)),"")</f>
        <v/>
      </c>
      <c r="R33" s="57">
        <f>SUMIF(Table2[Film],"TIPA 312 MFG",Table2[Price Calculated(€) Thickness &amp; QTY related])+_xlfn.XLOOKUP("MET LUX ",HELPER!$A:$A,HELPER!$E:$E,0)</f>
        <v>5.3805880000000004</v>
      </c>
      <c r="S33" s="59">
        <f>IFERROR(R33*HELPER!$AK$2," ")</f>
        <v>6.2414820799999999</v>
      </c>
      <c r="T33" s="6"/>
      <c r="U33" s="2" t="s">
        <v>44</v>
      </c>
      <c r="V33" s="2" t="s">
        <v>15</v>
      </c>
      <c r="W33" s="2" t="s">
        <v>24</v>
      </c>
      <c r="X33" s="2" t="s">
        <v>79</v>
      </c>
      <c r="Y33" s="2" t="s">
        <v>37</v>
      </c>
      <c r="Z33" s="600" cm="1">
        <f t="array" ref="Z33">SUMPRODUCT((BOM!$A$2:$A$391=U33)*(BOM!$F$2:$F$391=Y33)*BOM!$H$2:$H$391*BOM!$G$2:$G$391)/SUMPRODUCT((BOM!$A$2:$A$391=U33)*BOM!$H$2:$H$391*BOM!$G$2:$G$391)</f>
        <v>0.15200000000000002</v>
      </c>
      <c r="AA33" s="603">
        <f>SUMIF(tblResinWeightedQty12[Film],tblResinWeightedQty12[[#This Row],[Film]],tblResinWeightedQty12[Weighted QTY %])</f>
        <v>1.0000000000000002</v>
      </c>
    </row>
    <row r="34" spans="1:27" ht="15.75" hidden="1" thickTop="1">
      <c r="A34" s="25" t="s">
        <v>43</v>
      </c>
      <c r="B34" s="26" t="s">
        <v>5</v>
      </c>
      <c r="C34" s="28" t="s">
        <v>18</v>
      </c>
      <c r="D34" s="28" t="str">
        <f>IF(C34="","",IFERROR(_xlfn.XLOOKUP(C34,HELPER!$A$2:$A$81,HELPER!$B$2:$B$81,""),D34))</f>
        <v>KAB59A</v>
      </c>
      <c r="E34" s="28" t="str">
        <f>IFERROR(_xlfn.XLOOKUP(D34,HELPER!$B:$B,HELPER!$C:$C,""),"")</f>
        <v>RM A KAB59A</v>
      </c>
      <c r="F34" s="27" t="str">
        <f>IFERROR(_xlfn.XLOOKUP(D34,HELPER!$B:$B,HELPER!$D:$D,""),"")</f>
        <v>Resin 8</v>
      </c>
      <c r="G34" s="27">
        <v>8</v>
      </c>
      <c r="H34" s="31">
        <v>1.4999999999999999E-2</v>
      </c>
      <c r="I34" s="21">
        <f>IF(AND(H34&lt;&gt;"",IFERROR(_xlfn.XLOOKUP(D34,HELPER!$B:$B,HELPER!$E:$E,""),"")=""),"Missing price",IFERROR(_xlfn.XLOOKUP(D34,HELPER!$B:$B,HELPER!$E:$E,"")," "))</f>
        <v>7.55</v>
      </c>
      <c r="J34" s="53">
        <f>IFERROR(H34*(IF(G34=8,I34*HELPER!$G$2,BOM!I34*HELPER!$G$3))," ")</f>
        <v>2.265E-2</v>
      </c>
      <c r="K34" s="6"/>
      <c r="L34" s="16" t="str" cm="1">
        <f t="array" ref="L34">IFERROR(_xlfn.LET(_xlpm.films,Table4[Film],_xlpm.grades,Table4[Grade],_xlpm.pairs,_xlfn._xlws.FILTER(_xlfn.HSTACK(_xlpm.films,_xlpm.grades),(_xlpm.films&lt;&gt;"")*(TRIM(_xlpm.grades)&lt;&gt;"")),_xlpm.uniquePairs,_xlfn.UNIQUE(_xlpm.pairs),_xlpm.sortedPairs,_xlfn._xlws.SORT(_xlpm.uniquePairs,1,1),INDEX(_xlpm.sortedPairs,ROWS($L$2:L34),1)),"")</f>
        <v>TIPA 302FG</v>
      </c>
      <c r="M34" s="17" t="str" cm="1">
        <f t="array" ref="M34">IFERROR(_xlfn.LET(_xlpm.films,Table4[Film],_xlpm.grades,Table4[Grade],_xlpm.pairs,_xlfn._xlws.FILTER(_xlfn.HSTACK(_xlpm.films,_xlpm.grades),(_xlpm.films&lt;&gt;"")*(TRIM(_xlpm.grades)&lt;&gt;"")),_xlpm.uniquePairs,_xlfn.UNIQUE(_xlpm.pairs),_xlpm.sortedPairs,_xlfn._xlws.SORT(_xlpm.uniquePairs,1,1),INDEX(_xlpm.sortedPairs,ROWS($M$2:M34),2)),"")</f>
        <v>S723</v>
      </c>
      <c r="N34" s="17" t="str" cm="1">
        <f t="array" ref="N34">IF(OR(Table2[[#This Row],[Film]]="",Table2[[#This Row],[Grade]]=""),"",IFERROR(INDEX(Table4[Serial Number],MATCH(1,(Table4[Film]=Table2[[#This Row],[Film]])*(Table4[Grade]=Table2[[#This Row],[Grade]]),0)),""))</f>
        <v>RM TA45-08 S723</v>
      </c>
      <c r="O34" s="52">
        <f>IF(OR(Table2[[#This Row],[Film]]="",Table2[[#This Row],[Grade]]=""),"",SUMIFS(Table4[Price Calculated(€) Thickness &amp; QTY related],Table4[Film],Table2[[#This Row],[Film]],Table4[Grade],Table2[[#This Row],[Grade]]))</f>
        <v>0.24239999999999998</v>
      </c>
      <c r="P34" s="6"/>
      <c r="Q34" s="19" t="str" cm="1">
        <f t="array" ref="Q34">IFERROR(INDEX(Table2[Film],MATCH(0,COUNTIF($Q$1:Q33,Table2[Film])+IF(Table2[Film]="",1,0),0)),"")</f>
        <v/>
      </c>
      <c r="R34" s="56">
        <f>SUMIF(Table2[Film],"TIPA 312 MFG",Table2[Price Calculated(€) Thickness &amp; QTY related])+_xlfn.XLOOKUP("MET LUX ",HELPER!$A:$A,HELPER!$E:$E,0)</f>
        <v>5.3805880000000004</v>
      </c>
      <c r="S34" s="58">
        <f>IFERROR(R34*HELPER!$AK$2," ")</f>
        <v>6.2414820799999999</v>
      </c>
      <c r="T34" s="6"/>
      <c r="U34" s="2" t="s">
        <v>44</v>
      </c>
      <c r="V34" s="2" t="s">
        <v>16</v>
      </c>
      <c r="W34" s="2" t="s">
        <v>10</v>
      </c>
      <c r="X34" s="2" t="s">
        <v>80</v>
      </c>
      <c r="Y34" s="2" t="s">
        <v>38</v>
      </c>
      <c r="Z34" s="600" cm="1">
        <f t="array" ref="Z34">SUMPRODUCT((BOM!$A$2:$A$391=U34)*(BOM!$F$2:$F$391=Y34)*BOM!$H$2:$H$391*BOM!$G$2:$G$391)/SUMPRODUCT((BOM!$A$2:$A$391=U34)*BOM!$H$2:$H$391*BOM!$G$2:$G$391)</f>
        <v>1.5000000000000003E-2</v>
      </c>
      <c r="AA34" s="603">
        <f>SUMIF(tblResinWeightedQty12[Film],tblResinWeightedQty12[[#This Row],[Film]],tblResinWeightedQty12[Weighted QTY %])</f>
        <v>1.0000000000000002</v>
      </c>
    </row>
    <row r="35" spans="1:27" ht="15.75" hidden="1" thickTop="1">
      <c r="A35" s="25" t="s">
        <v>43</v>
      </c>
      <c r="B35" s="26" t="s">
        <v>5</v>
      </c>
      <c r="C35" s="28" t="s">
        <v>16</v>
      </c>
      <c r="D35" s="28" t="str">
        <f>IF(C35="","",IFERROR(_xlfn.XLOOKUP(C35,HELPER!$A$2:$A$81,HELPER!$B$2:$B$81,""),D35))</f>
        <v>S723</v>
      </c>
      <c r="E35" s="28" t="str">
        <f>IFERROR(_xlfn.XLOOKUP(D35,HELPER!$B:$B,HELPER!$C:$C,""),"")</f>
        <v>RM TA45-08 S723</v>
      </c>
      <c r="F35" s="27" t="str">
        <f>IFERROR(_xlfn.XLOOKUP(D35,HELPER!$B:$B,HELPER!$D:$D,""),"")</f>
        <v>Resin 6</v>
      </c>
      <c r="G35" s="27">
        <v>8</v>
      </c>
      <c r="H35" s="31">
        <v>1.4999999999999999E-2</v>
      </c>
      <c r="I35" s="21">
        <f>IF(AND(H35&lt;&gt;"",IFERROR(_xlfn.XLOOKUP(D35,HELPER!$B:$B,HELPER!$E:$E,""),"")=""),"Missing price",IFERROR(_xlfn.XLOOKUP(D35,HELPER!$B:$B,HELPER!$E:$E,"")," "))</f>
        <v>16.16</v>
      </c>
      <c r="J35" s="53">
        <f>IFERROR(H35*(IF(G35=8,I35*HELPER!$G$2,BOM!I35*HELPER!$G$3))," ")</f>
        <v>4.8480000000000002E-2</v>
      </c>
      <c r="K35" s="6"/>
      <c r="L35" s="14" t="str" cm="1">
        <f t="array" ref="L35">IFERROR(_xlfn.LET(_xlpm.films,Table4[Film],_xlpm.grades,Table4[Grade],_xlpm.pairs,_xlfn._xlws.FILTER(_xlfn.HSTACK(_xlpm.films,_xlpm.grades),(_xlpm.films&lt;&gt;"")*(TRIM(_xlpm.grades)&lt;&gt;"")),_xlpm.uniquePairs,_xlfn.UNIQUE(_xlpm.pairs),_xlpm.sortedPairs,_xlfn._xlws.SORT(_xlpm.uniquePairs,1,1),INDEX(_xlpm.sortedPairs,ROWS($L$2:L35),1)),"")</f>
        <v>TIPA 302FG</v>
      </c>
      <c r="M35" s="15" t="str" cm="1">
        <f t="array" ref="M35">IFERROR(_xlfn.LET(_xlpm.films,Table4[Film],_xlpm.grades,Table4[Grade],_xlpm.pairs,_xlfn._xlws.FILTER(_xlfn.HSTACK(_xlpm.films,_xlpm.grades),(_xlpm.films&lt;&gt;"")*(TRIM(_xlpm.grades)&lt;&gt;"")),_xlpm.uniquePairs,_xlfn.UNIQUE(_xlpm.pairs),_xlpm.sortedPairs,_xlfn._xlws.SORT(_xlpm.uniquePairs,1,1),INDEX(_xlpm.sortedPairs,ROWS($M$2:M35),2)),"")</f>
        <v>B12</v>
      </c>
      <c r="N35" s="15" t="str" cm="1">
        <f t="array" ref="N35">IF(OR(Table2[[#This Row],[Film]]="",Table2[[#This Row],[Grade]]=""),"",IFERROR(INDEX(Table4[Serial Number],MATCH(1,(Table4[Film]=Table2[[#This Row],[Film]])*(Table4[Grade]=Table2[[#This Row],[Grade]]),0)),""))</f>
        <v>RMB12</v>
      </c>
      <c r="O35" s="51">
        <f>IF(OR(Table2[[#This Row],[Film]]="",Table2[[#This Row],[Grade]]=""),"",SUMIFS(Table4[Price Calculated(€) Thickness &amp; QTY related],Table4[Film],Table2[[#This Row],[Film]],Table4[Grade],Table2[[#This Row],[Grade]]))</f>
        <v>1.0697100000000002</v>
      </c>
      <c r="P35" s="6"/>
      <c r="Q35" s="20" t="str" cm="1">
        <f t="array" ref="Q35">IFERROR(INDEX(Table2[Film],MATCH(0,COUNTIF($Q$1:Q34,Table2[Film])+IF(Table2[Film]="",1,0),0)),"")</f>
        <v/>
      </c>
      <c r="R35" s="57">
        <f>SUMIF(Table2[Film],"TIPA 312 MFG",Table2[Price Calculated(€) Thickness &amp; QTY related])+_xlfn.XLOOKUP("MET LUX ",HELPER!$A:$A,HELPER!$E:$E,0)</f>
        <v>5.3805880000000004</v>
      </c>
      <c r="S35" s="59">
        <f>IFERROR(R35*HELPER!$AK$2," ")</f>
        <v>6.2414820799999999</v>
      </c>
      <c r="T35" s="6"/>
      <c r="U35" s="2" t="s">
        <v>44</v>
      </c>
      <c r="V35" s="2" t="s">
        <v>17</v>
      </c>
      <c r="W35" s="2" t="s">
        <v>11</v>
      </c>
      <c r="X35" s="2" t="s">
        <v>81</v>
      </c>
      <c r="Y35" s="2" t="s">
        <v>39</v>
      </c>
      <c r="Z35" s="600" cm="1">
        <f t="array" ref="Z35">SUMPRODUCT((BOM!$A$2:$A$391=U35)*(BOM!$F$2:$F$391=Y35)*BOM!$H$2:$H$391*BOM!$G$2:$G$391)/SUMPRODUCT((BOM!$A$2:$A$391=U35)*BOM!$H$2:$H$391*BOM!$G$2:$G$391)</f>
        <v>4.000000000000001E-3</v>
      </c>
      <c r="AA35" s="603">
        <f>SUMIF(tblResinWeightedQty12[Film],tblResinWeightedQty12[[#This Row],[Film]],tblResinWeightedQty12[Weighted QTY %])</f>
        <v>1.0000000000000002</v>
      </c>
    </row>
    <row r="36" spans="1:27" ht="15.75" hidden="1" thickTop="1">
      <c r="A36" s="25" t="s">
        <v>43</v>
      </c>
      <c r="B36" s="26" t="s">
        <v>5</v>
      </c>
      <c r="C36" s="28" t="s">
        <v>17</v>
      </c>
      <c r="D36" s="28" t="str">
        <f>IF(C36="","",IFERROR(_xlfn.XLOOKUP(C36,HELPER!$A$2:$A$81,HELPER!$B$2:$B$81,""),D36))</f>
        <v>S724</v>
      </c>
      <c r="E36" s="28" t="str">
        <f>IFERROR(_xlfn.XLOOKUP(D36,HELPER!$B:$B,HELPER!$C:$C,""),"")</f>
        <v>RM TA45-08 S724</v>
      </c>
      <c r="F36" s="27" t="str">
        <f>IFERROR(_xlfn.XLOOKUP(D36,HELPER!$B:$B,HELPER!$D:$D,""),"")</f>
        <v>Resin 7</v>
      </c>
      <c r="G36" s="27">
        <v>8</v>
      </c>
      <c r="H36" s="31">
        <v>1.6E-2</v>
      </c>
      <c r="I36" s="21">
        <f>IF(AND(H36&lt;&gt;"",IFERROR(_xlfn.XLOOKUP(D36,HELPER!$B:$B,HELPER!$E:$E,""),"")=""),"Missing price",IFERROR(_xlfn.XLOOKUP(D36,HELPER!$B:$B,HELPER!$E:$E,"")," "))</f>
        <v>14.7</v>
      </c>
      <c r="J36" s="53">
        <f>IFERROR(H36*(IF(G36=8,I36*HELPER!$G$2,BOM!I36*HELPER!$G$3))," ")</f>
        <v>4.7039999999999998E-2</v>
      </c>
      <c r="K36" s="6"/>
      <c r="L36" s="16" t="str" cm="1">
        <f t="array" ref="L36">IFERROR(_xlfn.LET(_xlpm.films,Table4[Film],_xlpm.grades,Table4[Grade],_xlpm.pairs,_xlfn._xlws.FILTER(_xlfn.HSTACK(_xlpm.films,_xlpm.grades),(_xlpm.films&lt;&gt;"")*(TRIM(_xlpm.grades)&lt;&gt;"")),_xlpm.uniquePairs,_xlfn.UNIQUE(_xlpm.pairs),_xlpm.sortedPairs,_xlfn._xlws.SORT(_xlpm.uniquePairs,1,1),INDEX(_xlpm.sortedPairs,ROWS($L$2:L36),1)),"")</f>
        <v>TIPA 302FG</v>
      </c>
      <c r="M36" s="17" t="str" cm="1">
        <f t="array" ref="M36">IFERROR(_xlfn.LET(_xlpm.films,Table4[Film],_xlpm.grades,Table4[Grade],_xlpm.pairs,_xlfn._xlws.FILTER(_xlfn.HSTACK(_xlpm.films,_xlpm.grades),(_xlpm.films&lt;&gt;"")*(TRIM(_xlpm.grades)&lt;&gt;"")),_xlpm.uniquePairs,_xlfn.UNIQUE(_xlpm.pairs),_xlpm.sortedPairs,_xlfn._xlws.SORT(_xlpm.uniquePairs,1,1),INDEX(_xlpm.sortedPairs,ROWS($M$2:M36),2)),"")</f>
        <v>S724</v>
      </c>
      <c r="N36" s="17" t="str" cm="1">
        <f t="array" ref="N36">IF(OR(Table2[[#This Row],[Film]]="",Table2[[#This Row],[Grade]]=""),"",IFERROR(INDEX(Table4[Serial Number],MATCH(1,(Table4[Film]=Table2[[#This Row],[Film]])*(Table4[Grade]=Table2[[#This Row],[Grade]]),0)),""))</f>
        <v>RM TA45-08 S724</v>
      </c>
      <c r="O36" s="52">
        <f>IF(OR(Table2[[#This Row],[Film]]="",Table2[[#This Row],[Grade]]=""),"",SUMIFS(Table4[Price Calculated(€) Thickness &amp; QTY related],Table4[Film],Table2[[#This Row],[Film]],Table4[Grade],Table2[[#This Row],[Grade]]))</f>
        <v>2.3519999999999999E-2</v>
      </c>
      <c r="P36" s="6"/>
      <c r="Q36" s="19" t="str" cm="1">
        <f t="array" ref="Q36">IFERROR(INDEX(Table2[Film],MATCH(0,COUNTIF($Q$1:Q35,Table2[Film])+IF(Table2[Film]="",1,0),0)),"")</f>
        <v/>
      </c>
      <c r="R36" s="56">
        <f>SUMIF(Table2[Film],"TIPA 312 MFG",Table2[Price Calculated(€) Thickness &amp; QTY related])+_xlfn.XLOOKUP("MET LUX ",HELPER!$A:$A,HELPER!$E:$E,0)</f>
        <v>5.3805880000000004</v>
      </c>
      <c r="S36" s="58">
        <f>IFERROR(R36*HELPER!$AK$2," ")</f>
        <v>6.2414820799999999</v>
      </c>
      <c r="T36" s="6"/>
      <c r="U36" s="2" t="s">
        <v>44</v>
      </c>
      <c r="V36" s="2" t="s">
        <v>18</v>
      </c>
      <c r="W36" s="2" t="s">
        <v>9</v>
      </c>
      <c r="X36" s="2" t="s">
        <v>82</v>
      </c>
      <c r="Y36" s="2" t="s">
        <v>40</v>
      </c>
      <c r="Z36" s="600" cm="1">
        <f t="array" ref="Z36">SUMPRODUCT((BOM!$A$2:$A$391=U36)*(BOM!$F$2:$F$391=Y36)*BOM!$H$2:$H$391*BOM!$G$2:$G$391)/SUMPRODUCT((BOM!$A$2:$A$391=U36)*BOM!$H$2:$H$391*BOM!$G$2:$G$391)</f>
        <v>3.0000000000000005E-3</v>
      </c>
      <c r="AA36" s="603">
        <f>SUMIF(tblResinWeightedQty12[Film],tblResinWeightedQty12[[#This Row],[Film]],tblResinWeightedQty12[Weighted QTY %])</f>
        <v>1.0000000000000002</v>
      </c>
    </row>
    <row r="37" spans="1:27" ht="15.75" hidden="1" thickTop="1">
      <c r="A37" s="25" t="s">
        <v>43</v>
      </c>
      <c r="B37" s="26" t="s">
        <v>5</v>
      </c>
      <c r="C37" s="28"/>
      <c r="D37" s="28" t="str">
        <f>IF(C37="","",IFERROR(_xlfn.XLOOKUP(C37,HELPER!$A$2:$A$81,HELPER!$B$2:$B$81,""),D37))</f>
        <v/>
      </c>
      <c r="E37" s="28" t="str">
        <f>IFERROR(_xlfn.XLOOKUP(D37,HELPER!$B:$B,HELPER!$C:$C,""),"")</f>
        <v/>
      </c>
      <c r="F37" s="27" t="str">
        <f>IFERROR(_xlfn.XLOOKUP(D37,HELPER!$B:$B,HELPER!$D:$D,""),"")</f>
        <v/>
      </c>
      <c r="G37" s="27">
        <v>8</v>
      </c>
      <c r="H37" s="31"/>
      <c r="I37" s="21" t="str">
        <f>IF(AND(H37&lt;&gt;"",IFERROR(_xlfn.XLOOKUP(D37,HELPER!$B:$B,HELPER!$E:$E,""),"")=""),"Missing price",IFERROR(_xlfn.XLOOKUP(D37,HELPER!$B:$B,HELPER!$E:$E,"")," "))</f>
        <v/>
      </c>
      <c r="J37" s="53" t="str">
        <f>IFERROR(H37*(IF(G37=8,I37*HELPER!$G$2,BOM!I37*HELPER!$G$3))," ")</f>
        <v xml:space="preserve"> </v>
      </c>
      <c r="K37" s="6"/>
      <c r="L37" s="14" t="str" cm="1">
        <f t="array" ref="L37">IFERROR(_xlfn.LET(_xlpm.films,Table4[Film],_xlpm.grades,Table4[Grade],_xlpm.pairs,_xlfn._xlws.FILTER(_xlfn.HSTACK(_xlpm.films,_xlpm.grades),(_xlpm.films&lt;&gt;"")*(TRIM(_xlpm.grades)&lt;&gt;"")),_xlpm.uniquePairs,_xlfn.UNIQUE(_xlpm.pairs),_xlpm.sortedPairs,_xlfn._xlws.SORT(_xlpm.uniquePairs,1,1),INDEX(_xlpm.sortedPairs,ROWS($L$2:L37),1)),"")</f>
        <v>TIPA 302FG W</v>
      </c>
      <c r="M37" s="15" t="str" cm="1">
        <f t="array" ref="M37">IFERROR(_xlfn.LET(_xlpm.films,Table4[Film],_xlpm.grades,Table4[Grade],_xlpm.pairs,_xlfn._xlws.FILTER(_xlfn.HSTACK(_xlpm.films,_xlpm.grades),(_xlpm.films&lt;&gt;"")*(TRIM(_xlpm.grades)&lt;&gt;"")),_xlpm.uniquePairs,_xlfn.UNIQUE(_xlpm.pairs),_xlpm.sortedPairs,_xlfn._xlws.SORT(_xlpm.uniquePairs,1,1),INDEX(_xlpm.sortedPairs,ROWS($M$2:M37),2)),"")</f>
        <v>FD92PM</v>
      </c>
      <c r="N37" s="15" t="str" cm="1">
        <f t="array" ref="N37">IF(OR(Table2[[#This Row],[Film]]="",Table2[[#This Row],[Grade]]=""),"",IFERROR(INDEX(Table4[Serial Number],MATCH(1,(Table4[Film]=Table2[[#This Row],[Film]])*(Table4[Grade]=Table2[[#This Row],[Grade]]),0)),""))</f>
        <v>RMPM2</v>
      </c>
      <c r="O37" s="51">
        <f>IF(OR(Table2[[#This Row],[Film]]="",Table2[[#This Row],[Grade]]=""),"",SUMIFS(Table4[Price Calculated(€) Thickness &amp; QTY related],Table4[Film],Table2[[#This Row],[Film]],Table4[Grade],Table2[[#This Row],[Grade]]))</f>
        <v>2.1870000000000003</v>
      </c>
      <c r="P37" s="6"/>
      <c r="Q37" s="20" t="str" cm="1">
        <f t="array" ref="Q37">IFERROR(INDEX(Table2[Film],MATCH(0,COUNTIF($Q$1:Q36,Table2[Film])+IF(Table2[Film]="",1,0),0)),"")</f>
        <v/>
      </c>
      <c r="R37" s="57">
        <f>SUMIF(Table2[Film],"TIPA 312 MFG",Table2[Price Calculated(€) Thickness &amp; QTY related])+_xlfn.XLOOKUP("MET LUX ",HELPER!$A:$A,HELPER!$E:$E,0)</f>
        <v>5.3805880000000004</v>
      </c>
      <c r="S37" s="59">
        <f>IFERROR(R37*HELPER!$AK$2," ")</f>
        <v>6.2414820799999999</v>
      </c>
      <c r="T37" s="6"/>
      <c r="U37" s="2" t="s">
        <v>44</v>
      </c>
      <c r="V37" s="2" t="s">
        <v>12</v>
      </c>
      <c r="W37" s="2" t="s">
        <v>8</v>
      </c>
      <c r="X37" s="2" t="s">
        <v>83</v>
      </c>
      <c r="Y37" s="2" t="s">
        <v>42</v>
      </c>
      <c r="Z37" s="600" cm="1">
        <f t="array" ref="Z37">SUMPRODUCT((BOM!$A$2:$A$391=U37)*(BOM!$F$2:$F$391=Y37)*BOM!$H$2:$H$391*BOM!$G$2:$G$391)/SUMPRODUCT((BOM!$A$2:$A$391=U37)*BOM!$H$2:$H$391*BOM!$G$2:$G$391)</f>
        <v>0.16160000000000005</v>
      </c>
      <c r="AA37" s="603">
        <f>SUMIF(tblResinWeightedQty12[Film],tblResinWeightedQty12[[#This Row],[Film]],tblResinWeightedQty12[Weighted QTY %])</f>
        <v>1.0000000000000002</v>
      </c>
    </row>
    <row r="38" spans="1:27" ht="15.75" hidden="1" thickTop="1">
      <c r="A38" s="25" t="s">
        <v>43</v>
      </c>
      <c r="B38" s="26" t="s">
        <v>5</v>
      </c>
      <c r="C38" s="28"/>
      <c r="D38" s="28" t="str">
        <f>IF(C38="","",IFERROR(_xlfn.XLOOKUP(C38,HELPER!$A$2:$A$81,HELPER!$B$2:$B$81,""),D38))</f>
        <v/>
      </c>
      <c r="E38" s="28" t="str">
        <f>IFERROR(_xlfn.XLOOKUP(D38,HELPER!$B:$B,HELPER!$C:$C,""),"")</f>
        <v/>
      </c>
      <c r="F38" s="27" t="str">
        <f>IFERROR(_xlfn.XLOOKUP(D38,HELPER!$B:$B,HELPER!$D:$D,""),"")</f>
        <v/>
      </c>
      <c r="G38" s="27">
        <v>8</v>
      </c>
      <c r="H38" s="31"/>
      <c r="I38" s="21" t="str">
        <f>IF(AND(H38&lt;&gt;"",IFERROR(_xlfn.XLOOKUP(D38,HELPER!$B:$B,HELPER!$E:$E,""),"")=""),"Missing price",IFERROR(_xlfn.XLOOKUP(D38,HELPER!$B:$B,HELPER!$E:$E,"")," "))</f>
        <v/>
      </c>
      <c r="J38" s="53" t="str">
        <f>IFERROR(H38*(IF(G38=8,I38*HELPER!$G$2,BOM!I38*HELPER!$G$3))," ")</f>
        <v xml:space="preserve"> </v>
      </c>
      <c r="K38" s="6"/>
      <c r="L38" s="16" t="str" cm="1">
        <f t="array" ref="L38">IFERROR(_xlfn.LET(_xlpm.films,Table4[Film],_xlpm.grades,Table4[Grade],_xlpm.pairs,_xlfn._xlws.FILTER(_xlfn.HSTACK(_xlpm.films,_xlpm.grades),(_xlpm.films&lt;&gt;"")*(TRIM(_xlpm.grades)&lt;&gt;"")),_xlpm.uniquePairs,_xlfn.UNIQUE(_xlpm.pairs),_xlpm.sortedPairs,_xlfn._xlws.SORT(_xlpm.uniquePairs,1,1),INDEX(_xlpm.sortedPairs,ROWS($L$2:L38),1)),"")</f>
        <v>TIPA 302FG W</v>
      </c>
      <c r="M38" s="17" t="str" cm="1">
        <f t="array" ref="M38">IFERROR(_xlfn.LET(_xlpm.films,Table4[Film],_xlpm.grades,Table4[Grade],_xlpm.pairs,_xlfn._xlws.FILTER(_xlfn.HSTACK(_xlpm.films,_xlpm.grades),(_xlpm.films&lt;&gt;"")*(TRIM(_xlpm.grades)&lt;&gt;"")),_xlpm.uniquePairs,_xlfn.UNIQUE(_xlpm.pairs),_xlpm.sortedPairs,_xlfn._xlws.SORT(_xlpm.uniquePairs,1,1),INDEX(_xlpm.sortedPairs,ROWS($M$2:M38),2)),"")</f>
        <v>LX175</v>
      </c>
      <c r="N38" s="17" t="str" cm="1">
        <f t="array" ref="N38">IF(OR(Table2[[#This Row],[Film]]="",Table2[[#This Row],[Grade]]=""),"",IFERROR(INDEX(Table4[Serial Number],MATCH(1,(Table4[Film]=Table2[[#This Row],[Film]])*(Table4[Grade]=Table2[[#This Row],[Grade]]),0)),""))</f>
        <v>RMLX175</v>
      </c>
      <c r="O38" s="52">
        <f>IF(OR(Table2[[#This Row],[Film]]="",Table2[[#This Row],[Grade]]=""),"",SUMIFS(Table4[Price Calculated(€) Thickness &amp; QTY related],Table4[Film],Table2[[#This Row],[Film]],Table4[Grade],Table2[[#This Row],[Grade]]))</f>
        <v>0.18259199999999998</v>
      </c>
      <c r="P38" s="6"/>
      <c r="Q38" s="19" t="str" cm="1">
        <f t="array" ref="Q38">IFERROR(INDEX(Table2[Film],MATCH(0,COUNTIF($Q$1:Q37,Table2[Film])+IF(Table2[Film]="",1,0),0)),"")</f>
        <v/>
      </c>
      <c r="R38" s="56">
        <f>SUMIF(Table2[Film],"TIPA 312 MFG",Table2[Price Calculated(€) Thickness &amp; QTY related])+_xlfn.XLOOKUP("MET LUX ",HELPER!$A:$A,HELPER!$E:$E,0)</f>
        <v>5.3805880000000004</v>
      </c>
      <c r="S38" s="58">
        <f>IFERROR(R38*HELPER!$AK$2," ")</f>
        <v>6.2414820799999999</v>
      </c>
      <c r="T38" s="6"/>
      <c r="U38" s="2" t="s">
        <v>45</v>
      </c>
      <c r="V38" s="2" t="s">
        <v>41</v>
      </c>
      <c r="W38" s="2" t="s">
        <v>26</v>
      </c>
      <c r="X38" s="2" t="s">
        <v>26</v>
      </c>
      <c r="Y38" s="2" t="s">
        <v>53</v>
      </c>
      <c r="Z38" s="600" cm="1">
        <f t="array" ref="Z38">SUMPRODUCT((BOM!$A$2:$A$391=U38)*(BOM!$F$2:$F$391=Y38)*BOM!$H$2:$H$391*BOM!$G$2:$G$391)/SUMPRODUCT((BOM!$A$2:$A$391=U38)*BOM!$H$2:$H$391*BOM!$G$2:$G$391)</f>
        <v>6.0000000000000019E-2</v>
      </c>
      <c r="AA38" s="603">
        <f>SUMIF(tblResinWeightedQty12[Film],tblResinWeightedQty12[[#This Row],[Film]],tblResinWeightedQty12[Weighted QTY %])</f>
        <v>1.0000000000000002</v>
      </c>
    </row>
    <row r="39" spans="1:27" ht="15.75" hidden="1" thickTop="1">
      <c r="A39" s="25" t="s">
        <v>43</v>
      </c>
      <c r="B39" s="26" t="s">
        <v>5</v>
      </c>
      <c r="C39" s="28"/>
      <c r="D39" s="28" t="str">
        <f>IF(C39="","",IFERROR(_xlfn.XLOOKUP(C39,HELPER!$A$2:$A$81,HELPER!$B$2:$B$81,""),D39))</f>
        <v/>
      </c>
      <c r="E39" s="28" t="str">
        <f>IFERROR(_xlfn.XLOOKUP(D39,HELPER!$B:$B,HELPER!$C:$C,""),"")</f>
        <v/>
      </c>
      <c r="F39" s="27" t="str">
        <f>IFERROR(_xlfn.XLOOKUP(D39,HELPER!$B:$B,HELPER!$D:$D,""),"")</f>
        <v/>
      </c>
      <c r="G39" s="27">
        <v>8</v>
      </c>
      <c r="H39" s="31"/>
      <c r="I39" s="21" t="str">
        <f>IF(AND(H39&lt;&gt;"",IFERROR(_xlfn.XLOOKUP(D39,HELPER!$B:$B,HELPER!$E:$E,""),"")=""),"Missing price",IFERROR(_xlfn.XLOOKUP(D39,HELPER!$B:$B,HELPER!$E:$E,"")," "))</f>
        <v/>
      </c>
      <c r="J39" s="53" t="str">
        <f>IFERROR(H39*(IF(G39=8,I39*HELPER!$G$2,BOM!I39*HELPER!$G$3))," ")</f>
        <v xml:space="preserve"> </v>
      </c>
      <c r="K39" s="6"/>
      <c r="L39" s="14" t="str" cm="1">
        <f t="array" ref="L39">IFERROR(_xlfn.LET(_xlpm.films,Table4[Film],_xlpm.grades,Table4[Grade],_xlpm.pairs,_xlfn._xlws.FILTER(_xlfn.HSTACK(_xlpm.films,_xlpm.grades),(_xlpm.films&lt;&gt;"")*(TRIM(_xlpm.grades)&lt;&gt;"")),_xlpm.uniquePairs,_xlfn.UNIQUE(_xlpm.pairs),_xlpm.sortedPairs,_xlfn._xlws.SORT(_xlpm.uniquePairs,1,1),INDEX(_xlpm.sortedPairs,ROWS($L$2:L39),1)),"")</f>
        <v>TIPA 302FG W</v>
      </c>
      <c r="M39" s="15" t="str" cm="1">
        <f t="array" ref="M39">IFERROR(_xlfn.LET(_xlpm.films,Table4[Film],_xlpm.grades,Table4[Grade],_xlpm.pairs,_xlfn._xlws.FILTER(_xlfn.HSTACK(_xlpm.films,_xlpm.grades),(_xlpm.films&lt;&gt;"")*(TRIM(_xlpm.grades)&lt;&gt;"")),_xlpm.uniquePairs,_xlfn.UNIQUE(_xlpm.pairs),_xlpm.sortedPairs,_xlfn._xlws.SORT(_xlpm.uniquePairs,1,1),INDEX(_xlpm.sortedPairs,ROWS($M$2:M39),2)),"")</f>
        <v>KAB59A</v>
      </c>
      <c r="N39" s="15" t="str" cm="1">
        <f t="array" ref="N39">IF(OR(Table2[[#This Row],[Film]]="",Table2[[#This Row],[Grade]]=""),"",IFERROR(INDEX(Table4[Serial Number],MATCH(1,(Table4[Film]=Table2[[#This Row],[Film]])*(Table4[Grade]=Table2[[#This Row],[Grade]]),0)),""))</f>
        <v>RM A KAB59A</v>
      </c>
      <c r="O39" s="51">
        <f>IF(OR(Table2[[#This Row],[Film]]="",Table2[[#This Row],[Grade]]=""),"",SUMIFS(Table4[Price Calculated(€) Thickness &amp; QTY related],Table4[Film],Table2[[#This Row],[Film]],Table4[Grade],Table2[[#This Row],[Grade]]))</f>
        <v>4.53E-2</v>
      </c>
      <c r="P39" s="6"/>
      <c r="Q39" s="20" t="str" cm="1">
        <f t="array" ref="Q39">IFERROR(INDEX(Table2[Film],MATCH(0,COUNTIF($Q$1:Q38,Table2[Film])+IF(Table2[Film]="",1,0),0)),"")</f>
        <v/>
      </c>
      <c r="R39" s="57">
        <f>SUMIF(Table2[Film],"TIPA 312 MFG",Table2[Price Calculated(€) Thickness &amp; QTY related])+_xlfn.XLOOKUP("MET LUX ",HELPER!$A:$A,HELPER!$E:$E,0)</f>
        <v>5.3805880000000004</v>
      </c>
      <c r="S39" s="59">
        <f>IFERROR(R39*HELPER!$AK$2," ")</f>
        <v>6.2414820799999999</v>
      </c>
      <c r="T39" s="6"/>
      <c r="U39" s="2" t="s">
        <v>45</v>
      </c>
      <c r="V39" s="2" t="s">
        <v>13</v>
      </c>
      <c r="W39" s="2" t="s">
        <v>73</v>
      </c>
      <c r="X39" s="2" t="s">
        <v>74</v>
      </c>
      <c r="Y39" s="2" t="s">
        <v>33</v>
      </c>
      <c r="Z39" s="600" cm="1">
        <f t="array" ref="Z39">SUMPRODUCT((BOM!$A$2:$A$391=U39)*(BOM!$F$2:$F$391=Y39)*BOM!$H$2:$H$391*BOM!$G$2:$G$391)/SUMPRODUCT((BOM!$A$2:$A$391=U39)*BOM!$H$2:$H$391*BOM!$G$2:$G$391)</f>
        <v>0.61220000000000008</v>
      </c>
      <c r="AA39" s="603">
        <f>SUMIF(tblResinWeightedQty12[Film],tblResinWeightedQty12[[#This Row],[Film]],tblResinWeightedQty12[Weighted QTY %])</f>
        <v>1.0000000000000002</v>
      </c>
    </row>
    <row r="40" spans="1:27" ht="15.75" hidden="1" thickTop="1">
      <c r="A40" s="25" t="s">
        <v>43</v>
      </c>
      <c r="B40" s="26" t="s">
        <v>5</v>
      </c>
      <c r="C40" s="28"/>
      <c r="D40" s="28" t="str">
        <f>IF(C40="","",IFERROR(_xlfn.XLOOKUP(C40,HELPER!$A$2:$A$81,HELPER!$B$2:$B$81,""),D40))</f>
        <v/>
      </c>
      <c r="E40" s="28" t="str">
        <f>IFERROR(_xlfn.XLOOKUP(D40,HELPER!$B:$B,HELPER!$C:$C,""),"")</f>
        <v/>
      </c>
      <c r="F40" s="27" t="str">
        <f>IFERROR(_xlfn.XLOOKUP(D40,HELPER!$B:$B,HELPER!$D:$D,""),"")</f>
        <v/>
      </c>
      <c r="G40" s="27">
        <v>8</v>
      </c>
      <c r="H40" s="31"/>
      <c r="I40" s="21" t="str">
        <f>IF(AND(H40&lt;&gt;"",IFERROR(_xlfn.XLOOKUP(D40,HELPER!$B:$B,HELPER!$E:$E,""),"")=""),"Missing price",IFERROR(_xlfn.XLOOKUP(D40,HELPER!$B:$B,HELPER!$E:$E,"")," "))</f>
        <v/>
      </c>
      <c r="J40" s="53" t="str">
        <f>IFERROR(H40*(IF(G40=8,I40*HELPER!$G$2,BOM!I40*HELPER!$G$3))," ")</f>
        <v xml:space="preserve"> </v>
      </c>
      <c r="K40" s="6"/>
      <c r="L40" s="16" t="str" cm="1">
        <f t="array" ref="L40">IFERROR(_xlfn.LET(_xlpm.films,Table4[Film],_xlpm.grades,Table4[Grade],_xlpm.pairs,_xlfn._xlws.FILTER(_xlfn.HSTACK(_xlpm.films,_xlpm.grades),(_xlpm.films&lt;&gt;"")*(TRIM(_xlpm.grades)&lt;&gt;"")),_xlpm.uniquePairs,_xlfn.UNIQUE(_xlpm.pairs),_xlpm.sortedPairs,_xlfn._xlws.SORT(_xlpm.uniquePairs,1,1),INDEX(_xlpm.sortedPairs,ROWS($L$2:L40),1)),"")</f>
        <v>TIPA 302FG W</v>
      </c>
      <c r="M40" s="17" t="str" cm="1">
        <f t="array" ref="M40">IFERROR(_xlfn.LET(_xlpm.films,Table4[Film],_xlpm.grades,Table4[Grade],_xlpm.pairs,_xlfn._xlws.FILTER(_xlfn.HSTACK(_xlpm.films,_xlpm.grades),(_xlpm.films&lt;&gt;"")*(TRIM(_xlpm.grades)&lt;&gt;"")),_xlpm.uniquePairs,_xlfn.UNIQUE(_xlpm.pairs),_xlpm.sortedPairs,_xlfn._xlws.SORT(_xlpm.uniquePairs,1,1),INDEX(_xlpm.sortedPairs,ROWS($M$2:M40),2)),"")</f>
        <v>S723</v>
      </c>
      <c r="N40" s="17" t="str" cm="1">
        <f t="array" ref="N40">IF(OR(Table2[[#This Row],[Film]]="",Table2[[#This Row],[Grade]]=""),"",IFERROR(INDEX(Table4[Serial Number],MATCH(1,(Table4[Film]=Table2[[#This Row],[Film]])*(Table4[Grade]=Table2[[#This Row],[Grade]]),0)),""))</f>
        <v>RM TA45-08 S723</v>
      </c>
      <c r="O40" s="52">
        <f>IF(OR(Table2[[#This Row],[Film]]="",Table2[[#This Row],[Grade]]=""),"",SUMIFS(Table4[Price Calculated(€) Thickness &amp; QTY related],Table4[Film],Table2[[#This Row],[Film]],Table4[Grade],Table2[[#This Row],[Grade]]))</f>
        <v>0.24239999999999998</v>
      </c>
      <c r="P40" s="6"/>
      <c r="Q40" s="19" t="str" cm="1">
        <f t="array" ref="Q40">IFERROR(INDEX(Table2[Film],MATCH(0,COUNTIF($Q$1:Q39,Table2[Film])+IF(Table2[Film]="",1,0),0)),"")</f>
        <v/>
      </c>
      <c r="R40" s="56">
        <f>SUMIF(Table2[Film],"TIPA 312 MFG",Table2[Price Calculated(€) Thickness &amp; QTY related])+_xlfn.XLOOKUP("MET LUX ",HELPER!$A:$A,HELPER!$E:$E,0)</f>
        <v>5.3805880000000004</v>
      </c>
      <c r="S40" s="58">
        <f>IFERROR(R40*HELPER!$AK$2," ")</f>
        <v>6.2414820799999999</v>
      </c>
      <c r="T40" s="6"/>
      <c r="U40" s="2" t="s">
        <v>45</v>
      </c>
      <c r="V40" s="2" t="s">
        <v>15</v>
      </c>
      <c r="W40" s="2" t="s">
        <v>24</v>
      </c>
      <c r="X40" s="2" t="s">
        <v>79</v>
      </c>
      <c r="Y40" s="2" t="s">
        <v>37</v>
      </c>
      <c r="Z40" s="600" cm="1">
        <f t="array" ref="Z40">SUMPRODUCT((BOM!$A$2:$A$391=U40)*(BOM!$F$2:$F$391=Y40)*BOM!$H$2:$H$391*BOM!$G$2:$G$391)/SUMPRODUCT((BOM!$A$2:$A$391=U40)*BOM!$H$2:$H$391*BOM!$G$2:$G$391)</f>
        <v>0.13720000000000002</v>
      </c>
      <c r="AA40" s="603">
        <f>SUMIF(tblResinWeightedQty12[Film],tblResinWeightedQty12[[#This Row],[Film]],tblResinWeightedQty12[Weighted QTY %])</f>
        <v>1.0000000000000002</v>
      </c>
    </row>
    <row r="41" spans="1:27" ht="15.75" hidden="1" thickTop="1">
      <c r="A41" s="25" t="s">
        <v>43</v>
      </c>
      <c r="B41" s="26" t="s">
        <v>5</v>
      </c>
      <c r="C41" s="28"/>
      <c r="D41" s="28" t="str">
        <f>IF(C41="","",IFERROR(_xlfn.XLOOKUP(C41,HELPER!$A$2:$A$81,HELPER!$B$2:$B$81,""),D41))</f>
        <v/>
      </c>
      <c r="E41" s="28" t="str">
        <f>IFERROR(_xlfn.XLOOKUP(D41,HELPER!$B:$B,HELPER!$C:$C,""),"")</f>
        <v/>
      </c>
      <c r="F41" s="27" t="str">
        <f>IFERROR(_xlfn.XLOOKUP(D41,HELPER!$B:$B,HELPER!$D:$D,""),"")</f>
        <v/>
      </c>
      <c r="G41" s="27">
        <v>8</v>
      </c>
      <c r="H41" s="31"/>
      <c r="I41" s="21" t="str">
        <f>IF(AND(H41&lt;&gt;"",IFERROR(_xlfn.XLOOKUP(D41,HELPER!$B:$B,HELPER!$E:$E,""),"")=""),"Missing price",IFERROR(_xlfn.XLOOKUP(D41,HELPER!$B:$B,HELPER!$E:$E,"")," "))</f>
        <v/>
      </c>
      <c r="J41" s="53" t="str">
        <f>IFERROR(H41*(IF(G41=8,I41*HELPER!$G$2,BOM!I41*HELPER!$G$3))," ")</f>
        <v xml:space="preserve"> </v>
      </c>
      <c r="K41" s="6"/>
      <c r="L41" s="14" t="str" cm="1">
        <f t="array" ref="L41">IFERROR(_xlfn.LET(_xlpm.films,Table4[Film],_xlpm.grades,Table4[Grade],_xlpm.pairs,_xlfn._xlws.FILTER(_xlfn.HSTACK(_xlpm.films,_xlpm.grades),(_xlpm.films&lt;&gt;"")*(TRIM(_xlpm.grades)&lt;&gt;"")),_xlpm.uniquePairs,_xlfn.UNIQUE(_xlpm.pairs),_xlpm.sortedPairs,_xlfn._xlws.SORT(_xlpm.uniquePairs,1,1),INDEX(_xlpm.sortedPairs,ROWS($L$2:L41),1)),"")</f>
        <v>TIPA 302FG W</v>
      </c>
      <c r="M41" s="15" t="str" cm="1">
        <f t="array" ref="M41">IFERROR(_xlfn.LET(_xlpm.films,Table4[Film],_xlpm.grades,Table4[Grade],_xlpm.pairs,_xlfn._xlws.FILTER(_xlfn.HSTACK(_xlpm.films,_xlpm.grades),(_xlpm.films&lt;&gt;"")*(TRIM(_xlpm.grades)&lt;&gt;"")),_xlpm.uniquePairs,_xlfn.UNIQUE(_xlpm.pairs),_xlpm.sortedPairs,_xlfn._xlws.SORT(_xlpm.uniquePairs,1,1),INDEX(_xlpm.sortedPairs,ROWS($M$2:M41),2)),"")</f>
        <v>S724</v>
      </c>
      <c r="N41" s="15" t="str" cm="1">
        <f t="array" ref="N41">IF(OR(Table2[[#This Row],[Film]]="",Table2[[#This Row],[Grade]]=""),"",IFERROR(INDEX(Table4[Serial Number],MATCH(1,(Table4[Film]=Table2[[#This Row],[Film]])*(Table4[Grade]=Table2[[#This Row],[Grade]]),0)),""))</f>
        <v>RM TA45-08 S724</v>
      </c>
      <c r="O41" s="51">
        <f>IF(OR(Table2[[#This Row],[Film]]="",Table2[[#This Row],[Grade]]=""),"",SUMIFS(Table4[Price Calculated(€) Thickness &amp; QTY related],Table4[Film],Table2[[#This Row],[Film]],Table4[Grade],Table2[[#This Row],[Grade]]))</f>
        <v>9.4079999999999997E-2</v>
      </c>
      <c r="P41" s="6"/>
      <c r="Q41" s="20" t="str" cm="1">
        <f t="array" ref="Q41">IFERROR(INDEX(Table2[Film],MATCH(0,COUNTIF($Q$1:Q40,Table2[Film])+IF(Table2[Film]="",1,0),0)),"")</f>
        <v/>
      </c>
      <c r="R41" s="57">
        <f>SUMIF(Table2[Film],"TIPA 312 MFG",Table2[Price Calculated(€) Thickness &amp; QTY related])+_xlfn.XLOOKUP("MET LUX ",HELPER!$A:$A,HELPER!$E:$E,0)</f>
        <v>5.3805880000000004</v>
      </c>
      <c r="S41" s="59">
        <f>IFERROR(R41*HELPER!$AK$2," ")</f>
        <v>6.2414820799999999</v>
      </c>
      <c r="T41" s="6"/>
      <c r="U41" s="2" t="s">
        <v>45</v>
      </c>
      <c r="V41" s="2" t="s">
        <v>16</v>
      </c>
      <c r="W41" s="2" t="s">
        <v>10</v>
      </c>
      <c r="X41" s="2" t="s">
        <v>80</v>
      </c>
      <c r="Y41" s="2" t="s">
        <v>38</v>
      </c>
      <c r="Z41" s="600" cm="1">
        <f t="array" ref="Z41">SUMPRODUCT((BOM!$A$2:$A$391=U41)*(BOM!$F$2:$F$391=Y41)*BOM!$H$2:$H$391*BOM!$G$2:$G$391)/SUMPRODUCT((BOM!$A$2:$A$391=U41)*BOM!$H$2:$H$391*BOM!$G$2:$G$391)</f>
        <v>1.5000000000000003E-2</v>
      </c>
      <c r="AA41" s="603">
        <f>SUMIF(tblResinWeightedQty12[Film],tblResinWeightedQty12[[#This Row],[Film]],tblResinWeightedQty12[Weighted QTY %])</f>
        <v>1.0000000000000002</v>
      </c>
    </row>
    <row r="42" spans="1:27" ht="15.75" hidden="1" thickTop="1">
      <c r="A42" s="25" t="s">
        <v>43</v>
      </c>
      <c r="B42" s="26" t="s">
        <v>6</v>
      </c>
      <c r="C42" s="28"/>
      <c r="D42" s="28" t="str">
        <f>IF(C42="","",IFERROR(_xlfn.XLOOKUP(C42,HELPER!$A$2:$A$81,HELPER!$B$2:$B$81,""),D42))</f>
        <v/>
      </c>
      <c r="E42" s="28" t="str">
        <f>IFERROR(_xlfn.XLOOKUP(D42,HELPER!$B:$B,HELPER!$C:$C,""),"")</f>
        <v/>
      </c>
      <c r="F42" s="27" t="str">
        <f>IFERROR(_xlfn.XLOOKUP(D42,HELPER!$B:$B,HELPER!$D:$D,""),"")</f>
        <v/>
      </c>
      <c r="G42" s="27">
        <v>24</v>
      </c>
      <c r="H42" s="31"/>
      <c r="I42" s="21" t="str">
        <f>IF(AND(H42&lt;&gt;"",IFERROR(_xlfn.XLOOKUP(D42,HELPER!$B:$B,HELPER!$E:$E,""),"")=""),"Missing price",IFERROR(_xlfn.XLOOKUP(D42,HELPER!$B:$B,HELPER!$E:$E,"")," "))</f>
        <v/>
      </c>
      <c r="J42" s="53" t="str">
        <f>IFERROR(H42*(IF(G42=8,I42*HELPER!$G$2,BOM!I42*HELPER!$G$3))," ")</f>
        <v xml:space="preserve"> </v>
      </c>
      <c r="K42" s="6"/>
      <c r="L42" s="16" t="str" cm="1">
        <f t="array" ref="L42">IFERROR(_xlfn.LET(_xlpm.films,Table4[Film],_xlpm.grades,Table4[Grade],_xlpm.pairs,_xlfn._xlws.FILTER(_xlfn.HSTACK(_xlpm.films,_xlpm.grades),(_xlpm.films&lt;&gt;"")*(TRIM(_xlpm.grades)&lt;&gt;"")),_xlpm.uniquePairs,_xlfn.UNIQUE(_xlpm.pairs),_xlpm.sortedPairs,_xlfn._xlws.SORT(_xlpm.uniquePairs,1,1),INDEX(_xlpm.sortedPairs,ROWS($L$2:L42),1)),"")</f>
        <v>TIPA 302FG W</v>
      </c>
      <c r="M42" s="17" t="str" cm="1">
        <f t="array" ref="M42">IFERROR(_xlfn.LET(_xlpm.films,Table4[Film],_xlpm.grades,Table4[Grade],_xlpm.pairs,_xlfn._xlws.FILTER(_xlfn.HSTACK(_xlpm.films,_xlpm.grades),(_xlpm.films&lt;&gt;"")*(TRIM(_xlpm.grades)&lt;&gt;"")),_xlpm.uniquePairs,_xlfn.UNIQUE(_xlpm.pairs),_xlpm.sortedPairs,_xlfn._xlws.SORT(_xlpm.uniquePairs,1,1),INDEX(_xlpm.sortedPairs,ROWS($M$2:M42),2)),"")</f>
        <v>RM WHITE BIO8153</v>
      </c>
      <c r="N42" s="17" t="str" cm="1">
        <f t="array" ref="N42">IF(OR(Table2[[#This Row],[Film]]="",Table2[[#This Row],[Grade]]=""),"",IFERROR(INDEX(Table4[Serial Number],MATCH(1,(Table4[Film]=Table2[[#This Row],[Film]])*(Table4[Grade]=Table2[[#This Row],[Grade]]),0)),""))</f>
        <v>RM WHITE BIO8153</v>
      </c>
      <c r="O42" s="52">
        <f>IF(OR(Table2[[#This Row],[Film]]="",Table2[[#This Row],[Grade]]=""),"",SUMIFS(Table4[Price Calculated(€) Thickness &amp; QTY related],Table4[Film],Table2[[#This Row],[Film]],Table4[Grade],Table2[[#This Row],[Grade]]))</f>
        <v>0.36899999999999999</v>
      </c>
      <c r="P42" s="6"/>
      <c r="Q42" s="19" t="str" cm="1">
        <f t="array" ref="Q42">IFERROR(INDEX(Table2[Film],MATCH(0,COUNTIF($Q$1:Q41,Table2[Film])+IF(Table2[Film]="",1,0),0)),"")</f>
        <v/>
      </c>
      <c r="R42" s="56">
        <f>SUMIF(Table2[Film],"TIPA 312 MFG",Table2[Price Calculated(€) Thickness &amp; QTY related])+_xlfn.XLOOKUP("MET LUX ",HELPER!$A:$A,HELPER!$E:$E,0)</f>
        <v>5.3805880000000004</v>
      </c>
      <c r="S42" s="58">
        <f>IFERROR(R42*HELPER!$AK$2," ")</f>
        <v>6.2414820799999999</v>
      </c>
      <c r="T42" s="6"/>
      <c r="U42" s="2" t="s">
        <v>45</v>
      </c>
      <c r="V42" s="2" t="s">
        <v>17</v>
      </c>
      <c r="W42" s="2" t="s">
        <v>11</v>
      </c>
      <c r="X42" s="2" t="s">
        <v>81</v>
      </c>
      <c r="Y42" s="2" t="s">
        <v>39</v>
      </c>
      <c r="Z42" s="600" cm="1">
        <f t="array" ref="Z42">SUMPRODUCT((BOM!$A$2:$A$391=U42)*(BOM!$F$2:$F$391=Y42)*BOM!$H$2:$H$391*BOM!$G$2:$G$391)/SUMPRODUCT((BOM!$A$2:$A$391=U42)*BOM!$H$2:$H$391*BOM!$G$2:$G$391)</f>
        <v>8.0000000000000019E-3</v>
      </c>
      <c r="AA42" s="603">
        <f>SUMIF(tblResinWeightedQty12[Film],tblResinWeightedQty12[[#This Row],[Film]],tblResinWeightedQty12[Weighted QTY %])</f>
        <v>1.0000000000000002</v>
      </c>
    </row>
    <row r="43" spans="1:27" ht="15.75" hidden="1" thickTop="1">
      <c r="A43" s="25" t="s">
        <v>43</v>
      </c>
      <c r="B43" s="26" t="s">
        <v>6</v>
      </c>
      <c r="C43" s="28"/>
      <c r="D43" s="28" t="str">
        <f>IF(C43="","",IFERROR(_xlfn.XLOOKUP(C43,HELPER!$A$2:$A$81,HELPER!$B$2:$B$81,""),D43))</f>
        <v/>
      </c>
      <c r="E43" s="28" t="str">
        <f>IFERROR(_xlfn.XLOOKUP(D43,HELPER!$B:$B,HELPER!$C:$C,""),"")</f>
        <v/>
      </c>
      <c r="F43" s="27" t="str">
        <f>IFERROR(_xlfn.XLOOKUP(D43,HELPER!$B:$B,HELPER!$D:$D,""),"")</f>
        <v/>
      </c>
      <c r="G43" s="27">
        <v>24</v>
      </c>
      <c r="H43" s="31"/>
      <c r="I43" s="21" t="str">
        <f>IF(AND(H43&lt;&gt;"",IFERROR(_xlfn.XLOOKUP(D43,HELPER!$B:$B,HELPER!$E:$E,""),"")=""),"Missing price",IFERROR(_xlfn.XLOOKUP(D43,HELPER!$B:$B,HELPER!$E:$E,"")," "))</f>
        <v/>
      </c>
      <c r="J43" s="53" t="str">
        <f>IFERROR(H43*(IF(G43=8,I43*HELPER!$G$2,BOM!I43*HELPER!$G$3))," ")</f>
        <v xml:space="preserve"> </v>
      </c>
      <c r="K43" s="6"/>
      <c r="L43" s="14" t="str" cm="1">
        <f t="array" ref="L43">IFERROR(_xlfn.LET(_xlpm.films,Table4[Film],_xlpm.grades,Table4[Grade],_xlpm.pairs,_xlfn._xlws.FILTER(_xlfn.HSTACK(_xlpm.films,_xlpm.grades),(_xlpm.films&lt;&gt;"")*(TRIM(_xlpm.grades)&lt;&gt;"")),_xlpm.uniquePairs,_xlfn.UNIQUE(_xlpm.pairs),_xlpm.sortedPairs,_xlfn._xlws.SORT(_xlpm.uniquePairs,1,1),INDEX(_xlpm.sortedPairs,ROWS($L$2:L43),1)),"")</f>
        <v>TIPA 302FG W</v>
      </c>
      <c r="M43" s="15" t="str" cm="1">
        <f t="array" ref="M43">IFERROR(_xlfn.LET(_xlpm.films,Table4[Film],_xlpm.grades,Table4[Grade],_xlpm.pairs,_xlfn._xlws.FILTER(_xlfn.HSTACK(_xlpm.films,_xlpm.grades),(_xlpm.films&lt;&gt;"")*(TRIM(_xlpm.grades)&lt;&gt;"")),_xlpm.uniquePairs,_xlfn.UNIQUE(_xlpm.pairs),_xlpm.sortedPairs,_xlfn._xlws.SORT(_xlpm.uniquePairs,1,1),INDEX(_xlpm.sortedPairs,ROWS($M$2:M43),2)),"")</f>
        <v>B12</v>
      </c>
      <c r="N43" s="15" t="str" cm="1">
        <f t="array" ref="N43">IF(OR(Table2[[#This Row],[Film]]="",Table2[[#This Row],[Grade]]=""),"",IFERROR(INDEX(Table4[Serial Number],MATCH(1,(Table4[Film]=Table2[[#This Row],[Film]])*(Table4[Grade]=Table2[[#This Row],[Grade]]),0)),""))</f>
        <v>RMB12</v>
      </c>
      <c r="O43" s="51">
        <f>IF(OR(Table2[[#This Row],[Film]]="",Table2[[#This Row],[Grade]]=""),"",SUMIFS(Table4[Price Calculated(€) Thickness &amp; QTY related],Table4[Film],Table2[[#This Row],[Film]],Table4[Grade],Table2[[#This Row],[Grade]]))</f>
        <v>0.96111000000000013</v>
      </c>
      <c r="P43" s="6"/>
      <c r="Q43" s="20" t="str" cm="1">
        <f t="array" ref="Q43">IFERROR(INDEX(Table2[Film],MATCH(0,COUNTIF($Q$1:Q42,Table2[Film])+IF(Table2[Film]="",1,0),0)),"")</f>
        <v/>
      </c>
      <c r="R43" s="57">
        <f>SUMIF(Table2[Film],"TIPA 312 MFG",Table2[Price Calculated(€) Thickness &amp; QTY related])+_xlfn.XLOOKUP("MET LUX ",HELPER!$A:$A,HELPER!$E:$E,0)</f>
        <v>5.3805880000000004</v>
      </c>
      <c r="S43" s="59">
        <f>IFERROR(R43*HELPER!$AK$2," ")</f>
        <v>6.2414820799999999</v>
      </c>
      <c r="T43" s="6"/>
      <c r="U43" s="2" t="s">
        <v>45</v>
      </c>
      <c r="V43" s="2" t="s">
        <v>18</v>
      </c>
      <c r="W43" s="2" t="s">
        <v>9</v>
      </c>
      <c r="X43" s="2" t="s">
        <v>82</v>
      </c>
      <c r="Y43" s="2" t="s">
        <v>40</v>
      </c>
      <c r="Z43" s="600" cm="1">
        <f t="array" ref="Z43">SUMPRODUCT((BOM!$A$2:$A$391=U43)*(BOM!$F$2:$F$391=Y43)*BOM!$H$2:$H$391*BOM!$G$2:$G$391)/SUMPRODUCT((BOM!$A$2:$A$391=U43)*BOM!$H$2:$H$391*BOM!$G$2:$G$391)</f>
        <v>6.000000000000001E-3</v>
      </c>
      <c r="AA43" s="603">
        <f>SUMIF(tblResinWeightedQty12[Film],tblResinWeightedQty12[[#This Row],[Film]],tblResinWeightedQty12[Weighted QTY %])</f>
        <v>1.0000000000000002</v>
      </c>
    </row>
    <row r="44" spans="1:27" ht="15.75" hidden="1" thickTop="1">
      <c r="A44" s="25" t="s">
        <v>43</v>
      </c>
      <c r="B44" s="26" t="s">
        <v>6</v>
      </c>
      <c r="C44" s="28"/>
      <c r="D44" s="28" t="str">
        <f>IF(C44="","",IFERROR(_xlfn.XLOOKUP(C44,HELPER!$A$2:$A$81,HELPER!$B$2:$B$81,""),D44))</f>
        <v/>
      </c>
      <c r="E44" s="28" t="str">
        <f>IFERROR(_xlfn.XLOOKUP(D44,HELPER!$B:$B,HELPER!$C:$C,""),"")</f>
        <v/>
      </c>
      <c r="F44" s="27" t="str">
        <f>IFERROR(_xlfn.XLOOKUP(D44,HELPER!$B:$B,HELPER!$D:$D,""),"")</f>
        <v/>
      </c>
      <c r="G44" s="27">
        <v>24</v>
      </c>
      <c r="H44" s="31"/>
      <c r="I44" s="21" t="str">
        <f>IF(AND(H44&lt;&gt;"",IFERROR(_xlfn.XLOOKUP(D44,HELPER!$B:$B,HELPER!$E:$E,""),"")=""),"Missing price",IFERROR(_xlfn.XLOOKUP(D44,HELPER!$B:$B,HELPER!$E:$E,"")," "))</f>
        <v/>
      </c>
      <c r="J44" s="53" t="str">
        <f>IFERROR(H44*(IF(G44=8,I44*HELPER!$G$2,BOM!I44*HELPER!$G$3))," ")</f>
        <v xml:space="preserve"> </v>
      </c>
      <c r="K44" s="6"/>
      <c r="L44" s="16" t="str" cm="1">
        <f t="array" ref="L44">IFERROR(_xlfn.LET(_xlpm.films,Table4[Film],_xlpm.grades,Table4[Grade],_xlpm.pairs,_xlfn._xlws.FILTER(_xlfn.HSTACK(_xlpm.films,_xlpm.grades),(_xlpm.films&lt;&gt;"")*(TRIM(_xlpm.grades)&lt;&gt;"")),_xlpm.uniquePairs,_xlfn.UNIQUE(_xlpm.pairs),_xlpm.sortedPairs,_xlfn._xlws.SORT(_xlpm.uniquePairs,1,1),INDEX(_xlpm.sortedPairs,ROWS($L$2:L44),1)),"")</f>
        <v>TIPA 306M</v>
      </c>
      <c r="M44" s="17" t="str" cm="1">
        <f t="array" ref="M44">IFERROR(_xlfn.LET(_xlpm.films,Table4[Film],_xlpm.grades,Table4[Grade],_xlpm.pairs,_xlfn._xlws.FILTER(_xlfn.HSTACK(_xlpm.films,_xlpm.grades),(_xlpm.films&lt;&gt;"")*(TRIM(_xlpm.grades)&lt;&gt;"")),_xlpm.uniquePairs,_xlfn.UNIQUE(_xlpm.pairs),_xlpm.sortedPairs,_xlfn._xlws.SORT(_xlpm.uniquePairs,1,1),INDEX(_xlpm.sortedPairs,ROWS($M$2:M44),2)),"")</f>
        <v>LX175</v>
      </c>
      <c r="N44" s="17" t="str" cm="1">
        <f t="array" ref="N44">IF(OR(Table2[[#This Row],[Film]]="",Table2[[#This Row],[Grade]]=""),"",IFERROR(INDEX(Table4[Serial Number],MATCH(1,(Table4[Film]=Table2[[#This Row],[Film]])*(Table4[Grade]=Table2[[#This Row],[Grade]]),0)),""))</f>
        <v>RMLX175</v>
      </c>
      <c r="O44" s="52">
        <f>IF(OR(Table2[[#This Row],[Film]]="",Table2[[#This Row],[Grade]]=""),"",SUMIFS(Table4[Price Calculated(€) Thickness &amp; QTY related],Table4[Film],Table2[[#This Row],[Film]],Table4[Grade],Table2[[#This Row],[Grade]]))</f>
        <v>2.1061480000000001</v>
      </c>
      <c r="P44" s="6"/>
      <c r="Q44" s="19" t="str" cm="1">
        <f t="array" ref="Q44">IFERROR(INDEX(Table2[Film],MATCH(0,COUNTIF($Q$1:Q43,Table2[Film])+IF(Table2[Film]="",1,0),0)),"")</f>
        <v/>
      </c>
      <c r="R44" s="56">
        <f>SUMIF(Table2[Film],"TIPA 312 MFG",Table2[Price Calculated(€) Thickness &amp; QTY related])+_xlfn.XLOOKUP("MET LUX ",HELPER!$A:$A,HELPER!$E:$E,0)</f>
        <v>5.3805880000000004</v>
      </c>
      <c r="S44" s="58">
        <f>IFERROR(R44*HELPER!$AK$2," ")</f>
        <v>6.2414820799999999</v>
      </c>
      <c r="T44" s="6"/>
      <c r="U44" s="2" t="s">
        <v>45</v>
      </c>
      <c r="V44" s="2" t="s">
        <v>12</v>
      </c>
      <c r="W44" s="2" t="s">
        <v>8</v>
      </c>
      <c r="X44" s="2" t="s">
        <v>83</v>
      </c>
      <c r="Y44" s="2" t="s">
        <v>42</v>
      </c>
      <c r="Z44" s="600" cm="1">
        <f t="array" ref="Z44">SUMPRODUCT((BOM!$A$2:$A$391=U44)*(BOM!$F$2:$F$391=Y44)*BOM!$H$2:$H$391*BOM!$G$2:$G$391)/SUMPRODUCT((BOM!$A$2:$A$391=U44)*BOM!$H$2:$H$391*BOM!$G$2:$G$391)</f>
        <v>0.16160000000000005</v>
      </c>
      <c r="AA44" s="603">
        <f>SUMIF(tblResinWeightedQty12[Film],tblResinWeightedQty12[[#This Row],[Film]],tblResinWeightedQty12[Weighted QTY %])</f>
        <v>1.0000000000000002</v>
      </c>
    </row>
    <row r="45" spans="1:27" ht="15.75" hidden="1" thickTop="1">
      <c r="A45" s="25" t="s">
        <v>43</v>
      </c>
      <c r="B45" s="26" t="s">
        <v>6</v>
      </c>
      <c r="C45" s="28" t="s">
        <v>16</v>
      </c>
      <c r="D45" s="28" t="str">
        <f>IF(C45="","",IFERROR(_xlfn.XLOOKUP(C45,HELPER!$A$2:$A$81,HELPER!$B$2:$B$81,""),D45))</f>
        <v>S723</v>
      </c>
      <c r="E45" s="28" t="str">
        <f>IFERROR(_xlfn.XLOOKUP(D45,HELPER!$B:$B,HELPER!$C:$C,""),"")</f>
        <v>RM TA45-08 S723</v>
      </c>
      <c r="F45" s="27" t="str">
        <f>IFERROR(_xlfn.XLOOKUP(D45,HELPER!$B:$B,HELPER!$D:$D,""),"")</f>
        <v>Resin 6</v>
      </c>
      <c r="G45" s="27">
        <v>24</v>
      </c>
      <c r="H45" s="31">
        <v>1.4999999999999999E-2</v>
      </c>
      <c r="I45" s="21">
        <f>IF(AND(H45&lt;&gt;"",IFERROR(_xlfn.XLOOKUP(D45,HELPER!$B:$B,HELPER!$E:$E,""),"")=""),"Missing price",IFERROR(_xlfn.XLOOKUP(D45,HELPER!$B:$B,HELPER!$E:$E,"")," "))</f>
        <v>16.16</v>
      </c>
      <c r="J45" s="53">
        <f>IFERROR(H45*(IF(G45=8,I45*HELPER!$G$2,BOM!I45*HELPER!$G$3))," ")</f>
        <v>0.14543999999999999</v>
      </c>
      <c r="K45" s="6"/>
      <c r="L45" s="14" t="str" cm="1">
        <f t="array" ref="L45">IFERROR(_xlfn.LET(_xlpm.films,Table4[Film],_xlpm.grades,Table4[Grade],_xlpm.pairs,_xlfn._xlws.FILTER(_xlfn.HSTACK(_xlpm.films,_xlpm.grades),(_xlpm.films&lt;&gt;"")*(TRIM(_xlpm.grades)&lt;&gt;"")),_xlpm.uniquePairs,_xlfn.UNIQUE(_xlpm.pairs),_xlpm.sortedPairs,_xlfn._xlws.SORT(_xlpm.uniquePairs,1,1),INDEX(_xlpm.sortedPairs,ROWS($L$2:L45),1)),"")</f>
        <v>TIPA 306M</v>
      </c>
      <c r="M45" s="15" t="str" cm="1">
        <f t="array" ref="M45">IFERROR(_xlfn.LET(_xlpm.films,Table4[Film],_xlpm.grades,Table4[Grade],_xlpm.pairs,_xlfn._xlws.FILTER(_xlfn.HSTACK(_xlpm.films,_xlpm.grades),(_xlpm.films&lt;&gt;"")*(TRIM(_xlpm.grades)&lt;&gt;"")),_xlpm.uniquePairs,_xlfn.UNIQUE(_xlpm.pairs),_xlpm.sortedPairs,_xlfn._xlws.SORT(_xlpm.uniquePairs,1,1),INDEX(_xlpm.sortedPairs,ROWS($M$2:M45),2)),"")</f>
        <v>P65D</v>
      </c>
      <c r="N45" s="15" t="str" cm="1">
        <f t="array" ref="N45">IF(OR(Table2[[#This Row],[Film]]="",Table2[[#This Row],[Grade]]=""),"",IFERROR(INDEX(Table4[Serial Number],MATCH(1,(Table4[Film]=Table2[[#This Row],[Film]])*(Table4[Grade]=Table2[[#This Row],[Grade]]),0)),""))</f>
        <v>RMP65D</v>
      </c>
      <c r="O45" s="51">
        <f>IF(OR(Table2[[#This Row],[Film]]="",Table2[[#This Row],[Grade]]=""),"",SUMIFS(Table4[Price Calculated(€) Thickness &amp; QTY related],Table4[Film],Table2[[#This Row],[Film]],Table4[Grade],Table2[[#This Row],[Grade]]))</f>
        <v>1.1095999999999999</v>
      </c>
      <c r="P45" s="6"/>
      <c r="Q45" s="20" t="str" cm="1">
        <f t="array" ref="Q45">IFERROR(INDEX(Table2[Film],MATCH(0,COUNTIF($Q$1:Q44,Table2[Film])+IF(Table2[Film]="",1,0),0)),"")</f>
        <v/>
      </c>
      <c r="R45" s="57">
        <f>SUMIF(Table2[Film],"TIPA 312 MFG",Table2[Price Calculated(€) Thickness &amp; QTY related])+_xlfn.XLOOKUP("MET LUX ",HELPER!$A:$A,HELPER!$E:$E,0)</f>
        <v>5.3805880000000004</v>
      </c>
      <c r="S45" s="59">
        <f>IFERROR(R45*HELPER!$AK$2," ")</f>
        <v>6.2414820799999999</v>
      </c>
      <c r="T45" s="6"/>
      <c r="U45" s="2" t="s">
        <v>179</v>
      </c>
      <c r="V45" s="2" t="s">
        <v>13</v>
      </c>
      <c r="W45" s="2" t="s">
        <v>73</v>
      </c>
      <c r="X45" s="2" t="s">
        <v>74</v>
      </c>
      <c r="Y45" s="2" t="s">
        <v>33</v>
      </c>
      <c r="Z45" s="600" cm="1">
        <f t="array" ref="Z45">SUMPRODUCT((BOM!$A$2:$A$391=U45)*(BOM!$F$2:$F$391=Y45)*BOM!$H$2:$H$391*BOM!$G$2:$G$391)/SUMPRODUCT((BOM!$A$2:$A$391=U45)*BOM!$H$2:$H$391*BOM!$G$2:$G$391)</f>
        <v>0.18740000000000004</v>
      </c>
      <c r="AA45" s="603">
        <f>SUMIF(tblResinWeightedQty12[Film],tblResinWeightedQty12[[#This Row],[Film]],tblResinWeightedQty12[Weighted QTY %])</f>
        <v>1.0000000000000002</v>
      </c>
    </row>
    <row r="46" spans="1:27" ht="15.75" hidden="1" thickTop="1">
      <c r="A46" s="25" t="s">
        <v>43</v>
      </c>
      <c r="B46" s="26" t="s">
        <v>6</v>
      </c>
      <c r="C46" s="28" t="s">
        <v>41</v>
      </c>
      <c r="D46" s="28" t="str">
        <f>IF(C46="","",IFERROR(_xlfn.XLOOKUP(C46,HELPER!$A$2:$A$81,HELPER!$B$2:$B$81,""),D46))</f>
        <v>RM WHITE BIO8153</v>
      </c>
      <c r="E46" s="28" t="str">
        <f>IFERROR(_xlfn.XLOOKUP(D46,HELPER!$B:$B,HELPER!$C:$C,""),"")</f>
        <v>RM WHITE BIO8153</v>
      </c>
      <c r="F46" s="27" t="str">
        <f>IFERROR(_xlfn.XLOOKUP(D46,HELPER!$B:$B,HELPER!$D:$D,""),"")</f>
        <v>Resin 13B</v>
      </c>
      <c r="G46" s="27">
        <v>24</v>
      </c>
      <c r="H46" s="31">
        <v>0.1</v>
      </c>
      <c r="I46" s="21">
        <f>IF(AND(H46&lt;&gt;"",IFERROR(_xlfn.XLOOKUP(D46,HELPER!$B:$B,HELPER!$E:$E,""),"")=""),"Missing price",IFERROR(_xlfn.XLOOKUP(D46,HELPER!$B:$B,HELPER!$E:$E,"")," "))</f>
        <v>6.15</v>
      </c>
      <c r="J46" s="53">
        <f>IFERROR(H46*(IF(G46=8,I46*HELPER!$G$2,BOM!I46*HELPER!$G$3))," ")</f>
        <v>0.36899999999999999</v>
      </c>
      <c r="K46" s="6"/>
      <c r="L46" s="16" t="str" cm="1">
        <f t="array" ref="L46">IFERROR(_xlfn.LET(_xlpm.films,Table4[Film],_xlpm.grades,Table4[Grade],_xlpm.pairs,_xlfn._xlws.FILTER(_xlfn.HSTACK(_xlpm.films,_xlpm.grades),(_xlpm.films&lt;&gt;"")*(TRIM(_xlpm.grades)&lt;&gt;"")),_xlpm.uniquePairs,_xlfn.UNIQUE(_xlpm.pairs),_xlpm.sortedPairs,_xlfn._xlws.SORT(_xlpm.uniquePairs,1,1),INDEX(_xlpm.sortedPairs,ROWS($L$2:L46),1)),"")</f>
        <v>TIPA 306M</v>
      </c>
      <c r="M46" s="17" t="str" cm="1">
        <f t="array" ref="M46">IFERROR(_xlfn.LET(_xlpm.films,Table4[Film],_xlpm.grades,Table4[Grade],_xlpm.pairs,_xlfn._xlws.FILTER(_xlfn.HSTACK(_xlpm.films,_xlpm.grades),(_xlpm.films&lt;&gt;"")*(TRIM(_xlpm.grades)&lt;&gt;"")),_xlpm.uniquePairs,_xlfn.UNIQUE(_xlpm.pairs),_xlpm.sortedPairs,_xlfn._xlws.SORT(_xlpm.uniquePairs,1,1),INDEX(_xlpm.sortedPairs,ROWS($M$2:M46),2)),"")</f>
        <v>S723</v>
      </c>
      <c r="N46" s="17" t="str" cm="1">
        <f t="array" ref="N46">IF(OR(Table2[[#This Row],[Film]]="",Table2[[#This Row],[Grade]]=""),"",IFERROR(INDEX(Table4[Serial Number],MATCH(1,(Table4[Film]=Table2[[#This Row],[Film]])*(Table4[Grade]=Table2[[#This Row],[Grade]]),0)),""))</f>
        <v>RM TA45-08 S723</v>
      </c>
      <c r="O46" s="52">
        <f>IF(OR(Table2[[#This Row],[Film]]="",Table2[[#This Row],[Grade]]=""),"",SUMIFS(Table4[Price Calculated(€) Thickness &amp; QTY related],Table4[Film],Table2[[#This Row],[Film]],Table4[Grade],Table2[[#This Row],[Grade]]))</f>
        <v>0.24239999999999998</v>
      </c>
      <c r="P46" s="6"/>
      <c r="Q46" s="19" t="str" cm="1">
        <f t="array" ref="Q46">IFERROR(INDEX(Table2[Film],MATCH(0,COUNTIF($Q$1:Q45,Table2[Film])+IF(Table2[Film]="",1,0),0)),"")</f>
        <v/>
      </c>
      <c r="R46" s="56">
        <f>SUMIF(Table2[Film],"TIPA 312 MFG",Table2[Price Calculated(€) Thickness &amp; QTY related])+_xlfn.XLOOKUP("MET LUX ",HELPER!$A:$A,HELPER!$E:$E,0)</f>
        <v>5.3805880000000004</v>
      </c>
      <c r="S46" s="58">
        <f>IFERROR(R46*HELPER!$AK$2," ")</f>
        <v>6.2414820799999999</v>
      </c>
      <c r="T46" s="6"/>
      <c r="U46" s="2" t="s">
        <v>179</v>
      </c>
      <c r="V46" s="2" t="s">
        <v>14</v>
      </c>
      <c r="W46" s="2" t="s">
        <v>23</v>
      </c>
      <c r="X46" s="2" t="s">
        <v>76</v>
      </c>
      <c r="Y46" s="2" t="s">
        <v>35</v>
      </c>
      <c r="Z46" s="600" cm="1">
        <f t="array" ref="Z46">SUMPRODUCT((BOM!$A$2:$A$391=U46)*(BOM!$F$2:$F$391=Y46)*BOM!$H$2:$H$391*BOM!$G$2:$G$391)/SUMPRODUCT((BOM!$A$2:$A$391=U46)*BOM!$H$2:$H$391*BOM!$G$2:$G$391)</f>
        <v>0.59100000000000008</v>
      </c>
      <c r="AA46" s="603">
        <f>SUMIF(tblResinWeightedQty12[Film],tblResinWeightedQty12[[#This Row],[Film]],tblResinWeightedQty12[Weighted QTY %])</f>
        <v>1.0000000000000002</v>
      </c>
    </row>
    <row r="47" spans="1:27" ht="15.75" hidden="1" thickTop="1">
      <c r="A47" s="25" t="s">
        <v>43</v>
      </c>
      <c r="B47" s="26" t="s">
        <v>6</v>
      </c>
      <c r="C47" s="28" t="s">
        <v>17</v>
      </c>
      <c r="D47" s="28" t="str">
        <f>IF(C47="","",IFERROR(_xlfn.XLOOKUP(C47,HELPER!$A$2:$A$81,HELPER!$B$2:$B$81,""),D47))</f>
        <v>S724</v>
      </c>
      <c r="E47" s="28" t="str">
        <f>IFERROR(_xlfn.XLOOKUP(D47,HELPER!$B:$B,HELPER!$C:$C,""),"")</f>
        <v>RM TA45-08 S724</v>
      </c>
      <c r="F47" s="27" t="str">
        <f>IFERROR(_xlfn.XLOOKUP(D47,HELPER!$B:$B,HELPER!$D:$D,""),"")</f>
        <v>Resin 7</v>
      </c>
      <c r="G47" s="27">
        <v>24</v>
      </c>
      <c r="H47" s="31"/>
      <c r="I47" s="21">
        <f>IF(AND(H47&lt;&gt;"",IFERROR(_xlfn.XLOOKUP(D47,HELPER!$B:$B,HELPER!$E:$E,""),"")=""),"Missing price",IFERROR(_xlfn.XLOOKUP(D47,HELPER!$B:$B,HELPER!$E:$E,"")," "))</f>
        <v>14.7</v>
      </c>
      <c r="J47" s="53">
        <f>IFERROR(H47*(IF(G47=8,I47*HELPER!$G$2,BOM!I47*HELPER!$G$3))," ")</f>
        <v>0</v>
      </c>
      <c r="K47" s="6"/>
      <c r="L47" s="14" t="str" cm="1">
        <f t="array" ref="L47">IFERROR(_xlfn.LET(_xlpm.films,Table4[Film],_xlpm.grades,Table4[Grade],_xlpm.pairs,_xlfn._xlws.FILTER(_xlfn.HSTACK(_xlpm.films,_xlpm.grades),(_xlpm.films&lt;&gt;"")*(TRIM(_xlpm.grades)&lt;&gt;"")),_xlpm.uniquePairs,_xlfn.UNIQUE(_xlpm.pairs),_xlpm.sortedPairs,_xlfn._xlws.SORT(_xlpm.uniquePairs,1,1),INDEX(_xlpm.sortedPairs,ROWS($L$2:L47),1)),"")</f>
        <v>TIPA 306M</v>
      </c>
      <c r="M47" s="15" t="str" cm="1">
        <f t="array" ref="M47">IFERROR(_xlfn.LET(_xlpm.films,Table4[Film],_xlpm.grades,Table4[Grade],_xlpm.pairs,_xlfn._xlws.FILTER(_xlfn.HSTACK(_xlpm.films,_xlpm.grades),(_xlpm.films&lt;&gt;"")*(TRIM(_xlpm.grades)&lt;&gt;"")),_xlpm.uniquePairs,_xlfn.UNIQUE(_xlpm.pairs),_xlpm.sortedPairs,_xlfn._xlws.SORT(_xlpm.uniquePairs,1,1),INDEX(_xlpm.sortedPairs,ROWS($M$2:M47),2)),"")</f>
        <v>FD92PM</v>
      </c>
      <c r="N47" s="15" t="str" cm="1">
        <f t="array" ref="N47">IF(OR(Table2[[#This Row],[Film]]="",Table2[[#This Row],[Grade]]=""),"",IFERROR(INDEX(Table4[Serial Number],MATCH(1,(Table4[Film]=Table2[[#This Row],[Film]])*(Table4[Grade]=Table2[[#This Row],[Grade]]),0)),""))</f>
        <v>RMPM2</v>
      </c>
      <c r="O47" s="51">
        <f>IF(OR(Table2[[#This Row],[Film]]="",Table2[[#This Row],[Grade]]=""),"",SUMIFS(Table4[Price Calculated(€) Thickness &amp; QTY related],Table4[Film],Table2[[#This Row],[Film]],Table4[Grade],Table2[[#This Row],[Grade]]))</f>
        <v>1.0908000000000002</v>
      </c>
      <c r="P47" s="6"/>
      <c r="Q47" s="20" t="str" cm="1">
        <f t="array" ref="Q47">IFERROR(INDEX(Table2[Film],MATCH(0,COUNTIF($Q$1:Q46,Table2[Film])+IF(Table2[Film]="",1,0),0)),"")</f>
        <v/>
      </c>
      <c r="R47" s="57">
        <f>SUMIF(Table2[Film],"TIPA 312 MFG",Table2[Price Calculated(€) Thickness &amp; QTY related])+_xlfn.XLOOKUP("MET LUX ",HELPER!$A:$A,HELPER!$E:$E,0)</f>
        <v>5.3805880000000004</v>
      </c>
      <c r="S47" s="59">
        <f>IFERROR(R47*HELPER!$AK$2," ")</f>
        <v>6.2414820799999999</v>
      </c>
      <c r="T47" s="6"/>
      <c r="U47" s="2" t="s">
        <v>179</v>
      </c>
      <c r="V47" s="2" t="s">
        <v>15</v>
      </c>
      <c r="W47" s="2" t="s">
        <v>24</v>
      </c>
      <c r="X47" s="2" t="s">
        <v>79</v>
      </c>
      <c r="Y47" s="2" t="s">
        <v>37</v>
      </c>
      <c r="Z47" s="600" cm="1">
        <f t="array" ref="Z47">SUMPRODUCT((BOM!$A$2:$A$391=U47)*(BOM!$F$2:$F$391=Y47)*BOM!$H$2:$H$391*BOM!$G$2:$G$391)/SUMPRODUCT((BOM!$A$2:$A$391=U47)*BOM!$H$2:$H$391*BOM!$G$2:$G$391)</f>
        <v>3.8000000000000006E-2</v>
      </c>
      <c r="AA47" s="603">
        <f>SUMIF(tblResinWeightedQty12[Film],tblResinWeightedQty12[[#This Row],[Film]],tblResinWeightedQty12[Weighted QTY %])</f>
        <v>1.0000000000000002</v>
      </c>
    </row>
    <row r="48" spans="1:27" ht="15.75" hidden="1" thickTop="1">
      <c r="A48" s="25" t="s">
        <v>43</v>
      </c>
      <c r="B48" s="26" t="s">
        <v>6</v>
      </c>
      <c r="C48" s="28" t="s">
        <v>14</v>
      </c>
      <c r="D48" s="28" t="str">
        <f>IF(C48="","",IFERROR(_xlfn.XLOOKUP(C48,HELPER!$A$2:$A$81,HELPER!$B$2:$B$81,""),D48))</f>
        <v>B12</v>
      </c>
      <c r="E48" s="28" t="str">
        <f>IFERROR(_xlfn.XLOOKUP(D48,HELPER!$B:$B,HELPER!$C:$C,""),"")</f>
        <v>RMB12</v>
      </c>
      <c r="F48" s="27" t="str">
        <f>IFERROR(_xlfn.XLOOKUP(D48,HELPER!$B:$B,HELPER!$D:$D,""),"")</f>
        <v>Resin 2A</v>
      </c>
      <c r="G48" s="27">
        <v>24</v>
      </c>
      <c r="H48" s="31">
        <v>0.88500000000000001</v>
      </c>
      <c r="I48" s="21">
        <f>IF(AND(H48&lt;&gt;"",IFERROR(_xlfn.XLOOKUP(D48,HELPER!$B:$B,HELPER!$E:$E,""),"")=""),"Missing price",IFERROR(_xlfn.XLOOKUP(D48,HELPER!$B:$B,HELPER!$E:$E,"")," "))</f>
        <v>1.81</v>
      </c>
      <c r="J48" s="53">
        <f>IFERROR(H48*(IF(G48=8,I48*HELPER!$G$2,BOM!I48*HELPER!$G$3))," ")</f>
        <v>0.96111000000000013</v>
      </c>
      <c r="K48" s="6"/>
      <c r="L48" s="16" t="str" cm="1">
        <f t="array" ref="L48">IFERROR(_xlfn.LET(_xlpm.films,Table4[Film],_xlpm.grades,Table4[Grade],_xlpm.pairs,_xlfn._xlws.FILTER(_xlfn.HSTACK(_xlpm.films,_xlpm.grades),(_xlpm.films&lt;&gt;"")*(TRIM(_xlpm.grades)&lt;&gt;"")),_xlpm.uniquePairs,_xlfn.UNIQUE(_xlpm.pairs),_xlpm.sortedPairs,_xlfn._xlws.SORT(_xlpm.uniquePairs,1,1),INDEX(_xlpm.sortedPairs,ROWS($L$2:L48),1)),"")</f>
        <v>TIPA 306M</v>
      </c>
      <c r="M48" s="17" t="str" cm="1">
        <f t="array" ref="M48">IFERROR(_xlfn.LET(_xlpm.films,Table4[Film],_xlpm.grades,Table4[Grade],_xlpm.pairs,_xlfn._xlws.FILTER(_xlfn.HSTACK(_xlpm.films,_xlpm.grades),(_xlpm.films&lt;&gt;"")*(TRIM(_xlpm.grades)&lt;&gt;"")),_xlpm.uniquePairs,_xlfn.UNIQUE(_xlpm.pairs),_xlpm.sortedPairs,_xlfn._xlws.SORT(_xlpm.uniquePairs,1,1),INDEX(_xlpm.sortedPairs,ROWS($M$2:M48),2)),"")</f>
        <v>KAB59A</v>
      </c>
      <c r="N48" s="17" t="str" cm="1">
        <f t="array" ref="N48">IF(OR(Table2[[#This Row],[Film]]="",Table2[[#This Row],[Grade]]=""),"",IFERROR(INDEX(Table4[Serial Number],MATCH(1,(Table4[Film]=Table2[[#This Row],[Film]])*(Table4[Grade]=Table2[[#This Row],[Grade]]),0)),""))</f>
        <v>RM A KAB59A</v>
      </c>
      <c r="O48" s="52">
        <f>IF(OR(Table2[[#This Row],[Film]]="",Table2[[#This Row],[Grade]]=""),"",SUMIFS(Table4[Price Calculated(€) Thickness &amp; QTY related],Table4[Film],Table2[[#This Row],[Film]],Table4[Grade],Table2[[#This Row],[Grade]]))</f>
        <v>2.265E-2</v>
      </c>
      <c r="P48" s="6"/>
      <c r="Q48" s="19" t="str" cm="1">
        <f t="array" ref="Q48">IFERROR(INDEX(Table2[Film],MATCH(0,COUNTIF($Q$1:Q47,Table2[Film])+IF(Table2[Film]="",1,0),0)),"")</f>
        <v/>
      </c>
      <c r="R48" s="56">
        <f>SUMIF(Table2[Film],"TIPA 312 MFG",Table2[Price Calculated(€) Thickness &amp; QTY related])+_xlfn.XLOOKUP("MET LUX ",HELPER!$A:$A,HELPER!$E:$E,0)</f>
        <v>5.3805880000000004</v>
      </c>
      <c r="S48" s="58">
        <f>IFERROR(R48*HELPER!$AK$2," ")</f>
        <v>6.2414820799999999</v>
      </c>
      <c r="T48" s="6"/>
      <c r="U48" s="2" t="s">
        <v>179</v>
      </c>
      <c r="V48" s="2" t="s">
        <v>16</v>
      </c>
      <c r="W48" s="2" t="s">
        <v>10</v>
      </c>
      <c r="X48" s="2" t="s">
        <v>80</v>
      </c>
      <c r="Y48" s="2" t="s">
        <v>38</v>
      </c>
      <c r="Z48" s="600" cm="1">
        <f t="array" ref="Z48">SUMPRODUCT((BOM!$A$2:$A$391=U48)*(BOM!$F$2:$F$391=Y48)*BOM!$H$2:$H$391*BOM!$G$2:$G$391)/SUMPRODUCT((BOM!$A$2:$A$391=U48)*BOM!$H$2:$H$391*BOM!$G$2:$G$391)</f>
        <v>1.5000000000000003E-2</v>
      </c>
      <c r="AA48" s="603">
        <f>SUMIF(tblResinWeightedQty12[Film],tblResinWeightedQty12[[#This Row],[Film]],tblResinWeightedQty12[Weighted QTY %])</f>
        <v>1.0000000000000002</v>
      </c>
    </row>
    <row r="49" spans="1:27" ht="15.75" hidden="1" thickTop="1">
      <c r="A49" s="25" t="s">
        <v>43</v>
      </c>
      <c r="B49" s="26" t="s">
        <v>6</v>
      </c>
      <c r="C49" s="28"/>
      <c r="D49" s="28" t="str">
        <f>IF(C49="","",IFERROR(_xlfn.XLOOKUP(C49,HELPER!$A$2:$A$81,HELPER!$B$2:$B$81,""),D49))</f>
        <v/>
      </c>
      <c r="E49" s="28" t="str">
        <f>IFERROR(_xlfn.XLOOKUP(D49,HELPER!$B:$B,HELPER!$C:$C,""),"")</f>
        <v/>
      </c>
      <c r="F49" s="27" t="str">
        <f>IFERROR(_xlfn.XLOOKUP(D49,HELPER!$B:$B,HELPER!$D:$D,""),"")</f>
        <v/>
      </c>
      <c r="G49" s="27">
        <v>24</v>
      </c>
      <c r="H49" s="31"/>
      <c r="I49" s="21" t="str">
        <f>IF(AND(H49&lt;&gt;"",IFERROR(_xlfn.XLOOKUP(D49,HELPER!$B:$B,HELPER!$E:$E,""),"")=""),"Missing price",IFERROR(_xlfn.XLOOKUP(D49,HELPER!$B:$B,HELPER!$E:$E,"")," "))</f>
        <v/>
      </c>
      <c r="J49" s="53" t="str">
        <f>IFERROR(H49*(IF(G49=8,I49*HELPER!$G$2,BOM!I49*HELPER!$G$3))," ")</f>
        <v xml:space="preserve"> </v>
      </c>
      <c r="K49" s="6"/>
      <c r="L49" s="14" t="str" cm="1">
        <f t="array" ref="L49">IFERROR(_xlfn.LET(_xlpm.films,Table4[Film],_xlpm.grades,Table4[Grade],_xlpm.pairs,_xlfn._xlws.FILTER(_xlfn.HSTACK(_xlpm.films,_xlpm.grades),(_xlpm.films&lt;&gt;"")*(TRIM(_xlpm.grades)&lt;&gt;"")),_xlpm.uniquePairs,_xlfn.UNIQUE(_xlpm.pairs),_xlpm.sortedPairs,_xlfn._xlws.SORT(_xlpm.uniquePairs,1,1),INDEX(_xlpm.sortedPairs,ROWS($L$2:L49),1)),"")</f>
        <v>TIPA 306M</v>
      </c>
      <c r="M49" s="15" t="str" cm="1">
        <f t="array" ref="M49">IFERROR(_xlfn.LET(_xlpm.films,Table4[Film],_xlpm.grades,Table4[Grade],_xlpm.pairs,_xlfn._xlws.FILTER(_xlfn.HSTACK(_xlpm.films,_xlpm.grades),(_xlpm.films&lt;&gt;"")*(TRIM(_xlpm.grades)&lt;&gt;"")),_xlpm.uniquePairs,_xlfn.UNIQUE(_xlpm.pairs),_xlpm.sortedPairs,_xlfn._xlws.SORT(_xlpm.uniquePairs,1,1),INDEX(_xlpm.sortedPairs,ROWS($M$2:M49),2)),"")</f>
        <v>S724</v>
      </c>
      <c r="N49" s="15" t="str" cm="1">
        <f t="array" ref="N49">IF(OR(Table2[[#This Row],[Film]]="",Table2[[#This Row],[Grade]]=""),"",IFERROR(INDEX(Table4[Serial Number],MATCH(1,(Table4[Film]=Table2[[#This Row],[Film]])*(Table4[Grade]=Table2[[#This Row],[Grade]]),0)),""))</f>
        <v>RM TA45-08 S724</v>
      </c>
      <c r="O49" s="51">
        <f>IF(OR(Table2[[#This Row],[Film]]="",Table2[[#This Row],[Grade]]=""),"",SUMIFS(Table4[Price Calculated(€) Thickness &amp; QTY related],Table4[Film],Table2[[#This Row],[Film]],Table4[Grade],Table2[[#This Row],[Grade]]))</f>
        <v>5.8799999999999998E-2</v>
      </c>
      <c r="P49" s="6"/>
      <c r="Q49" s="20" t="str" cm="1">
        <f t="array" ref="Q49">IFERROR(INDEX(Table2[Film],MATCH(0,COUNTIF($Q$1:Q48,Table2[Film])+IF(Table2[Film]="",1,0),0)),"")</f>
        <v/>
      </c>
      <c r="R49" s="57">
        <f>SUMIF(Table2[Film],"TIPA 312 MFG",Table2[Price Calculated(€) Thickness &amp; QTY related])+_xlfn.XLOOKUP("MET LUX ",HELPER!$A:$A,HELPER!$E:$E,0)</f>
        <v>5.3805880000000004</v>
      </c>
      <c r="S49" s="59">
        <f>IFERROR(R49*HELPER!$AK$2," ")</f>
        <v>6.2414820799999999</v>
      </c>
      <c r="T49" s="6"/>
      <c r="U49" s="2" t="s">
        <v>179</v>
      </c>
      <c r="V49" s="2" t="s">
        <v>17</v>
      </c>
      <c r="W49" s="2" t="s">
        <v>11</v>
      </c>
      <c r="X49" s="2" t="s">
        <v>81</v>
      </c>
      <c r="Y49" s="2" t="s">
        <v>39</v>
      </c>
      <c r="Z49" s="600" cm="1">
        <f t="array" ref="Z49">SUMPRODUCT((BOM!$A$2:$A$391=U49)*(BOM!$F$2:$F$391=Y49)*BOM!$H$2:$H$391*BOM!$G$2:$G$391)/SUMPRODUCT((BOM!$A$2:$A$391=U49)*BOM!$H$2:$H$391*BOM!$G$2:$G$391)</f>
        <v>4.6000000000000008E-3</v>
      </c>
      <c r="AA49" s="603">
        <f>SUMIF(tblResinWeightedQty12[Film],tblResinWeightedQty12[[#This Row],[Film]],tblResinWeightedQty12[Weighted QTY %])</f>
        <v>1.0000000000000002</v>
      </c>
    </row>
    <row r="50" spans="1:27" ht="15.75" hidden="1" thickTop="1">
      <c r="A50" s="25" t="s">
        <v>43</v>
      </c>
      <c r="B50" s="26" t="s">
        <v>6</v>
      </c>
      <c r="C50" s="28"/>
      <c r="D50" s="28" t="str">
        <f>IF(C50="","",IFERROR(_xlfn.XLOOKUP(C50,HELPER!$A$2:$A$81,HELPER!$B$2:$B$81,""),D50))</f>
        <v/>
      </c>
      <c r="E50" s="28" t="str">
        <f>IFERROR(_xlfn.XLOOKUP(D50,HELPER!$B:$B,HELPER!$C:$C,""),"")</f>
        <v/>
      </c>
      <c r="F50" s="27" t="str">
        <f>IFERROR(_xlfn.XLOOKUP(D50,HELPER!$B:$B,HELPER!$D:$D,""),"")</f>
        <v/>
      </c>
      <c r="G50" s="27">
        <v>24</v>
      </c>
      <c r="H50" s="31"/>
      <c r="I50" s="21" t="str">
        <f>IF(AND(H50&lt;&gt;"",IFERROR(_xlfn.XLOOKUP(D50,HELPER!$B:$B,HELPER!$E:$E,""),"")=""),"Missing price",IFERROR(_xlfn.XLOOKUP(D50,HELPER!$B:$B,HELPER!$E:$E,"")," "))</f>
        <v/>
      </c>
      <c r="J50" s="53" t="str">
        <f>IFERROR(H50*(IF(G50=8,I50*HELPER!$G$2,BOM!I50*HELPER!$G$3))," ")</f>
        <v xml:space="preserve"> </v>
      </c>
      <c r="K50" s="6"/>
      <c r="L50" s="16" t="str" cm="1">
        <f t="array" ref="L50">IFERROR(_xlfn.LET(_xlpm.films,Table4[Film],_xlpm.grades,Table4[Grade],_xlpm.pairs,_xlfn._xlws.FILTER(_xlfn.HSTACK(_xlpm.films,_xlpm.grades),(_xlpm.films&lt;&gt;"")*(TRIM(_xlpm.grades)&lt;&gt;"")),_xlpm.uniquePairs,_xlfn.UNIQUE(_xlpm.pairs),_xlpm.sortedPairs,_xlfn._xlws.SORT(_xlpm.uniquePairs,1,1),INDEX(_xlpm.sortedPairs,ROWS($L$2:L50),1)),"")</f>
        <v>TIPA 306W</v>
      </c>
      <c r="M50" s="17" t="str" cm="1">
        <f t="array" ref="M50">IFERROR(_xlfn.LET(_xlpm.films,Table4[Film],_xlpm.grades,Table4[Grade],_xlpm.pairs,_xlfn._xlws.FILTER(_xlfn.HSTACK(_xlpm.films,_xlpm.grades),(_xlpm.films&lt;&gt;"")*(TRIM(_xlpm.grades)&lt;&gt;"")),_xlpm.uniquePairs,_xlfn.UNIQUE(_xlpm.pairs),_xlpm.sortedPairs,_xlfn._xlws.SORT(_xlpm.uniquePairs,1,1),INDEX(_xlpm.sortedPairs,ROWS($M$2:M50),2)),"")</f>
        <v>LX175</v>
      </c>
      <c r="N50" s="17" t="str" cm="1">
        <f t="array" ref="N50">IF(OR(Table2[[#This Row],[Film]]="",Table2[[#This Row],[Grade]]=""),"",IFERROR(INDEX(Table4[Serial Number],MATCH(1,(Table4[Film]=Table2[[#This Row],[Film]])*(Table4[Grade]=Table2[[#This Row],[Grade]]),0)),""))</f>
        <v>RMLX175</v>
      </c>
      <c r="O50" s="52">
        <f>IF(OR(Table2[[#This Row],[Film]]="",Table2[[#This Row],[Grade]]=""),"",SUMIFS(Table4[Price Calculated(€) Thickness &amp; QTY related],Table4[Film],Table2[[#This Row],[Film]],Table4[Grade],Table2[[#This Row],[Grade]]))</f>
        <v>1.9406739999999998</v>
      </c>
      <c r="P50" s="6"/>
      <c r="Q50" s="19" t="str" cm="1">
        <f t="array" ref="Q50">IFERROR(INDEX(Table2[Film],MATCH(0,COUNTIF($Q$1:Q49,Table2[Film])+IF(Table2[Film]="",1,0),0)),"")</f>
        <v/>
      </c>
      <c r="R50" s="56">
        <f>SUMIF(Table2[Film],"TIPA 312 MFG",Table2[Price Calculated(€) Thickness &amp; QTY related])+_xlfn.XLOOKUP("MET LUX ",HELPER!$A:$A,HELPER!$E:$E,0)</f>
        <v>5.3805880000000004</v>
      </c>
      <c r="S50" s="58">
        <f>IFERROR(R50*HELPER!$AK$2," ")</f>
        <v>6.2414820799999999</v>
      </c>
      <c r="T50" s="6"/>
      <c r="U50" s="2" t="s">
        <v>179</v>
      </c>
      <c r="V50" s="2" t="s">
        <v>18</v>
      </c>
      <c r="W50" s="2" t="s">
        <v>9</v>
      </c>
      <c r="X50" s="2" t="s">
        <v>82</v>
      </c>
      <c r="Y50" s="2" t="s">
        <v>40</v>
      </c>
      <c r="Z50" s="600" cm="1">
        <f t="array" ref="Z50">SUMPRODUCT((BOM!$A$2:$A$391=U50)*(BOM!$F$2:$F$391=Y50)*BOM!$H$2:$H$391*BOM!$G$2:$G$391)/SUMPRODUCT((BOM!$A$2:$A$391=U50)*BOM!$H$2:$H$391*BOM!$G$2:$G$391)</f>
        <v>3.0000000000000005E-3</v>
      </c>
      <c r="AA50" s="603">
        <f>SUMIF(tblResinWeightedQty12[Film],tblResinWeightedQty12[[#This Row],[Film]],tblResinWeightedQty12[Weighted QTY %])</f>
        <v>1.0000000000000002</v>
      </c>
    </row>
    <row r="51" spans="1:27" ht="15.75" hidden="1" thickTop="1">
      <c r="A51" s="29" t="s">
        <v>43</v>
      </c>
      <c r="B51" s="29" t="s">
        <v>6</v>
      </c>
      <c r="C51" s="42"/>
      <c r="D51" s="28" t="str">
        <f>IF(C51="","",IFERROR(_xlfn.XLOOKUP(C51,HELPER!$A$2:$A$81,HELPER!$B$2:$B$81,""),D51))</f>
        <v/>
      </c>
      <c r="E51" s="28" t="str">
        <f>IFERROR(_xlfn.XLOOKUP(D51,HELPER!$B:$B,HELPER!$C:$C,""),"")</f>
        <v/>
      </c>
      <c r="F51" s="27" t="str">
        <f>IFERROR(_xlfn.XLOOKUP(D51,HELPER!$B:$B,HELPER!$D:$D,""),"")</f>
        <v/>
      </c>
      <c r="G51" s="43">
        <v>24</v>
      </c>
      <c r="H51" s="44"/>
      <c r="I51" s="45" t="str">
        <f>IF(AND(H51&lt;&gt;"",IFERROR(_xlfn.XLOOKUP(D51,HELPER!$B:$B,HELPER!$E:$E,""),"")=""),"Missing price",IFERROR(_xlfn.XLOOKUP(D51,HELPER!$B:$B,HELPER!$E:$E,"")," "))</f>
        <v/>
      </c>
      <c r="J51" s="54" t="str">
        <f>IFERROR(H51*(IF(G51=8,I51*HELPER!$G$2,BOM!I51*HELPER!$G$3))," ")</f>
        <v xml:space="preserve"> </v>
      </c>
      <c r="K51" s="6"/>
      <c r="L51" s="14" t="str" cm="1">
        <f t="array" ref="L51">IFERROR(_xlfn.LET(_xlpm.films,Table4[Film],_xlpm.grades,Table4[Grade],_xlpm.pairs,_xlfn._xlws.FILTER(_xlfn.HSTACK(_xlpm.films,_xlpm.grades),(_xlpm.films&lt;&gt;"")*(TRIM(_xlpm.grades)&lt;&gt;"")),_xlpm.uniquePairs,_xlfn.UNIQUE(_xlpm.pairs),_xlpm.sortedPairs,_xlfn._xlws.SORT(_xlpm.uniquePairs,1,1),INDEX(_xlpm.sortedPairs,ROWS($L$2:L51),1)),"")</f>
        <v>TIPA 306W</v>
      </c>
      <c r="M51" s="15" t="str" cm="1">
        <f t="array" ref="M51">IFERROR(_xlfn.LET(_xlpm.films,Table4[Film],_xlpm.grades,Table4[Grade],_xlpm.pairs,_xlfn._xlws.FILTER(_xlfn.HSTACK(_xlpm.films,_xlpm.grades),(_xlpm.films&lt;&gt;"")*(TRIM(_xlpm.grades)&lt;&gt;"")),_xlpm.uniquePairs,_xlfn.UNIQUE(_xlpm.pairs),_xlpm.sortedPairs,_xlfn._xlws.SORT(_xlpm.uniquePairs,1,1),INDEX(_xlpm.sortedPairs,ROWS($M$2:M51),2)),"")</f>
        <v>P65D</v>
      </c>
      <c r="N51" s="15" t="str" cm="1">
        <f t="array" ref="N51">IF(OR(Table2[[#This Row],[Film]]="",Table2[[#This Row],[Grade]]=""),"",IFERROR(INDEX(Table4[Serial Number],MATCH(1,(Table4[Film]=Table2[[#This Row],[Film]])*(Table4[Grade]=Table2[[#This Row],[Grade]]),0)),""))</f>
        <v>RMP65D</v>
      </c>
      <c r="O51" s="51">
        <f>IF(OR(Table2[[#This Row],[Film]]="",Table2[[#This Row],[Grade]]=""),"",SUMIFS(Table4[Price Calculated(€) Thickness &amp; QTY related],Table4[Film],Table2[[#This Row],[Film]],Table4[Grade],Table2[[#This Row],[Grade]]))</f>
        <v>1.00156</v>
      </c>
      <c r="P51" s="6"/>
      <c r="T51" s="6"/>
      <c r="U51" s="2" t="s">
        <v>179</v>
      </c>
      <c r="V51" s="2" t="s">
        <v>12</v>
      </c>
      <c r="W51" s="2" t="s">
        <v>8</v>
      </c>
      <c r="X51" s="2" t="s">
        <v>83</v>
      </c>
      <c r="Y51" s="2" t="s">
        <v>42</v>
      </c>
      <c r="Z51" s="600" cm="1">
        <f t="array" ref="Z51">SUMPRODUCT((BOM!$A$2:$A$391=U51)*(BOM!$F$2:$F$391=Y51)*BOM!$H$2:$H$391*BOM!$G$2:$G$391)/SUMPRODUCT((BOM!$A$2:$A$391=U51)*BOM!$H$2:$H$391*BOM!$G$2:$G$391)</f>
        <v>0.16100000000000003</v>
      </c>
      <c r="AA51" s="603">
        <f>SUMIF(tblResinWeightedQty12[Film],tblResinWeightedQty12[[#This Row],[Film]],tblResinWeightedQty12[Weighted QTY %])</f>
        <v>1.0000000000000002</v>
      </c>
    </row>
    <row r="52" spans="1:27" ht="15.75" hidden="1" thickTop="1">
      <c r="A52" s="29" t="s">
        <v>43</v>
      </c>
      <c r="B52" s="29" t="s">
        <v>7</v>
      </c>
      <c r="C52" s="28" t="s">
        <v>12</v>
      </c>
      <c r="D52" s="28" t="str">
        <f>IF(C52="","",IFERROR(_xlfn.XLOOKUP(C52,HELPER!$A$2:$A$81,HELPER!$B$2:$B$81,""),D52))</f>
        <v>FD92PM</v>
      </c>
      <c r="E52" s="28" t="str">
        <f>IFERROR(_xlfn.XLOOKUP(D52,HELPER!$B:$B,HELPER!$C:$C,""),"")</f>
        <v>RMPM2</v>
      </c>
      <c r="F52" s="27" t="str">
        <f>IFERROR(_xlfn.XLOOKUP(D52,HELPER!$B:$B,HELPER!$D:$D,""),"")</f>
        <v>Resin 9C</v>
      </c>
      <c r="G52" s="27">
        <v>8</v>
      </c>
      <c r="H52" s="32">
        <v>0.81</v>
      </c>
      <c r="I52" s="8">
        <f>IF(AND(H52&lt;&gt;"",IFERROR(_xlfn.XLOOKUP(D52,HELPER!$B:$B,HELPER!$E:$E,""),"")=""),"Missing price",IFERROR(_xlfn.XLOOKUP(D52,HELPER!$B:$B,HELPER!$E:$E,"")," "))</f>
        <v>6.75</v>
      </c>
      <c r="J52" s="47">
        <f>IFERROR(H52*(IF(G52=8,I52*HELPER!$G$2,BOM!I52*HELPER!$G$3))," ")</f>
        <v>1.0935000000000001</v>
      </c>
      <c r="K52" s="6"/>
      <c r="L52" s="16" t="str" cm="1">
        <f t="array" ref="L52">IFERROR(_xlfn.LET(_xlpm.films,Table4[Film],_xlpm.grades,Table4[Grade],_xlpm.pairs,_xlfn._xlws.FILTER(_xlfn.HSTACK(_xlpm.films,_xlpm.grades),(_xlpm.films&lt;&gt;"")*(TRIM(_xlpm.grades)&lt;&gt;"")),_xlpm.uniquePairs,_xlfn.UNIQUE(_xlpm.pairs),_xlpm.sortedPairs,_xlfn._xlws.SORT(_xlpm.uniquePairs,1,1),INDEX(_xlpm.sortedPairs,ROWS($L$2:L52),1)),"")</f>
        <v>TIPA 306W</v>
      </c>
      <c r="M52" s="17" t="str" cm="1">
        <f t="array" ref="M52">IFERROR(_xlfn.LET(_xlpm.films,Table4[Film],_xlpm.grades,Table4[Grade],_xlpm.pairs,_xlfn._xlws.FILTER(_xlfn.HSTACK(_xlpm.films,_xlpm.grades),(_xlpm.films&lt;&gt;"")*(TRIM(_xlpm.grades)&lt;&gt;"")),_xlpm.uniquePairs,_xlfn.UNIQUE(_xlpm.pairs),_xlpm.sortedPairs,_xlfn._xlws.SORT(_xlpm.uniquePairs,1,1),INDEX(_xlpm.sortedPairs,ROWS($M$2:M52),2)),"")</f>
        <v>S723</v>
      </c>
      <c r="N52" s="17" t="str" cm="1">
        <f t="array" ref="N52">IF(OR(Table2[[#This Row],[Film]]="",Table2[[#This Row],[Grade]]=""),"",IFERROR(INDEX(Table4[Serial Number],MATCH(1,(Table4[Film]=Table2[[#This Row],[Film]])*(Table4[Grade]=Table2[[#This Row],[Grade]]),0)),""))</f>
        <v>RM TA45-08 S723</v>
      </c>
      <c r="O52" s="52">
        <f>IF(OR(Table2[[#This Row],[Film]]="",Table2[[#This Row],[Grade]]=""),"",SUMIFS(Table4[Price Calculated(€) Thickness &amp; QTY related],Table4[Film],Table2[[#This Row],[Film]],Table4[Grade],Table2[[#This Row],[Grade]]))</f>
        <v>0.24239999999999998</v>
      </c>
      <c r="P52" s="6"/>
      <c r="T52" s="6"/>
      <c r="U52" s="2" t="s">
        <v>51</v>
      </c>
      <c r="V52" s="2" t="s">
        <v>41</v>
      </c>
      <c r="W52" s="2" t="s">
        <v>26</v>
      </c>
      <c r="X52" s="2" t="s">
        <v>26</v>
      </c>
      <c r="Y52" s="2" t="s">
        <v>53</v>
      </c>
      <c r="Z52" s="600" cm="1">
        <f t="array" ref="Z52">SUMPRODUCT((BOM!$A$2:$A$391=U52)*(BOM!$F$2:$F$391=Y52)*BOM!$H$2:$H$391*BOM!$G$2:$G$391)/SUMPRODUCT((BOM!$A$2:$A$391=U52)*BOM!$H$2:$H$391*BOM!$G$2:$G$391)</f>
        <v>6.0000000000000019E-2</v>
      </c>
      <c r="AA52" s="603">
        <f>SUMIF(tblResinWeightedQty12[Film],tblResinWeightedQty12[[#This Row],[Film]],tblResinWeightedQty12[Weighted QTY %])</f>
        <v>1.0000000000000004</v>
      </c>
    </row>
    <row r="53" spans="1:27" ht="15.75" hidden="1" thickTop="1">
      <c r="A53" s="29" t="s">
        <v>43</v>
      </c>
      <c r="B53" s="29" t="s">
        <v>7</v>
      </c>
      <c r="C53" s="28" t="s">
        <v>13</v>
      </c>
      <c r="D53" s="28" t="str">
        <f>IF(C53="","",IFERROR(_xlfn.XLOOKUP(C53,HELPER!$A$2:$A$81,HELPER!$B$2:$B$81,""),D53))</f>
        <v>LX175</v>
      </c>
      <c r="E53" s="28" t="str">
        <f>IFERROR(_xlfn.XLOOKUP(D53,HELPER!$B:$B,HELPER!$C:$C,""),"")</f>
        <v>RMLX175</v>
      </c>
      <c r="F53" s="27" t="str">
        <f>IFERROR(_xlfn.XLOOKUP(D53,HELPER!$B:$B,HELPER!$D:$D,""),"")</f>
        <v>Resin 1A</v>
      </c>
      <c r="G53" s="27">
        <v>8</v>
      </c>
      <c r="H53" s="32">
        <v>0.14399999999999999</v>
      </c>
      <c r="I53" s="8">
        <f>IF(AND(H53&lt;&gt;"",IFERROR(_xlfn.XLOOKUP(D53,HELPER!$B:$B,HELPER!$E:$E,""),"")=""),"Missing price",IFERROR(_xlfn.XLOOKUP(D53,HELPER!$B:$B,HELPER!$E:$E,"")," "))</f>
        <v>3.17</v>
      </c>
      <c r="J53" s="47">
        <f>IFERROR(H53*(IF(G53=8,I53*HELPER!$G$2,BOM!I53*HELPER!$G$3))," ")</f>
        <v>9.1295999999999988E-2</v>
      </c>
      <c r="K53" s="6"/>
      <c r="L53" s="14" t="str" cm="1">
        <f t="array" ref="L53">IFERROR(_xlfn.LET(_xlpm.films,Table4[Film],_xlpm.grades,Table4[Grade],_xlpm.pairs,_xlfn._xlws.FILTER(_xlfn.HSTACK(_xlpm.films,_xlpm.grades),(_xlpm.films&lt;&gt;"")*(TRIM(_xlpm.grades)&lt;&gt;"")),_xlpm.uniquePairs,_xlfn.UNIQUE(_xlpm.pairs),_xlpm.sortedPairs,_xlfn._xlws.SORT(_xlpm.uniquePairs,1,1),INDEX(_xlpm.sortedPairs,ROWS($L$2:L53),1)),"")</f>
        <v>TIPA 306W</v>
      </c>
      <c r="M53" s="15" t="str" cm="1">
        <f t="array" ref="M53">IFERROR(_xlfn.LET(_xlpm.films,Table4[Film],_xlpm.grades,Table4[Grade],_xlpm.pairs,_xlfn._xlws.FILTER(_xlfn.HSTACK(_xlpm.films,_xlpm.grades),(_xlpm.films&lt;&gt;"")*(TRIM(_xlpm.grades)&lt;&gt;"")),_xlpm.uniquePairs,_xlfn.UNIQUE(_xlpm.pairs),_xlpm.sortedPairs,_xlfn._xlws.SORT(_xlpm.uniquePairs,1,1),INDEX(_xlpm.sortedPairs,ROWS($M$2:M53),2)),"")</f>
        <v>KAB59A</v>
      </c>
      <c r="N53" s="15" t="str" cm="1">
        <f t="array" ref="N53">IF(OR(Table2[[#This Row],[Film]]="",Table2[[#This Row],[Grade]]=""),"",IFERROR(INDEX(Table4[Serial Number],MATCH(1,(Table4[Film]=Table2[[#This Row],[Film]])*(Table4[Grade]=Table2[[#This Row],[Grade]]),0)),""))</f>
        <v>RM A KAB59A</v>
      </c>
      <c r="O53" s="51">
        <f>IF(OR(Table2[[#This Row],[Film]]="",Table2[[#This Row],[Grade]]=""),"",SUMIFS(Table4[Price Calculated(€) Thickness &amp; QTY related],Table4[Film],Table2[[#This Row],[Film]],Table4[Grade],Table2[[#This Row],[Grade]]))</f>
        <v>4.53E-2</v>
      </c>
      <c r="P53" s="6"/>
      <c r="T53" s="6"/>
      <c r="U53" s="2" t="s">
        <v>51</v>
      </c>
      <c r="V53" s="2" t="s">
        <v>13</v>
      </c>
      <c r="W53" s="2" t="s">
        <v>73</v>
      </c>
      <c r="X53" s="2" t="s">
        <v>74</v>
      </c>
      <c r="Y53" s="2" t="s">
        <v>33</v>
      </c>
      <c r="Z53" s="600" cm="1">
        <f t="array" ref="Z53">SUMPRODUCT((BOM!$A$2:$A$391=U53)*(BOM!$F$2:$F$391=Y53)*BOM!$H$2:$H$391*BOM!$G$2:$G$391)/SUMPRODUCT((BOM!$A$2:$A$391=U53)*BOM!$H$2:$H$391*BOM!$G$2:$G$391)</f>
        <v>0.18740000000000004</v>
      </c>
      <c r="AA53" s="603">
        <f>SUMIF(tblResinWeightedQty12[Film],tblResinWeightedQty12[[#This Row],[Film]],tblResinWeightedQty12[Weighted QTY %])</f>
        <v>1.0000000000000004</v>
      </c>
    </row>
    <row r="54" spans="1:27" ht="15.75" hidden="1" thickTop="1">
      <c r="A54" s="29" t="s">
        <v>43</v>
      </c>
      <c r="B54" s="29" t="s">
        <v>7</v>
      </c>
      <c r="C54" s="28" t="s">
        <v>18</v>
      </c>
      <c r="D54" s="28" t="str">
        <f>IF(C54="","",IFERROR(_xlfn.XLOOKUP(C54,HELPER!$A$2:$A$81,HELPER!$B$2:$B$81,""),D54))</f>
        <v>KAB59A</v>
      </c>
      <c r="E54" s="28" t="str">
        <f>IFERROR(_xlfn.XLOOKUP(D54,HELPER!$B:$B,HELPER!$C:$C,""),"")</f>
        <v>RM A KAB59A</v>
      </c>
      <c r="F54" s="27" t="str">
        <f>IFERROR(_xlfn.XLOOKUP(D54,HELPER!$B:$B,HELPER!$D:$D,""),"")</f>
        <v>Resin 8</v>
      </c>
      <c r="G54" s="27">
        <v>8</v>
      </c>
      <c r="H54" s="32">
        <v>1.4999999999999999E-2</v>
      </c>
      <c r="I54" s="8">
        <f>IF(AND(H54&lt;&gt;"",IFERROR(_xlfn.XLOOKUP(D54,HELPER!$B:$B,HELPER!$E:$E,""),"")=""),"Missing price",IFERROR(_xlfn.XLOOKUP(D54,HELPER!$B:$B,HELPER!$E:$E,"")," "))</f>
        <v>7.55</v>
      </c>
      <c r="J54" s="47">
        <f>IFERROR(H54*(IF(G54=8,I54*HELPER!$G$2,BOM!I54*HELPER!$G$3))," ")</f>
        <v>2.265E-2</v>
      </c>
      <c r="K54" s="6"/>
      <c r="L54" s="16" t="str" cm="1">
        <f t="array" ref="L54">IFERROR(_xlfn.LET(_xlpm.films,Table4[Film],_xlpm.grades,Table4[Grade],_xlpm.pairs,_xlfn._xlws.FILTER(_xlfn.HSTACK(_xlpm.films,_xlpm.grades),(_xlpm.films&lt;&gt;"")*(TRIM(_xlpm.grades)&lt;&gt;"")),_xlpm.uniquePairs,_xlfn.UNIQUE(_xlpm.pairs),_xlpm.sortedPairs,_xlfn._xlws.SORT(_xlpm.uniquePairs,1,1),INDEX(_xlpm.sortedPairs,ROWS($L$2:L54),1)),"")</f>
        <v>TIPA 306W</v>
      </c>
      <c r="M54" s="17" t="str" cm="1">
        <f t="array" ref="M54">IFERROR(_xlfn.LET(_xlpm.films,Table4[Film],_xlpm.grades,Table4[Grade],_xlpm.pairs,_xlfn._xlws.FILTER(_xlfn.HSTACK(_xlpm.films,_xlpm.grades),(_xlpm.films&lt;&gt;"")*(TRIM(_xlpm.grades)&lt;&gt;"")),_xlpm.uniquePairs,_xlfn.UNIQUE(_xlpm.pairs),_xlpm.sortedPairs,_xlfn._xlws.SORT(_xlpm.uniquePairs,1,1),INDEX(_xlpm.sortedPairs,ROWS($M$2:M54),2)),"")</f>
        <v>S724</v>
      </c>
      <c r="N54" s="17" t="str" cm="1">
        <f t="array" ref="N54">IF(OR(Table2[[#This Row],[Film]]="",Table2[[#This Row],[Grade]]=""),"",IFERROR(INDEX(Table4[Serial Number],MATCH(1,(Table4[Film]=Table2[[#This Row],[Film]])*(Table4[Grade]=Table2[[#This Row],[Grade]]),0)),""))</f>
        <v>RM TA45-08 S724</v>
      </c>
      <c r="O54" s="52">
        <f>IF(OR(Table2[[#This Row],[Film]]="",Table2[[#This Row],[Grade]]=""),"",SUMIFS(Table4[Price Calculated(€) Thickness &amp; QTY related],Table4[Film],Table2[[#This Row],[Film]],Table4[Grade],Table2[[#This Row],[Grade]]))</f>
        <v>0.1176</v>
      </c>
      <c r="P54" s="6"/>
      <c r="T54" s="6"/>
      <c r="U54" s="2" t="s">
        <v>51</v>
      </c>
      <c r="V54" s="2" t="s">
        <v>14</v>
      </c>
      <c r="W54" s="2" t="s">
        <v>23</v>
      </c>
      <c r="X54" s="2" t="s">
        <v>76</v>
      </c>
      <c r="Y54" s="2" t="s">
        <v>35</v>
      </c>
      <c r="Z54" s="600" cm="1">
        <f t="array" ref="Z54">SUMPRODUCT((BOM!$A$2:$A$391=U54)*(BOM!$F$2:$F$391=Y54)*BOM!$H$2:$H$391*BOM!$G$2:$G$391)/SUMPRODUCT((BOM!$A$2:$A$391=U54)*BOM!$H$2:$H$391*BOM!$G$2:$G$391)</f>
        <v>0.53100000000000014</v>
      </c>
      <c r="AA54" s="603">
        <f>SUMIF(tblResinWeightedQty12[Film],tblResinWeightedQty12[[#This Row],[Film]],tblResinWeightedQty12[Weighted QTY %])</f>
        <v>1.0000000000000004</v>
      </c>
    </row>
    <row r="55" spans="1:27" ht="15.75" hidden="1" thickTop="1">
      <c r="A55" s="29" t="s">
        <v>43</v>
      </c>
      <c r="B55" s="29" t="s">
        <v>7</v>
      </c>
      <c r="C55" s="28" t="s">
        <v>16</v>
      </c>
      <c r="D55" s="28" t="str">
        <f>IF(C55="","",IFERROR(_xlfn.XLOOKUP(C55,HELPER!$A$2:$A$81,HELPER!$B$2:$B$81,""),D55))</f>
        <v>S723</v>
      </c>
      <c r="E55" s="28" t="str">
        <f>IFERROR(_xlfn.XLOOKUP(D55,HELPER!$B:$B,HELPER!$C:$C,""),"")</f>
        <v>RM TA45-08 S723</v>
      </c>
      <c r="F55" s="27" t="str">
        <f>IFERROR(_xlfn.XLOOKUP(D55,HELPER!$B:$B,HELPER!$D:$D,""),"")</f>
        <v>Resin 6</v>
      </c>
      <c r="G55" s="27">
        <v>8</v>
      </c>
      <c r="H55" s="32">
        <v>1.4999999999999999E-2</v>
      </c>
      <c r="I55" s="8">
        <f>IF(AND(H55&lt;&gt;"",IFERROR(_xlfn.XLOOKUP(D55,HELPER!$B:$B,HELPER!$E:$E,""),"")=""),"Missing price",IFERROR(_xlfn.XLOOKUP(D55,HELPER!$B:$B,HELPER!$E:$E,"")," "))</f>
        <v>16.16</v>
      </c>
      <c r="J55" s="47">
        <f>IFERROR(H55*(IF(G55=8,I55*HELPER!$G$2,BOM!I55*HELPER!$G$3))," ")</f>
        <v>4.8480000000000002E-2</v>
      </c>
      <c r="K55" s="6"/>
      <c r="L55" s="14" t="str" cm="1">
        <f t="array" ref="L55">IFERROR(_xlfn.LET(_xlpm.films,Table4[Film],_xlpm.grades,Table4[Grade],_xlpm.pairs,_xlfn._xlws.FILTER(_xlfn.HSTACK(_xlpm.films,_xlpm.grades),(_xlpm.films&lt;&gt;"")*(TRIM(_xlpm.grades)&lt;&gt;"")),_xlpm.uniquePairs,_xlfn.UNIQUE(_xlpm.pairs),_xlpm.sortedPairs,_xlfn._xlws.SORT(_xlpm.uniquePairs,1,1),INDEX(_xlpm.sortedPairs,ROWS($L$2:L55),1)),"")</f>
        <v>TIPA 306W</v>
      </c>
      <c r="M55" s="15" t="str" cm="1">
        <f t="array" ref="M55">IFERROR(_xlfn.LET(_xlpm.films,Table4[Film],_xlpm.grades,Table4[Grade],_xlpm.pairs,_xlfn._xlws.FILTER(_xlfn.HSTACK(_xlpm.films,_xlpm.grades),(_xlpm.films&lt;&gt;"")*(TRIM(_xlpm.grades)&lt;&gt;"")),_xlpm.uniquePairs,_xlfn.UNIQUE(_xlpm.pairs),_xlpm.sortedPairs,_xlfn._xlws.SORT(_xlpm.uniquePairs,1,1),INDEX(_xlpm.sortedPairs,ROWS($M$2:M55),2)),"")</f>
        <v>RM WHITE BIO8153</v>
      </c>
      <c r="N55" s="15" t="str" cm="1">
        <f t="array" ref="N55">IF(OR(Table2[[#This Row],[Film]]="",Table2[[#This Row],[Grade]]=""),"",IFERROR(INDEX(Table4[Serial Number],MATCH(1,(Table4[Film]=Table2[[#This Row],[Film]])*(Table4[Grade]=Table2[[#This Row],[Grade]]),0)),""))</f>
        <v>RM WHITE BIO8153</v>
      </c>
      <c r="O55" s="51">
        <f>IF(OR(Table2[[#This Row],[Film]]="",Table2[[#This Row],[Grade]]=""),"",SUMIFS(Table4[Price Calculated(€) Thickness &amp; QTY related],Table4[Film],Table2[[#This Row],[Film]],Table4[Grade],Table2[[#This Row],[Grade]]))</f>
        <v>0.36899999999999999</v>
      </c>
      <c r="P55" s="6"/>
      <c r="T55" s="6"/>
      <c r="U55" s="2" t="s">
        <v>51</v>
      </c>
      <c r="V55" s="2" t="s">
        <v>15</v>
      </c>
      <c r="W55" s="2" t="s">
        <v>24</v>
      </c>
      <c r="X55" s="2" t="s">
        <v>79</v>
      </c>
      <c r="Y55" s="2" t="s">
        <v>37</v>
      </c>
      <c r="Z55" s="600" cm="1">
        <f t="array" ref="Z55">SUMPRODUCT((BOM!$A$2:$A$391=U55)*(BOM!$F$2:$F$391=Y55)*BOM!$H$2:$H$391*BOM!$G$2:$G$391)/SUMPRODUCT((BOM!$A$2:$A$391=U55)*BOM!$H$2:$H$391*BOM!$G$2:$G$391)</f>
        <v>3.8000000000000006E-2</v>
      </c>
      <c r="AA55" s="603">
        <f>SUMIF(tblResinWeightedQty12[Film],tblResinWeightedQty12[[#This Row],[Film]],tblResinWeightedQty12[Weighted QTY %])</f>
        <v>1.0000000000000004</v>
      </c>
    </row>
    <row r="56" spans="1:27" ht="15.75" hidden="1" thickTop="1">
      <c r="A56" s="29" t="s">
        <v>43</v>
      </c>
      <c r="B56" s="29" t="s">
        <v>7</v>
      </c>
      <c r="C56" s="28" t="s">
        <v>17</v>
      </c>
      <c r="D56" s="28" t="str">
        <f>IF(C56="","",IFERROR(_xlfn.XLOOKUP(C56,HELPER!$A$2:$A$81,HELPER!$B$2:$B$81,""),D56))</f>
        <v>S724</v>
      </c>
      <c r="E56" s="28" t="str">
        <f>IFERROR(_xlfn.XLOOKUP(D56,HELPER!$B:$B,HELPER!$C:$C,""),"")</f>
        <v>RM TA45-08 S724</v>
      </c>
      <c r="F56" s="27" t="str">
        <f>IFERROR(_xlfn.XLOOKUP(D56,HELPER!$B:$B,HELPER!$D:$D,""),"")</f>
        <v>Resin 7</v>
      </c>
      <c r="G56" s="27">
        <v>8</v>
      </c>
      <c r="H56" s="32">
        <v>1.6E-2</v>
      </c>
      <c r="I56" s="8">
        <f>IF(AND(H56&lt;&gt;"",IFERROR(_xlfn.XLOOKUP(D56,HELPER!$B:$B,HELPER!$E:$E,""),"")=""),"Missing price",IFERROR(_xlfn.XLOOKUP(D56,HELPER!$B:$B,HELPER!$E:$E,"")," "))</f>
        <v>14.7</v>
      </c>
      <c r="J56" s="47">
        <f>IFERROR(H56*(IF(G56=8,I56*HELPER!$G$2,BOM!I56*HELPER!$G$3))," ")</f>
        <v>4.7039999999999998E-2</v>
      </c>
      <c r="K56" s="6"/>
      <c r="L56" s="16" t="str" cm="1">
        <f t="array" ref="L56">IFERROR(_xlfn.LET(_xlpm.films,Table4[Film],_xlpm.grades,Table4[Grade],_xlpm.pairs,_xlfn._xlws.FILTER(_xlfn.HSTACK(_xlpm.films,_xlpm.grades),(_xlpm.films&lt;&gt;"")*(TRIM(_xlpm.grades)&lt;&gt;"")),_xlpm.uniquePairs,_xlfn.UNIQUE(_xlpm.pairs),_xlpm.sortedPairs,_xlfn._xlws.SORT(_xlpm.uniquePairs,1,1),INDEX(_xlpm.sortedPairs,ROWS($L$2:L56),1)),"")</f>
        <v>TIPA 306W</v>
      </c>
      <c r="M56" s="17" t="str" cm="1">
        <f t="array" ref="M56">IFERROR(_xlfn.LET(_xlpm.films,Table4[Film],_xlpm.grades,Table4[Grade],_xlpm.pairs,_xlfn._xlws.FILTER(_xlfn.HSTACK(_xlpm.films,_xlpm.grades),(_xlpm.films&lt;&gt;"")*(TRIM(_xlpm.grades)&lt;&gt;"")),_xlpm.uniquePairs,_xlfn.UNIQUE(_xlpm.pairs),_xlpm.sortedPairs,_xlfn._xlws.SORT(_xlpm.uniquePairs,1,1),INDEX(_xlpm.sortedPairs,ROWS($M$2:M56),2)),"")</f>
        <v>FD92PM</v>
      </c>
      <c r="N56" s="17" t="str" cm="1">
        <f t="array" ref="N56">IF(OR(Table2[[#This Row],[Film]]="",Table2[[#This Row],[Grade]]=""),"",IFERROR(INDEX(Table4[Serial Number],MATCH(1,(Table4[Film]=Table2[[#This Row],[Film]])*(Table4[Grade]=Table2[[#This Row],[Grade]]),0)),""))</f>
        <v>RMPM2</v>
      </c>
      <c r="O56" s="52">
        <f>IF(OR(Table2[[#This Row],[Film]]="",Table2[[#This Row],[Grade]]=""),"",SUMIFS(Table4[Price Calculated(€) Thickness &amp; QTY related],Table4[Film],Table2[[#This Row],[Film]],Table4[Grade],Table2[[#This Row],[Grade]]))</f>
        <v>1.0908000000000002</v>
      </c>
      <c r="P56" s="6"/>
      <c r="T56" s="6"/>
      <c r="U56" s="2" t="s">
        <v>51</v>
      </c>
      <c r="V56" s="2" t="s">
        <v>16</v>
      </c>
      <c r="W56" s="2" t="s">
        <v>10</v>
      </c>
      <c r="X56" s="2" t="s">
        <v>80</v>
      </c>
      <c r="Y56" s="2" t="s">
        <v>38</v>
      </c>
      <c r="Z56" s="600" cm="1">
        <f t="array" ref="Z56">SUMPRODUCT((BOM!$A$2:$A$391=U56)*(BOM!$F$2:$F$391=Y56)*BOM!$H$2:$H$391*BOM!$G$2:$G$391)/SUMPRODUCT((BOM!$A$2:$A$391=U56)*BOM!$H$2:$H$391*BOM!$G$2:$G$391)</f>
        <v>1.5000000000000003E-2</v>
      </c>
      <c r="AA56" s="603">
        <f>SUMIF(tblResinWeightedQty12[Film],tblResinWeightedQty12[[#This Row],[Film]],tblResinWeightedQty12[Weighted QTY %])</f>
        <v>1.0000000000000004</v>
      </c>
    </row>
    <row r="57" spans="1:27" ht="15.75" hidden="1" thickTop="1">
      <c r="A57" s="29" t="s">
        <v>43</v>
      </c>
      <c r="B57" s="29" t="s">
        <v>7</v>
      </c>
      <c r="C57" s="28"/>
      <c r="D57" s="28" t="str">
        <f>IF(C57="","",IFERROR(_xlfn.XLOOKUP(C57,HELPER!$A$2:$A$81,HELPER!$B$2:$B$81,""),D57))</f>
        <v/>
      </c>
      <c r="E57" s="28" t="str">
        <f>IFERROR(_xlfn.XLOOKUP(D57,HELPER!$B:$B,HELPER!$C:$C,""),"")</f>
        <v/>
      </c>
      <c r="F57" s="27" t="str">
        <f>IFERROR(_xlfn.XLOOKUP(D57,HELPER!$B:$B,HELPER!$D:$D,""),"")</f>
        <v/>
      </c>
      <c r="G57" s="27">
        <v>8</v>
      </c>
      <c r="I57" s="8" t="str">
        <f>IF(AND(H57&lt;&gt;"",IFERROR(_xlfn.XLOOKUP(D57,HELPER!$B:$B,HELPER!$E:$E,""),"")=""),"Missing price",IFERROR(_xlfn.XLOOKUP(D57,HELPER!$B:$B,HELPER!$E:$E,"")," "))</f>
        <v/>
      </c>
      <c r="J57" s="47" t="str">
        <f>IFERROR(H57*(IF(G57=8,I57*HELPER!$G$2,BOM!I57*HELPER!$G$3))," ")</f>
        <v xml:space="preserve"> </v>
      </c>
      <c r="K57" s="6"/>
      <c r="L57" s="14" t="str" cm="1">
        <f t="array" ref="L57">IFERROR(_xlfn.LET(_xlpm.films,Table4[Film],_xlpm.grades,Table4[Grade],_xlpm.pairs,_xlfn._xlws.FILTER(_xlfn.HSTACK(_xlpm.films,_xlpm.grades),(_xlpm.films&lt;&gt;"")*(TRIM(_xlpm.grades)&lt;&gt;"")),_xlpm.uniquePairs,_xlfn.UNIQUE(_xlpm.pairs),_xlpm.sortedPairs,_xlfn._xlws.SORT(_xlpm.uniquePairs,1,1),INDEX(_xlpm.sortedPairs,ROWS($L$2:L57),1)),"")</f>
        <v>TIPA 312 MFG</v>
      </c>
      <c r="M57" s="15" t="str" cm="1">
        <f t="array" ref="M57">IFERROR(_xlfn.LET(_xlpm.films,Table4[Film],_xlpm.grades,Table4[Grade],_xlpm.pairs,_xlfn._xlws.FILTER(_xlfn.HSTACK(_xlpm.films,_xlpm.grades),(_xlpm.films&lt;&gt;"")*(TRIM(_xlpm.grades)&lt;&gt;"")),_xlpm.uniquePairs,_xlfn.UNIQUE(_xlpm.pairs),_xlpm.sortedPairs,_xlfn._xlws.SORT(_xlpm.uniquePairs,1,1),INDEX(_xlpm.sortedPairs,ROWS($M$2:M57),2)),"")</f>
        <v>LX175</v>
      </c>
      <c r="N57" s="15" t="str" cm="1">
        <f t="array" ref="N57">IF(OR(Table2[[#This Row],[Film]]="",Table2[[#This Row],[Grade]]=""),"",IFERROR(INDEX(Table4[Serial Number],MATCH(1,(Table4[Film]=Table2[[#This Row],[Film]])*(Table4[Grade]=Table2[[#This Row],[Grade]]),0)),""))</f>
        <v>RMLX175</v>
      </c>
      <c r="O57" s="51">
        <f>IF(OR(Table2[[#This Row],[Film]]="",Table2[[#This Row],[Grade]]=""),"",SUMIFS(Table4[Price Calculated(€) Thickness &amp; QTY related],Table4[Film],Table2[[#This Row],[Film]],Table4[Grade],Table2[[#This Row],[Grade]]))</f>
        <v>0.59405799999999997</v>
      </c>
      <c r="P57" s="6"/>
      <c r="T57" s="6"/>
      <c r="U57" s="2" t="s">
        <v>51</v>
      </c>
      <c r="V57" s="2" t="s">
        <v>17</v>
      </c>
      <c r="W57" s="2" t="s">
        <v>11</v>
      </c>
      <c r="X57" s="2" t="s">
        <v>81</v>
      </c>
      <c r="Y57" s="2" t="s">
        <v>39</v>
      </c>
      <c r="Z57" s="600" cm="1">
        <f t="array" ref="Z57">SUMPRODUCT((BOM!$A$2:$A$391=U57)*(BOM!$F$2:$F$391=Y57)*BOM!$H$2:$H$391*BOM!$G$2:$G$391)/SUMPRODUCT((BOM!$A$2:$A$391=U57)*BOM!$H$2:$H$391*BOM!$G$2:$G$391)</f>
        <v>4.6000000000000008E-3</v>
      </c>
      <c r="AA57" s="603">
        <f>SUMIF(tblResinWeightedQty12[Film],tblResinWeightedQty12[[#This Row],[Film]],tblResinWeightedQty12[Weighted QTY %])</f>
        <v>1.0000000000000004</v>
      </c>
    </row>
    <row r="58" spans="1:27" ht="15.75" hidden="1" thickTop="1">
      <c r="A58" s="29" t="s">
        <v>43</v>
      </c>
      <c r="B58" s="29" t="s">
        <v>7</v>
      </c>
      <c r="C58" s="28"/>
      <c r="D58" s="28" t="str">
        <f>IF(C58="","",IFERROR(_xlfn.XLOOKUP(C58,HELPER!$A$2:$A$81,HELPER!$B$2:$B$81,""),D58))</f>
        <v/>
      </c>
      <c r="E58" s="28" t="str">
        <f>IFERROR(_xlfn.XLOOKUP(D58,HELPER!$B:$B,HELPER!$C:$C,""),"")</f>
        <v/>
      </c>
      <c r="F58" s="27" t="str">
        <f>IFERROR(_xlfn.XLOOKUP(D58,HELPER!$B:$B,HELPER!$D:$D,""),"")</f>
        <v/>
      </c>
      <c r="G58" s="27">
        <v>8</v>
      </c>
      <c r="I58" s="8" t="str">
        <f>IF(AND(H58&lt;&gt;"",IFERROR(_xlfn.XLOOKUP(D58,HELPER!$B:$B,HELPER!$E:$E,""),"")=""),"Missing price",IFERROR(_xlfn.XLOOKUP(D58,HELPER!$B:$B,HELPER!$E:$E,"")," "))</f>
        <v/>
      </c>
      <c r="J58" s="47" t="str">
        <f>IFERROR(H58*(IF(G58=8,I58*HELPER!$G$2,BOM!I58*HELPER!$G$3))," ")</f>
        <v xml:space="preserve"> </v>
      </c>
      <c r="K58" s="6"/>
      <c r="L58" s="16" t="str" cm="1">
        <f t="array" ref="L58">IFERROR(_xlfn.LET(_xlpm.films,Table4[Film],_xlpm.grades,Table4[Grade],_xlpm.pairs,_xlfn._xlws.FILTER(_xlfn.HSTACK(_xlpm.films,_xlpm.grades),(_xlpm.films&lt;&gt;"")*(TRIM(_xlpm.grades)&lt;&gt;"")),_xlpm.uniquePairs,_xlfn.UNIQUE(_xlpm.pairs),_xlpm.sortedPairs,_xlfn._xlws.SORT(_xlpm.uniquePairs,1,1),INDEX(_xlpm.sortedPairs,ROWS($L$2:L58),1)),"")</f>
        <v>TIPA 312 MFG</v>
      </c>
      <c r="M58" s="17" t="str" cm="1">
        <f t="array" ref="M58">IFERROR(_xlfn.LET(_xlpm.films,Table4[Film],_xlpm.grades,Table4[Grade],_xlpm.pairs,_xlfn._xlws.FILTER(_xlfn.HSTACK(_xlpm.films,_xlpm.grades),(_xlpm.films&lt;&gt;"")*(TRIM(_xlpm.grades)&lt;&gt;"")),_xlpm.uniquePairs,_xlfn.UNIQUE(_xlpm.pairs),_xlpm.sortedPairs,_xlfn._xlws.SORT(_xlpm.uniquePairs,1,1),INDEX(_xlpm.sortedPairs,ROWS($M$2:M58),2)),"")</f>
        <v>P65D</v>
      </c>
      <c r="N58" s="17" t="str" cm="1">
        <f t="array" ref="N58">IF(OR(Table2[[#This Row],[Film]]="",Table2[[#This Row],[Grade]]=""),"",IFERROR(INDEX(Table4[Serial Number],MATCH(1,(Table4[Film]=Table2[[#This Row],[Film]])*(Table4[Grade]=Table2[[#This Row],[Grade]]),0)),""))</f>
        <v>RMP65D</v>
      </c>
      <c r="O58" s="52">
        <f>IF(OR(Table2[[#This Row],[Film]]="",Table2[[#This Row],[Grade]]=""),"",SUMIFS(Table4[Price Calculated(€) Thickness &amp; QTY related],Table4[Film],Table2[[#This Row],[Film]],Table4[Grade],Table2[[#This Row],[Grade]]))</f>
        <v>0.27739999999999998</v>
      </c>
      <c r="P58" s="6"/>
      <c r="T58" s="6"/>
      <c r="U58" s="2" t="s">
        <v>51</v>
      </c>
      <c r="V58" s="2" t="s">
        <v>18</v>
      </c>
      <c r="W58" s="2" t="s">
        <v>9</v>
      </c>
      <c r="X58" s="2" t="s">
        <v>82</v>
      </c>
      <c r="Y58" s="2" t="s">
        <v>40</v>
      </c>
      <c r="Z58" s="600" cm="1">
        <f t="array" ref="Z58">SUMPRODUCT((BOM!$A$2:$A$391=U58)*(BOM!$F$2:$F$391=Y58)*BOM!$H$2:$H$391*BOM!$G$2:$G$391)/SUMPRODUCT((BOM!$A$2:$A$391=U58)*BOM!$H$2:$H$391*BOM!$G$2:$G$391)</f>
        <v>3.0000000000000005E-3</v>
      </c>
      <c r="AA58" s="603">
        <f>SUMIF(tblResinWeightedQty12[Film],tblResinWeightedQty12[[#This Row],[Film]],tblResinWeightedQty12[Weighted QTY %])</f>
        <v>1.0000000000000004</v>
      </c>
    </row>
    <row r="59" spans="1:27" ht="15.75" hidden="1" thickTop="1">
      <c r="A59" s="29" t="s">
        <v>43</v>
      </c>
      <c r="B59" s="29" t="s">
        <v>7</v>
      </c>
      <c r="C59" s="28"/>
      <c r="D59" s="28" t="str">
        <f>IF(C59="","",IFERROR(_xlfn.XLOOKUP(C59,HELPER!$A$2:$A$81,HELPER!$B$2:$B$81,""),D59))</f>
        <v/>
      </c>
      <c r="E59" s="28" t="str">
        <f>IFERROR(_xlfn.XLOOKUP(D59,HELPER!$B:$B,HELPER!$C:$C,""),"")</f>
        <v/>
      </c>
      <c r="F59" s="27" t="str">
        <f>IFERROR(_xlfn.XLOOKUP(D59,HELPER!$B:$B,HELPER!$D:$D,""),"")</f>
        <v/>
      </c>
      <c r="G59" s="27">
        <v>8</v>
      </c>
      <c r="I59" s="8" t="str">
        <f>IF(AND(H59&lt;&gt;"",IFERROR(_xlfn.XLOOKUP(D59,HELPER!$B:$B,HELPER!$E:$E,""),"")=""),"Missing price",IFERROR(_xlfn.XLOOKUP(D59,HELPER!$B:$B,HELPER!$E:$E,"")," "))</f>
        <v/>
      </c>
      <c r="J59" s="47" t="str">
        <f>IFERROR(H59*(IF(G59=8,I59*HELPER!$G$2,BOM!I59*HELPER!$G$3))," ")</f>
        <v xml:space="preserve"> </v>
      </c>
      <c r="K59" s="6"/>
      <c r="L59" s="14" t="str" cm="1">
        <f t="array" ref="L59">IFERROR(_xlfn.LET(_xlpm.films,Table4[Film],_xlpm.grades,Table4[Grade],_xlpm.pairs,_xlfn._xlws.FILTER(_xlfn.HSTACK(_xlpm.films,_xlpm.grades),(_xlpm.films&lt;&gt;"")*(TRIM(_xlpm.grades)&lt;&gt;"")),_xlpm.uniquePairs,_xlfn.UNIQUE(_xlpm.pairs),_xlpm.sortedPairs,_xlfn._xlws.SORT(_xlpm.uniquePairs,1,1),INDEX(_xlpm.sortedPairs,ROWS($L$2:L59),1)),"")</f>
        <v>TIPA 312 MFG</v>
      </c>
      <c r="M59" s="15" t="str" cm="1">
        <f t="array" ref="M59">IFERROR(_xlfn.LET(_xlpm.films,Table4[Film],_xlpm.grades,Table4[Grade],_xlpm.pairs,_xlfn._xlws.FILTER(_xlfn.HSTACK(_xlpm.films,_xlpm.grades),(_xlpm.films&lt;&gt;"")*(TRIM(_xlpm.grades)&lt;&gt;"")),_xlpm.uniquePairs,_xlfn.UNIQUE(_xlpm.pairs),_xlpm.sortedPairs,_xlfn._xlws.SORT(_xlpm.uniquePairs,1,1),INDEX(_xlpm.sortedPairs,ROWS($M$2:M59),2)),"")</f>
        <v>S723</v>
      </c>
      <c r="N59" s="15" t="str" cm="1">
        <f t="array" ref="N59">IF(OR(Table2[[#This Row],[Film]]="",Table2[[#This Row],[Grade]]=""),"",IFERROR(INDEX(Table4[Serial Number],MATCH(1,(Table4[Film]=Table2[[#This Row],[Film]])*(Table4[Grade]=Table2[[#This Row],[Grade]]),0)),""))</f>
        <v>RM TA45-08 S723</v>
      </c>
      <c r="O59" s="51">
        <f>IF(OR(Table2[[#This Row],[Film]]="",Table2[[#This Row],[Grade]]=""),"",SUMIFS(Table4[Price Calculated(€) Thickness &amp; QTY related],Table4[Film],Table2[[#This Row],[Film]],Table4[Grade],Table2[[#This Row],[Grade]]))</f>
        <v>0.24239999999999998</v>
      </c>
      <c r="P59" s="6"/>
      <c r="T59" s="6"/>
      <c r="U59" s="2" t="s">
        <v>51</v>
      </c>
      <c r="V59" s="2" t="s">
        <v>12</v>
      </c>
      <c r="W59" s="2" t="s">
        <v>8</v>
      </c>
      <c r="X59" s="2" t="s">
        <v>83</v>
      </c>
      <c r="Y59" s="2" t="s">
        <v>42</v>
      </c>
      <c r="Z59" s="600" cm="1">
        <f t="array" ref="Z59">SUMPRODUCT((BOM!$A$2:$A$391=U59)*(BOM!$F$2:$F$391=Y59)*BOM!$H$2:$H$391*BOM!$G$2:$G$391)/SUMPRODUCT((BOM!$A$2:$A$391=U59)*BOM!$H$2:$H$391*BOM!$G$2:$G$391)</f>
        <v>0.16100000000000003</v>
      </c>
      <c r="AA59" s="603">
        <f>SUMIF(tblResinWeightedQty12[Film],tblResinWeightedQty12[[#This Row],[Film]],tblResinWeightedQty12[Weighted QTY %])</f>
        <v>1.0000000000000004</v>
      </c>
    </row>
    <row r="60" spans="1:27" ht="15.75" hidden="1" thickTop="1">
      <c r="A60" s="29" t="s">
        <v>43</v>
      </c>
      <c r="B60" s="29" t="s">
        <v>7</v>
      </c>
      <c r="C60" s="28"/>
      <c r="D60" s="28" t="str">
        <f>IF(C60="","",IFERROR(_xlfn.XLOOKUP(C60,HELPER!$A$2:$A$81,HELPER!$B$2:$B$81,""),D60))</f>
        <v/>
      </c>
      <c r="E60" s="28" t="str">
        <f>IFERROR(_xlfn.XLOOKUP(D60,HELPER!$B:$B,HELPER!$C:$C,""),"")</f>
        <v/>
      </c>
      <c r="F60" s="27" t="str">
        <f>IFERROR(_xlfn.XLOOKUP(D60,HELPER!$B:$B,HELPER!$D:$D,""),"")</f>
        <v/>
      </c>
      <c r="G60" s="27">
        <v>8</v>
      </c>
      <c r="I60" s="8" t="str">
        <f>IF(AND(H60&lt;&gt;"",IFERROR(_xlfn.XLOOKUP(D60,HELPER!$B:$B,HELPER!$E:$E,""),"")=""),"Missing price",IFERROR(_xlfn.XLOOKUP(D60,HELPER!$B:$B,HELPER!$E:$E,"")," "))</f>
        <v/>
      </c>
      <c r="J60" s="47" t="str">
        <f>IFERROR(H60*(IF(G60=8,I60*HELPER!$G$2,BOM!I60*HELPER!$G$3))," ")</f>
        <v xml:space="preserve"> </v>
      </c>
      <c r="K60" s="6"/>
      <c r="L60" s="14" t="str" cm="1">
        <f t="array" ref="L60">IFERROR(_xlfn.LET(_xlpm.films,Table4[Film],_xlpm.grades,Table4[Grade],_xlpm.pairs,_xlfn._xlws.FILTER(_xlfn.HSTACK(_xlpm.films,_xlpm.grades),(_xlpm.films&lt;&gt;"")*(TRIM(_xlpm.grades)&lt;&gt;"")),_xlpm.uniquePairs,_xlfn.UNIQUE(_xlpm.pairs),_xlpm.sortedPairs,_xlfn._xlws.SORT(_xlpm.uniquePairs,1,1),INDEX(_xlpm.sortedPairs,ROWS($L$2:L60),1)),"")</f>
        <v>TIPA 312 MFG</v>
      </c>
      <c r="M60" s="15" t="str" cm="1">
        <f t="array" ref="M60">IFERROR(_xlfn.LET(_xlpm.films,Table4[Film],_xlpm.grades,Table4[Grade],_xlpm.pairs,_xlfn._xlws.FILTER(_xlfn.HSTACK(_xlpm.films,_xlpm.grades),(_xlpm.films&lt;&gt;"")*(TRIM(_xlpm.grades)&lt;&gt;"")),_xlpm.uniquePairs,_xlfn.UNIQUE(_xlpm.pairs),_xlpm.sortedPairs,_xlfn._xlws.SORT(_xlpm.uniquePairs,1,1),INDEX(_xlpm.sortedPairs,ROWS($M$2:M60),2)),"")</f>
        <v>B12</v>
      </c>
      <c r="N60" s="15" t="str" cm="1">
        <f t="array" ref="N60">IF(OR(Table2[[#This Row],[Film]]="",Table2[[#This Row],[Grade]]=""),"",IFERROR(INDEX(Table4[Serial Number],MATCH(1,(Table4[Film]=Table2[[#This Row],[Film]])*(Table4[Grade]=Table2[[#This Row],[Grade]]),0)),""))</f>
        <v>RMB12</v>
      </c>
      <c r="O60" s="51">
        <f>IF(OR(Table2[[#This Row],[Film]]="",Table2[[#This Row],[Grade]]=""),"",SUMIFS(Table4[Price Calculated(€) Thickness &amp; QTY related],Table4[Film],Table2[[#This Row],[Film]],Table4[Grade],Table2[[#This Row],[Grade]]))</f>
        <v>1.0697100000000002</v>
      </c>
      <c r="P60" s="6"/>
      <c r="T60" s="6"/>
      <c r="U60" s="2" t="s">
        <v>1343</v>
      </c>
      <c r="V60" s="2" t="s">
        <v>16</v>
      </c>
      <c r="W60" s="2" t="s">
        <v>10</v>
      </c>
      <c r="X60" s="2" t="s">
        <v>80</v>
      </c>
      <c r="Y60" s="2" t="s">
        <v>38</v>
      </c>
      <c r="Z60" s="904" cm="1">
        <f t="array" ref="Z60">SUMPRODUCT((BOM!$A$2:$A$391=U60)*(BOM!$F$2:$F$391=Y60)*BOM!$H$2:$H$391*BOM!$G$2:$G$391)/SUMPRODUCT((BOM!$A$2:$A$391=U60)*BOM!$H$2:$H$391*BOM!$G$2:$G$391)</f>
        <v>1.7000000000000001E-2</v>
      </c>
      <c r="AA60" s="905">
        <f>SUMIF(tblResinWeightedQty12[Film],tblResinWeightedQty12[[#This Row],[Film]],tblResinWeightedQty12[Weighted QTY %])</f>
        <v>1</v>
      </c>
    </row>
    <row r="61" spans="1:27" ht="15.75" hidden="1" thickTop="1">
      <c r="A61" s="29" t="s">
        <v>43</v>
      </c>
      <c r="B61" s="29" t="s">
        <v>7</v>
      </c>
      <c r="C61" s="28"/>
      <c r="D61" s="28" t="str">
        <f>IF(C61="","",IFERROR(_xlfn.XLOOKUP(C61,HELPER!$A$2:$A$81,HELPER!$B$2:$B$81,""),D61))</f>
        <v/>
      </c>
      <c r="E61" s="28" t="str">
        <f>IFERROR(_xlfn.XLOOKUP(D61,HELPER!$B:$B,HELPER!$C:$C,""),"")</f>
        <v/>
      </c>
      <c r="F61" s="27" t="str">
        <f>IFERROR(_xlfn.XLOOKUP(D61,HELPER!$B:$B,HELPER!$D:$D,""),"")</f>
        <v/>
      </c>
      <c r="G61" s="27">
        <v>8</v>
      </c>
      <c r="I61" s="8" t="str">
        <f>IF(AND(H61&lt;&gt;"",IFERROR(_xlfn.XLOOKUP(D61,HELPER!$B:$B,HELPER!$E:$E,""),"")=""),"Missing price",IFERROR(_xlfn.XLOOKUP(D61,HELPER!$B:$B,HELPER!$E:$E,"")," "))</f>
        <v/>
      </c>
      <c r="J61" s="47" t="str">
        <f>IFERROR(H61*(IF(G61=8,I61*HELPER!$G$2,BOM!I61*HELPER!$G$3))," ")</f>
        <v xml:space="preserve"> </v>
      </c>
      <c r="K61" s="6"/>
      <c r="L61" s="14" t="str" cm="1">
        <f t="array" ref="L61">IFERROR(_xlfn.LET(_xlpm.films,Table4[Film],_xlpm.grades,Table4[Grade],_xlpm.pairs,_xlfn._xlws.FILTER(_xlfn.HSTACK(_xlpm.films,_xlpm.grades),(_xlpm.films&lt;&gt;"")*(TRIM(_xlpm.grades)&lt;&gt;"")),_xlpm.uniquePairs,_xlfn.UNIQUE(_xlpm.pairs),_xlpm.sortedPairs,_xlfn._xlws.SORT(_xlpm.uniquePairs,1,1),INDEX(_xlpm.sortedPairs,ROWS($L$2:L61),1)),"")</f>
        <v>TIPA 312 MFG</v>
      </c>
      <c r="M61" s="15" t="str" cm="1">
        <f t="array" ref="M61">IFERROR(_xlfn.LET(_xlpm.films,Table4[Film],_xlpm.grades,Table4[Grade],_xlpm.pairs,_xlfn._xlws.FILTER(_xlfn.HSTACK(_xlpm.films,_xlpm.grades),(_xlpm.films&lt;&gt;"")*(TRIM(_xlpm.grades)&lt;&gt;"")),_xlpm.uniquePairs,_xlfn.UNIQUE(_xlpm.pairs),_xlpm.sortedPairs,_xlfn._xlws.SORT(_xlpm.uniquePairs,1,1),INDEX(_xlpm.sortedPairs,ROWS($M$2:M61),2)),"")</f>
        <v>FD92PM</v>
      </c>
      <c r="N61" s="15" t="str" cm="1">
        <f t="array" ref="N61">IF(OR(Table2[[#This Row],[Film]]="",Table2[[#This Row],[Grade]]=""),"",IFERROR(INDEX(Table4[Serial Number],MATCH(1,(Table4[Film]=Table2[[#This Row],[Film]])*(Table4[Grade]=Table2[[#This Row],[Grade]]),0)),""))</f>
        <v>RMPM2</v>
      </c>
      <c r="O61" s="51">
        <f>IF(OR(Table2[[#This Row],[Film]]="",Table2[[#This Row],[Grade]]=""),"",SUMIFS(Table4[Price Calculated(€) Thickness &amp; QTY related],Table4[Film],Table2[[#This Row],[Film]],Table4[Grade],Table2[[#This Row],[Grade]]))</f>
        <v>1.0867500000000001</v>
      </c>
      <c r="P61" s="6"/>
      <c r="T61" s="6"/>
      <c r="U61" s="2" t="s">
        <v>1343</v>
      </c>
      <c r="V61" s="2" t="s">
        <v>12</v>
      </c>
      <c r="W61" s="2" t="s">
        <v>8</v>
      </c>
      <c r="X61" s="2" t="s">
        <v>83</v>
      </c>
      <c r="Y61" s="2" t="s">
        <v>42</v>
      </c>
      <c r="Z61" s="904" cm="1">
        <f t="array" ref="Z61">SUMPRODUCT((BOM!$A$2:$A$391=U61)*(BOM!$F$2:$F$391=Y61)*BOM!$H$2:$H$391*BOM!$G$2:$G$391)/SUMPRODUCT((BOM!$A$2:$A$391=U61)*BOM!$H$2:$H$391*BOM!$G$2:$G$391)</f>
        <v>0.81</v>
      </c>
      <c r="AA61" s="905">
        <f>SUMIF(tblResinWeightedQty12[Film],tblResinWeightedQty12[[#This Row],[Film]],tblResinWeightedQty12[Weighted QTY %])</f>
        <v>1</v>
      </c>
    </row>
    <row r="62" spans="1:27" ht="15.75" thickTop="1">
      <c r="A62" s="29" t="s">
        <v>179</v>
      </c>
      <c r="B62" s="29" t="s">
        <v>5</v>
      </c>
      <c r="C62" s="28" t="s">
        <v>13</v>
      </c>
      <c r="D62" s="28" t="str">
        <f>IF(C62="","",IFERROR(_xlfn.XLOOKUP(C62,HELPER!$A$2:$A$81,HELPER!$B$2:$B$81,""),D62))</f>
        <v>LX175</v>
      </c>
      <c r="E62" s="28" t="str">
        <f>IFERROR(_xlfn.XLOOKUP(D62,HELPER!$B:$B,HELPER!$C:$C,""),"")</f>
        <v>RMLX175</v>
      </c>
      <c r="F62" s="27" t="str">
        <f>IFERROR(_xlfn.XLOOKUP(D62,HELPER!$B:$B,HELPER!$D:$D,""),"")</f>
        <v>Resin 1A</v>
      </c>
      <c r="G62" s="27">
        <v>8</v>
      </c>
      <c r="H62" s="32">
        <v>0.79500000000000004</v>
      </c>
      <c r="I62" s="8">
        <f>IF(AND(H62&lt;&gt;"",IFERROR(_xlfn.XLOOKUP(D62,HELPER!$B:$B,HELPER!$E:$E,""),"")=""),"Missing price",IFERROR(_xlfn.XLOOKUP(D62,HELPER!$B:$B,HELPER!$E:$E,"")," "))</f>
        <v>3.17</v>
      </c>
      <c r="J62" s="47">
        <f>IFERROR(H62*(IF(G62=8,I62*HELPER!$G$2,BOM!I62*HELPER!$G$3))," ")</f>
        <v>0.50402999999999998</v>
      </c>
      <c r="K62" s="6"/>
      <c r="L62" s="14" t="str" cm="1">
        <f t="array" ref="L62">IFERROR(_xlfn.LET(_xlpm.films,Table4[Film],_xlpm.grades,Table4[Grade],_xlpm.pairs,_xlfn._xlws.FILTER(_xlfn.HSTACK(_xlpm.films,_xlpm.grades),(_xlpm.films&lt;&gt;"")*(TRIM(_xlpm.grades)&lt;&gt;"")),_xlpm.uniquePairs,_xlfn.UNIQUE(_xlpm.pairs),_xlpm.sortedPairs,_xlfn._xlws.SORT(_xlpm.uniquePairs,1,1),INDEX(_xlpm.sortedPairs,ROWS($L$2:L62),1)),"")</f>
        <v>TIPA 312 MFG</v>
      </c>
      <c r="M62" s="15" t="str" cm="1">
        <f t="array" ref="M62">IFERROR(_xlfn.LET(_xlpm.films,Table4[Film],_xlpm.grades,Table4[Grade],_xlpm.pairs,_xlfn._xlws.FILTER(_xlfn.HSTACK(_xlpm.films,_xlpm.grades),(_xlpm.films&lt;&gt;"")*(TRIM(_xlpm.grades)&lt;&gt;"")),_xlpm.uniquePairs,_xlfn.UNIQUE(_xlpm.pairs),_xlpm.sortedPairs,_xlfn._xlws.SORT(_xlpm.uniquePairs,1,1),INDEX(_xlpm.sortedPairs,ROWS($M$2:M62),2)),"")</f>
        <v>KAB59A</v>
      </c>
      <c r="N62" s="15" t="str" cm="1">
        <f t="array" ref="N62">IF(OR(Table2[[#This Row],[Film]]="",Table2[[#This Row],[Grade]]=""),"",IFERROR(INDEX(Table4[Serial Number],MATCH(1,(Table4[Film]=Table2[[#This Row],[Film]])*(Table4[Grade]=Table2[[#This Row],[Grade]]),0)),""))</f>
        <v>RM A KAB59A</v>
      </c>
      <c r="O62" s="51">
        <f>IF(OR(Table2[[#This Row],[Film]]="",Table2[[#This Row],[Grade]]=""),"",SUMIFS(Table4[Price Calculated(€) Thickness &amp; QTY related],Table4[Film],Table2[[#This Row],[Film]],Table4[Grade],Table2[[#This Row],[Grade]]))</f>
        <v>2.265E-2</v>
      </c>
      <c r="P62" s="6"/>
      <c r="T62" s="6"/>
      <c r="U62" s="2" t="s">
        <v>1343</v>
      </c>
      <c r="V62" s="2" t="s">
        <v>13</v>
      </c>
      <c r="W62" s="2" t="s">
        <v>73</v>
      </c>
      <c r="X62" s="2" t="s">
        <v>74</v>
      </c>
      <c r="Y62" s="2" t="s">
        <v>33</v>
      </c>
      <c r="Z62" s="904" cm="1">
        <f t="array" ref="Z62">SUMPRODUCT((BOM!$A$2:$A$391=U62)*(BOM!$F$2:$F$391=Y62)*BOM!$H$2:$H$391*BOM!$G$2:$G$391)/SUMPRODUCT((BOM!$A$2:$A$391=U62)*BOM!$H$2:$H$391*BOM!$G$2:$G$391)</f>
        <v>0.14299999999999999</v>
      </c>
      <c r="AA62" s="905">
        <f>SUMIF(tblResinWeightedQty12[Film],tblResinWeightedQty12[[#This Row],[Film]],tblResinWeightedQty12[Weighted QTY %])</f>
        <v>1</v>
      </c>
    </row>
    <row r="63" spans="1:27">
      <c r="A63" s="29" t="s">
        <v>179</v>
      </c>
      <c r="B63" s="29" t="s">
        <v>5</v>
      </c>
      <c r="C63" s="28" t="s">
        <v>15</v>
      </c>
      <c r="D63" s="28" t="str">
        <f>IF(C63="","",IFERROR(_xlfn.XLOOKUP(C63,HELPER!$A$2:$A$81,HELPER!$B$2:$B$81,""),D63))</f>
        <v>P65D</v>
      </c>
      <c r="E63" s="28" t="str">
        <f>IFERROR(_xlfn.XLOOKUP(D63,HELPER!$B:$B,HELPER!$C:$C,""),"")</f>
        <v>RMP65D</v>
      </c>
      <c r="F63" s="27" t="str">
        <f>IFERROR(_xlfn.XLOOKUP(D63,HELPER!$B:$B,HELPER!$D:$D,""),"")</f>
        <v>Resin 4A</v>
      </c>
      <c r="G63" s="27">
        <v>8</v>
      </c>
      <c r="H63" s="32">
        <v>0.19</v>
      </c>
      <c r="I63" s="8">
        <f>IF(AND(H63&lt;&gt;"",IFERROR(_xlfn.XLOOKUP(D63,HELPER!$B:$B,HELPER!$E:$E,""),"")=""),"Missing price",IFERROR(_xlfn.XLOOKUP(D63,HELPER!$B:$B,HELPER!$E:$E,"")," "))</f>
        <v>7.3</v>
      </c>
      <c r="J63" s="47">
        <f>IFERROR(H63*(IF(G63=8,I63*HELPER!$G$2,BOM!I63*HELPER!$G$3))," ")</f>
        <v>0.27739999999999998</v>
      </c>
      <c r="K63" s="6"/>
      <c r="L63" s="14" t="str" cm="1">
        <f t="array" ref="L63">IFERROR(_xlfn.LET(_xlpm.films,Table4[Film],_xlpm.grades,Table4[Grade],_xlpm.pairs,_xlfn._xlws.FILTER(_xlfn.HSTACK(_xlpm.films,_xlpm.grades),(_xlpm.films&lt;&gt;"")*(TRIM(_xlpm.grades)&lt;&gt;"")),_xlpm.uniquePairs,_xlfn.UNIQUE(_xlpm.pairs),_xlpm.sortedPairs,_xlfn._xlws.SORT(_xlpm.uniquePairs,1,1),INDEX(_xlpm.sortedPairs,ROWS($L$2:L63),1)),"")</f>
        <v>TIPA 312 MFG</v>
      </c>
      <c r="M63" s="15" t="str" cm="1">
        <f t="array" ref="M63">IFERROR(_xlfn.LET(_xlpm.films,Table4[Film],_xlpm.grades,Table4[Grade],_xlpm.pairs,_xlfn._xlws.FILTER(_xlfn.HSTACK(_xlpm.films,_xlpm.grades),(_xlpm.films&lt;&gt;"")*(TRIM(_xlpm.grades)&lt;&gt;"")),_xlpm.uniquePairs,_xlfn.UNIQUE(_xlpm.pairs),_xlpm.sortedPairs,_xlfn._xlws.SORT(_xlpm.uniquePairs,1,1),INDEX(_xlpm.sortedPairs,ROWS($M$2:M63),2)),"")</f>
        <v>S724</v>
      </c>
      <c r="N63" s="15" t="str" cm="1">
        <f t="array" ref="N63">IF(OR(Table2[[#This Row],[Film]]="",Table2[[#This Row],[Grade]]=""),"",IFERROR(INDEX(Table4[Serial Number],MATCH(1,(Table4[Film]=Table2[[#This Row],[Film]])*(Table4[Grade]=Table2[[#This Row],[Grade]]),0)),""))</f>
        <v>RM TA45-08 S724</v>
      </c>
      <c r="O63" s="51">
        <f>IF(OR(Table2[[#This Row],[Film]]="",Table2[[#This Row],[Grade]]=""),"",SUMIFS(Table4[Price Calculated(€) Thickness &amp; QTY related],Table4[Film],Table2[[#This Row],[Film]],Table4[Grade],Table2[[#This Row],[Grade]]))</f>
        <v>6.762E-2</v>
      </c>
      <c r="P63" s="6"/>
      <c r="T63" s="6"/>
      <c r="U63" s="2" t="s">
        <v>1343</v>
      </c>
      <c r="V63" s="2" t="s">
        <v>17</v>
      </c>
      <c r="W63" s="2" t="s">
        <v>11</v>
      </c>
      <c r="X63" s="2" t="s">
        <v>81</v>
      </c>
      <c r="Y63" s="2" t="s">
        <v>39</v>
      </c>
      <c r="Z63" s="904" cm="1">
        <f t="array" ref="Z63">SUMPRODUCT((BOM!$A$2:$A$391=U63)*(BOM!$F$2:$F$391=Y63)*BOM!$H$2:$H$391*BOM!$G$2:$G$391)/SUMPRODUCT((BOM!$A$2:$A$391=U63)*BOM!$H$2:$H$391*BOM!$G$2:$G$391)</f>
        <v>1.4999999999999999E-2</v>
      </c>
      <c r="AA63" s="905">
        <f>SUMIF(tblResinWeightedQty12[Film],tblResinWeightedQty12[[#This Row],[Film]],tblResinWeightedQty12[Weighted QTY %])</f>
        <v>1</v>
      </c>
    </row>
    <row r="64" spans="1:27">
      <c r="A64" s="29" t="s">
        <v>179</v>
      </c>
      <c r="B64" s="29" t="s">
        <v>5</v>
      </c>
      <c r="C64" s="28" t="s">
        <v>16</v>
      </c>
      <c r="D64" s="28" t="str">
        <f>IF(C64="","",IFERROR(_xlfn.XLOOKUP(C64,HELPER!$A$2:$A$81,HELPER!$B$2:$B$81,""),D64))</f>
        <v>S723</v>
      </c>
      <c r="E64" s="28" t="str">
        <f>IFERROR(_xlfn.XLOOKUP(D64,HELPER!$B:$B,HELPER!$C:$C,""),"")</f>
        <v>RM TA45-08 S723</v>
      </c>
      <c r="F64" s="27" t="str">
        <f>IFERROR(_xlfn.XLOOKUP(D64,HELPER!$B:$B,HELPER!$D:$D,""),"")</f>
        <v>Resin 6</v>
      </c>
      <c r="G64" s="27">
        <v>8</v>
      </c>
      <c r="H64" s="32">
        <v>1.4999999999999999E-2</v>
      </c>
      <c r="I64" s="8">
        <f>IF(AND(H64&lt;&gt;"",IFERROR(_xlfn.XLOOKUP(D64,HELPER!$B:$B,HELPER!$E:$E,""),"")=""),"Missing price",IFERROR(_xlfn.XLOOKUP(D64,HELPER!$B:$B,HELPER!$E:$E,"")," "))</f>
        <v>16.16</v>
      </c>
      <c r="J64" s="47">
        <f>IFERROR(H64*(IF(G64=8,I64*HELPER!$G$2,BOM!I64*HELPER!$G$3))," ")</f>
        <v>4.8480000000000002E-2</v>
      </c>
      <c r="K64" s="6"/>
      <c r="L64" s="14" t="str" cm="1">
        <f t="array" ref="L64">IFERROR(_xlfn.LET(_xlpm.films,Table4[Film],_xlpm.grades,Table4[Grade],_xlpm.pairs,_xlfn._xlws.FILTER(_xlfn.HSTACK(_xlpm.films,_xlpm.grades),(_xlpm.films&lt;&gt;"")*(TRIM(_xlpm.grades)&lt;&gt;"")),_xlpm.uniquePairs,_xlfn.UNIQUE(_xlpm.pairs),_xlpm.sortedPairs,_xlfn._xlws.SORT(_xlpm.uniquePairs,1,1),INDEX(_xlpm.sortedPairs,ROWS($L$2:L64),1)),"")</f>
        <v>TIPA 312MFGW</v>
      </c>
      <c r="M64" s="15" t="str" cm="1">
        <f t="array" ref="M64">IFERROR(_xlfn.LET(_xlpm.films,Table4[Film],_xlpm.grades,Table4[Grade],_xlpm.pairs,_xlfn._xlws.FILTER(_xlfn.HSTACK(_xlpm.films,_xlpm.grades),(_xlpm.films&lt;&gt;"")*(TRIM(_xlpm.grades)&lt;&gt;"")),_xlpm.uniquePairs,_xlfn.UNIQUE(_xlpm.pairs),_xlpm.sortedPairs,_xlfn._xlws.SORT(_xlpm.uniquePairs,1,1),INDEX(_xlpm.sortedPairs,ROWS($M$2:M64),2)),"")</f>
        <v>LX175</v>
      </c>
      <c r="N64" s="15" t="str" cm="1">
        <f t="array" ref="N64">IF(OR(Table2[[#This Row],[Film]]="",Table2[[#This Row],[Grade]]=""),"",IFERROR(INDEX(Table4[Serial Number],MATCH(1,(Table4[Film]=Table2[[#This Row],[Film]])*(Table4[Grade]=Table2[[#This Row],[Grade]]),0)),""))</f>
        <v>RMLX175</v>
      </c>
      <c r="O64" s="51">
        <f>IF(OR(Table2[[#This Row],[Film]]="",Table2[[#This Row],[Grade]]=""),"",SUMIFS(Table4[Price Calculated(€) Thickness &amp; QTY related],Table4[Film],Table2[[#This Row],[Film]],Table4[Grade],Table2[[#This Row],[Grade]]))</f>
        <v>0.59405799999999997</v>
      </c>
      <c r="P64" s="6"/>
      <c r="T64" s="6"/>
      <c r="U64" s="2" t="s">
        <v>1343</v>
      </c>
      <c r="V64" s="2" t="s">
        <v>18</v>
      </c>
      <c r="W64" s="2" t="s">
        <v>9</v>
      </c>
      <c r="X64" s="2" t="s">
        <v>82</v>
      </c>
      <c r="Y64" s="2" t="s">
        <v>40</v>
      </c>
      <c r="Z64" s="904" cm="1">
        <f t="array" ref="Z64">SUMPRODUCT((BOM!$A$2:$A$391=U64)*(BOM!$F$2:$F$391=Y64)*BOM!$H$2:$H$391*BOM!$G$2:$G$391)/SUMPRODUCT((BOM!$A$2:$A$391=U64)*BOM!$H$2:$H$391*BOM!$G$2:$G$391)</f>
        <v>1.4999999999999999E-2</v>
      </c>
      <c r="AA64" s="905">
        <f>SUMIF(tblResinWeightedQty12[Film],tblResinWeightedQty12[[#This Row],[Film]],tblResinWeightedQty12[Weighted QTY %])</f>
        <v>1</v>
      </c>
    </row>
    <row r="65" spans="1:20">
      <c r="A65" s="29" t="s">
        <v>179</v>
      </c>
      <c r="B65" s="29" t="s">
        <v>5</v>
      </c>
      <c r="C65" s="28"/>
      <c r="D65" s="28" t="str">
        <f>IF(C65="","",IFERROR(_xlfn.XLOOKUP(C65,HELPER!$A$2:$A$81,HELPER!$B$2:$B$81,""),D65))</f>
        <v/>
      </c>
      <c r="E65" s="28" t="str">
        <f>IFERROR(_xlfn.XLOOKUP(D65,HELPER!$B:$B,HELPER!$C:$C,""),"")</f>
        <v/>
      </c>
      <c r="F65" s="27" t="str">
        <f>IFERROR(_xlfn.XLOOKUP(D65,HELPER!$B:$B,HELPER!$D:$D,""),"")</f>
        <v/>
      </c>
      <c r="G65" s="27">
        <v>8</v>
      </c>
      <c r="I65" s="8" t="str">
        <f>IF(AND(H65&lt;&gt;"",IFERROR(_xlfn.XLOOKUP(D65,HELPER!$B:$B,HELPER!$E:$E,""),"")=""),"Missing price",IFERROR(_xlfn.XLOOKUP(D65,HELPER!$B:$B,HELPER!$E:$E,"")," "))</f>
        <v/>
      </c>
      <c r="J65" s="47" t="str">
        <f>IFERROR(H65*(IF(G65=8,I65*HELPER!$G$2,BOM!I65*HELPER!$G$3))," ")</f>
        <v xml:space="preserve"> </v>
      </c>
      <c r="K65" s="6"/>
      <c r="L65" s="14" t="str" cm="1">
        <f t="array" ref="L65">IFERROR(_xlfn.LET(_xlpm.films,Table4[Film],_xlpm.grades,Table4[Grade],_xlpm.pairs,_xlfn._xlws.FILTER(_xlfn.HSTACK(_xlpm.films,_xlpm.grades),(_xlpm.films&lt;&gt;"")*(TRIM(_xlpm.grades)&lt;&gt;"")),_xlpm.uniquePairs,_xlfn.UNIQUE(_xlpm.pairs),_xlpm.sortedPairs,_xlfn._xlws.SORT(_xlpm.uniquePairs,1,1),INDEX(_xlpm.sortedPairs,ROWS($L$2:L65),1)),"")</f>
        <v>TIPA 312MFGW</v>
      </c>
      <c r="M65" s="15" t="str" cm="1">
        <f t="array" ref="M65">IFERROR(_xlfn.LET(_xlpm.films,Table4[Film],_xlpm.grades,Table4[Grade],_xlpm.pairs,_xlfn._xlws.FILTER(_xlfn.HSTACK(_xlpm.films,_xlpm.grades),(_xlpm.films&lt;&gt;"")*(TRIM(_xlpm.grades)&lt;&gt;"")),_xlpm.uniquePairs,_xlfn.UNIQUE(_xlpm.pairs),_xlpm.sortedPairs,_xlfn._xlws.SORT(_xlpm.uniquePairs,1,1),INDEX(_xlpm.sortedPairs,ROWS($M$2:M65),2)),"")</f>
        <v>P65D</v>
      </c>
      <c r="N65" s="15" t="str" cm="1">
        <f t="array" ref="N65">IF(OR(Table2[[#This Row],[Film]]="",Table2[[#This Row],[Grade]]=""),"",IFERROR(INDEX(Table4[Serial Number],MATCH(1,(Table4[Film]=Table2[[#This Row],[Film]])*(Table4[Grade]=Table2[[#This Row],[Grade]]),0)),""))</f>
        <v>RMP65D</v>
      </c>
      <c r="O65" s="51">
        <f>IF(OR(Table2[[#This Row],[Film]]="",Table2[[#This Row],[Grade]]=""),"",SUMIFS(Table4[Price Calculated(€) Thickness &amp; QTY related],Table4[Film],Table2[[#This Row],[Film]],Table4[Grade],Table2[[#This Row],[Grade]]))</f>
        <v>0.27739999999999998</v>
      </c>
      <c r="P65" s="6"/>
      <c r="T65" s="6"/>
    </row>
    <row r="66" spans="1:20">
      <c r="A66" s="29" t="s">
        <v>179</v>
      </c>
      <c r="B66" s="29" t="s">
        <v>5</v>
      </c>
      <c r="C66" s="28"/>
      <c r="D66" s="28" t="str">
        <f>IF(C66="","",IFERROR(_xlfn.XLOOKUP(C66,HELPER!$A$2:$A$81,HELPER!$B$2:$B$81,""),D66))</f>
        <v/>
      </c>
      <c r="E66" s="28" t="str">
        <f>IFERROR(_xlfn.XLOOKUP(D66,HELPER!$B:$B,HELPER!$C:$C,""),"")</f>
        <v/>
      </c>
      <c r="F66" s="27" t="str">
        <f>IFERROR(_xlfn.XLOOKUP(D66,HELPER!$B:$B,HELPER!$D:$D,""),"")</f>
        <v/>
      </c>
      <c r="G66" s="27">
        <v>8</v>
      </c>
      <c r="I66" s="8" t="str">
        <f>IF(AND(H66&lt;&gt;"",IFERROR(_xlfn.XLOOKUP(D66,HELPER!$B:$B,HELPER!$E:$E,""),"")=""),"Missing price",IFERROR(_xlfn.XLOOKUP(D66,HELPER!$B:$B,HELPER!$E:$E,"")," "))</f>
        <v/>
      </c>
      <c r="J66" s="47" t="str">
        <f>IFERROR(H66*(IF(G66=8,I66*HELPER!$G$2,BOM!I66*HELPER!$G$3))," ")</f>
        <v xml:space="preserve"> </v>
      </c>
      <c r="K66" s="6"/>
      <c r="L66" s="14" t="str" cm="1">
        <f t="array" ref="L66">IFERROR(_xlfn.LET(_xlpm.films,Table4[Film],_xlpm.grades,Table4[Grade],_xlpm.pairs,_xlfn._xlws.FILTER(_xlfn.HSTACK(_xlpm.films,_xlpm.grades),(_xlpm.films&lt;&gt;"")*(TRIM(_xlpm.grades)&lt;&gt;"")),_xlpm.uniquePairs,_xlfn.UNIQUE(_xlpm.pairs),_xlpm.sortedPairs,_xlfn._xlws.SORT(_xlpm.uniquePairs,1,1),INDEX(_xlpm.sortedPairs,ROWS($L$2:L66),1)),"")</f>
        <v>TIPA 312MFGW</v>
      </c>
      <c r="M66" s="15" t="str" cm="1">
        <f t="array" ref="M66">IFERROR(_xlfn.LET(_xlpm.films,Table4[Film],_xlpm.grades,Table4[Grade],_xlpm.pairs,_xlfn._xlws.FILTER(_xlfn.HSTACK(_xlpm.films,_xlpm.grades),(_xlpm.films&lt;&gt;"")*(TRIM(_xlpm.grades)&lt;&gt;"")),_xlpm.uniquePairs,_xlfn.UNIQUE(_xlpm.pairs),_xlpm.sortedPairs,_xlfn._xlws.SORT(_xlpm.uniquePairs,1,1),INDEX(_xlpm.sortedPairs,ROWS($M$2:M66),2)),"")</f>
        <v>S723</v>
      </c>
      <c r="N66" s="15" t="str" cm="1">
        <f t="array" ref="N66">IF(OR(Table2[[#This Row],[Film]]="",Table2[[#This Row],[Grade]]=""),"",IFERROR(INDEX(Table4[Serial Number],MATCH(1,(Table4[Film]=Table2[[#This Row],[Film]])*(Table4[Grade]=Table2[[#This Row],[Grade]]),0)),""))</f>
        <v>RM TA45-08 S723</v>
      </c>
      <c r="O66" s="51">
        <f>IF(OR(Table2[[#This Row],[Film]]="",Table2[[#This Row],[Grade]]=""),"",SUMIFS(Table4[Price Calculated(€) Thickness &amp; QTY related],Table4[Film],Table2[[#This Row],[Film]],Table4[Grade],Table2[[#This Row],[Grade]]))</f>
        <v>0.24239999999999998</v>
      </c>
      <c r="P66" s="6"/>
      <c r="T66" s="6"/>
    </row>
    <row r="67" spans="1:20">
      <c r="A67" s="29" t="s">
        <v>179</v>
      </c>
      <c r="B67" s="29" t="s">
        <v>5</v>
      </c>
      <c r="C67" s="28"/>
      <c r="D67" s="28" t="str">
        <f>IF(C67="","",IFERROR(_xlfn.XLOOKUP(C67,HELPER!$A$2:$A$81,HELPER!$B$2:$B$81,""),D67))</f>
        <v/>
      </c>
      <c r="E67" s="28" t="str">
        <f>IFERROR(_xlfn.XLOOKUP(D67,HELPER!$B:$B,HELPER!$C:$C,""),"")</f>
        <v/>
      </c>
      <c r="F67" s="27" t="str">
        <f>IFERROR(_xlfn.XLOOKUP(D67,HELPER!$B:$B,HELPER!$D:$D,""),"")</f>
        <v/>
      </c>
      <c r="G67" s="27">
        <v>8</v>
      </c>
      <c r="I67" s="8" t="str">
        <f>IF(AND(H67&lt;&gt;"",IFERROR(_xlfn.XLOOKUP(D67,HELPER!$B:$B,HELPER!$E:$E,""),"")=""),"Missing price",IFERROR(_xlfn.XLOOKUP(D67,HELPER!$B:$B,HELPER!$E:$E,"")," "))</f>
        <v/>
      </c>
      <c r="J67" s="47" t="str">
        <f>IFERROR(H67*(IF(G67=8,I67*HELPER!$G$2,BOM!I67*HELPER!$G$3))," ")</f>
        <v xml:space="preserve"> </v>
      </c>
      <c r="K67" s="6"/>
      <c r="L67" s="14" t="str" cm="1">
        <f t="array" ref="L67">IFERROR(_xlfn.LET(_xlpm.films,Table4[Film],_xlpm.grades,Table4[Grade],_xlpm.pairs,_xlfn._xlws.FILTER(_xlfn.HSTACK(_xlpm.films,_xlpm.grades),(_xlpm.films&lt;&gt;"")*(TRIM(_xlpm.grades)&lt;&gt;"")),_xlpm.uniquePairs,_xlfn.UNIQUE(_xlpm.pairs),_xlpm.sortedPairs,_xlfn._xlws.SORT(_xlpm.uniquePairs,1,1),INDEX(_xlpm.sortedPairs,ROWS($L$2:L67),1)),"")</f>
        <v>TIPA 312MFGW</v>
      </c>
      <c r="M67" s="15" t="str" cm="1">
        <f t="array" ref="M67">IFERROR(_xlfn.LET(_xlpm.films,Table4[Film],_xlpm.grades,Table4[Grade],_xlpm.pairs,_xlfn._xlws.FILTER(_xlfn.HSTACK(_xlpm.films,_xlpm.grades),(_xlpm.films&lt;&gt;"")*(TRIM(_xlpm.grades)&lt;&gt;"")),_xlpm.uniquePairs,_xlfn.UNIQUE(_xlpm.pairs),_xlpm.sortedPairs,_xlfn._xlws.SORT(_xlpm.uniquePairs,1,1),INDEX(_xlpm.sortedPairs,ROWS($M$2:M67),2)),"")</f>
        <v>RM WHITE BIO8153</v>
      </c>
      <c r="N67" s="15" t="str" cm="1">
        <f t="array" ref="N67">IF(OR(Table2[[#This Row],[Film]]="",Table2[[#This Row],[Grade]]=""),"",IFERROR(INDEX(Table4[Serial Number],MATCH(1,(Table4[Film]=Table2[[#This Row],[Film]])*(Table4[Grade]=Table2[[#This Row],[Grade]]),0)),""))</f>
        <v>RM WHITE BIO8153</v>
      </c>
      <c r="O67" s="51">
        <f>IF(OR(Table2[[#This Row],[Film]]="",Table2[[#This Row],[Grade]]=""),"",SUMIFS(Table4[Price Calculated(€) Thickness &amp; QTY related],Table4[Film],Table2[[#This Row],[Film]],Table4[Grade],Table2[[#This Row],[Grade]]))</f>
        <v>0.36899999999999999</v>
      </c>
      <c r="P67" s="6"/>
      <c r="T67" s="6"/>
    </row>
    <row r="68" spans="1:20">
      <c r="A68" s="29" t="s">
        <v>179</v>
      </c>
      <c r="B68" s="29" t="s">
        <v>5</v>
      </c>
      <c r="C68" s="28"/>
      <c r="D68" s="28" t="str">
        <f>IF(C68="","",IFERROR(_xlfn.XLOOKUP(C68,HELPER!$A$2:$A$81,HELPER!$B$2:$B$81,""),D68))</f>
        <v/>
      </c>
      <c r="E68" s="28" t="str">
        <f>IFERROR(_xlfn.XLOOKUP(D68,HELPER!$B:$B,HELPER!$C:$C,""),"")</f>
        <v/>
      </c>
      <c r="F68" s="27" t="str">
        <f>IFERROR(_xlfn.XLOOKUP(D68,HELPER!$B:$B,HELPER!$D:$D,""),"")</f>
        <v/>
      </c>
      <c r="G68" s="27">
        <v>8</v>
      </c>
      <c r="I68" s="8" t="str">
        <f>IF(AND(H68&lt;&gt;"",IFERROR(_xlfn.XLOOKUP(D68,HELPER!$B:$B,HELPER!$E:$E,""),"")=""),"Missing price",IFERROR(_xlfn.XLOOKUP(D68,HELPER!$B:$B,HELPER!$E:$E,"")," "))</f>
        <v/>
      </c>
      <c r="J68" s="47" t="str">
        <f>IFERROR(H68*(IF(G68=8,I68*HELPER!$G$2,BOM!I68*HELPER!$G$3))," ")</f>
        <v xml:space="preserve"> </v>
      </c>
      <c r="K68" s="6"/>
      <c r="L68" s="14" t="str" cm="1">
        <f t="array" ref="L68">IFERROR(_xlfn.LET(_xlpm.films,Table4[Film],_xlpm.grades,Table4[Grade],_xlpm.pairs,_xlfn._xlws.FILTER(_xlfn.HSTACK(_xlpm.films,_xlpm.grades),(_xlpm.films&lt;&gt;"")*(TRIM(_xlpm.grades)&lt;&gt;"")),_xlpm.uniquePairs,_xlfn.UNIQUE(_xlpm.pairs),_xlpm.sortedPairs,_xlfn._xlws.SORT(_xlpm.uniquePairs,1,1),INDEX(_xlpm.sortedPairs,ROWS($L$2:L68),1)),"")</f>
        <v>TIPA 312MFGW</v>
      </c>
      <c r="M68" s="15" t="str" cm="1">
        <f t="array" ref="M68">IFERROR(_xlfn.LET(_xlpm.films,Table4[Film],_xlpm.grades,Table4[Grade],_xlpm.pairs,_xlfn._xlws.FILTER(_xlfn.HSTACK(_xlpm.films,_xlpm.grades),(_xlpm.films&lt;&gt;"")*(TRIM(_xlpm.grades)&lt;&gt;"")),_xlpm.uniquePairs,_xlfn.UNIQUE(_xlpm.pairs),_xlpm.sortedPairs,_xlfn._xlws.SORT(_xlpm.uniquePairs,1,1),INDEX(_xlpm.sortedPairs,ROWS($M$2:M68),2)),"")</f>
        <v>B12</v>
      </c>
      <c r="N68" s="15" t="str" cm="1">
        <f t="array" ref="N68">IF(OR(Table2[[#This Row],[Film]]="",Table2[[#This Row],[Grade]]=""),"",IFERROR(INDEX(Table4[Serial Number],MATCH(1,(Table4[Film]=Table2[[#This Row],[Film]])*(Table4[Grade]=Table2[[#This Row],[Grade]]),0)),""))</f>
        <v>RMB12</v>
      </c>
      <c r="O68" s="51">
        <f>IF(OR(Table2[[#This Row],[Film]]="",Table2[[#This Row],[Grade]]=""),"",SUMIFS(Table4[Price Calculated(€) Thickness &amp; QTY related],Table4[Film],Table2[[#This Row],[Film]],Table4[Grade],Table2[[#This Row],[Grade]]))</f>
        <v>0.96111000000000013</v>
      </c>
      <c r="P68" s="6"/>
      <c r="T68" s="6"/>
    </row>
    <row r="69" spans="1:20">
      <c r="A69" s="29" t="s">
        <v>179</v>
      </c>
      <c r="B69" s="29" t="s">
        <v>5</v>
      </c>
      <c r="C69" s="28"/>
      <c r="D69" s="28" t="str">
        <f>IF(C69="","",IFERROR(_xlfn.XLOOKUP(C69,HELPER!$A$2:$A$81,HELPER!$B$2:$B$81,""),D69))</f>
        <v/>
      </c>
      <c r="E69" s="28" t="str">
        <f>IFERROR(_xlfn.XLOOKUP(D69,HELPER!$B:$B,HELPER!$C:$C,""),"")</f>
        <v/>
      </c>
      <c r="F69" s="27" t="str">
        <f>IFERROR(_xlfn.XLOOKUP(D69,HELPER!$B:$B,HELPER!$D:$D,""),"")</f>
        <v/>
      </c>
      <c r="G69" s="27">
        <v>8</v>
      </c>
      <c r="I69" s="8" t="str">
        <f>IF(AND(H69&lt;&gt;"",IFERROR(_xlfn.XLOOKUP(D69,HELPER!$B:$B,HELPER!$E:$E,""),"")=""),"Missing price",IFERROR(_xlfn.XLOOKUP(D69,HELPER!$B:$B,HELPER!$E:$E,"")," "))</f>
        <v/>
      </c>
      <c r="J69" s="47" t="str">
        <f>IFERROR(H69*(IF(G69=8,I69*HELPER!$G$2,BOM!I69*HELPER!$G$3))," ")</f>
        <v xml:space="preserve"> </v>
      </c>
      <c r="K69" s="6"/>
      <c r="L69" s="14" t="str" cm="1">
        <f t="array" ref="L69">IFERROR(_xlfn.LET(_xlpm.films,Table4[Film],_xlpm.grades,Table4[Grade],_xlpm.pairs,_xlfn._xlws.FILTER(_xlfn.HSTACK(_xlpm.films,_xlpm.grades),(_xlpm.films&lt;&gt;"")*(TRIM(_xlpm.grades)&lt;&gt;"")),_xlpm.uniquePairs,_xlfn.UNIQUE(_xlpm.pairs),_xlpm.sortedPairs,_xlfn._xlws.SORT(_xlpm.uniquePairs,1,1),INDEX(_xlpm.sortedPairs,ROWS($L$2:L69),1)),"")</f>
        <v>TIPA 312MFGW</v>
      </c>
      <c r="M69" s="15" t="str" cm="1">
        <f t="array" ref="M69">IFERROR(_xlfn.LET(_xlpm.films,Table4[Film],_xlpm.grades,Table4[Grade],_xlpm.pairs,_xlfn._xlws.FILTER(_xlfn.HSTACK(_xlpm.films,_xlpm.grades),(_xlpm.films&lt;&gt;"")*(TRIM(_xlpm.grades)&lt;&gt;"")),_xlpm.uniquePairs,_xlfn.UNIQUE(_xlpm.pairs),_xlpm.sortedPairs,_xlfn._xlws.SORT(_xlpm.uniquePairs,1,1),INDEX(_xlpm.sortedPairs,ROWS($M$2:M69),2)),"")</f>
        <v>FD92PM</v>
      </c>
      <c r="N69" s="15" t="str" cm="1">
        <f t="array" ref="N69">IF(OR(Table2[[#This Row],[Film]]="",Table2[[#This Row],[Grade]]=""),"",IFERROR(INDEX(Table4[Serial Number],MATCH(1,(Table4[Film]=Table2[[#This Row],[Film]])*(Table4[Grade]=Table2[[#This Row],[Grade]]),0)),""))</f>
        <v>RMPM2</v>
      </c>
      <c r="O69" s="51">
        <f>IF(OR(Table2[[#This Row],[Film]]="",Table2[[#This Row],[Grade]]=""),"",SUMIFS(Table4[Price Calculated(€) Thickness &amp; QTY related],Table4[Film],Table2[[#This Row],[Film]],Table4[Grade],Table2[[#This Row],[Grade]]))</f>
        <v>1.0867500000000001</v>
      </c>
      <c r="P69" s="6"/>
      <c r="T69" s="6"/>
    </row>
    <row r="70" spans="1:20">
      <c r="A70" s="29" t="s">
        <v>179</v>
      </c>
      <c r="B70" s="29" t="s">
        <v>5</v>
      </c>
      <c r="C70" s="28"/>
      <c r="D70" s="28" t="str">
        <f>IF(C70="","",IFERROR(_xlfn.XLOOKUP(C70,HELPER!$A$2:$A$81,HELPER!$B$2:$B$81,""),D70))</f>
        <v/>
      </c>
      <c r="E70" s="28" t="str">
        <f>IFERROR(_xlfn.XLOOKUP(D70,HELPER!$B:$B,HELPER!$C:$C,""),"")</f>
        <v/>
      </c>
      <c r="F70" s="27" t="str">
        <f>IFERROR(_xlfn.XLOOKUP(D70,HELPER!$B:$B,HELPER!$D:$D,""),"")</f>
        <v/>
      </c>
      <c r="G70" s="27">
        <v>8</v>
      </c>
      <c r="I70" s="8" t="str">
        <f>IF(AND(H70&lt;&gt;"",IFERROR(_xlfn.XLOOKUP(D70,HELPER!$B:$B,HELPER!$E:$E,""),"")=""),"Missing price",IFERROR(_xlfn.XLOOKUP(D70,HELPER!$B:$B,HELPER!$E:$E,"")," "))</f>
        <v/>
      </c>
      <c r="J70" s="47" t="str">
        <f>IFERROR(H70*(IF(G70=8,I70*HELPER!$G$2,BOM!I70*HELPER!$G$3))," ")</f>
        <v xml:space="preserve"> </v>
      </c>
      <c r="K70" s="6"/>
      <c r="L70" s="14" t="str" cm="1">
        <f t="array" ref="L70">IFERROR(_xlfn.LET(_xlpm.films,Table4[Film],_xlpm.grades,Table4[Grade],_xlpm.pairs,_xlfn._xlws.FILTER(_xlfn.HSTACK(_xlpm.films,_xlpm.grades),(_xlpm.films&lt;&gt;"")*(TRIM(_xlpm.grades)&lt;&gt;"")),_xlpm.uniquePairs,_xlfn.UNIQUE(_xlpm.pairs),_xlpm.sortedPairs,_xlfn._xlws.SORT(_xlpm.uniquePairs,1,1),INDEX(_xlpm.sortedPairs,ROWS($L$2:L70),1)),"")</f>
        <v>TIPA 312MFGW</v>
      </c>
      <c r="M70" s="15" t="str" cm="1">
        <f t="array" ref="M70">IFERROR(_xlfn.LET(_xlpm.films,Table4[Film],_xlpm.grades,Table4[Grade],_xlpm.pairs,_xlfn._xlws.FILTER(_xlfn.HSTACK(_xlpm.films,_xlpm.grades),(_xlpm.films&lt;&gt;"")*(TRIM(_xlpm.grades)&lt;&gt;"")),_xlpm.uniquePairs,_xlfn.UNIQUE(_xlpm.pairs),_xlpm.sortedPairs,_xlfn._xlws.SORT(_xlpm.uniquePairs,1,1),INDEX(_xlpm.sortedPairs,ROWS($M$2:M70),2)),"")</f>
        <v>KAB59A</v>
      </c>
      <c r="N70" s="15" t="str" cm="1">
        <f t="array" ref="N70">IF(OR(Table2[[#This Row],[Film]]="",Table2[[#This Row],[Grade]]=""),"",IFERROR(INDEX(Table4[Serial Number],MATCH(1,(Table4[Film]=Table2[[#This Row],[Film]])*(Table4[Grade]=Table2[[#This Row],[Grade]]),0)),""))</f>
        <v>RM A KAB59A</v>
      </c>
      <c r="O70" s="51">
        <f>IF(OR(Table2[[#This Row],[Film]]="",Table2[[#This Row],[Grade]]=""),"",SUMIFS(Table4[Price Calculated(€) Thickness &amp; QTY related],Table4[Film],Table2[[#This Row],[Film]],Table4[Grade],Table2[[#This Row],[Grade]]))</f>
        <v>2.265E-2</v>
      </c>
      <c r="P70" s="6"/>
      <c r="T70" s="6"/>
    </row>
    <row r="71" spans="1:20">
      <c r="A71" s="29" t="s">
        <v>179</v>
      </c>
      <c r="B71" s="29" t="s">
        <v>5</v>
      </c>
      <c r="C71" s="28"/>
      <c r="D71" s="28" t="str">
        <f>IF(C71="","",IFERROR(_xlfn.XLOOKUP(C71,HELPER!$A$2:$A$81,HELPER!$B$2:$B$81,""),D71))</f>
        <v/>
      </c>
      <c r="E71" s="28" t="str">
        <f>IFERROR(_xlfn.XLOOKUP(D71,HELPER!$B:$B,HELPER!$C:$C,""),"")</f>
        <v/>
      </c>
      <c r="F71" s="27" t="str">
        <f>IFERROR(_xlfn.XLOOKUP(D71,HELPER!$B:$B,HELPER!$D:$D,""),"")</f>
        <v/>
      </c>
      <c r="G71" s="27">
        <v>8</v>
      </c>
      <c r="I71" s="8" t="str">
        <f>IF(AND(H71&lt;&gt;"",IFERROR(_xlfn.XLOOKUP(D71,HELPER!$B:$B,HELPER!$E:$E,""),"")=""),"Missing price",IFERROR(_xlfn.XLOOKUP(D71,HELPER!$B:$B,HELPER!$E:$E,"")," "))</f>
        <v/>
      </c>
      <c r="J71" s="47" t="str">
        <f>IFERROR(H71*(IF(G71=8,I71*HELPER!$G$2,BOM!I71*HELPER!$G$3))," ")</f>
        <v xml:space="preserve"> </v>
      </c>
      <c r="K71" s="6"/>
      <c r="L71" s="14" t="str" cm="1">
        <f t="array" ref="L71">IFERROR(_xlfn.LET(_xlpm.films,Table4[Film],_xlpm.grades,Table4[Grade],_xlpm.pairs,_xlfn._xlws.FILTER(_xlfn.HSTACK(_xlpm.films,_xlpm.grades),(_xlpm.films&lt;&gt;"")*(TRIM(_xlpm.grades)&lt;&gt;"")),_xlpm.uniquePairs,_xlfn.UNIQUE(_xlpm.pairs),_xlpm.sortedPairs,_xlfn._xlws.SORT(_xlpm.uniquePairs,1,1),INDEX(_xlpm.sortedPairs,ROWS($L$2:L71),1)),"")</f>
        <v>TIPA 312MFGW</v>
      </c>
      <c r="M71" s="15" t="str" cm="1">
        <f t="array" ref="M71">IFERROR(_xlfn.LET(_xlpm.films,Table4[Film],_xlpm.grades,Table4[Grade],_xlpm.pairs,_xlfn._xlws.FILTER(_xlfn.HSTACK(_xlpm.films,_xlpm.grades),(_xlpm.films&lt;&gt;"")*(TRIM(_xlpm.grades)&lt;&gt;"")),_xlpm.uniquePairs,_xlfn.UNIQUE(_xlpm.pairs),_xlpm.sortedPairs,_xlfn._xlws.SORT(_xlpm.uniquePairs,1,1),INDEX(_xlpm.sortedPairs,ROWS($M$2:M71),2)),"")</f>
        <v>S724</v>
      </c>
      <c r="N71" s="15" t="str" cm="1">
        <f t="array" ref="N71">IF(OR(Table2[[#This Row],[Film]]="",Table2[[#This Row],[Grade]]=""),"",IFERROR(INDEX(Table4[Serial Number],MATCH(1,(Table4[Film]=Table2[[#This Row],[Film]])*(Table4[Grade]=Table2[[#This Row],[Grade]]),0)),""))</f>
        <v>RM TA45-08 S724</v>
      </c>
      <c r="O71" s="51">
        <f>IF(OR(Table2[[#This Row],[Film]]="",Table2[[#This Row],[Grade]]=""),"",SUMIFS(Table4[Price Calculated(€) Thickness &amp; QTY related],Table4[Film],Table2[[#This Row],[Film]],Table4[Grade],Table2[[#This Row],[Grade]]))</f>
        <v>6.762E-2</v>
      </c>
      <c r="P71" s="6"/>
      <c r="T71" s="6"/>
    </row>
    <row r="72" spans="1:20">
      <c r="A72" s="29" t="s">
        <v>179</v>
      </c>
      <c r="B72" s="29" t="s">
        <v>6</v>
      </c>
      <c r="C72" s="28"/>
      <c r="D72" s="28" t="str">
        <f>IF(C72="","",IFERROR(_xlfn.XLOOKUP(C72,HELPER!$A$2:$A$81,HELPER!$B$2:$B$81,""),D72))</f>
        <v/>
      </c>
      <c r="E72" s="28" t="str">
        <f>IFERROR(_xlfn.XLOOKUP(D72,HELPER!$B:$B,HELPER!$C:$C,""),"")</f>
        <v/>
      </c>
      <c r="F72" s="27" t="str">
        <f>IFERROR(_xlfn.XLOOKUP(D72,HELPER!$B:$B,HELPER!$D:$D,""),"")</f>
        <v/>
      </c>
      <c r="G72" s="27">
        <v>24</v>
      </c>
      <c r="I72" s="8" t="str">
        <f>IF(AND(H72&lt;&gt;"",IFERROR(_xlfn.XLOOKUP(D72,HELPER!$B:$B,HELPER!$E:$E,""),"")=""),"Missing price",IFERROR(_xlfn.XLOOKUP(D72,HELPER!$B:$B,HELPER!$E:$E,"")," "))</f>
        <v/>
      </c>
      <c r="J72" s="47" t="str">
        <f>IFERROR(H72*(IF(G72=8,I72*HELPER!$G$2,BOM!I72*HELPER!$G$3))," ")</f>
        <v xml:space="preserve"> </v>
      </c>
      <c r="K72" s="6"/>
      <c r="L72" s="14" t="str" cm="1">
        <f t="array" ref="L72">IFERROR(_xlfn.LET(_xlpm.films,Table4[Film],_xlpm.grades,Table4[Grade],_xlpm.pairs,_xlfn._xlws.FILTER(_xlfn.HSTACK(_xlpm.films,_xlpm.grades),(_xlpm.films&lt;&gt;"")*(TRIM(_xlpm.grades)&lt;&gt;"")),_xlpm.uniquePairs,_xlfn.UNIQUE(_xlpm.pairs),_xlpm.sortedPairs,_xlfn._xlws.SORT(_xlpm.uniquePairs,1,1),INDEX(_xlpm.sortedPairs,ROWS($L$2:L72),1)),"")</f>
        <v/>
      </c>
      <c r="M72" s="15" t="str" cm="1">
        <f t="array" ref="M72">IFERROR(_xlfn.LET(_xlpm.films,Table4[Film],_xlpm.grades,Table4[Grade],_xlpm.pairs,_xlfn._xlws.FILTER(_xlfn.HSTACK(_xlpm.films,_xlpm.grades),(_xlpm.films&lt;&gt;"")*(TRIM(_xlpm.grades)&lt;&gt;"")),_xlpm.uniquePairs,_xlfn.UNIQUE(_xlpm.pairs),_xlpm.sortedPairs,_xlfn._xlws.SORT(_xlpm.uniquePairs,1,1),INDEX(_xlpm.sortedPairs,ROWS($M$2:M72),2)),"")</f>
        <v/>
      </c>
      <c r="N72" s="15" t="str" cm="1">
        <f t="array" ref="N72">IF(OR(Table2[[#This Row],[Film]]="",Table2[[#This Row],[Grade]]=""),"",IFERROR(INDEX(Table4[Serial Number],MATCH(1,(Table4[Film]=Table2[[#This Row],[Film]])*(Table4[Grade]=Table2[[#This Row],[Grade]]),0)),""))</f>
        <v/>
      </c>
      <c r="O72" s="51" t="str">
        <f>IF(OR(Table2[[#This Row],[Film]]="",Table2[[#This Row],[Grade]]=""),"",SUMIFS(Table4[Price Calculated(€) Thickness &amp; QTY related],Table4[Film],Table2[[#This Row],[Film]],Table4[Grade],Table2[[#This Row],[Grade]]))</f>
        <v/>
      </c>
      <c r="P72" s="6"/>
      <c r="T72" s="6"/>
    </row>
    <row r="73" spans="1:20">
      <c r="A73" s="29" t="s">
        <v>179</v>
      </c>
      <c r="B73" s="29" t="s">
        <v>6</v>
      </c>
      <c r="C73" s="28"/>
      <c r="D73" s="28" t="str">
        <f>IF(C73="","",IFERROR(_xlfn.XLOOKUP(C73,HELPER!$A$2:$A$81,HELPER!$B$2:$B$81,""),D73))</f>
        <v/>
      </c>
      <c r="E73" s="28" t="str">
        <f>IFERROR(_xlfn.XLOOKUP(D73,HELPER!$B:$B,HELPER!$C:$C,""),"")</f>
        <v/>
      </c>
      <c r="F73" s="27" t="str">
        <f>IFERROR(_xlfn.XLOOKUP(D73,HELPER!$B:$B,HELPER!$D:$D,""),"")</f>
        <v/>
      </c>
      <c r="G73" s="27">
        <v>24</v>
      </c>
      <c r="I73" s="8" t="str">
        <f>IF(AND(H73&lt;&gt;"",IFERROR(_xlfn.XLOOKUP(D73,HELPER!$B:$B,HELPER!$E:$E,""),"")=""),"Missing price",IFERROR(_xlfn.XLOOKUP(D73,HELPER!$B:$B,HELPER!$E:$E,"")," "))</f>
        <v/>
      </c>
      <c r="J73" s="47" t="str">
        <f>IFERROR(H73*(IF(G73=8,I73*HELPER!$G$2,BOM!I73*HELPER!$G$3))," ")</f>
        <v xml:space="preserve"> </v>
      </c>
      <c r="K73" s="6"/>
      <c r="L73" s="14" t="str" cm="1">
        <f t="array" ref="L73">IFERROR(_xlfn.LET(_xlpm.films,Table4[Film],_xlpm.grades,Table4[Grade],_xlpm.pairs,_xlfn._xlws.FILTER(_xlfn.HSTACK(_xlpm.films,_xlpm.grades),(_xlpm.films&lt;&gt;"")*(TRIM(_xlpm.grades)&lt;&gt;"")),_xlpm.uniquePairs,_xlfn.UNIQUE(_xlpm.pairs),_xlpm.sortedPairs,_xlfn._xlws.SORT(_xlpm.uniquePairs,1,1),INDEX(_xlpm.sortedPairs,ROWS($L$2:L73),1)),"")</f>
        <v/>
      </c>
      <c r="M73" s="15" t="str" cm="1">
        <f t="array" ref="M73">IFERROR(_xlfn.LET(_xlpm.films,Table4[Film],_xlpm.grades,Table4[Grade],_xlpm.pairs,_xlfn._xlws.FILTER(_xlfn.HSTACK(_xlpm.films,_xlpm.grades),(_xlpm.films&lt;&gt;"")*(TRIM(_xlpm.grades)&lt;&gt;"")),_xlpm.uniquePairs,_xlfn.UNIQUE(_xlpm.pairs),_xlpm.sortedPairs,_xlfn._xlws.SORT(_xlpm.uniquePairs,1,1),INDEX(_xlpm.sortedPairs,ROWS($M$2:M73),2)),"")</f>
        <v/>
      </c>
      <c r="N73" s="15" t="str" cm="1">
        <f t="array" ref="N73">IF(OR(Table2[[#This Row],[Film]]="",Table2[[#This Row],[Grade]]=""),"",IFERROR(INDEX(Table4[Serial Number],MATCH(1,(Table4[Film]=Table2[[#This Row],[Film]])*(Table4[Grade]=Table2[[#This Row],[Grade]]),0)),""))</f>
        <v/>
      </c>
      <c r="O73" s="51" t="str">
        <f>IF(OR(Table2[[#This Row],[Film]]="",Table2[[#This Row],[Grade]]=""),"",SUMIFS(Table4[Price Calculated(€) Thickness &amp; QTY related],Table4[Film],Table2[[#This Row],[Film]],Table4[Grade],Table2[[#This Row],[Grade]]))</f>
        <v/>
      </c>
      <c r="P73" s="6"/>
      <c r="T73" s="6"/>
    </row>
    <row r="74" spans="1:20">
      <c r="A74" s="29" t="s">
        <v>179</v>
      </c>
      <c r="B74" s="29" t="s">
        <v>6</v>
      </c>
      <c r="C74" s="28"/>
      <c r="D74" s="28" t="str">
        <f>IF(C74="","",IFERROR(_xlfn.XLOOKUP(C74,HELPER!$A$2:$A$81,HELPER!$B$2:$B$81,""),D74))</f>
        <v/>
      </c>
      <c r="E74" s="28" t="str">
        <f>IFERROR(_xlfn.XLOOKUP(D74,HELPER!$B:$B,HELPER!$C:$C,""),"")</f>
        <v/>
      </c>
      <c r="F74" s="27" t="str">
        <f>IFERROR(_xlfn.XLOOKUP(D74,HELPER!$B:$B,HELPER!$D:$D,""),"")</f>
        <v/>
      </c>
      <c r="G74" s="27">
        <v>24</v>
      </c>
      <c r="I74" s="8" t="str">
        <f>IF(AND(H74&lt;&gt;"",IFERROR(_xlfn.XLOOKUP(D74,HELPER!$B:$B,HELPER!$E:$E,""),"")=""),"Missing price",IFERROR(_xlfn.XLOOKUP(D74,HELPER!$B:$B,HELPER!$E:$E,"")," "))</f>
        <v/>
      </c>
      <c r="J74" s="47" t="str">
        <f>IFERROR(H74*(IF(G74=8,I74*HELPER!$G$2,BOM!I74*HELPER!$G$3))," ")</f>
        <v xml:space="preserve"> </v>
      </c>
      <c r="K74" s="6"/>
      <c r="L74" s="14" t="str" cm="1">
        <f t="array" ref="L74">IFERROR(_xlfn.LET(_xlpm.films,Table4[Film],_xlpm.grades,Table4[Grade],_xlpm.pairs,_xlfn._xlws.FILTER(_xlfn.HSTACK(_xlpm.films,_xlpm.grades),(_xlpm.films&lt;&gt;"")*(TRIM(_xlpm.grades)&lt;&gt;"")),_xlpm.uniquePairs,_xlfn.UNIQUE(_xlpm.pairs),_xlpm.sortedPairs,_xlfn._xlws.SORT(_xlpm.uniquePairs,1,1),INDEX(_xlpm.sortedPairs,ROWS($L$2:L74),1)),"")</f>
        <v/>
      </c>
      <c r="M74" s="15" t="str" cm="1">
        <f t="array" ref="M74">IFERROR(_xlfn.LET(_xlpm.films,Table4[Film],_xlpm.grades,Table4[Grade],_xlpm.pairs,_xlfn._xlws.FILTER(_xlfn.HSTACK(_xlpm.films,_xlpm.grades),(_xlpm.films&lt;&gt;"")*(TRIM(_xlpm.grades)&lt;&gt;"")),_xlpm.uniquePairs,_xlfn.UNIQUE(_xlpm.pairs),_xlpm.sortedPairs,_xlfn._xlws.SORT(_xlpm.uniquePairs,1,1),INDEX(_xlpm.sortedPairs,ROWS($M$2:M74),2)),"")</f>
        <v/>
      </c>
      <c r="N74" s="15" t="str" cm="1">
        <f t="array" ref="N74">IF(OR(Table2[[#This Row],[Film]]="",Table2[[#This Row],[Grade]]=""),"",IFERROR(INDEX(Table4[Serial Number],MATCH(1,(Table4[Film]=Table2[[#This Row],[Film]])*(Table4[Grade]=Table2[[#This Row],[Grade]]),0)),""))</f>
        <v/>
      </c>
      <c r="O74" s="51" t="str">
        <f>IF(OR(Table2[[#This Row],[Film]]="",Table2[[#This Row],[Grade]]=""),"",SUMIFS(Table4[Price Calculated(€) Thickness &amp; QTY related],Table4[Film],Table2[[#This Row],[Film]],Table4[Grade],Table2[[#This Row],[Grade]]))</f>
        <v/>
      </c>
      <c r="P74" s="6"/>
      <c r="T74" s="6"/>
    </row>
    <row r="75" spans="1:20">
      <c r="A75" s="29" t="s">
        <v>179</v>
      </c>
      <c r="B75" s="29" t="s">
        <v>6</v>
      </c>
      <c r="C75" s="28"/>
      <c r="D75" s="28" t="str">
        <f>IF(C75="","",IFERROR(_xlfn.XLOOKUP(C75,HELPER!$A$2:$A$81,HELPER!$B$2:$B$81,""),D75))</f>
        <v/>
      </c>
      <c r="E75" s="28" t="str">
        <f>IFERROR(_xlfn.XLOOKUP(D75,HELPER!$B:$B,HELPER!$C:$C,""),"")</f>
        <v/>
      </c>
      <c r="F75" s="27" t="str">
        <f>IFERROR(_xlfn.XLOOKUP(D75,HELPER!$B:$B,HELPER!$D:$D,""),"")</f>
        <v/>
      </c>
      <c r="G75" s="27">
        <v>24</v>
      </c>
      <c r="I75" s="8" t="str">
        <f>IF(AND(H75&lt;&gt;"",IFERROR(_xlfn.XLOOKUP(D75,HELPER!$B:$B,HELPER!$E:$E,""),"")=""),"Missing price",IFERROR(_xlfn.XLOOKUP(D75,HELPER!$B:$B,HELPER!$E:$E,"")," "))</f>
        <v/>
      </c>
      <c r="J75" s="47" t="str">
        <f>IFERROR(H75*(IF(G75=8,I75*HELPER!$G$2,BOM!I75*HELPER!$G$3))," ")</f>
        <v xml:space="preserve"> </v>
      </c>
      <c r="K75" s="6"/>
      <c r="L75" s="14" t="str" cm="1">
        <f t="array" ref="L75">IFERROR(_xlfn.LET(_xlpm.films,Table4[Film],_xlpm.grades,Table4[Grade],_xlpm.pairs,_xlfn._xlws.FILTER(_xlfn.HSTACK(_xlpm.films,_xlpm.grades),(_xlpm.films&lt;&gt;"")*(TRIM(_xlpm.grades)&lt;&gt;"")),_xlpm.uniquePairs,_xlfn.UNIQUE(_xlpm.pairs),_xlpm.sortedPairs,_xlfn._xlws.SORT(_xlpm.uniquePairs,1,1),INDEX(_xlpm.sortedPairs,ROWS($L$2:L75),1)),"")</f>
        <v/>
      </c>
      <c r="M75" s="15" t="str" cm="1">
        <f t="array" ref="M75">IFERROR(_xlfn.LET(_xlpm.films,Table4[Film],_xlpm.grades,Table4[Grade],_xlpm.pairs,_xlfn._xlws.FILTER(_xlfn.HSTACK(_xlpm.films,_xlpm.grades),(_xlpm.films&lt;&gt;"")*(TRIM(_xlpm.grades)&lt;&gt;"")),_xlpm.uniquePairs,_xlfn.UNIQUE(_xlpm.pairs),_xlpm.sortedPairs,_xlfn._xlws.SORT(_xlpm.uniquePairs,1,1),INDEX(_xlpm.sortedPairs,ROWS($M$2:M75),2)),"")</f>
        <v/>
      </c>
      <c r="N75" s="15" t="str" cm="1">
        <f t="array" ref="N75">IF(OR(Table2[[#This Row],[Film]]="",Table2[[#This Row],[Grade]]=""),"",IFERROR(INDEX(Table4[Serial Number],MATCH(1,(Table4[Film]=Table2[[#This Row],[Film]])*(Table4[Grade]=Table2[[#This Row],[Grade]]),0)),""))</f>
        <v/>
      </c>
      <c r="O75" s="51" t="str">
        <f>IF(OR(Table2[[#This Row],[Film]]="",Table2[[#This Row],[Grade]]=""),"",SUMIFS(Table4[Price Calculated(€) Thickness &amp; QTY related],Table4[Film],Table2[[#This Row],[Film]],Table4[Grade],Table2[[#This Row],[Grade]]))</f>
        <v/>
      </c>
      <c r="P75" s="6"/>
      <c r="T75" s="6"/>
    </row>
    <row r="76" spans="1:20">
      <c r="A76" s="29" t="s">
        <v>179</v>
      </c>
      <c r="B76" s="29" t="s">
        <v>6</v>
      </c>
      <c r="C76" s="28" t="s">
        <v>16</v>
      </c>
      <c r="D76" s="28" t="str">
        <f>IF(C76="","",IFERROR(_xlfn.XLOOKUP(C76,HELPER!$A$2:$A$81,HELPER!$B$2:$B$81,""),D76))</f>
        <v>S723</v>
      </c>
      <c r="E76" s="28" t="str">
        <f>IFERROR(_xlfn.XLOOKUP(D76,HELPER!$B:$B,HELPER!$C:$C,""),"")</f>
        <v>RM TA45-08 S723</v>
      </c>
      <c r="F76" s="27" t="str">
        <f>IFERROR(_xlfn.XLOOKUP(D76,HELPER!$B:$B,HELPER!$D:$D,""),"")</f>
        <v>Resin 6</v>
      </c>
      <c r="G76" s="27">
        <v>24</v>
      </c>
      <c r="H76" s="32">
        <v>1.4999999999999999E-2</v>
      </c>
      <c r="I76" s="8">
        <f>IF(AND(H76&lt;&gt;"",IFERROR(_xlfn.XLOOKUP(D76,HELPER!$B:$B,HELPER!$E:$E,""),"")=""),"Missing price",IFERROR(_xlfn.XLOOKUP(D76,HELPER!$B:$B,HELPER!$E:$E,"")," "))</f>
        <v>16.16</v>
      </c>
      <c r="J76" s="47">
        <f>IFERROR(H76*(IF(G76=8,I76*HELPER!$G$2,BOM!I76*HELPER!$G$3))," ")</f>
        <v>0.14543999999999999</v>
      </c>
      <c r="K76" s="6"/>
      <c r="L76" s="14" t="str" cm="1">
        <f t="array" ref="L76">IFERROR(_xlfn.LET(_xlpm.films,Table4[Film],_xlpm.grades,Table4[Grade],_xlpm.pairs,_xlfn._xlws.FILTER(_xlfn.HSTACK(_xlpm.films,_xlpm.grades),(_xlpm.films&lt;&gt;"")*(TRIM(_xlpm.grades)&lt;&gt;"")),_xlpm.uniquePairs,_xlfn.UNIQUE(_xlpm.pairs),_xlpm.sortedPairs,_xlfn._xlws.SORT(_xlpm.uniquePairs,1,1),INDEX(_xlpm.sortedPairs,ROWS($L$2:L76),1)),"")</f>
        <v/>
      </c>
      <c r="M76" s="15" t="str" cm="1">
        <f t="array" ref="M76">IFERROR(_xlfn.LET(_xlpm.films,Table4[Film],_xlpm.grades,Table4[Grade],_xlpm.pairs,_xlfn._xlws.FILTER(_xlfn.HSTACK(_xlpm.films,_xlpm.grades),(_xlpm.films&lt;&gt;"")*(TRIM(_xlpm.grades)&lt;&gt;"")),_xlpm.uniquePairs,_xlfn.UNIQUE(_xlpm.pairs),_xlpm.sortedPairs,_xlfn._xlws.SORT(_xlpm.uniquePairs,1,1),INDEX(_xlpm.sortedPairs,ROWS($M$2:M76),2)),"")</f>
        <v/>
      </c>
      <c r="N76" s="15" t="str" cm="1">
        <f t="array" ref="N76">IF(OR(Table2[[#This Row],[Film]]="",Table2[[#This Row],[Grade]]=""),"",IFERROR(INDEX(Table4[Serial Number],MATCH(1,(Table4[Film]=Table2[[#This Row],[Film]])*(Table4[Grade]=Table2[[#This Row],[Grade]]),0)),""))</f>
        <v/>
      </c>
      <c r="O76" s="51" t="str">
        <f>IF(OR(Table2[[#This Row],[Film]]="",Table2[[#This Row],[Grade]]=""),"",SUMIFS(Table4[Price Calculated(€) Thickness &amp; QTY related],Table4[Film],Table2[[#This Row],[Film]],Table4[Grade],Table2[[#This Row],[Grade]]))</f>
        <v/>
      </c>
      <c r="P76" s="6"/>
      <c r="T76" s="6"/>
    </row>
    <row r="77" spans="1:20">
      <c r="A77" s="29" t="s">
        <v>179</v>
      </c>
      <c r="B77" s="29" t="s">
        <v>6</v>
      </c>
      <c r="C77" s="28"/>
      <c r="D77" s="28" t="str">
        <f>IF(C77="","",IFERROR(_xlfn.XLOOKUP(C77,HELPER!$A$2:$A$81,HELPER!$B$2:$B$81,""),D77))</f>
        <v/>
      </c>
      <c r="E77" s="28" t="str">
        <f>IFERROR(_xlfn.XLOOKUP(D77,HELPER!$B:$B,HELPER!$C:$C,""),"")</f>
        <v/>
      </c>
      <c r="F77" s="27" t="str">
        <f>IFERROR(_xlfn.XLOOKUP(D77,HELPER!$B:$B,HELPER!$D:$D,""),"")</f>
        <v/>
      </c>
      <c r="G77" s="27">
        <v>24</v>
      </c>
      <c r="I77" s="8" t="str">
        <f>IF(AND(H77&lt;&gt;"",IFERROR(_xlfn.XLOOKUP(D77,HELPER!$B:$B,HELPER!$E:$E,""),"")=""),"Missing price",IFERROR(_xlfn.XLOOKUP(D77,HELPER!$B:$B,HELPER!$E:$E,"")," "))</f>
        <v/>
      </c>
      <c r="J77" s="47" t="str">
        <f>IFERROR(H77*(IF(G77=8,I77*HELPER!$G$2,BOM!I77*HELPER!$G$3))," ")</f>
        <v xml:space="preserve"> </v>
      </c>
      <c r="K77" s="6"/>
      <c r="L77" s="14" t="str" cm="1">
        <f t="array" ref="L77">IFERROR(_xlfn.LET(_xlpm.films,Table4[Film],_xlpm.grades,Table4[Grade],_xlpm.pairs,_xlfn._xlws.FILTER(_xlfn.HSTACK(_xlpm.films,_xlpm.grades),(_xlpm.films&lt;&gt;"")*(TRIM(_xlpm.grades)&lt;&gt;"")),_xlpm.uniquePairs,_xlfn.UNIQUE(_xlpm.pairs),_xlpm.sortedPairs,_xlfn._xlws.SORT(_xlpm.uniquePairs,1,1),INDEX(_xlpm.sortedPairs,ROWS($L$2:L77),1)),"")</f>
        <v/>
      </c>
      <c r="M77" s="15" t="str" cm="1">
        <f t="array" ref="M77">IFERROR(_xlfn.LET(_xlpm.films,Table4[Film],_xlpm.grades,Table4[Grade],_xlpm.pairs,_xlfn._xlws.FILTER(_xlfn.HSTACK(_xlpm.films,_xlpm.grades),(_xlpm.films&lt;&gt;"")*(TRIM(_xlpm.grades)&lt;&gt;"")),_xlpm.uniquePairs,_xlfn.UNIQUE(_xlpm.pairs),_xlpm.sortedPairs,_xlfn._xlws.SORT(_xlpm.uniquePairs,1,1),INDEX(_xlpm.sortedPairs,ROWS($M$2:M77),2)),"")</f>
        <v/>
      </c>
      <c r="N77" s="15" t="str" cm="1">
        <f t="array" ref="N77">IF(OR(Table2[[#This Row],[Film]]="",Table2[[#This Row],[Grade]]=""),"",IFERROR(INDEX(Table4[Serial Number],MATCH(1,(Table4[Film]=Table2[[#This Row],[Film]])*(Table4[Grade]=Table2[[#This Row],[Grade]]),0)),""))</f>
        <v/>
      </c>
      <c r="O77" s="51" t="str">
        <f>IF(OR(Table2[[#This Row],[Film]]="",Table2[[#This Row],[Grade]]=""),"",SUMIFS(Table4[Price Calculated(€) Thickness &amp; QTY related],Table4[Film],Table2[[#This Row],[Film]],Table4[Grade],Table2[[#This Row],[Grade]]))</f>
        <v/>
      </c>
      <c r="P77" s="6"/>
      <c r="T77" s="6"/>
    </row>
    <row r="78" spans="1:20">
      <c r="A78" s="29" t="s">
        <v>179</v>
      </c>
      <c r="B78" s="29" t="s">
        <v>6</v>
      </c>
      <c r="C78" s="28"/>
      <c r="D78" s="28" t="str">
        <f>IF(C78="","",IFERROR(_xlfn.XLOOKUP(C78,HELPER!$A$2:$A$81,HELPER!$B$2:$B$81,""),D78))</f>
        <v/>
      </c>
      <c r="E78" s="28" t="str">
        <f>IFERROR(_xlfn.XLOOKUP(D78,HELPER!$B:$B,HELPER!$C:$C,""),"")</f>
        <v/>
      </c>
      <c r="F78" s="27" t="str">
        <f>IFERROR(_xlfn.XLOOKUP(D78,HELPER!$B:$B,HELPER!$D:$D,""),"")</f>
        <v/>
      </c>
      <c r="G78" s="27">
        <v>24</v>
      </c>
      <c r="I78" s="8" t="str">
        <f>IF(AND(H78&lt;&gt;"",IFERROR(_xlfn.XLOOKUP(D78,HELPER!$B:$B,HELPER!$E:$E,""),"")=""),"Missing price",IFERROR(_xlfn.XLOOKUP(D78,HELPER!$B:$B,HELPER!$E:$E,"")," "))</f>
        <v/>
      </c>
      <c r="J78" s="47" t="str">
        <f>IFERROR(H78*(IF(G78=8,I78*HELPER!$G$2,BOM!I78*HELPER!$G$3))," ")</f>
        <v xml:space="preserve"> </v>
      </c>
      <c r="K78" s="6"/>
      <c r="L78" s="14" t="str" cm="1">
        <f t="array" ref="L78">IFERROR(_xlfn.LET(_xlpm.films,Table4[Film],_xlpm.grades,Table4[Grade],_xlpm.pairs,_xlfn._xlws.FILTER(_xlfn.HSTACK(_xlpm.films,_xlpm.grades),(_xlpm.films&lt;&gt;"")*(TRIM(_xlpm.grades)&lt;&gt;"")),_xlpm.uniquePairs,_xlfn.UNIQUE(_xlpm.pairs),_xlpm.sortedPairs,_xlfn._xlws.SORT(_xlpm.uniquePairs,1,1),INDEX(_xlpm.sortedPairs,ROWS($L$2:L78),1)),"")</f>
        <v/>
      </c>
      <c r="M78" s="15" t="str" cm="1">
        <f t="array" ref="M78">IFERROR(_xlfn.LET(_xlpm.films,Table4[Film],_xlpm.grades,Table4[Grade],_xlpm.pairs,_xlfn._xlws.FILTER(_xlfn.HSTACK(_xlpm.films,_xlpm.grades),(_xlpm.films&lt;&gt;"")*(TRIM(_xlpm.grades)&lt;&gt;"")),_xlpm.uniquePairs,_xlfn.UNIQUE(_xlpm.pairs),_xlpm.sortedPairs,_xlfn._xlws.SORT(_xlpm.uniquePairs,1,1),INDEX(_xlpm.sortedPairs,ROWS($M$2:M78),2)),"")</f>
        <v/>
      </c>
      <c r="N78" s="15" t="str" cm="1">
        <f t="array" ref="N78">IF(OR(Table2[[#This Row],[Film]]="",Table2[[#This Row],[Grade]]=""),"",IFERROR(INDEX(Table4[Serial Number],MATCH(1,(Table4[Film]=Table2[[#This Row],[Film]])*(Table4[Grade]=Table2[[#This Row],[Grade]]),0)),""))</f>
        <v/>
      </c>
      <c r="O78" s="51" t="str">
        <f>IF(OR(Table2[[#This Row],[Film]]="",Table2[[#This Row],[Grade]]=""),"",SUMIFS(Table4[Price Calculated(€) Thickness &amp; QTY related],Table4[Film],Table2[[#This Row],[Film]],Table4[Grade],Table2[[#This Row],[Grade]]))</f>
        <v/>
      </c>
      <c r="P78" s="6"/>
      <c r="T78" s="6"/>
    </row>
    <row r="79" spans="1:20">
      <c r="A79" s="29" t="s">
        <v>179</v>
      </c>
      <c r="B79" s="29" t="s">
        <v>6</v>
      </c>
      <c r="C79" s="28" t="s">
        <v>14</v>
      </c>
      <c r="D79" s="28" t="str">
        <f>IF(C79="","",IFERROR(_xlfn.XLOOKUP(C79,HELPER!$A$2:$A$81,HELPER!$B$2:$B$81,""),D79))</f>
        <v>B12</v>
      </c>
      <c r="E79" s="28" t="str">
        <f>IFERROR(_xlfn.XLOOKUP(D79,HELPER!$B:$B,HELPER!$C:$C,""),"")</f>
        <v>RMB12</v>
      </c>
      <c r="F79" s="27" t="str">
        <f>IFERROR(_xlfn.XLOOKUP(D79,HELPER!$B:$B,HELPER!$D:$D,""),"")</f>
        <v>Resin 2A</v>
      </c>
      <c r="G79" s="27">
        <v>24</v>
      </c>
      <c r="H79" s="32">
        <v>0.98499999999999999</v>
      </c>
      <c r="I79" s="8">
        <f>IF(AND(H79&lt;&gt;"",IFERROR(_xlfn.XLOOKUP(D79,HELPER!$B:$B,HELPER!$E:$E,""),"")=""),"Missing price",IFERROR(_xlfn.XLOOKUP(D79,HELPER!$B:$B,HELPER!$E:$E,"")," "))</f>
        <v>1.81</v>
      </c>
      <c r="J79" s="47">
        <f>IFERROR(H79*(IF(G79=8,I79*HELPER!$G$2,BOM!I79*HELPER!$G$3))," ")</f>
        <v>1.0697100000000002</v>
      </c>
      <c r="K79" s="6"/>
      <c r="L79" s="14" t="str" cm="1">
        <f t="array" ref="L79">IFERROR(_xlfn.LET(_xlpm.films,Table4[Film],_xlpm.grades,Table4[Grade],_xlpm.pairs,_xlfn._xlws.FILTER(_xlfn.HSTACK(_xlpm.films,_xlpm.grades),(_xlpm.films&lt;&gt;"")*(TRIM(_xlpm.grades)&lt;&gt;"")),_xlpm.uniquePairs,_xlfn.UNIQUE(_xlpm.pairs),_xlpm.sortedPairs,_xlfn._xlws.SORT(_xlpm.uniquePairs,1,1),INDEX(_xlpm.sortedPairs,ROWS($L$2:L79),1)),"")</f>
        <v/>
      </c>
      <c r="M79" s="15" t="str" cm="1">
        <f t="array" ref="M79">IFERROR(_xlfn.LET(_xlpm.films,Table4[Film],_xlpm.grades,Table4[Grade],_xlpm.pairs,_xlfn._xlws.FILTER(_xlfn.HSTACK(_xlpm.films,_xlpm.grades),(_xlpm.films&lt;&gt;"")*(TRIM(_xlpm.grades)&lt;&gt;"")),_xlpm.uniquePairs,_xlfn.UNIQUE(_xlpm.pairs),_xlpm.sortedPairs,_xlfn._xlws.SORT(_xlpm.uniquePairs,1,1),INDEX(_xlpm.sortedPairs,ROWS($M$2:M79),2)),"")</f>
        <v/>
      </c>
      <c r="N79" s="15" t="str" cm="1">
        <f t="array" ref="N79">IF(OR(Table2[[#This Row],[Film]]="",Table2[[#This Row],[Grade]]=""),"",IFERROR(INDEX(Table4[Serial Number],MATCH(1,(Table4[Film]=Table2[[#This Row],[Film]])*(Table4[Grade]=Table2[[#This Row],[Grade]]),0)),""))</f>
        <v/>
      </c>
      <c r="O79" s="51" t="str">
        <f>IF(OR(Table2[[#This Row],[Film]]="",Table2[[#This Row],[Grade]]=""),"",SUMIFS(Table4[Price Calculated(€) Thickness &amp; QTY related],Table4[Film],Table2[[#This Row],[Film]],Table4[Grade],Table2[[#This Row],[Grade]]))</f>
        <v/>
      </c>
      <c r="P79" s="6"/>
      <c r="T79" s="6"/>
    </row>
    <row r="80" spans="1:20">
      <c r="A80" s="29" t="s">
        <v>179</v>
      </c>
      <c r="B80" s="29" t="s">
        <v>6</v>
      </c>
      <c r="C80" s="28"/>
      <c r="D80" s="28" t="str">
        <f>IF(C80="","",IFERROR(_xlfn.XLOOKUP(C80,HELPER!$A$2:$A$81,HELPER!$B$2:$B$81,""),D80))</f>
        <v/>
      </c>
      <c r="E80" s="28" t="str">
        <f>IFERROR(_xlfn.XLOOKUP(D80,HELPER!$B:$B,HELPER!$C:$C,""),"")</f>
        <v/>
      </c>
      <c r="F80" s="27" t="str">
        <f>IFERROR(_xlfn.XLOOKUP(D80,HELPER!$B:$B,HELPER!$D:$D,""),"")</f>
        <v/>
      </c>
      <c r="G80" s="27">
        <v>24</v>
      </c>
      <c r="I80" s="8" t="str">
        <f>IF(AND(H80&lt;&gt;"",IFERROR(_xlfn.XLOOKUP(D80,HELPER!$B:$B,HELPER!$E:$E,""),"")=""),"Missing price",IFERROR(_xlfn.XLOOKUP(D80,HELPER!$B:$B,HELPER!$E:$E,"")," "))</f>
        <v/>
      </c>
      <c r="J80" s="47" t="str">
        <f>IFERROR(H80*(IF(G80=8,I80*HELPER!$G$2,BOM!I80*HELPER!$G$3))," ")</f>
        <v xml:space="preserve"> </v>
      </c>
      <c r="K80" s="6"/>
      <c r="L80" s="14" t="str" cm="1">
        <f t="array" ref="L80">IFERROR(_xlfn.LET(_xlpm.films,Table4[Film],_xlpm.grades,Table4[Grade],_xlpm.pairs,_xlfn._xlws.FILTER(_xlfn.HSTACK(_xlpm.films,_xlpm.grades),(_xlpm.films&lt;&gt;"")*(TRIM(_xlpm.grades)&lt;&gt;"")),_xlpm.uniquePairs,_xlfn.UNIQUE(_xlpm.pairs),_xlpm.sortedPairs,_xlfn._xlws.SORT(_xlpm.uniquePairs,1,1),INDEX(_xlpm.sortedPairs,ROWS($L$2:L80),1)),"")</f>
        <v/>
      </c>
      <c r="M80" s="15" t="str" cm="1">
        <f t="array" ref="M80">IFERROR(_xlfn.LET(_xlpm.films,Table4[Film],_xlpm.grades,Table4[Grade],_xlpm.pairs,_xlfn._xlws.FILTER(_xlfn.HSTACK(_xlpm.films,_xlpm.grades),(_xlpm.films&lt;&gt;"")*(TRIM(_xlpm.grades)&lt;&gt;"")),_xlpm.uniquePairs,_xlfn.UNIQUE(_xlpm.pairs),_xlpm.sortedPairs,_xlfn._xlws.SORT(_xlpm.uniquePairs,1,1),INDEX(_xlpm.sortedPairs,ROWS($M$2:M80),2)),"")</f>
        <v/>
      </c>
      <c r="N80" s="15" t="str" cm="1">
        <f t="array" ref="N80">IF(OR(Table2[[#This Row],[Film]]="",Table2[[#This Row],[Grade]]=""),"",IFERROR(INDEX(Table4[Serial Number],MATCH(1,(Table4[Film]=Table2[[#This Row],[Film]])*(Table4[Grade]=Table2[[#This Row],[Grade]]),0)),""))</f>
        <v/>
      </c>
      <c r="O80" s="51" t="str">
        <f>IF(OR(Table2[[#This Row],[Film]]="",Table2[[#This Row],[Grade]]=""),"",SUMIFS(Table4[Price Calculated(€) Thickness &amp; QTY related],Table4[Film],Table2[[#This Row],[Film]],Table4[Grade],Table2[[#This Row],[Grade]]))</f>
        <v/>
      </c>
      <c r="P80" s="6"/>
      <c r="T80" s="6"/>
    </row>
    <row r="81" spans="1:20">
      <c r="A81" s="29" t="s">
        <v>179</v>
      </c>
      <c r="B81" s="29" t="s">
        <v>6</v>
      </c>
      <c r="C81" s="28"/>
      <c r="D81" s="28" t="str">
        <f>IF(C81="","",IFERROR(_xlfn.XLOOKUP(C81,HELPER!$A$2:$A$81,HELPER!$B$2:$B$81,""),D81))</f>
        <v/>
      </c>
      <c r="E81" s="28" t="str">
        <f>IFERROR(_xlfn.XLOOKUP(D81,HELPER!$B:$B,HELPER!$C:$C,""),"")</f>
        <v/>
      </c>
      <c r="F81" s="27" t="str">
        <f>IFERROR(_xlfn.XLOOKUP(D81,HELPER!$B:$B,HELPER!$D:$D,""),"")</f>
        <v/>
      </c>
      <c r="G81" s="27">
        <v>24</v>
      </c>
      <c r="I81" s="8" t="str">
        <f>IF(AND(H81&lt;&gt;"",IFERROR(_xlfn.XLOOKUP(D81,HELPER!$B:$B,HELPER!$E:$E,""),"")=""),"Missing price",IFERROR(_xlfn.XLOOKUP(D81,HELPER!$B:$B,HELPER!$E:$E,"")," "))</f>
        <v/>
      </c>
      <c r="J81" s="47" t="str">
        <f>IFERROR(H81*(IF(G81=8,I81*HELPER!$G$2,BOM!I81*HELPER!$G$3))," ")</f>
        <v xml:space="preserve"> </v>
      </c>
      <c r="K81" s="6"/>
      <c r="L81" s="14" t="str" cm="1">
        <f t="array" ref="L81">IFERROR(_xlfn.LET(_xlpm.films,Table4[Film],_xlpm.grades,Table4[Grade],_xlpm.pairs,_xlfn._xlws.FILTER(_xlfn.HSTACK(_xlpm.films,_xlpm.grades),(_xlpm.films&lt;&gt;"")*(TRIM(_xlpm.grades)&lt;&gt;"")),_xlpm.uniquePairs,_xlfn.UNIQUE(_xlpm.pairs),_xlpm.sortedPairs,_xlfn._xlws.SORT(_xlpm.uniquePairs,1,1),INDEX(_xlpm.sortedPairs,ROWS($L$2:L81),1)),"")</f>
        <v/>
      </c>
      <c r="M81" s="15" t="str" cm="1">
        <f t="array" ref="M81">IFERROR(_xlfn.LET(_xlpm.films,Table4[Film],_xlpm.grades,Table4[Grade],_xlpm.pairs,_xlfn._xlws.FILTER(_xlfn.HSTACK(_xlpm.films,_xlpm.grades),(_xlpm.films&lt;&gt;"")*(TRIM(_xlpm.grades)&lt;&gt;"")),_xlpm.uniquePairs,_xlfn.UNIQUE(_xlpm.pairs),_xlpm.sortedPairs,_xlfn._xlws.SORT(_xlpm.uniquePairs,1,1),INDEX(_xlpm.sortedPairs,ROWS($M$2:M81),2)),"")</f>
        <v/>
      </c>
      <c r="N81" s="15" t="str" cm="1">
        <f t="array" ref="N81">IF(OR(Table2[[#This Row],[Film]]="",Table2[[#This Row],[Grade]]=""),"",IFERROR(INDEX(Table4[Serial Number],MATCH(1,(Table4[Film]=Table2[[#This Row],[Film]])*(Table4[Grade]=Table2[[#This Row],[Grade]]),0)),""))</f>
        <v/>
      </c>
      <c r="O81" s="51" t="str">
        <f>IF(OR(Table2[[#This Row],[Film]]="",Table2[[#This Row],[Grade]]=""),"",SUMIFS(Table4[Price Calculated(€) Thickness &amp; QTY related],Table4[Film],Table2[[#This Row],[Film]],Table4[Grade],Table2[[#This Row],[Grade]]))</f>
        <v/>
      </c>
      <c r="P81" s="6"/>
      <c r="T81" s="6"/>
    </row>
    <row r="82" spans="1:20">
      <c r="A82" s="29" t="s">
        <v>179</v>
      </c>
      <c r="B82" s="29" t="s">
        <v>7</v>
      </c>
      <c r="C82" s="28" t="s">
        <v>12</v>
      </c>
      <c r="D82" s="28" t="str">
        <f>IF(C82="","",IFERROR(_xlfn.XLOOKUP(C82,HELPER!$A$2:$A$81,HELPER!$B$2:$B$81,""),D82))</f>
        <v>FD92PM</v>
      </c>
      <c r="E82" s="28" t="str">
        <f>IFERROR(_xlfn.XLOOKUP(D82,HELPER!$B:$B,HELPER!$C:$C,""),"")</f>
        <v>RMPM2</v>
      </c>
      <c r="F82" s="27" t="str">
        <f>IFERROR(_xlfn.XLOOKUP(D82,HELPER!$B:$B,HELPER!$D:$D,""),"")</f>
        <v>Resin 9C</v>
      </c>
      <c r="G82" s="27">
        <v>8</v>
      </c>
      <c r="H82" s="32">
        <v>0.80500000000000005</v>
      </c>
      <c r="I82" s="8">
        <f>IF(AND(H82&lt;&gt;"",IFERROR(_xlfn.XLOOKUP(D82,HELPER!$B:$B,HELPER!$E:$E,""),"")=""),"Missing price",IFERROR(_xlfn.XLOOKUP(D82,HELPER!$B:$B,HELPER!$E:$E,"")," "))</f>
        <v>6.75</v>
      </c>
      <c r="J82" s="47">
        <f>IFERROR(H82*(IF(G82=8,I82*HELPER!$G$2,BOM!I82*HELPER!$G$3))," ")</f>
        <v>1.0867500000000001</v>
      </c>
      <c r="K82" s="6"/>
      <c r="L82" s="14" t="str" cm="1">
        <f t="array" ref="L82">IFERROR(_xlfn.LET(_xlpm.films,Table4[Film],_xlpm.grades,Table4[Grade],_xlpm.pairs,_xlfn._xlws.FILTER(_xlfn.HSTACK(_xlpm.films,_xlpm.grades),(_xlpm.films&lt;&gt;"")*(TRIM(_xlpm.grades)&lt;&gt;"")),_xlpm.uniquePairs,_xlfn.UNIQUE(_xlpm.pairs),_xlpm.sortedPairs,_xlfn._xlws.SORT(_xlpm.uniquePairs,1,1),INDEX(_xlpm.sortedPairs,ROWS($L$2:L82),1)),"")</f>
        <v/>
      </c>
      <c r="M82" s="15" t="str" cm="1">
        <f t="array" ref="M82">IFERROR(_xlfn.LET(_xlpm.films,Table4[Film],_xlpm.grades,Table4[Grade],_xlpm.pairs,_xlfn._xlws.FILTER(_xlfn.HSTACK(_xlpm.films,_xlpm.grades),(_xlpm.films&lt;&gt;"")*(TRIM(_xlpm.grades)&lt;&gt;"")),_xlpm.uniquePairs,_xlfn.UNIQUE(_xlpm.pairs),_xlpm.sortedPairs,_xlfn._xlws.SORT(_xlpm.uniquePairs,1,1),INDEX(_xlpm.sortedPairs,ROWS($M$2:M82),2)),"")</f>
        <v/>
      </c>
      <c r="N82" s="15" t="str" cm="1">
        <f t="array" ref="N82">IF(OR(Table2[[#This Row],[Film]]="",Table2[[#This Row],[Grade]]=""),"",IFERROR(INDEX(Table4[Serial Number],MATCH(1,(Table4[Film]=Table2[[#This Row],[Film]])*(Table4[Grade]=Table2[[#This Row],[Grade]]),0)),""))</f>
        <v/>
      </c>
      <c r="O82" s="51" t="str">
        <f>IF(OR(Table2[[#This Row],[Film]]="",Table2[[#This Row],[Grade]]=""),"",SUMIFS(Table4[Price Calculated(€) Thickness &amp; QTY related],Table4[Film],Table2[[#This Row],[Film]],Table4[Grade],Table2[[#This Row],[Grade]]))</f>
        <v/>
      </c>
      <c r="P82" s="6"/>
      <c r="T82" s="6"/>
    </row>
    <row r="83" spans="1:20">
      <c r="A83" s="29" t="s">
        <v>179</v>
      </c>
      <c r="B83" s="29" t="s">
        <v>7</v>
      </c>
      <c r="C83" s="28" t="s">
        <v>13</v>
      </c>
      <c r="D83" s="28" t="str">
        <f>IF(C83="","",IFERROR(_xlfn.XLOOKUP(C83,HELPER!$A$2:$A$81,HELPER!$B$2:$B$81,""),D83))</f>
        <v>LX175</v>
      </c>
      <c r="E83" s="28" t="str">
        <f>IFERROR(_xlfn.XLOOKUP(D83,HELPER!$B:$B,HELPER!$C:$C,""),"")</f>
        <v>RMLX175</v>
      </c>
      <c r="F83" s="27" t="str">
        <f>IFERROR(_xlfn.XLOOKUP(D83,HELPER!$B:$B,HELPER!$D:$D,""),"")</f>
        <v>Resin 1A</v>
      </c>
      <c r="G83" s="27">
        <v>8</v>
      </c>
      <c r="H83" s="32">
        <v>0.14199999999999999</v>
      </c>
      <c r="I83" s="8">
        <f>IF(AND(H83&lt;&gt;"",IFERROR(_xlfn.XLOOKUP(D83,HELPER!$B:$B,HELPER!$E:$E,""),"")=""),"Missing price",IFERROR(_xlfn.XLOOKUP(D83,HELPER!$B:$B,HELPER!$E:$E,"")," "))</f>
        <v>3.17</v>
      </c>
      <c r="J83" s="47">
        <f>IFERROR(H83*(IF(G83=8,I83*HELPER!$G$2,BOM!I83*HELPER!$G$3))," ")</f>
        <v>9.0027999999999997E-2</v>
      </c>
      <c r="K83" s="6"/>
      <c r="L83" s="14" t="str" cm="1">
        <f t="array" ref="L83">IFERROR(_xlfn.LET(_xlpm.films,Table4[Film],_xlpm.grades,Table4[Grade],_xlpm.pairs,_xlfn._xlws.FILTER(_xlfn.HSTACK(_xlpm.films,_xlpm.grades),(_xlpm.films&lt;&gt;"")*(TRIM(_xlpm.grades)&lt;&gt;"")),_xlpm.uniquePairs,_xlfn.UNIQUE(_xlpm.pairs),_xlpm.sortedPairs,_xlfn._xlws.SORT(_xlpm.uniquePairs,1,1),INDEX(_xlpm.sortedPairs,ROWS($L$2:L83),1)),"")</f>
        <v/>
      </c>
      <c r="M83" s="15" t="str" cm="1">
        <f t="array" ref="M83">IFERROR(_xlfn.LET(_xlpm.films,Table4[Film],_xlpm.grades,Table4[Grade],_xlpm.pairs,_xlfn._xlws.FILTER(_xlfn.HSTACK(_xlpm.films,_xlpm.grades),(_xlpm.films&lt;&gt;"")*(TRIM(_xlpm.grades)&lt;&gt;"")),_xlpm.uniquePairs,_xlfn.UNIQUE(_xlpm.pairs),_xlpm.sortedPairs,_xlfn._xlws.SORT(_xlpm.uniquePairs,1,1),INDEX(_xlpm.sortedPairs,ROWS($M$2:M83),2)),"")</f>
        <v/>
      </c>
      <c r="N83" s="15" t="str" cm="1">
        <f t="array" ref="N83">IF(OR(Table2[[#This Row],[Film]]="",Table2[[#This Row],[Grade]]=""),"",IFERROR(INDEX(Table4[Serial Number],MATCH(1,(Table4[Film]=Table2[[#This Row],[Film]])*(Table4[Grade]=Table2[[#This Row],[Grade]]),0)),""))</f>
        <v/>
      </c>
      <c r="O83" s="51" t="str">
        <f>IF(OR(Table2[[#This Row],[Film]]="",Table2[[#This Row],[Grade]]=""),"",SUMIFS(Table4[Price Calculated(€) Thickness &amp; QTY related],Table4[Film],Table2[[#This Row],[Film]],Table4[Grade],Table2[[#This Row],[Grade]]))</f>
        <v/>
      </c>
      <c r="P83" s="6"/>
      <c r="T83" s="6"/>
    </row>
    <row r="84" spans="1:20">
      <c r="A84" s="29" t="s">
        <v>179</v>
      </c>
      <c r="B84" s="29" t="s">
        <v>7</v>
      </c>
      <c r="C84" s="28" t="s">
        <v>18</v>
      </c>
      <c r="D84" s="28" t="str">
        <f>IF(C84="","",IFERROR(_xlfn.XLOOKUP(C84,HELPER!$A$2:$A$81,HELPER!$B$2:$B$81,""),D84))</f>
        <v>KAB59A</v>
      </c>
      <c r="E84" s="28" t="str">
        <f>IFERROR(_xlfn.XLOOKUP(D84,HELPER!$B:$B,HELPER!$C:$C,""),"")</f>
        <v>RM A KAB59A</v>
      </c>
      <c r="F84" s="27" t="str">
        <f>IFERROR(_xlfn.XLOOKUP(D84,HELPER!$B:$B,HELPER!$D:$D,""),"")</f>
        <v>Resin 8</v>
      </c>
      <c r="G84" s="27">
        <v>8</v>
      </c>
      <c r="H84" s="32">
        <v>1.4999999999999999E-2</v>
      </c>
      <c r="I84" s="8">
        <f>IF(AND(H84&lt;&gt;"",IFERROR(_xlfn.XLOOKUP(D84,HELPER!$B:$B,HELPER!$E:$E,""),"")=""),"Missing price",IFERROR(_xlfn.XLOOKUP(D84,HELPER!$B:$B,HELPER!$E:$E,"")," "))</f>
        <v>7.55</v>
      </c>
      <c r="J84" s="47">
        <f>IFERROR(H84*(IF(G84=8,I84*HELPER!$G$2,BOM!I84*HELPER!$G$3))," ")</f>
        <v>2.265E-2</v>
      </c>
      <c r="K84" s="6"/>
      <c r="L84" s="14" t="str" cm="1">
        <f t="array" ref="L84">IFERROR(_xlfn.LET(_xlpm.films,Table4[Film],_xlpm.grades,Table4[Grade],_xlpm.pairs,_xlfn._xlws.FILTER(_xlfn.HSTACK(_xlpm.films,_xlpm.grades),(_xlpm.films&lt;&gt;"")*(TRIM(_xlpm.grades)&lt;&gt;"")),_xlpm.uniquePairs,_xlfn.UNIQUE(_xlpm.pairs),_xlpm.sortedPairs,_xlfn._xlws.SORT(_xlpm.uniquePairs,1,1),INDEX(_xlpm.sortedPairs,ROWS($L$2:L84),1)),"")</f>
        <v/>
      </c>
      <c r="M84" s="15" t="str" cm="1">
        <f t="array" ref="M84">IFERROR(_xlfn.LET(_xlpm.films,Table4[Film],_xlpm.grades,Table4[Grade],_xlpm.pairs,_xlfn._xlws.FILTER(_xlfn.HSTACK(_xlpm.films,_xlpm.grades),(_xlpm.films&lt;&gt;"")*(TRIM(_xlpm.grades)&lt;&gt;"")),_xlpm.uniquePairs,_xlfn.UNIQUE(_xlpm.pairs),_xlpm.sortedPairs,_xlfn._xlws.SORT(_xlpm.uniquePairs,1,1),INDEX(_xlpm.sortedPairs,ROWS($M$2:M84),2)),"")</f>
        <v/>
      </c>
      <c r="N84" s="15" t="str" cm="1">
        <f t="array" ref="N84">IF(OR(Table2[[#This Row],[Film]]="",Table2[[#This Row],[Grade]]=""),"",IFERROR(INDEX(Table4[Serial Number],MATCH(1,(Table4[Film]=Table2[[#This Row],[Film]])*(Table4[Grade]=Table2[[#This Row],[Grade]]),0)),""))</f>
        <v/>
      </c>
      <c r="O84" s="51" t="str">
        <f>IF(OR(Table2[[#This Row],[Film]]="",Table2[[#This Row],[Grade]]=""),"",SUMIFS(Table4[Price Calculated(€) Thickness &amp; QTY related],Table4[Film],Table2[[#This Row],[Film]],Table4[Grade],Table2[[#This Row],[Grade]]))</f>
        <v/>
      </c>
      <c r="P84" s="6"/>
      <c r="T84" s="6"/>
    </row>
    <row r="85" spans="1:20">
      <c r="A85" s="29" t="s">
        <v>179</v>
      </c>
      <c r="B85" s="29" t="s">
        <v>7</v>
      </c>
      <c r="C85" s="28" t="s">
        <v>16</v>
      </c>
      <c r="D85" s="28" t="str">
        <f>IF(C85="","",IFERROR(_xlfn.XLOOKUP(C85,HELPER!$A$2:$A$81,HELPER!$B$2:$B$81,""),D85))</f>
        <v>S723</v>
      </c>
      <c r="E85" s="28" t="str">
        <f>IFERROR(_xlfn.XLOOKUP(D85,HELPER!$B:$B,HELPER!$C:$C,""),"")</f>
        <v>RM TA45-08 S723</v>
      </c>
      <c r="F85" s="27" t="str">
        <f>IFERROR(_xlfn.XLOOKUP(D85,HELPER!$B:$B,HELPER!$D:$D,""),"")</f>
        <v>Resin 6</v>
      </c>
      <c r="G85" s="27">
        <v>8</v>
      </c>
      <c r="H85" s="32">
        <v>1.4999999999999999E-2</v>
      </c>
      <c r="I85" s="8">
        <f>IF(AND(H85&lt;&gt;"",IFERROR(_xlfn.XLOOKUP(D85,HELPER!$B:$B,HELPER!$E:$E,""),"")=""),"Missing price",IFERROR(_xlfn.XLOOKUP(D85,HELPER!$B:$B,HELPER!$E:$E,"")," "))</f>
        <v>16.16</v>
      </c>
      <c r="J85" s="47">
        <f>IFERROR(H85*(IF(G85=8,I85*HELPER!$G$2,BOM!I85*HELPER!$G$3))," ")</f>
        <v>4.8480000000000002E-2</v>
      </c>
      <c r="K85" s="6"/>
      <c r="L85" s="14" t="str" cm="1">
        <f t="array" ref="L85">IFERROR(_xlfn.LET(_xlpm.films,Table4[Film],_xlpm.grades,Table4[Grade],_xlpm.pairs,_xlfn._xlws.FILTER(_xlfn.HSTACK(_xlpm.films,_xlpm.grades),(_xlpm.films&lt;&gt;"")*(TRIM(_xlpm.grades)&lt;&gt;"")),_xlpm.uniquePairs,_xlfn.UNIQUE(_xlpm.pairs),_xlpm.sortedPairs,_xlfn._xlws.SORT(_xlpm.uniquePairs,1,1),INDEX(_xlpm.sortedPairs,ROWS($L$2:L85),1)),"")</f>
        <v/>
      </c>
      <c r="M85" s="15" t="str" cm="1">
        <f t="array" ref="M85">IFERROR(_xlfn.LET(_xlpm.films,Table4[Film],_xlpm.grades,Table4[Grade],_xlpm.pairs,_xlfn._xlws.FILTER(_xlfn.HSTACK(_xlpm.films,_xlpm.grades),(_xlpm.films&lt;&gt;"")*(TRIM(_xlpm.grades)&lt;&gt;"")),_xlpm.uniquePairs,_xlfn.UNIQUE(_xlpm.pairs),_xlpm.sortedPairs,_xlfn._xlws.SORT(_xlpm.uniquePairs,1,1),INDEX(_xlpm.sortedPairs,ROWS($M$2:M85),2)),"")</f>
        <v/>
      </c>
      <c r="N85" s="15" t="str" cm="1">
        <f t="array" ref="N85">IF(OR(Table2[[#This Row],[Film]]="",Table2[[#This Row],[Grade]]=""),"",IFERROR(INDEX(Table4[Serial Number],MATCH(1,(Table4[Film]=Table2[[#This Row],[Film]])*(Table4[Grade]=Table2[[#This Row],[Grade]]),0)),""))</f>
        <v/>
      </c>
      <c r="O85" s="51" t="str">
        <f>IF(OR(Table2[[#This Row],[Film]]="",Table2[[#This Row],[Grade]]=""),"",SUMIFS(Table4[Price Calculated(€) Thickness &amp; QTY related],Table4[Film],Table2[[#This Row],[Film]],Table4[Grade],Table2[[#This Row],[Grade]]))</f>
        <v/>
      </c>
      <c r="P85" s="6"/>
      <c r="T85" s="6"/>
    </row>
    <row r="86" spans="1:20">
      <c r="A86" s="29" t="s">
        <v>179</v>
      </c>
      <c r="B86" s="29" t="s">
        <v>7</v>
      </c>
      <c r="C86" s="28" t="s">
        <v>17</v>
      </c>
      <c r="D86" s="28" t="str">
        <f>IF(C86="","",IFERROR(_xlfn.XLOOKUP(C86,HELPER!$A$2:$A$81,HELPER!$B$2:$B$81,""),D86))</f>
        <v>S724</v>
      </c>
      <c r="E86" s="28" t="str">
        <f>IFERROR(_xlfn.XLOOKUP(D86,HELPER!$B:$B,HELPER!$C:$C,""),"")</f>
        <v>RM TA45-08 S724</v>
      </c>
      <c r="F86" s="27" t="str">
        <f>IFERROR(_xlfn.XLOOKUP(D86,HELPER!$B:$B,HELPER!$D:$D,""),"")</f>
        <v>Resin 7</v>
      </c>
      <c r="G86" s="27">
        <v>8</v>
      </c>
      <c r="H86" s="32">
        <v>2.3E-2</v>
      </c>
      <c r="I86" s="8">
        <f>IF(AND(H86&lt;&gt;"",IFERROR(_xlfn.XLOOKUP(D86,HELPER!$B:$B,HELPER!$E:$E,""),"")=""),"Missing price",IFERROR(_xlfn.XLOOKUP(D86,HELPER!$B:$B,HELPER!$E:$E,"")," "))</f>
        <v>14.7</v>
      </c>
      <c r="J86" s="47">
        <f>IFERROR(H86*(IF(G86=8,I86*HELPER!$G$2,BOM!I86*HELPER!$G$3))," ")</f>
        <v>6.762E-2</v>
      </c>
      <c r="K86" s="6"/>
      <c r="L86" s="14" t="str" cm="1">
        <f t="array" ref="L86">IFERROR(_xlfn.LET(_xlpm.films,Table4[Film],_xlpm.grades,Table4[Grade],_xlpm.pairs,_xlfn._xlws.FILTER(_xlfn.HSTACK(_xlpm.films,_xlpm.grades),(_xlpm.films&lt;&gt;"")*(TRIM(_xlpm.grades)&lt;&gt;"")),_xlpm.uniquePairs,_xlfn.UNIQUE(_xlpm.pairs),_xlpm.sortedPairs,_xlfn._xlws.SORT(_xlpm.uniquePairs,1,1),INDEX(_xlpm.sortedPairs,ROWS($L$2:L86),1)),"")</f>
        <v/>
      </c>
      <c r="M86" s="15" t="str" cm="1">
        <f t="array" ref="M86">IFERROR(_xlfn.LET(_xlpm.films,Table4[Film],_xlpm.grades,Table4[Grade],_xlpm.pairs,_xlfn._xlws.FILTER(_xlfn.HSTACK(_xlpm.films,_xlpm.grades),(_xlpm.films&lt;&gt;"")*(TRIM(_xlpm.grades)&lt;&gt;"")),_xlpm.uniquePairs,_xlfn.UNIQUE(_xlpm.pairs),_xlpm.sortedPairs,_xlfn._xlws.SORT(_xlpm.uniquePairs,1,1),INDEX(_xlpm.sortedPairs,ROWS($M$2:M86),2)),"")</f>
        <v/>
      </c>
      <c r="N86" s="15" t="str" cm="1">
        <f t="array" ref="N86">IF(OR(Table2[[#This Row],[Film]]="",Table2[[#This Row],[Grade]]=""),"",IFERROR(INDEX(Table4[Serial Number],MATCH(1,(Table4[Film]=Table2[[#This Row],[Film]])*(Table4[Grade]=Table2[[#This Row],[Grade]]),0)),""))</f>
        <v/>
      </c>
      <c r="O86" s="51" t="str">
        <f>IF(OR(Table2[[#This Row],[Film]]="",Table2[[#This Row],[Grade]]=""),"",SUMIFS(Table4[Price Calculated(€) Thickness &amp; QTY related],Table4[Film],Table2[[#This Row],[Film]],Table4[Grade],Table2[[#This Row],[Grade]]))</f>
        <v/>
      </c>
      <c r="P86" s="6"/>
      <c r="T86" s="6"/>
    </row>
    <row r="87" spans="1:20">
      <c r="A87" s="29" t="s">
        <v>179</v>
      </c>
      <c r="B87" s="29" t="s">
        <v>7</v>
      </c>
      <c r="C87" s="28"/>
      <c r="D87" s="28" t="str">
        <f>IF(C87="","",IFERROR(_xlfn.XLOOKUP(C87,HELPER!$A$2:$A$81,HELPER!$B$2:$B$81,""),D87))</f>
        <v/>
      </c>
      <c r="E87" s="28" t="str">
        <f>IFERROR(_xlfn.XLOOKUP(D87,HELPER!$B:$B,HELPER!$C:$C,""),"")</f>
        <v/>
      </c>
      <c r="F87" s="27" t="str">
        <f>IFERROR(_xlfn.XLOOKUP(D87,HELPER!$B:$B,HELPER!$D:$D,""),"")</f>
        <v/>
      </c>
      <c r="G87" s="27">
        <v>8</v>
      </c>
      <c r="I87" s="8" t="str">
        <f>IF(AND(H87&lt;&gt;"",IFERROR(_xlfn.XLOOKUP(D87,HELPER!$B:$B,HELPER!$E:$E,""),"")=""),"Missing price",IFERROR(_xlfn.XLOOKUP(D87,HELPER!$B:$B,HELPER!$E:$E,"")," "))</f>
        <v/>
      </c>
      <c r="J87" s="47" t="str">
        <f>IFERROR(H87*(IF(G87=8,I87*HELPER!$G$2,BOM!I87*HELPER!$G$3))," ")</f>
        <v xml:space="preserve"> </v>
      </c>
      <c r="K87" s="6"/>
      <c r="L87" s="14" t="str" cm="1">
        <f t="array" ref="L87">IFERROR(_xlfn.LET(_xlpm.films,Table4[Film],_xlpm.grades,Table4[Grade],_xlpm.pairs,_xlfn._xlws.FILTER(_xlfn.HSTACK(_xlpm.films,_xlpm.grades),(_xlpm.films&lt;&gt;"")*(TRIM(_xlpm.grades)&lt;&gt;"")),_xlpm.uniquePairs,_xlfn.UNIQUE(_xlpm.pairs),_xlpm.sortedPairs,_xlfn._xlws.SORT(_xlpm.uniquePairs,1,1),INDEX(_xlpm.sortedPairs,ROWS($L$2:L87),1)),"")</f>
        <v/>
      </c>
      <c r="M87" s="15" t="str" cm="1">
        <f t="array" ref="M87">IFERROR(_xlfn.LET(_xlpm.films,Table4[Film],_xlpm.grades,Table4[Grade],_xlpm.pairs,_xlfn._xlws.FILTER(_xlfn.HSTACK(_xlpm.films,_xlpm.grades),(_xlpm.films&lt;&gt;"")*(TRIM(_xlpm.grades)&lt;&gt;"")),_xlpm.uniquePairs,_xlfn.UNIQUE(_xlpm.pairs),_xlpm.sortedPairs,_xlfn._xlws.SORT(_xlpm.uniquePairs,1,1),INDEX(_xlpm.sortedPairs,ROWS($M$2:M87),2)),"")</f>
        <v/>
      </c>
      <c r="N87" s="15" t="str" cm="1">
        <f t="array" ref="N87">IF(OR(Table2[[#This Row],[Film]]="",Table2[[#This Row],[Grade]]=""),"",IFERROR(INDEX(Table4[Serial Number],MATCH(1,(Table4[Film]=Table2[[#This Row],[Film]])*(Table4[Grade]=Table2[[#This Row],[Grade]]),0)),""))</f>
        <v/>
      </c>
      <c r="O87" s="51" t="str">
        <f>IF(OR(Table2[[#This Row],[Film]]="",Table2[[#This Row],[Grade]]=""),"",SUMIFS(Table4[Price Calculated(€) Thickness &amp; QTY related],Table4[Film],Table2[[#This Row],[Film]],Table4[Grade],Table2[[#This Row],[Grade]]))</f>
        <v/>
      </c>
      <c r="P87" s="6"/>
      <c r="T87" s="6"/>
    </row>
    <row r="88" spans="1:20">
      <c r="A88" s="29" t="s">
        <v>179</v>
      </c>
      <c r="B88" s="29" t="s">
        <v>7</v>
      </c>
      <c r="C88" s="28"/>
      <c r="D88" s="28" t="str">
        <f>IF(C88="","",IFERROR(_xlfn.XLOOKUP(C88,HELPER!$A$2:$A$81,HELPER!$B$2:$B$81,""),D88))</f>
        <v/>
      </c>
      <c r="E88" s="28" t="str">
        <f>IFERROR(_xlfn.XLOOKUP(D88,HELPER!$B:$B,HELPER!$C:$C,""),"")</f>
        <v/>
      </c>
      <c r="F88" s="27" t="str">
        <f>IFERROR(_xlfn.XLOOKUP(D88,HELPER!$B:$B,HELPER!$D:$D,""),"")</f>
        <v/>
      </c>
      <c r="G88" s="27">
        <v>8</v>
      </c>
      <c r="I88" s="8" t="str">
        <f>IF(AND(H88&lt;&gt;"",IFERROR(_xlfn.XLOOKUP(D88,HELPER!$B:$B,HELPER!$E:$E,""),"")=""),"Missing price",IFERROR(_xlfn.XLOOKUP(D88,HELPER!$B:$B,HELPER!$E:$E,"")," "))</f>
        <v/>
      </c>
      <c r="J88" s="47" t="str">
        <f>IFERROR(H88*(IF(G88=8,I88*HELPER!$G$2,BOM!I88*HELPER!$G$3))," ")</f>
        <v xml:space="preserve"> </v>
      </c>
      <c r="K88" s="6"/>
      <c r="L88" s="14" t="str" cm="1">
        <f t="array" ref="L88">IFERROR(_xlfn.LET(_xlpm.films,Table4[Film],_xlpm.grades,Table4[Grade],_xlpm.pairs,_xlfn._xlws.FILTER(_xlfn.HSTACK(_xlpm.films,_xlpm.grades),(_xlpm.films&lt;&gt;"")*(TRIM(_xlpm.grades)&lt;&gt;"")),_xlpm.uniquePairs,_xlfn.UNIQUE(_xlpm.pairs),_xlpm.sortedPairs,_xlfn._xlws.SORT(_xlpm.uniquePairs,1,1),INDEX(_xlpm.sortedPairs,ROWS($L$2:L88),1)),"")</f>
        <v/>
      </c>
      <c r="M88" s="15" t="str" cm="1">
        <f t="array" ref="M88">IFERROR(_xlfn.LET(_xlpm.films,Table4[Film],_xlpm.grades,Table4[Grade],_xlpm.pairs,_xlfn._xlws.FILTER(_xlfn.HSTACK(_xlpm.films,_xlpm.grades),(_xlpm.films&lt;&gt;"")*(TRIM(_xlpm.grades)&lt;&gt;"")),_xlpm.uniquePairs,_xlfn.UNIQUE(_xlpm.pairs),_xlpm.sortedPairs,_xlfn._xlws.SORT(_xlpm.uniquePairs,1,1),INDEX(_xlpm.sortedPairs,ROWS($M$2:M88),2)),"")</f>
        <v/>
      </c>
      <c r="N88" s="15" t="str" cm="1">
        <f t="array" ref="N88">IF(OR(Table2[[#This Row],[Film]]="",Table2[[#This Row],[Grade]]=""),"",IFERROR(INDEX(Table4[Serial Number],MATCH(1,(Table4[Film]=Table2[[#This Row],[Film]])*(Table4[Grade]=Table2[[#This Row],[Grade]]),0)),""))</f>
        <v/>
      </c>
      <c r="O88" s="51" t="str">
        <f>IF(OR(Table2[[#This Row],[Film]]="",Table2[[#This Row],[Grade]]=""),"",SUMIFS(Table4[Price Calculated(€) Thickness &amp; QTY related],Table4[Film],Table2[[#This Row],[Film]],Table4[Grade],Table2[[#This Row],[Grade]]))</f>
        <v/>
      </c>
      <c r="P88" s="6"/>
      <c r="T88" s="6"/>
    </row>
    <row r="89" spans="1:20">
      <c r="A89" s="29" t="s">
        <v>179</v>
      </c>
      <c r="B89" s="29" t="s">
        <v>7</v>
      </c>
      <c r="C89" s="28"/>
      <c r="D89" s="28" t="str">
        <f>IF(C89="","",IFERROR(_xlfn.XLOOKUP(C89,HELPER!$A$2:$A$81,HELPER!$B$2:$B$81,""),D89))</f>
        <v/>
      </c>
      <c r="E89" s="28" t="str">
        <f>IFERROR(_xlfn.XLOOKUP(D89,HELPER!$B:$B,HELPER!$C:$C,""),"")</f>
        <v/>
      </c>
      <c r="F89" s="27" t="str">
        <f>IFERROR(_xlfn.XLOOKUP(D89,HELPER!$B:$B,HELPER!$D:$D,""),"")</f>
        <v/>
      </c>
      <c r="G89" s="27">
        <v>8</v>
      </c>
      <c r="I89" s="8" t="str">
        <f>IF(AND(H89&lt;&gt;"",IFERROR(_xlfn.XLOOKUP(D89,HELPER!$B:$B,HELPER!$E:$E,""),"")=""),"Missing price",IFERROR(_xlfn.XLOOKUP(D89,HELPER!$B:$B,HELPER!$E:$E,"")," "))</f>
        <v/>
      </c>
      <c r="J89" s="47" t="str">
        <f>IFERROR(H89*(IF(G89=8,I89*HELPER!$G$2,BOM!I89*HELPER!$G$3))," ")</f>
        <v xml:space="preserve"> </v>
      </c>
      <c r="K89" s="6"/>
      <c r="L89" s="14" t="str" cm="1">
        <f t="array" ref="L89">IFERROR(_xlfn.LET(_xlpm.films,Table4[Film],_xlpm.grades,Table4[Grade],_xlpm.pairs,_xlfn._xlws.FILTER(_xlfn.HSTACK(_xlpm.films,_xlpm.grades),(_xlpm.films&lt;&gt;"")*(TRIM(_xlpm.grades)&lt;&gt;"")),_xlpm.uniquePairs,_xlfn.UNIQUE(_xlpm.pairs),_xlpm.sortedPairs,_xlfn._xlws.SORT(_xlpm.uniquePairs,1,1),INDEX(_xlpm.sortedPairs,ROWS($L$2:L89),1)),"")</f>
        <v/>
      </c>
      <c r="M89" s="15" t="str" cm="1">
        <f t="array" ref="M89">IFERROR(_xlfn.LET(_xlpm.films,Table4[Film],_xlpm.grades,Table4[Grade],_xlpm.pairs,_xlfn._xlws.FILTER(_xlfn.HSTACK(_xlpm.films,_xlpm.grades),(_xlpm.films&lt;&gt;"")*(TRIM(_xlpm.grades)&lt;&gt;"")),_xlpm.uniquePairs,_xlfn.UNIQUE(_xlpm.pairs),_xlpm.sortedPairs,_xlfn._xlws.SORT(_xlpm.uniquePairs,1,1),INDEX(_xlpm.sortedPairs,ROWS($M$2:M89),2)),"")</f>
        <v/>
      </c>
      <c r="N89" s="15" t="str" cm="1">
        <f t="array" ref="N89">IF(OR(Table2[[#This Row],[Film]]="",Table2[[#This Row],[Grade]]=""),"",IFERROR(INDEX(Table4[Serial Number],MATCH(1,(Table4[Film]=Table2[[#This Row],[Film]])*(Table4[Grade]=Table2[[#This Row],[Grade]]),0)),""))</f>
        <v/>
      </c>
      <c r="O89" s="51" t="str">
        <f>IF(OR(Table2[[#This Row],[Film]]="",Table2[[#This Row],[Grade]]=""),"",SUMIFS(Table4[Price Calculated(€) Thickness &amp; QTY related],Table4[Film],Table2[[#This Row],[Film]],Table4[Grade],Table2[[#This Row],[Grade]]))</f>
        <v/>
      </c>
      <c r="P89" s="6"/>
      <c r="T89" s="6"/>
    </row>
    <row r="90" spans="1:20">
      <c r="A90" s="29" t="s">
        <v>179</v>
      </c>
      <c r="B90" s="29" t="s">
        <v>7</v>
      </c>
      <c r="C90" s="28"/>
      <c r="D90" s="28" t="str">
        <f>IF(C90="","",IFERROR(_xlfn.XLOOKUP(C90,HELPER!$A$2:$A$81,HELPER!$B$2:$B$81,""),D90))</f>
        <v/>
      </c>
      <c r="E90" s="28" t="str">
        <f>IFERROR(_xlfn.XLOOKUP(D90,HELPER!$B:$B,HELPER!$C:$C,""),"")</f>
        <v/>
      </c>
      <c r="F90" s="27" t="str">
        <f>IFERROR(_xlfn.XLOOKUP(D90,HELPER!$B:$B,HELPER!$D:$D,""),"")</f>
        <v/>
      </c>
      <c r="G90" s="27">
        <v>8</v>
      </c>
      <c r="I90" s="8" t="str">
        <f>IF(AND(H90&lt;&gt;"",IFERROR(_xlfn.XLOOKUP(D90,HELPER!$B:$B,HELPER!$E:$E,""),"")=""),"Missing price",IFERROR(_xlfn.XLOOKUP(D90,HELPER!$B:$B,HELPER!$E:$E,"")," "))</f>
        <v/>
      </c>
      <c r="J90" s="47" t="str">
        <f>IFERROR(H90*(IF(G90=8,I90*HELPER!$G$2,BOM!I90*HELPER!$G$3))," ")</f>
        <v xml:space="preserve"> </v>
      </c>
      <c r="K90" s="6"/>
      <c r="L90" s="14" t="str" cm="1">
        <f t="array" ref="L90">IFERROR(_xlfn.LET(_xlpm.films,Table4[Film],_xlpm.grades,Table4[Grade],_xlpm.pairs,_xlfn._xlws.FILTER(_xlfn.HSTACK(_xlpm.films,_xlpm.grades),(_xlpm.films&lt;&gt;"")*(TRIM(_xlpm.grades)&lt;&gt;"")),_xlpm.uniquePairs,_xlfn.UNIQUE(_xlpm.pairs),_xlpm.sortedPairs,_xlfn._xlws.SORT(_xlpm.uniquePairs,1,1),INDEX(_xlpm.sortedPairs,ROWS($L$2:L90),1)),"")</f>
        <v/>
      </c>
      <c r="M90" s="15" t="str" cm="1">
        <f t="array" ref="M90">IFERROR(_xlfn.LET(_xlpm.films,Table4[Film],_xlpm.grades,Table4[Grade],_xlpm.pairs,_xlfn._xlws.FILTER(_xlfn.HSTACK(_xlpm.films,_xlpm.grades),(_xlpm.films&lt;&gt;"")*(TRIM(_xlpm.grades)&lt;&gt;"")),_xlpm.uniquePairs,_xlfn.UNIQUE(_xlpm.pairs),_xlpm.sortedPairs,_xlfn._xlws.SORT(_xlpm.uniquePairs,1,1),INDEX(_xlpm.sortedPairs,ROWS($M$2:M90),2)),"")</f>
        <v/>
      </c>
      <c r="N90" s="15" t="str" cm="1">
        <f t="array" ref="N90">IF(OR(Table2[[#This Row],[Film]]="",Table2[[#This Row],[Grade]]=""),"",IFERROR(INDEX(Table4[Serial Number],MATCH(1,(Table4[Film]=Table2[[#This Row],[Film]])*(Table4[Grade]=Table2[[#This Row],[Grade]]),0)),""))</f>
        <v/>
      </c>
      <c r="O90" s="51" t="str">
        <f>IF(OR(Table2[[#This Row],[Film]]="",Table2[[#This Row],[Grade]]=""),"",SUMIFS(Table4[Price Calculated(€) Thickness &amp; QTY related],Table4[Film],Table2[[#This Row],[Film]],Table4[Grade],Table2[[#This Row],[Grade]]))</f>
        <v/>
      </c>
      <c r="P90" s="6"/>
      <c r="T90" s="6"/>
    </row>
    <row r="91" spans="1:20">
      <c r="A91" s="29" t="s">
        <v>179</v>
      </c>
      <c r="B91" s="29" t="s">
        <v>7</v>
      </c>
      <c r="C91" s="28"/>
      <c r="D91" s="28" t="str">
        <f>IF(C91="","",IFERROR(_xlfn.XLOOKUP(C91,HELPER!$A$2:$A$81,HELPER!$B$2:$B$81,""),D91))</f>
        <v/>
      </c>
      <c r="E91" s="28" t="str">
        <f>IFERROR(_xlfn.XLOOKUP(D91,HELPER!$B:$B,HELPER!$C:$C,""),"")</f>
        <v/>
      </c>
      <c r="F91" s="27" t="str">
        <f>IFERROR(_xlfn.XLOOKUP(D91,HELPER!$B:$B,HELPER!$D:$D,""),"")</f>
        <v/>
      </c>
      <c r="G91" s="27">
        <v>8</v>
      </c>
      <c r="I91" s="8" t="str">
        <f>IF(AND(H91&lt;&gt;"",IFERROR(_xlfn.XLOOKUP(D91,HELPER!$B:$B,HELPER!$E:$E,""),"")=""),"Missing price",IFERROR(_xlfn.XLOOKUP(D91,HELPER!$B:$B,HELPER!$E:$E,"")," "))</f>
        <v/>
      </c>
      <c r="J91" s="47" t="str">
        <f>IFERROR(H91*(IF(G91=8,I91*HELPER!$G$2,BOM!I91*HELPER!$G$3))," ")</f>
        <v xml:space="preserve"> </v>
      </c>
      <c r="K91" s="6"/>
      <c r="L91" s="14" t="str" cm="1">
        <f t="array" ref="L91">IFERROR(_xlfn.LET(_xlpm.films,Table4[Film],_xlpm.grades,Table4[Grade],_xlpm.pairs,_xlfn._xlws.FILTER(_xlfn.HSTACK(_xlpm.films,_xlpm.grades),(_xlpm.films&lt;&gt;"")*(TRIM(_xlpm.grades)&lt;&gt;"")),_xlpm.uniquePairs,_xlfn.UNIQUE(_xlpm.pairs),_xlpm.sortedPairs,_xlfn._xlws.SORT(_xlpm.uniquePairs,1,1),INDEX(_xlpm.sortedPairs,ROWS($L$2:L91),1)),"")</f>
        <v/>
      </c>
      <c r="M91" s="15" t="str" cm="1">
        <f t="array" ref="M91">IFERROR(_xlfn.LET(_xlpm.films,Table4[Film],_xlpm.grades,Table4[Grade],_xlpm.pairs,_xlfn._xlws.FILTER(_xlfn.HSTACK(_xlpm.films,_xlpm.grades),(_xlpm.films&lt;&gt;"")*(TRIM(_xlpm.grades)&lt;&gt;"")),_xlpm.uniquePairs,_xlfn.UNIQUE(_xlpm.pairs),_xlpm.sortedPairs,_xlfn._xlws.SORT(_xlpm.uniquePairs,1,1),INDEX(_xlpm.sortedPairs,ROWS($M$2:M91),2)),"")</f>
        <v/>
      </c>
      <c r="N91" s="15" t="str" cm="1">
        <f t="array" ref="N91">IF(OR(Table2[[#This Row],[Film]]="",Table2[[#This Row],[Grade]]=""),"",IFERROR(INDEX(Table4[Serial Number],MATCH(1,(Table4[Film]=Table2[[#This Row],[Film]])*(Table4[Grade]=Table2[[#This Row],[Grade]]),0)),""))</f>
        <v/>
      </c>
      <c r="O91" s="51" t="str">
        <f>IF(OR(Table2[[#This Row],[Film]]="",Table2[[#This Row],[Grade]]=""),"",SUMIFS(Table4[Price Calculated(€) Thickness &amp; QTY related],Table4[Film],Table2[[#This Row],[Film]],Table4[Grade],Table2[[#This Row],[Grade]]))</f>
        <v/>
      </c>
      <c r="P91" s="6"/>
      <c r="T91" s="6"/>
    </row>
    <row r="92" spans="1:20" hidden="1">
      <c r="A92" s="29" t="s">
        <v>51</v>
      </c>
      <c r="B92" s="29" t="s">
        <v>5</v>
      </c>
      <c r="C92" s="28" t="s">
        <v>13</v>
      </c>
      <c r="D92" s="28" t="str">
        <f>IF(C92="","",IFERROR(_xlfn.XLOOKUP(C92,HELPER!$A$2:$A$81,HELPER!$B$2:$B$81,""),D92))</f>
        <v>LX175</v>
      </c>
      <c r="E92" s="28" t="str">
        <f>IFERROR(_xlfn.XLOOKUP(D92,HELPER!$B:$B,HELPER!$C:$C,""),"")</f>
        <v>RMLX175</v>
      </c>
      <c r="F92" s="27" t="str">
        <f>IFERROR(_xlfn.XLOOKUP(D92,HELPER!$B:$B,HELPER!$D:$D,""),"")</f>
        <v>Resin 1A</v>
      </c>
      <c r="G92" s="27">
        <v>8</v>
      </c>
      <c r="H92" s="32">
        <v>0.79500000000000004</v>
      </c>
      <c r="I92" s="8">
        <f>IF(AND(H92&lt;&gt;"",IFERROR(_xlfn.XLOOKUP(D92,HELPER!$B:$B,HELPER!$E:$E,""),"")=""),"Missing price",IFERROR(_xlfn.XLOOKUP(D92,HELPER!$B:$B,HELPER!$E:$E,"")," "))</f>
        <v>3.17</v>
      </c>
      <c r="J92" s="47">
        <f>IFERROR(H92*(IF(G92=8,I92*HELPER!$G$2,BOM!I92*HELPER!$G$3))," ")</f>
        <v>0.50402999999999998</v>
      </c>
      <c r="K92" s="6"/>
      <c r="L92" s="14" t="str" cm="1">
        <f t="array" ref="L92">IFERROR(_xlfn.LET(_xlpm.films,Table4[Film],_xlpm.grades,Table4[Grade],_xlpm.pairs,_xlfn._xlws.FILTER(_xlfn.HSTACK(_xlpm.films,_xlpm.grades),(_xlpm.films&lt;&gt;"")*(TRIM(_xlpm.grades)&lt;&gt;"")),_xlpm.uniquePairs,_xlfn.UNIQUE(_xlpm.pairs),_xlpm.sortedPairs,_xlfn._xlws.SORT(_xlpm.uniquePairs,1,1),INDEX(_xlpm.sortedPairs,ROWS($L$2:L92),1)),"")</f>
        <v/>
      </c>
      <c r="M92" s="15" t="str" cm="1">
        <f t="array" ref="M92">IFERROR(_xlfn.LET(_xlpm.films,Table4[Film],_xlpm.grades,Table4[Grade],_xlpm.pairs,_xlfn._xlws.FILTER(_xlfn.HSTACK(_xlpm.films,_xlpm.grades),(_xlpm.films&lt;&gt;"")*(TRIM(_xlpm.grades)&lt;&gt;"")),_xlpm.uniquePairs,_xlfn.UNIQUE(_xlpm.pairs),_xlpm.sortedPairs,_xlfn._xlws.SORT(_xlpm.uniquePairs,1,1),INDEX(_xlpm.sortedPairs,ROWS($M$2:M92),2)),"")</f>
        <v/>
      </c>
      <c r="N92" s="15" t="str" cm="1">
        <f t="array" ref="N92">IF(OR(Table2[[#This Row],[Film]]="",Table2[[#This Row],[Grade]]=""),"",IFERROR(INDEX(Table4[Serial Number],MATCH(1,(Table4[Film]=Table2[[#This Row],[Film]])*(Table4[Grade]=Table2[[#This Row],[Grade]]),0)),""))</f>
        <v/>
      </c>
      <c r="O92" s="51" t="str">
        <f>IF(OR(Table2[[#This Row],[Film]]="",Table2[[#This Row],[Grade]]=""),"",SUMIFS(Table4[Price Calculated(€) Thickness &amp; QTY related],Table4[Film],Table2[[#This Row],[Film]],Table4[Grade],Table2[[#This Row],[Grade]]))</f>
        <v/>
      </c>
      <c r="P92" s="6"/>
      <c r="T92" s="6"/>
    </row>
    <row r="93" spans="1:20" hidden="1">
      <c r="A93" s="29" t="s">
        <v>51</v>
      </c>
      <c r="B93" s="29" t="s">
        <v>5</v>
      </c>
      <c r="C93" s="28" t="s">
        <v>15</v>
      </c>
      <c r="D93" s="28" t="str">
        <f>IF(C93="","",IFERROR(_xlfn.XLOOKUP(C93,HELPER!$A$2:$A$81,HELPER!$B$2:$B$81,""),D93))</f>
        <v>P65D</v>
      </c>
      <c r="E93" s="28" t="str">
        <f>IFERROR(_xlfn.XLOOKUP(D93,HELPER!$B:$B,HELPER!$C:$C,""),"")</f>
        <v>RMP65D</v>
      </c>
      <c r="F93" s="27" t="str">
        <f>IFERROR(_xlfn.XLOOKUP(D93,HELPER!$B:$B,HELPER!$D:$D,""),"")</f>
        <v>Resin 4A</v>
      </c>
      <c r="G93" s="27">
        <v>8</v>
      </c>
      <c r="H93" s="32">
        <v>0.19</v>
      </c>
      <c r="I93" s="8">
        <f>IF(AND(H93&lt;&gt;"",IFERROR(_xlfn.XLOOKUP(D93,HELPER!$B:$B,HELPER!$E:$E,""),"")=""),"Missing price",IFERROR(_xlfn.XLOOKUP(D93,HELPER!$B:$B,HELPER!$E:$E,"")," "))</f>
        <v>7.3</v>
      </c>
      <c r="J93" s="47">
        <f>IFERROR(H93*(IF(G93=8,I93*HELPER!$G$2,BOM!I93*HELPER!$G$3))," ")</f>
        <v>0.27739999999999998</v>
      </c>
      <c r="K93" s="6"/>
      <c r="L93" s="14" t="str" cm="1">
        <f t="array" ref="L93">IFERROR(_xlfn.LET(_xlpm.films,Table4[Film],_xlpm.grades,Table4[Grade],_xlpm.pairs,_xlfn._xlws.FILTER(_xlfn.HSTACK(_xlpm.films,_xlpm.grades),(_xlpm.films&lt;&gt;"")*(TRIM(_xlpm.grades)&lt;&gt;"")),_xlpm.uniquePairs,_xlfn.UNIQUE(_xlpm.pairs),_xlpm.sortedPairs,_xlfn._xlws.SORT(_xlpm.uniquePairs,1,1),INDEX(_xlpm.sortedPairs,ROWS($L$2:L93),1)),"")</f>
        <v/>
      </c>
      <c r="M93" s="15" t="str" cm="1">
        <f t="array" ref="M93">IFERROR(_xlfn.LET(_xlpm.films,Table4[Film],_xlpm.grades,Table4[Grade],_xlpm.pairs,_xlfn._xlws.FILTER(_xlfn.HSTACK(_xlpm.films,_xlpm.grades),(_xlpm.films&lt;&gt;"")*(TRIM(_xlpm.grades)&lt;&gt;"")),_xlpm.uniquePairs,_xlfn.UNIQUE(_xlpm.pairs),_xlpm.sortedPairs,_xlfn._xlws.SORT(_xlpm.uniquePairs,1,1),INDEX(_xlpm.sortedPairs,ROWS($M$2:M93),2)),"")</f>
        <v/>
      </c>
      <c r="N93" s="15" t="str" cm="1">
        <f t="array" ref="N93">IF(OR(Table2[[#This Row],[Film]]="",Table2[[#This Row],[Grade]]=""),"",IFERROR(INDEX(Table4[Serial Number],MATCH(1,(Table4[Film]=Table2[[#This Row],[Film]])*(Table4[Grade]=Table2[[#This Row],[Grade]]),0)),""))</f>
        <v/>
      </c>
      <c r="O93" s="51" t="str">
        <f>IF(OR(Table2[[#This Row],[Film]]="",Table2[[#This Row],[Grade]]=""),"",SUMIFS(Table4[Price Calculated(€) Thickness &amp; QTY related],Table4[Film],Table2[[#This Row],[Film]],Table4[Grade],Table2[[#This Row],[Grade]]))</f>
        <v/>
      </c>
      <c r="P93" s="6"/>
      <c r="T93" s="6"/>
    </row>
    <row r="94" spans="1:20" hidden="1">
      <c r="A94" s="29" t="s">
        <v>51</v>
      </c>
      <c r="B94" s="29" t="s">
        <v>5</v>
      </c>
      <c r="C94" s="28" t="s">
        <v>16</v>
      </c>
      <c r="D94" s="28" t="str">
        <f>IF(C94="","",IFERROR(_xlfn.XLOOKUP(C94,HELPER!$A$2:$A$81,HELPER!$B$2:$B$81,""),D94))</f>
        <v>S723</v>
      </c>
      <c r="E94" s="28" t="str">
        <f>IFERROR(_xlfn.XLOOKUP(D94,HELPER!$B:$B,HELPER!$C:$C,""),"")</f>
        <v>RM TA45-08 S723</v>
      </c>
      <c r="F94" s="27" t="str">
        <f>IFERROR(_xlfn.XLOOKUP(D94,HELPER!$B:$B,HELPER!$D:$D,""),"")</f>
        <v>Resin 6</v>
      </c>
      <c r="G94" s="27">
        <v>8</v>
      </c>
      <c r="H94" s="32">
        <v>1.4999999999999999E-2</v>
      </c>
      <c r="I94" s="8">
        <f>IF(AND(H94&lt;&gt;"",IFERROR(_xlfn.XLOOKUP(D94,HELPER!$B:$B,HELPER!$E:$E,""),"")=""),"Missing price",IFERROR(_xlfn.XLOOKUP(D94,HELPER!$B:$B,HELPER!$E:$E,"")," "))</f>
        <v>16.16</v>
      </c>
      <c r="J94" s="47">
        <f>IFERROR(H94*(IF(G94=8,I94*HELPER!$G$2,BOM!I94*HELPER!$G$3))," ")</f>
        <v>4.8480000000000002E-2</v>
      </c>
      <c r="K94" s="6"/>
      <c r="L94" s="14" t="str" cm="1">
        <f t="array" ref="L94">IFERROR(_xlfn.LET(_xlpm.films,Table4[Film],_xlpm.grades,Table4[Grade],_xlpm.pairs,_xlfn._xlws.FILTER(_xlfn.HSTACK(_xlpm.films,_xlpm.grades),(_xlpm.films&lt;&gt;"")*(TRIM(_xlpm.grades)&lt;&gt;"")),_xlpm.uniquePairs,_xlfn.UNIQUE(_xlpm.pairs),_xlpm.sortedPairs,_xlfn._xlws.SORT(_xlpm.uniquePairs,1,1),INDEX(_xlpm.sortedPairs,ROWS($L$2:L94),1)),"")</f>
        <v/>
      </c>
      <c r="M94" s="15" t="str" cm="1">
        <f t="array" ref="M94">IFERROR(_xlfn.LET(_xlpm.films,Table4[Film],_xlpm.grades,Table4[Grade],_xlpm.pairs,_xlfn._xlws.FILTER(_xlfn.HSTACK(_xlpm.films,_xlpm.grades),(_xlpm.films&lt;&gt;"")*(TRIM(_xlpm.grades)&lt;&gt;"")),_xlpm.uniquePairs,_xlfn.UNIQUE(_xlpm.pairs),_xlpm.sortedPairs,_xlfn._xlws.SORT(_xlpm.uniquePairs,1,1),INDEX(_xlpm.sortedPairs,ROWS($M$2:M94),2)),"")</f>
        <v/>
      </c>
      <c r="N94" s="15" t="str" cm="1">
        <f t="array" ref="N94">IF(OR(Table2[[#This Row],[Film]]="",Table2[[#This Row],[Grade]]=""),"",IFERROR(INDEX(Table4[Serial Number],MATCH(1,(Table4[Film]=Table2[[#This Row],[Film]])*(Table4[Grade]=Table2[[#This Row],[Grade]]),0)),""))</f>
        <v/>
      </c>
      <c r="O94" s="51" t="str">
        <f>IF(OR(Table2[[#This Row],[Film]]="",Table2[[#This Row],[Grade]]=""),"",SUMIFS(Table4[Price Calculated(€) Thickness &amp; QTY related],Table4[Film],Table2[[#This Row],[Film]],Table4[Grade],Table2[[#This Row],[Grade]]))</f>
        <v/>
      </c>
      <c r="P94" s="6"/>
      <c r="T94" s="6"/>
    </row>
    <row r="95" spans="1:20" hidden="1">
      <c r="A95" s="29" t="s">
        <v>51</v>
      </c>
      <c r="B95" s="29" t="s">
        <v>5</v>
      </c>
      <c r="C95" s="28"/>
      <c r="D95" s="28" t="str">
        <f>IF(C95="","",IFERROR(_xlfn.XLOOKUP(C95,HELPER!$A$2:$A$81,HELPER!$B$2:$B$81,""),D95))</f>
        <v/>
      </c>
      <c r="E95" s="28" t="str">
        <f>IFERROR(_xlfn.XLOOKUP(D95,HELPER!$B:$B,HELPER!$C:$C,""),"")</f>
        <v/>
      </c>
      <c r="F95" s="27" t="str">
        <f>IFERROR(_xlfn.XLOOKUP(D95,HELPER!$B:$B,HELPER!$D:$D,""),"")</f>
        <v/>
      </c>
      <c r="G95" s="27">
        <v>8</v>
      </c>
      <c r="I95" s="8" t="str">
        <f>IF(AND(H95&lt;&gt;"",IFERROR(_xlfn.XLOOKUP(D95,HELPER!$B:$B,HELPER!$E:$E,""),"")=""),"Missing price",IFERROR(_xlfn.XLOOKUP(D95,HELPER!$B:$B,HELPER!$E:$E,"")," "))</f>
        <v/>
      </c>
      <c r="J95" s="47" t="str">
        <f>IFERROR(H95*(IF(G95=8,I95*HELPER!$G$2,BOM!I95*HELPER!$G$3))," ")</f>
        <v xml:space="preserve"> </v>
      </c>
      <c r="K95" s="6"/>
      <c r="L95" s="14" t="str" cm="1">
        <f t="array" ref="L95">IFERROR(_xlfn.LET(_xlpm.films,Table4[Film],_xlpm.grades,Table4[Grade],_xlpm.pairs,_xlfn._xlws.FILTER(_xlfn.HSTACK(_xlpm.films,_xlpm.grades),(_xlpm.films&lt;&gt;"")*(TRIM(_xlpm.grades)&lt;&gt;"")),_xlpm.uniquePairs,_xlfn.UNIQUE(_xlpm.pairs),_xlpm.sortedPairs,_xlfn._xlws.SORT(_xlpm.uniquePairs,1,1),INDEX(_xlpm.sortedPairs,ROWS($L$2:L95),1)),"")</f>
        <v/>
      </c>
      <c r="M95" s="15" t="str" cm="1">
        <f t="array" ref="M95">IFERROR(_xlfn.LET(_xlpm.films,Table4[Film],_xlpm.grades,Table4[Grade],_xlpm.pairs,_xlfn._xlws.FILTER(_xlfn.HSTACK(_xlpm.films,_xlpm.grades),(_xlpm.films&lt;&gt;"")*(TRIM(_xlpm.grades)&lt;&gt;"")),_xlpm.uniquePairs,_xlfn.UNIQUE(_xlpm.pairs),_xlpm.sortedPairs,_xlfn._xlws.SORT(_xlpm.uniquePairs,1,1),INDEX(_xlpm.sortedPairs,ROWS($M$2:M95),2)),"")</f>
        <v/>
      </c>
      <c r="N95" s="15" t="str" cm="1">
        <f t="array" ref="N95">IF(OR(Table2[[#This Row],[Film]]="",Table2[[#This Row],[Grade]]=""),"",IFERROR(INDEX(Table4[Serial Number],MATCH(1,(Table4[Film]=Table2[[#This Row],[Film]])*(Table4[Grade]=Table2[[#This Row],[Grade]]),0)),""))</f>
        <v/>
      </c>
      <c r="O95" s="51" t="str">
        <f>IF(OR(Table2[[#This Row],[Film]]="",Table2[[#This Row],[Grade]]=""),"",SUMIFS(Table4[Price Calculated(€) Thickness &amp; QTY related],Table4[Film],Table2[[#This Row],[Film]],Table4[Grade],Table2[[#This Row],[Grade]]))</f>
        <v/>
      </c>
      <c r="P95" s="6"/>
      <c r="T95" s="6"/>
    </row>
    <row r="96" spans="1:20" hidden="1">
      <c r="A96" s="29" t="s">
        <v>51</v>
      </c>
      <c r="B96" s="29" t="s">
        <v>5</v>
      </c>
      <c r="C96" s="28"/>
      <c r="D96" s="28" t="str">
        <f>IF(C96="","",IFERROR(_xlfn.XLOOKUP(C96,HELPER!$A$2:$A$81,HELPER!$B$2:$B$81,""),D96))</f>
        <v/>
      </c>
      <c r="E96" s="28" t="str">
        <f>IFERROR(_xlfn.XLOOKUP(D96,HELPER!$B:$B,HELPER!$C:$C,""),"")</f>
        <v/>
      </c>
      <c r="F96" s="27" t="str">
        <f>IFERROR(_xlfn.XLOOKUP(D96,HELPER!$B:$B,HELPER!$D:$D,""),"")</f>
        <v/>
      </c>
      <c r="G96" s="27">
        <v>8</v>
      </c>
      <c r="I96" s="8" t="str">
        <f>IF(AND(H96&lt;&gt;"",IFERROR(_xlfn.XLOOKUP(D96,HELPER!$B:$B,HELPER!$E:$E,""),"")=""),"Missing price",IFERROR(_xlfn.XLOOKUP(D96,HELPER!$B:$B,HELPER!$E:$E,"")," "))</f>
        <v/>
      </c>
      <c r="J96" s="47" t="str">
        <f>IFERROR(H96*(IF(G96=8,I96*HELPER!$G$2,BOM!I96*HELPER!$G$3))," ")</f>
        <v xml:space="preserve"> </v>
      </c>
      <c r="K96" s="6"/>
      <c r="L96" s="14" t="str" cm="1">
        <f t="array" ref="L96">IFERROR(_xlfn.LET(_xlpm.films,Table4[Film],_xlpm.grades,Table4[Grade],_xlpm.pairs,_xlfn._xlws.FILTER(_xlfn.HSTACK(_xlpm.films,_xlpm.grades),(_xlpm.films&lt;&gt;"")*(TRIM(_xlpm.grades)&lt;&gt;"")),_xlpm.uniquePairs,_xlfn.UNIQUE(_xlpm.pairs),_xlpm.sortedPairs,_xlfn._xlws.SORT(_xlpm.uniquePairs,1,1),INDEX(_xlpm.sortedPairs,ROWS($L$2:L96),1)),"")</f>
        <v/>
      </c>
      <c r="M96" s="15" t="str" cm="1">
        <f t="array" ref="M96">IFERROR(_xlfn.LET(_xlpm.films,Table4[Film],_xlpm.grades,Table4[Grade],_xlpm.pairs,_xlfn._xlws.FILTER(_xlfn.HSTACK(_xlpm.films,_xlpm.grades),(_xlpm.films&lt;&gt;"")*(TRIM(_xlpm.grades)&lt;&gt;"")),_xlpm.uniquePairs,_xlfn.UNIQUE(_xlpm.pairs),_xlpm.sortedPairs,_xlfn._xlws.SORT(_xlpm.uniquePairs,1,1),INDEX(_xlpm.sortedPairs,ROWS($M$2:M96),2)),"")</f>
        <v/>
      </c>
      <c r="N96" s="15" t="str" cm="1">
        <f t="array" ref="N96">IF(OR(Table2[[#This Row],[Film]]="",Table2[[#This Row],[Grade]]=""),"",IFERROR(INDEX(Table4[Serial Number],MATCH(1,(Table4[Film]=Table2[[#This Row],[Film]])*(Table4[Grade]=Table2[[#This Row],[Grade]]),0)),""))</f>
        <v/>
      </c>
      <c r="O96" s="51" t="str">
        <f>IF(OR(Table2[[#This Row],[Film]]="",Table2[[#This Row],[Grade]]=""),"",SUMIFS(Table4[Price Calculated(€) Thickness &amp; QTY related],Table4[Film],Table2[[#This Row],[Film]],Table4[Grade],Table2[[#This Row],[Grade]]))</f>
        <v/>
      </c>
      <c r="P96" s="6"/>
      <c r="T96" s="6"/>
    </row>
    <row r="97" spans="1:20" hidden="1">
      <c r="A97" s="29" t="s">
        <v>51</v>
      </c>
      <c r="B97" s="29" t="s">
        <v>5</v>
      </c>
      <c r="C97" s="28"/>
      <c r="D97" s="28" t="str">
        <f>IF(C97="","",IFERROR(_xlfn.XLOOKUP(C97,HELPER!$A$2:$A$81,HELPER!$B$2:$B$81,""),D97))</f>
        <v/>
      </c>
      <c r="E97" s="28" t="str">
        <f>IFERROR(_xlfn.XLOOKUP(D97,HELPER!$B:$B,HELPER!$C:$C,""),"")</f>
        <v/>
      </c>
      <c r="F97" s="27" t="str">
        <f>IFERROR(_xlfn.XLOOKUP(D97,HELPER!$B:$B,HELPER!$D:$D,""),"")</f>
        <v/>
      </c>
      <c r="G97" s="27">
        <v>8</v>
      </c>
      <c r="I97" s="8" t="str">
        <f>IF(AND(H97&lt;&gt;"",IFERROR(_xlfn.XLOOKUP(D97,HELPER!$B:$B,HELPER!$E:$E,""),"")=""),"Missing price",IFERROR(_xlfn.XLOOKUP(D97,HELPER!$B:$B,HELPER!$E:$E,"")," "))</f>
        <v/>
      </c>
      <c r="J97" s="47" t="str">
        <f>IFERROR(H97*(IF(G97=8,I97*HELPER!$G$2,BOM!I97*HELPER!$G$3))," ")</f>
        <v xml:space="preserve"> </v>
      </c>
      <c r="K97" s="6"/>
      <c r="L97" s="14" t="str" cm="1">
        <f t="array" ref="L97">IFERROR(_xlfn.LET(_xlpm.films,Table4[Film],_xlpm.grades,Table4[Grade],_xlpm.pairs,_xlfn._xlws.FILTER(_xlfn.HSTACK(_xlpm.films,_xlpm.grades),(_xlpm.films&lt;&gt;"")*(TRIM(_xlpm.grades)&lt;&gt;"")),_xlpm.uniquePairs,_xlfn.UNIQUE(_xlpm.pairs),_xlpm.sortedPairs,_xlfn._xlws.SORT(_xlpm.uniquePairs,1,1),INDEX(_xlpm.sortedPairs,ROWS($L$2:L97),1)),"")</f>
        <v/>
      </c>
      <c r="M97" s="15" t="str" cm="1">
        <f t="array" ref="M97">IFERROR(_xlfn.LET(_xlpm.films,Table4[Film],_xlpm.grades,Table4[Grade],_xlpm.pairs,_xlfn._xlws.FILTER(_xlfn.HSTACK(_xlpm.films,_xlpm.grades),(_xlpm.films&lt;&gt;"")*(TRIM(_xlpm.grades)&lt;&gt;"")),_xlpm.uniquePairs,_xlfn.UNIQUE(_xlpm.pairs),_xlpm.sortedPairs,_xlfn._xlws.SORT(_xlpm.uniquePairs,1,1),INDEX(_xlpm.sortedPairs,ROWS($M$2:M97),2)),"")</f>
        <v/>
      </c>
      <c r="N97" s="15" t="str" cm="1">
        <f t="array" ref="N97">IF(OR(Table2[[#This Row],[Film]]="",Table2[[#This Row],[Grade]]=""),"",IFERROR(INDEX(Table4[Serial Number],MATCH(1,(Table4[Film]=Table2[[#This Row],[Film]])*(Table4[Grade]=Table2[[#This Row],[Grade]]),0)),""))</f>
        <v/>
      </c>
      <c r="O97" s="51" t="str">
        <f>IF(OR(Table2[[#This Row],[Film]]="",Table2[[#This Row],[Grade]]=""),"",SUMIFS(Table4[Price Calculated(€) Thickness &amp; QTY related],Table4[Film],Table2[[#This Row],[Film]],Table4[Grade],Table2[[#This Row],[Grade]]))</f>
        <v/>
      </c>
      <c r="P97" s="6"/>
      <c r="T97" s="6"/>
    </row>
    <row r="98" spans="1:20" hidden="1">
      <c r="A98" s="29" t="s">
        <v>51</v>
      </c>
      <c r="B98" s="29" t="s">
        <v>5</v>
      </c>
      <c r="C98" s="28"/>
      <c r="D98" s="28" t="str">
        <f>IF(C98="","",IFERROR(_xlfn.XLOOKUP(C98,HELPER!$A$2:$A$81,HELPER!$B$2:$B$81,""),D98))</f>
        <v/>
      </c>
      <c r="E98" s="28" t="str">
        <f>IFERROR(_xlfn.XLOOKUP(D98,HELPER!$B:$B,HELPER!$C:$C,""),"")</f>
        <v/>
      </c>
      <c r="F98" s="27" t="str">
        <f>IFERROR(_xlfn.XLOOKUP(D98,HELPER!$B:$B,HELPER!$D:$D,""),"")</f>
        <v/>
      </c>
      <c r="G98" s="27">
        <v>8</v>
      </c>
      <c r="I98" s="8" t="str">
        <f>IF(AND(H98&lt;&gt;"",IFERROR(_xlfn.XLOOKUP(D98,HELPER!$B:$B,HELPER!$E:$E,""),"")=""),"Missing price",IFERROR(_xlfn.XLOOKUP(D98,HELPER!$B:$B,HELPER!$E:$E,"")," "))</f>
        <v/>
      </c>
      <c r="J98" s="47" t="str">
        <f>IFERROR(H98*(IF(G98=8,I98*HELPER!$G$2,BOM!I98*HELPER!$G$3))," ")</f>
        <v xml:space="preserve"> </v>
      </c>
      <c r="K98" s="6"/>
      <c r="L98" s="14" t="str" cm="1">
        <f t="array" ref="L98">IFERROR(_xlfn.LET(_xlpm.films,Table4[Film],_xlpm.grades,Table4[Grade],_xlpm.pairs,_xlfn._xlws.FILTER(_xlfn.HSTACK(_xlpm.films,_xlpm.grades),(_xlpm.films&lt;&gt;"")*(TRIM(_xlpm.grades)&lt;&gt;"")),_xlpm.uniquePairs,_xlfn.UNIQUE(_xlpm.pairs),_xlpm.sortedPairs,_xlfn._xlws.SORT(_xlpm.uniquePairs,1,1),INDEX(_xlpm.sortedPairs,ROWS($L$2:L98),1)),"")</f>
        <v/>
      </c>
      <c r="M98" s="15" t="str" cm="1">
        <f t="array" ref="M98">IFERROR(_xlfn.LET(_xlpm.films,Table4[Film],_xlpm.grades,Table4[Grade],_xlpm.pairs,_xlfn._xlws.FILTER(_xlfn.HSTACK(_xlpm.films,_xlpm.grades),(_xlpm.films&lt;&gt;"")*(TRIM(_xlpm.grades)&lt;&gt;"")),_xlpm.uniquePairs,_xlfn.UNIQUE(_xlpm.pairs),_xlpm.sortedPairs,_xlfn._xlws.SORT(_xlpm.uniquePairs,1,1),INDEX(_xlpm.sortedPairs,ROWS($M$2:M98),2)),"")</f>
        <v/>
      </c>
      <c r="N98" s="15" t="str" cm="1">
        <f t="array" ref="N98">IF(OR(Table2[[#This Row],[Film]]="",Table2[[#This Row],[Grade]]=""),"",IFERROR(INDEX(Table4[Serial Number],MATCH(1,(Table4[Film]=Table2[[#This Row],[Film]])*(Table4[Grade]=Table2[[#This Row],[Grade]]),0)),""))</f>
        <v/>
      </c>
      <c r="O98" s="51" t="str">
        <f>IF(OR(Table2[[#This Row],[Film]]="",Table2[[#This Row],[Grade]]=""),"",SUMIFS(Table4[Price Calculated(€) Thickness &amp; QTY related],Table4[Film],Table2[[#This Row],[Film]],Table4[Grade],Table2[[#This Row],[Grade]]))</f>
        <v/>
      </c>
      <c r="P98" s="6"/>
      <c r="T98" s="6"/>
    </row>
    <row r="99" spans="1:20" hidden="1">
      <c r="A99" s="29" t="s">
        <v>51</v>
      </c>
      <c r="B99" s="29" t="s">
        <v>5</v>
      </c>
      <c r="C99" s="28"/>
      <c r="D99" s="28" t="str">
        <f>IF(C99="","",IFERROR(_xlfn.XLOOKUP(C99,HELPER!$A$2:$A$81,HELPER!$B$2:$B$81,""),D99))</f>
        <v/>
      </c>
      <c r="E99" s="28" t="str">
        <f>IFERROR(_xlfn.XLOOKUP(D99,HELPER!$B:$B,HELPER!$C:$C,""),"")</f>
        <v/>
      </c>
      <c r="F99" s="27" t="str">
        <f>IFERROR(_xlfn.XLOOKUP(D99,HELPER!$B:$B,HELPER!$D:$D,""),"")</f>
        <v/>
      </c>
      <c r="G99" s="27">
        <v>8</v>
      </c>
      <c r="I99" s="8" t="str">
        <f>IF(AND(H99&lt;&gt;"",IFERROR(_xlfn.XLOOKUP(D99,HELPER!$B:$B,HELPER!$E:$E,""),"")=""),"Missing price",IFERROR(_xlfn.XLOOKUP(D99,HELPER!$B:$B,HELPER!$E:$E,"")," "))</f>
        <v/>
      </c>
      <c r="J99" s="47" t="str">
        <f>IFERROR(H99*(IF(G99=8,I99*HELPER!$G$2,BOM!I99*HELPER!$G$3))," ")</f>
        <v xml:space="preserve"> </v>
      </c>
      <c r="K99" s="6"/>
      <c r="L99" s="14" t="str" cm="1">
        <f t="array" ref="L99">IFERROR(_xlfn.LET(_xlpm.films,Table4[Film],_xlpm.grades,Table4[Grade],_xlpm.pairs,_xlfn._xlws.FILTER(_xlfn.HSTACK(_xlpm.films,_xlpm.grades),(_xlpm.films&lt;&gt;"")*(TRIM(_xlpm.grades)&lt;&gt;"")),_xlpm.uniquePairs,_xlfn.UNIQUE(_xlpm.pairs),_xlpm.sortedPairs,_xlfn._xlws.SORT(_xlpm.uniquePairs,1,1),INDEX(_xlpm.sortedPairs,ROWS($L$2:L99),1)),"")</f>
        <v/>
      </c>
      <c r="M99" s="15" t="str" cm="1">
        <f t="array" ref="M99">IFERROR(_xlfn.LET(_xlpm.films,Table4[Film],_xlpm.grades,Table4[Grade],_xlpm.pairs,_xlfn._xlws.FILTER(_xlfn.HSTACK(_xlpm.films,_xlpm.grades),(_xlpm.films&lt;&gt;"")*(TRIM(_xlpm.grades)&lt;&gt;"")),_xlpm.uniquePairs,_xlfn.UNIQUE(_xlpm.pairs),_xlpm.sortedPairs,_xlfn._xlws.SORT(_xlpm.uniquePairs,1,1),INDEX(_xlpm.sortedPairs,ROWS($M$2:M99),2)),"")</f>
        <v/>
      </c>
      <c r="N99" s="15" t="str" cm="1">
        <f t="array" ref="N99">IF(OR(Table2[[#This Row],[Film]]="",Table2[[#This Row],[Grade]]=""),"",IFERROR(INDEX(Table4[Serial Number],MATCH(1,(Table4[Film]=Table2[[#This Row],[Film]])*(Table4[Grade]=Table2[[#This Row],[Grade]]),0)),""))</f>
        <v/>
      </c>
      <c r="O99" s="51" t="str">
        <f>IF(OR(Table2[[#This Row],[Film]]="",Table2[[#This Row],[Grade]]=""),"",SUMIFS(Table4[Price Calculated(€) Thickness &amp; QTY related],Table4[Film],Table2[[#This Row],[Film]],Table4[Grade],Table2[[#This Row],[Grade]]))</f>
        <v/>
      </c>
      <c r="P99" s="6"/>
      <c r="T99" s="6"/>
    </row>
    <row r="100" spans="1:20" hidden="1">
      <c r="A100" s="29" t="s">
        <v>51</v>
      </c>
      <c r="B100" s="29" t="s">
        <v>5</v>
      </c>
      <c r="C100" s="28"/>
      <c r="D100" s="28" t="str">
        <f>IF(C100="","",IFERROR(_xlfn.XLOOKUP(C100,HELPER!$A$2:$A$81,HELPER!$B$2:$B$81,""),D100))</f>
        <v/>
      </c>
      <c r="E100" s="28" t="str">
        <f>IFERROR(_xlfn.XLOOKUP(D100,HELPER!$B:$B,HELPER!$C:$C,""),"")</f>
        <v/>
      </c>
      <c r="F100" s="27" t="str">
        <f>IFERROR(_xlfn.XLOOKUP(D100,HELPER!$B:$B,HELPER!$D:$D,""),"")</f>
        <v/>
      </c>
      <c r="G100" s="27">
        <v>8</v>
      </c>
      <c r="I100" s="8" t="str">
        <f>IF(AND(H100&lt;&gt;"",IFERROR(_xlfn.XLOOKUP(D100,HELPER!$B:$B,HELPER!$E:$E,""),"")=""),"Missing price",IFERROR(_xlfn.XLOOKUP(D100,HELPER!$B:$B,HELPER!$E:$E,"")," "))</f>
        <v/>
      </c>
      <c r="J100" s="47" t="str">
        <f>IFERROR(H100*(IF(G100=8,I100*HELPER!$G$2,BOM!I100*HELPER!$G$3))," ")</f>
        <v xml:space="preserve"> </v>
      </c>
      <c r="K100" s="6"/>
      <c r="L100" s="14" t="str" cm="1">
        <f t="array" ref="L100">IFERROR(_xlfn.LET(_xlpm.films,Table4[Film],_xlpm.grades,Table4[Grade],_xlpm.pairs,_xlfn._xlws.FILTER(_xlfn.HSTACK(_xlpm.films,_xlpm.grades),(_xlpm.films&lt;&gt;"")*(TRIM(_xlpm.grades)&lt;&gt;"")),_xlpm.uniquePairs,_xlfn.UNIQUE(_xlpm.pairs),_xlpm.sortedPairs,_xlfn._xlws.SORT(_xlpm.uniquePairs,1,1),INDEX(_xlpm.sortedPairs,ROWS($L$2:L100),1)),"")</f>
        <v/>
      </c>
      <c r="M100" s="15" t="str" cm="1">
        <f t="array" ref="M100">IFERROR(_xlfn.LET(_xlpm.films,Table4[Film],_xlpm.grades,Table4[Grade],_xlpm.pairs,_xlfn._xlws.FILTER(_xlfn.HSTACK(_xlpm.films,_xlpm.grades),(_xlpm.films&lt;&gt;"")*(TRIM(_xlpm.grades)&lt;&gt;"")),_xlpm.uniquePairs,_xlfn.UNIQUE(_xlpm.pairs),_xlpm.sortedPairs,_xlfn._xlws.SORT(_xlpm.uniquePairs,1,1),INDEX(_xlpm.sortedPairs,ROWS($M$2:M100),2)),"")</f>
        <v/>
      </c>
      <c r="N100" s="15" t="str" cm="1">
        <f t="array" ref="N100">IF(OR(Table2[[#This Row],[Film]]="",Table2[[#This Row],[Grade]]=""),"",IFERROR(INDEX(Table4[Serial Number],MATCH(1,(Table4[Film]=Table2[[#This Row],[Film]])*(Table4[Grade]=Table2[[#This Row],[Grade]]),0)),""))</f>
        <v/>
      </c>
      <c r="O100" s="51" t="str">
        <f>IF(OR(Table2[[#This Row],[Film]]="",Table2[[#This Row],[Grade]]=""),"",SUMIFS(Table4[Price Calculated(€) Thickness &amp; QTY related],Table4[Film],Table2[[#This Row],[Film]],Table4[Grade],Table2[[#This Row],[Grade]]))</f>
        <v/>
      </c>
      <c r="P100" s="6"/>
      <c r="T100" s="6"/>
    </row>
    <row r="101" spans="1:20" hidden="1">
      <c r="A101" s="29" t="s">
        <v>51</v>
      </c>
      <c r="B101" s="29" t="s">
        <v>5</v>
      </c>
      <c r="C101" s="28"/>
      <c r="D101" s="28" t="str">
        <f>IF(C101="","",IFERROR(_xlfn.XLOOKUP(C101,HELPER!$A$2:$A$81,HELPER!$B$2:$B$81,""),D101))</f>
        <v/>
      </c>
      <c r="E101" s="28" t="str">
        <f>IFERROR(_xlfn.XLOOKUP(D101,HELPER!$B:$B,HELPER!$C:$C,""),"")</f>
        <v/>
      </c>
      <c r="F101" s="27" t="str">
        <f>IFERROR(_xlfn.XLOOKUP(D101,HELPER!$B:$B,HELPER!$D:$D,""),"")</f>
        <v/>
      </c>
      <c r="G101" s="27">
        <v>8</v>
      </c>
      <c r="I101" s="8" t="str">
        <f>IF(AND(H101&lt;&gt;"",IFERROR(_xlfn.XLOOKUP(D101,HELPER!$B:$B,HELPER!$E:$E,""),"")=""),"Missing price",IFERROR(_xlfn.XLOOKUP(D101,HELPER!$B:$B,HELPER!$E:$E,"")," "))</f>
        <v/>
      </c>
      <c r="J101" s="47" t="str">
        <f>IFERROR(H101*(IF(G101=8,I101*HELPER!$G$2,BOM!I101*HELPER!$G$3))," ")</f>
        <v xml:space="preserve"> </v>
      </c>
      <c r="K101" s="6"/>
      <c r="L101" s="14" t="str" cm="1">
        <f t="array" ref="L101">IFERROR(_xlfn.LET(_xlpm.films,Table4[Film],_xlpm.grades,Table4[Grade],_xlpm.pairs,_xlfn._xlws.FILTER(_xlfn.HSTACK(_xlpm.films,_xlpm.grades),(_xlpm.films&lt;&gt;"")*(TRIM(_xlpm.grades)&lt;&gt;"")),_xlpm.uniquePairs,_xlfn.UNIQUE(_xlpm.pairs),_xlpm.sortedPairs,_xlfn._xlws.SORT(_xlpm.uniquePairs,1,1),INDEX(_xlpm.sortedPairs,ROWS($L$2:L101),1)),"")</f>
        <v/>
      </c>
      <c r="M101" s="15" t="str" cm="1">
        <f t="array" ref="M101">IFERROR(_xlfn.LET(_xlpm.films,Table4[Film],_xlpm.grades,Table4[Grade],_xlpm.pairs,_xlfn._xlws.FILTER(_xlfn.HSTACK(_xlpm.films,_xlpm.grades),(_xlpm.films&lt;&gt;"")*(TRIM(_xlpm.grades)&lt;&gt;"")),_xlpm.uniquePairs,_xlfn.UNIQUE(_xlpm.pairs),_xlpm.sortedPairs,_xlfn._xlws.SORT(_xlpm.uniquePairs,1,1),INDEX(_xlpm.sortedPairs,ROWS($M$2:M101),2)),"")</f>
        <v/>
      </c>
      <c r="N101" s="15" t="str" cm="1">
        <f t="array" ref="N101">IF(OR(Table2[[#This Row],[Film]]="",Table2[[#This Row],[Grade]]=""),"",IFERROR(INDEX(Table4[Serial Number],MATCH(1,(Table4[Film]=Table2[[#This Row],[Film]])*(Table4[Grade]=Table2[[#This Row],[Grade]]),0)),""))</f>
        <v/>
      </c>
      <c r="O101" s="51" t="str">
        <f>IF(OR(Table2[[#This Row],[Film]]="",Table2[[#This Row],[Grade]]=""),"",SUMIFS(Table4[Price Calculated(€) Thickness &amp; QTY related],Table4[Film],Table2[[#This Row],[Film]],Table4[Grade],Table2[[#This Row],[Grade]]))</f>
        <v/>
      </c>
      <c r="P101" s="6"/>
      <c r="T101" s="6"/>
    </row>
    <row r="102" spans="1:20" hidden="1">
      <c r="A102" s="29" t="s">
        <v>51</v>
      </c>
      <c r="B102" s="29" t="s">
        <v>6</v>
      </c>
      <c r="C102" s="28"/>
      <c r="D102" s="28" t="str">
        <f>IF(C102="","",IFERROR(_xlfn.XLOOKUP(C102,HELPER!$A$2:$A$81,HELPER!$B$2:$B$81,""),D102))</f>
        <v/>
      </c>
      <c r="E102" s="28" t="str">
        <f>IFERROR(_xlfn.XLOOKUP(D102,HELPER!$B:$B,HELPER!$C:$C,""),"")</f>
        <v/>
      </c>
      <c r="F102" s="27" t="str">
        <f>IFERROR(_xlfn.XLOOKUP(D102,HELPER!$B:$B,HELPER!$D:$D,""),"")</f>
        <v/>
      </c>
      <c r="G102" s="27">
        <v>24</v>
      </c>
      <c r="I102" s="8" t="str">
        <f>IF(AND(H102&lt;&gt;"",IFERROR(_xlfn.XLOOKUP(D102,HELPER!$B:$B,HELPER!$E:$E,""),"")=""),"Missing price",IFERROR(_xlfn.XLOOKUP(D102,HELPER!$B:$B,HELPER!$E:$E,"")," "))</f>
        <v/>
      </c>
      <c r="J102" s="47" t="str">
        <f>IFERROR(H102*(IF(G102=8,I102*HELPER!$G$2,BOM!I102*HELPER!$G$3))," ")</f>
        <v xml:space="preserve"> </v>
      </c>
      <c r="K102" s="6"/>
      <c r="L102" s="14" t="str" cm="1">
        <f t="array" ref="L102">IFERROR(_xlfn.LET(_xlpm.films,Table4[Film],_xlpm.grades,Table4[Grade],_xlpm.pairs,_xlfn._xlws.FILTER(_xlfn.HSTACK(_xlpm.films,_xlpm.grades),(_xlpm.films&lt;&gt;"")*(TRIM(_xlpm.grades)&lt;&gt;"")),_xlpm.uniquePairs,_xlfn.UNIQUE(_xlpm.pairs),_xlpm.sortedPairs,_xlfn._xlws.SORT(_xlpm.uniquePairs,1,1),INDEX(_xlpm.sortedPairs,ROWS($L$2:L102),1)),"")</f>
        <v/>
      </c>
      <c r="M102" s="15" t="str" cm="1">
        <f t="array" ref="M102">IFERROR(_xlfn.LET(_xlpm.films,Table4[Film],_xlpm.grades,Table4[Grade],_xlpm.pairs,_xlfn._xlws.FILTER(_xlfn.HSTACK(_xlpm.films,_xlpm.grades),(_xlpm.films&lt;&gt;"")*(TRIM(_xlpm.grades)&lt;&gt;"")),_xlpm.uniquePairs,_xlfn.UNIQUE(_xlpm.pairs),_xlpm.sortedPairs,_xlfn._xlws.SORT(_xlpm.uniquePairs,1,1),INDEX(_xlpm.sortedPairs,ROWS($M$2:M102),2)),"")</f>
        <v/>
      </c>
      <c r="N102" s="15" t="str" cm="1">
        <f t="array" ref="N102">IF(OR(Table2[[#This Row],[Film]]="",Table2[[#This Row],[Grade]]=""),"",IFERROR(INDEX(Table4[Serial Number],MATCH(1,(Table4[Film]=Table2[[#This Row],[Film]])*(Table4[Grade]=Table2[[#This Row],[Grade]]),0)),""))</f>
        <v/>
      </c>
      <c r="O102" s="51" t="str">
        <f>IF(OR(Table2[[#This Row],[Film]]="",Table2[[#This Row],[Grade]]=""),"",SUMIFS(Table4[Price Calculated(€) Thickness &amp; QTY related],Table4[Film],Table2[[#This Row],[Film]],Table4[Grade],Table2[[#This Row],[Grade]]))</f>
        <v/>
      </c>
      <c r="P102" s="6"/>
      <c r="T102" s="6"/>
    </row>
    <row r="103" spans="1:20" hidden="1">
      <c r="A103" s="29" t="s">
        <v>51</v>
      </c>
      <c r="B103" s="29" t="s">
        <v>6</v>
      </c>
      <c r="C103" s="28"/>
      <c r="D103" s="28" t="str">
        <f>IF(C103="","",IFERROR(_xlfn.XLOOKUP(C103,HELPER!$A$2:$A$81,HELPER!$B$2:$B$81,""),D103))</f>
        <v/>
      </c>
      <c r="E103" s="28" t="str">
        <f>IFERROR(_xlfn.XLOOKUP(D103,HELPER!$B:$B,HELPER!$C:$C,""),"")</f>
        <v/>
      </c>
      <c r="F103" s="27" t="str">
        <f>IFERROR(_xlfn.XLOOKUP(D103,HELPER!$B:$B,HELPER!$D:$D,""),"")</f>
        <v/>
      </c>
      <c r="G103" s="27">
        <v>24</v>
      </c>
      <c r="I103" s="8" t="str">
        <f>IF(AND(H103&lt;&gt;"",IFERROR(_xlfn.XLOOKUP(D103,HELPER!$B:$B,HELPER!$E:$E,""),"")=""),"Missing price",IFERROR(_xlfn.XLOOKUP(D103,HELPER!$B:$B,HELPER!$E:$E,"")," "))</f>
        <v/>
      </c>
      <c r="J103" s="47" t="str">
        <f>IFERROR(H103*(IF(G103=8,I103*HELPER!$G$2,BOM!I103*HELPER!$G$3))," ")</f>
        <v xml:space="preserve"> </v>
      </c>
      <c r="K103" s="6"/>
      <c r="L103" s="14" t="str" cm="1">
        <f t="array" ref="L103">IFERROR(_xlfn.LET(_xlpm.films,Table4[Film],_xlpm.grades,Table4[Grade],_xlpm.pairs,_xlfn._xlws.FILTER(_xlfn.HSTACK(_xlpm.films,_xlpm.grades),(_xlpm.films&lt;&gt;"")*(TRIM(_xlpm.grades)&lt;&gt;"")),_xlpm.uniquePairs,_xlfn.UNIQUE(_xlpm.pairs),_xlpm.sortedPairs,_xlfn._xlws.SORT(_xlpm.uniquePairs,1,1),INDEX(_xlpm.sortedPairs,ROWS($L$2:L103),1)),"")</f>
        <v/>
      </c>
      <c r="M103" s="15" t="str" cm="1">
        <f t="array" ref="M103">IFERROR(_xlfn.LET(_xlpm.films,Table4[Film],_xlpm.grades,Table4[Grade],_xlpm.pairs,_xlfn._xlws.FILTER(_xlfn.HSTACK(_xlpm.films,_xlpm.grades),(_xlpm.films&lt;&gt;"")*(TRIM(_xlpm.grades)&lt;&gt;"")),_xlpm.uniquePairs,_xlfn.UNIQUE(_xlpm.pairs),_xlpm.sortedPairs,_xlfn._xlws.SORT(_xlpm.uniquePairs,1,1),INDEX(_xlpm.sortedPairs,ROWS($M$2:M103),2)),"")</f>
        <v/>
      </c>
      <c r="N103" s="15" t="str" cm="1">
        <f t="array" ref="N103">IF(OR(Table2[[#This Row],[Film]]="",Table2[[#This Row],[Grade]]=""),"",IFERROR(INDEX(Table4[Serial Number],MATCH(1,(Table4[Film]=Table2[[#This Row],[Film]])*(Table4[Grade]=Table2[[#This Row],[Grade]]),0)),""))</f>
        <v/>
      </c>
      <c r="O103" s="51" t="str">
        <f>IF(OR(Table2[[#This Row],[Film]]="",Table2[[#This Row],[Grade]]=""),"",SUMIFS(Table4[Price Calculated(€) Thickness &amp; QTY related],Table4[Film],Table2[[#This Row],[Film]],Table4[Grade],Table2[[#This Row],[Grade]]))</f>
        <v/>
      </c>
      <c r="P103" s="6"/>
      <c r="T103" s="6"/>
    </row>
    <row r="104" spans="1:20" hidden="1">
      <c r="A104" s="29" t="s">
        <v>51</v>
      </c>
      <c r="B104" s="29" t="s">
        <v>6</v>
      </c>
      <c r="C104" s="28"/>
      <c r="D104" s="28" t="str">
        <f>IF(C104="","",IFERROR(_xlfn.XLOOKUP(C104,HELPER!$A$2:$A$81,HELPER!$B$2:$B$81,""),D104))</f>
        <v/>
      </c>
      <c r="E104" s="28" t="str">
        <f>IFERROR(_xlfn.XLOOKUP(D104,HELPER!$B:$B,HELPER!$C:$C,""),"")</f>
        <v/>
      </c>
      <c r="F104" s="27" t="str">
        <f>IFERROR(_xlfn.XLOOKUP(D104,HELPER!$B:$B,HELPER!$D:$D,""),"")</f>
        <v/>
      </c>
      <c r="G104" s="27">
        <v>24</v>
      </c>
      <c r="I104" s="8" t="str">
        <f>IF(AND(H104&lt;&gt;"",IFERROR(_xlfn.XLOOKUP(D104,HELPER!$B:$B,HELPER!$E:$E,""),"")=""),"Missing price",IFERROR(_xlfn.XLOOKUP(D104,HELPER!$B:$B,HELPER!$E:$E,"")," "))</f>
        <v/>
      </c>
      <c r="J104" s="47" t="str">
        <f>IFERROR(H104*(IF(G104=8,I104*HELPER!$G$2,BOM!I104*HELPER!$G$3))," ")</f>
        <v xml:space="preserve"> </v>
      </c>
      <c r="K104" s="6"/>
      <c r="L104" s="14" t="str" cm="1">
        <f t="array" ref="L104">IFERROR(_xlfn.LET(_xlpm.films,Table4[Film],_xlpm.grades,Table4[Grade],_xlpm.pairs,_xlfn._xlws.FILTER(_xlfn.HSTACK(_xlpm.films,_xlpm.grades),(_xlpm.films&lt;&gt;"")*(TRIM(_xlpm.grades)&lt;&gt;"")),_xlpm.uniquePairs,_xlfn.UNIQUE(_xlpm.pairs),_xlpm.sortedPairs,_xlfn._xlws.SORT(_xlpm.uniquePairs,1,1),INDEX(_xlpm.sortedPairs,ROWS($L$2:L104),1)),"")</f>
        <v/>
      </c>
      <c r="M104" s="15" t="str" cm="1">
        <f t="array" ref="M104">IFERROR(_xlfn.LET(_xlpm.films,Table4[Film],_xlpm.grades,Table4[Grade],_xlpm.pairs,_xlfn._xlws.FILTER(_xlfn.HSTACK(_xlpm.films,_xlpm.grades),(_xlpm.films&lt;&gt;"")*(TRIM(_xlpm.grades)&lt;&gt;"")),_xlpm.uniquePairs,_xlfn.UNIQUE(_xlpm.pairs),_xlpm.sortedPairs,_xlfn._xlws.SORT(_xlpm.uniquePairs,1,1),INDEX(_xlpm.sortedPairs,ROWS($M$2:M104),2)),"")</f>
        <v/>
      </c>
      <c r="N104" s="15" t="str" cm="1">
        <f t="array" ref="N104">IF(OR(Table2[[#This Row],[Film]]="",Table2[[#This Row],[Grade]]=""),"",IFERROR(INDEX(Table4[Serial Number],MATCH(1,(Table4[Film]=Table2[[#This Row],[Film]])*(Table4[Grade]=Table2[[#This Row],[Grade]]),0)),""))</f>
        <v/>
      </c>
      <c r="O104" s="51" t="str">
        <f>IF(OR(Table2[[#This Row],[Film]]="",Table2[[#This Row],[Grade]]=""),"",SUMIFS(Table4[Price Calculated(€) Thickness &amp; QTY related],Table4[Film],Table2[[#This Row],[Film]],Table4[Grade],Table2[[#This Row],[Grade]]))</f>
        <v/>
      </c>
      <c r="P104" s="6"/>
      <c r="T104" s="6"/>
    </row>
    <row r="105" spans="1:20" hidden="1">
      <c r="A105" s="29" t="s">
        <v>51</v>
      </c>
      <c r="B105" s="29" t="s">
        <v>6</v>
      </c>
      <c r="C105" s="28"/>
      <c r="D105" s="28" t="str">
        <f>IF(C105="","",IFERROR(_xlfn.XLOOKUP(C105,HELPER!$A$2:$A$81,HELPER!$B$2:$B$81,""),D105))</f>
        <v/>
      </c>
      <c r="E105" s="28" t="str">
        <f>IFERROR(_xlfn.XLOOKUP(D105,HELPER!$B:$B,HELPER!$C:$C,""),"")</f>
        <v/>
      </c>
      <c r="F105" s="27" t="str">
        <f>IFERROR(_xlfn.XLOOKUP(D105,HELPER!$B:$B,HELPER!$D:$D,""),"")</f>
        <v/>
      </c>
      <c r="G105" s="27">
        <v>24</v>
      </c>
      <c r="I105" s="8" t="str">
        <f>IF(AND(H105&lt;&gt;"",IFERROR(_xlfn.XLOOKUP(D105,HELPER!$B:$B,HELPER!$E:$E,""),"")=""),"Missing price",IFERROR(_xlfn.XLOOKUP(D105,HELPER!$B:$B,HELPER!$E:$E,"")," "))</f>
        <v/>
      </c>
      <c r="J105" s="47" t="str">
        <f>IFERROR(H105*(IF(G105=8,I105*HELPER!$G$2,BOM!I105*HELPER!$G$3))," ")</f>
        <v xml:space="preserve"> </v>
      </c>
      <c r="K105" s="6"/>
      <c r="L105" s="14" t="str" cm="1">
        <f t="array" ref="L105">IFERROR(_xlfn.LET(_xlpm.films,Table4[Film],_xlpm.grades,Table4[Grade],_xlpm.pairs,_xlfn._xlws.FILTER(_xlfn.HSTACK(_xlpm.films,_xlpm.grades),(_xlpm.films&lt;&gt;"")*(TRIM(_xlpm.grades)&lt;&gt;"")),_xlpm.uniquePairs,_xlfn.UNIQUE(_xlpm.pairs),_xlpm.sortedPairs,_xlfn._xlws.SORT(_xlpm.uniquePairs,1,1),INDEX(_xlpm.sortedPairs,ROWS($L$2:L105),1)),"")</f>
        <v/>
      </c>
      <c r="M105" s="15" t="str" cm="1">
        <f t="array" ref="M105">IFERROR(_xlfn.LET(_xlpm.films,Table4[Film],_xlpm.grades,Table4[Grade],_xlpm.pairs,_xlfn._xlws.FILTER(_xlfn.HSTACK(_xlpm.films,_xlpm.grades),(_xlpm.films&lt;&gt;"")*(TRIM(_xlpm.grades)&lt;&gt;"")),_xlpm.uniquePairs,_xlfn.UNIQUE(_xlpm.pairs),_xlpm.sortedPairs,_xlfn._xlws.SORT(_xlpm.uniquePairs,1,1),INDEX(_xlpm.sortedPairs,ROWS($M$2:M105),2)),"")</f>
        <v/>
      </c>
      <c r="N105" s="15" t="str" cm="1">
        <f t="array" ref="N105">IF(OR(Table2[[#This Row],[Film]]="",Table2[[#This Row],[Grade]]=""),"",IFERROR(INDEX(Table4[Serial Number],MATCH(1,(Table4[Film]=Table2[[#This Row],[Film]])*(Table4[Grade]=Table2[[#This Row],[Grade]]),0)),""))</f>
        <v/>
      </c>
      <c r="O105" s="51" t="str">
        <f>IF(OR(Table2[[#This Row],[Film]]="",Table2[[#This Row],[Grade]]=""),"",SUMIFS(Table4[Price Calculated(€) Thickness &amp; QTY related],Table4[Film],Table2[[#This Row],[Film]],Table4[Grade],Table2[[#This Row],[Grade]]))</f>
        <v/>
      </c>
      <c r="P105" s="6"/>
      <c r="T105" s="6"/>
    </row>
    <row r="106" spans="1:20" hidden="1">
      <c r="A106" s="29" t="s">
        <v>51</v>
      </c>
      <c r="B106" s="29" t="s">
        <v>6</v>
      </c>
      <c r="C106" s="28" t="s">
        <v>16</v>
      </c>
      <c r="D106" s="28" t="str">
        <f>IF(C106="","",IFERROR(_xlfn.XLOOKUP(C106,HELPER!$A$2:$A$81,HELPER!$B$2:$B$81,""),D106))</f>
        <v>S723</v>
      </c>
      <c r="E106" s="28" t="str">
        <f>IFERROR(_xlfn.XLOOKUP(D106,HELPER!$B:$B,HELPER!$C:$C,""),"")</f>
        <v>RM TA45-08 S723</v>
      </c>
      <c r="F106" s="27" t="str">
        <f>IFERROR(_xlfn.XLOOKUP(D106,HELPER!$B:$B,HELPER!$D:$D,""),"")</f>
        <v>Resin 6</v>
      </c>
      <c r="G106" s="27">
        <v>24</v>
      </c>
      <c r="H106" s="32">
        <v>1.4999999999999999E-2</v>
      </c>
      <c r="I106" s="8">
        <f>IF(AND(H106&lt;&gt;"",IFERROR(_xlfn.XLOOKUP(D106,HELPER!$B:$B,HELPER!$E:$E,""),"")=""),"Missing price",IFERROR(_xlfn.XLOOKUP(D106,HELPER!$B:$B,HELPER!$E:$E,"")," "))</f>
        <v>16.16</v>
      </c>
      <c r="J106" s="47">
        <f>IFERROR(H106*(IF(G106=8,I106*HELPER!$G$2,BOM!I106*HELPER!$G$3))," ")</f>
        <v>0.14543999999999999</v>
      </c>
      <c r="K106" s="6"/>
      <c r="L106" s="14" t="str" cm="1">
        <f t="array" ref="L106">IFERROR(_xlfn.LET(_xlpm.films,Table4[Film],_xlpm.grades,Table4[Grade],_xlpm.pairs,_xlfn._xlws.FILTER(_xlfn.HSTACK(_xlpm.films,_xlpm.grades),(_xlpm.films&lt;&gt;"")*(TRIM(_xlpm.grades)&lt;&gt;"")),_xlpm.uniquePairs,_xlfn.UNIQUE(_xlpm.pairs),_xlpm.sortedPairs,_xlfn._xlws.SORT(_xlpm.uniquePairs,1,1),INDEX(_xlpm.sortedPairs,ROWS($L$2:L106),1)),"")</f>
        <v/>
      </c>
      <c r="M106" s="15" t="str" cm="1">
        <f t="array" ref="M106">IFERROR(_xlfn.LET(_xlpm.films,Table4[Film],_xlpm.grades,Table4[Grade],_xlpm.pairs,_xlfn._xlws.FILTER(_xlfn.HSTACK(_xlpm.films,_xlpm.grades),(_xlpm.films&lt;&gt;"")*(TRIM(_xlpm.grades)&lt;&gt;"")),_xlpm.uniquePairs,_xlfn.UNIQUE(_xlpm.pairs),_xlpm.sortedPairs,_xlfn._xlws.SORT(_xlpm.uniquePairs,1,1),INDEX(_xlpm.sortedPairs,ROWS($M$2:M106),2)),"")</f>
        <v/>
      </c>
      <c r="N106" s="15" t="str" cm="1">
        <f t="array" ref="N106">IF(OR(Table2[[#This Row],[Film]]="",Table2[[#This Row],[Grade]]=""),"",IFERROR(INDEX(Table4[Serial Number],MATCH(1,(Table4[Film]=Table2[[#This Row],[Film]])*(Table4[Grade]=Table2[[#This Row],[Grade]]),0)),""))</f>
        <v/>
      </c>
      <c r="O106" s="51" t="str">
        <f>IF(OR(Table2[[#This Row],[Film]]="",Table2[[#This Row],[Grade]]=""),"",SUMIFS(Table4[Price Calculated(€) Thickness &amp; QTY related],Table4[Film],Table2[[#This Row],[Film]],Table4[Grade],Table2[[#This Row],[Grade]]))</f>
        <v/>
      </c>
      <c r="P106" s="6"/>
      <c r="T106" s="6"/>
    </row>
    <row r="107" spans="1:20" hidden="1">
      <c r="A107" s="29" t="s">
        <v>51</v>
      </c>
      <c r="B107" s="29" t="s">
        <v>6</v>
      </c>
      <c r="C107" s="28" t="s">
        <v>41</v>
      </c>
      <c r="D107" s="28" t="str">
        <f>IF(C107="","",IFERROR(_xlfn.XLOOKUP(C107,HELPER!$A$2:$A$81,HELPER!$B$2:$B$81,""),D107))</f>
        <v>RM WHITE BIO8153</v>
      </c>
      <c r="E107" s="28" t="str">
        <f>IFERROR(_xlfn.XLOOKUP(D107,HELPER!$B:$B,HELPER!$C:$C,""),"")</f>
        <v>RM WHITE BIO8153</v>
      </c>
      <c r="F107" s="27" t="str">
        <f>IFERROR(_xlfn.XLOOKUP(D107,HELPER!$B:$B,HELPER!$D:$D,""),"")</f>
        <v>Resin 13B</v>
      </c>
      <c r="G107" s="27">
        <v>24</v>
      </c>
      <c r="H107" s="32">
        <v>0.1</v>
      </c>
      <c r="I107" s="8">
        <f>IF(AND(H107&lt;&gt;"",IFERROR(_xlfn.XLOOKUP(D107,HELPER!$B:$B,HELPER!$E:$E,""),"")=""),"Missing price",IFERROR(_xlfn.XLOOKUP(D107,HELPER!$B:$B,HELPER!$E:$E,"")," "))</f>
        <v>6.15</v>
      </c>
      <c r="J107" s="47">
        <f>IFERROR(H107*(IF(G107=8,I107*HELPER!$G$2,BOM!I107*HELPER!$G$3))," ")</f>
        <v>0.36899999999999999</v>
      </c>
      <c r="K107" s="6"/>
      <c r="L107" s="14" t="str" cm="1">
        <f t="array" ref="L107">IFERROR(_xlfn.LET(_xlpm.films,Table4[Film],_xlpm.grades,Table4[Grade],_xlpm.pairs,_xlfn._xlws.FILTER(_xlfn.HSTACK(_xlpm.films,_xlpm.grades),(_xlpm.films&lt;&gt;"")*(TRIM(_xlpm.grades)&lt;&gt;"")),_xlpm.uniquePairs,_xlfn.UNIQUE(_xlpm.pairs),_xlpm.sortedPairs,_xlfn._xlws.SORT(_xlpm.uniquePairs,1,1),INDEX(_xlpm.sortedPairs,ROWS($L$2:L107),1)),"")</f>
        <v/>
      </c>
      <c r="M107" s="15" t="str" cm="1">
        <f t="array" ref="M107">IFERROR(_xlfn.LET(_xlpm.films,Table4[Film],_xlpm.grades,Table4[Grade],_xlpm.pairs,_xlfn._xlws.FILTER(_xlfn.HSTACK(_xlpm.films,_xlpm.grades),(_xlpm.films&lt;&gt;"")*(TRIM(_xlpm.grades)&lt;&gt;"")),_xlpm.uniquePairs,_xlfn.UNIQUE(_xlpm.pairs),_xlpm.sortedPairs,_xlfn._xlws.SORT(_xlpm.uniquePairs,1,1),INDEX(_xlpm.sortedPairs,ROWS($M$2:M107),2)),"")</f>
        <v/>
      </c>
      <c r="N107" s="15" t="str" cm="1">
        <f t="array" ref="N107">IF(OR(Table2[[#This Row],[Film]]="",Table2[[#This Row],[Grade]]=""),"",IFERROR(INDEX(Table4[Serial Number],MATCH(1,(Table4[Film]=Table2[[#This Row],[Film]])*(Table4[Grade]=Table2[[#This Row],[Grade]]),0)),""))</f>
        <v/>
      </c>
      <c r="O107" s="51" t="str">
        <f>IF(OR(Table2[[#This Row],[Film]]="",Table2[[#This Row],[Grade]]=""),"",SUMIFS(Table4[Price Calculated(€) Thickness &amp; QTY related],Table4[Film],Table2[[#This Row],[Film]],Table4[Grade],Table2[[#This Row],[Grade]]))</f>
        <v/>
      </c>
      <c r="P107" s="6"/>
      <c r="T107" s="6"/>
    </row>
    <row r="108" spans="1:20" hidden="1">
      <c r="A108" s="29" t="s">
        <v>51</v>
      </c>
      <c r="B108" s="29" t="s">
        <v>6</v>
      </c>
      <c r="C108" s="28"/>
      <c r="D108" s="28" t="str">
        <f>IF(C108="","",IFERROR(_xlfn.XLOOKUP(C108,HELPER!$A$2:$A$81,HELPER!$B$2:$B$81,""),D108))</f>
        <v/>
      </c>
      <c r="E108" s="28" t="str">
        <f>IFERROR(_xlfn.XLOOKUP(D108,HELPER!$B:$B,HELPER!$C:$C,""),"")</f>
        <v/>
      </c>
      <c r="F108" s="27" t="str">
        <f>IFERROR(_xlfn.XLOOKUP(D108,HELPER!$B:$B,HELPER!$D:$D,""),"")</f>
        <v/>
      </c>
      <c r="G108" s="27">
        <v>24</v>
      </c>
      <c r="I108" s="8" t="str">
        <f>IF(AND(H108&lt;&gt;"",IFERROR(_xlfn.XLOOKUP(D108,HELPER!$B:$B,HELPER!$E:$E,""),"")=""),"Missing price",IFERROR(_xlfn.XLOOKUP(D108,HELPER!$B:$B,HELPER!$E:$E,"")," "))</f>
        <v/>
      </c>
      <c r="J108" s="47" t="str">
        <f>IFERROR(H108*(IF(G108=8,I108*HELPER!$G$2,BOM!I108*HELPER!$G$3))," ")</f>
        <v xml:space="preserve"> </v>
      </c>
      <c r="K108" s="6"/>
      <c r="L108" s="14" t="str" cm="1">
        <f t="array" ref="L108">IFERROR(_xlfn.LET(_xlpm.films,Table4[Film],_xlpm.grades,Table4[Grade],_xlpm.pairs,_xlfn._xlws.FILTER(_xlfn.HSTACK(_xlpm.films,_xlpm.grades),(_xlpm.films&lt;&gt;"")*(TRIM(_xlpm.grades)&lt;&gt;"")),_xlpm.uniquePairs,_xlfn.UNIQUE(_xlpm.pairs),_xlpm.sortedPairs,_xlfn._xlws.SORT(_xlpm.uniquePairs,1,1),INDEX(_xlpm.sortedPairs,ROWS($L$2:L108),1)),"")</f>
        <v/>
      </c>
      <c r="M108" s="15" t="str" cm="1">
        <f t="array" ref="M108">IFERROR(_xlfn.LET(_xlpm.films,Table4[Film],_xlpm.grades,Table4[Grade],_xlpm.pairs,_xlfn._xlws.FILTER(_xlfn.HSTACK(_xlpm.films,_xlpm.grades),(_xlpm.films&lt;&gt;"")*(TRIM(_xlpm.grades)&lt;&gt;"")),_xlpm.uniquePairs,_xlfn.UNIQUE(_xlpm.pairs),_xlpm.sortedPairs,_xlfn._xlws.SORT(_xlpm.uniquePairs,1,1),INDEX(_xlpm.sortedPairs,ROWS($M$2:M108),2)),"")</f>
        <v/>
      </c>
      <c r="N108" s="15" t="str" cm="1">
        <f t="array" ref="N108">IF(OR(Table2[[#This Row],[Film]]="",Table2[[#This Row],[Grade]]=""),"",IFERROR(INDEX(Table4[Serial Number],MATCH(1,(Table4[Film]=Table2[[#This Row],[Film]])*(Table4[Grade]=Table2[[#This Row],[Grade]]),0)),""))</f>
        <v/>
      </c>
      <c r="O108" s="51" t="str">
        <f>IF(OR(Table2[[#This Row],[Film]]="",Table2[[#This Row],[Grade]]=""),"",SUMIFS(Table4[Price Calculated(€) Thickness &amp; QTY related],Table4[Film],Table2[[#This Row],[Film]],Table4[Grade],Table2[[#This Row],[Grade]]))</f>
        <v/>
      </c>
      <c r="P108" s="6"/>
      <c r="T108" s="6"/>
    </row>
    <row r="109" spans="1:20" hidden="1">
      <c r="A109" s="29" t="s">
        <v>51</v>
      </c>
      <c r="B109" s="29" t="s">
        <v>6</v>
      </c>
      <c r="C109" s="28" t="s">
        <v>14</v>
      </c>
      <c r="D109" s="28" t="str">
        <f>IF(C109="","",IFERROR(_xlfn.XLOOKUP(C109,HELPER!$A$2:$A$81,HELPER!$B$2:$B$81,""),D109))</f>
        <v>B12</v>
      </c>
      <c r="E109" s="28" t="str">
        <f>IFERROR(_xlfn.XLOOKUP(D109,HELPER!$B:$B,HELPER!$C:$C,""),"")</f>
        <v>RMB12</v>
      </c>
      <c r="F109" s="27" t="str">
        <f>IFERROR(_xlfn.XLOOKUP(D109,HELPER!$B:$B,HELPER!$D:$D,""),"")</f>
        <v>Resin 2A</v>
      </c>
      <c r="G109" s="27">
        <v>24</v>
      </c>
      <c r="H109" s="32">
        <v>0.88500000000000001</v>
      </c>
      <c r="I109" s="8">
        <f>IF(AND(H109&lt;&gt;"",IFERROR(_xlfn.XLOOKUP(D109,HELPER!$B:$B,HELPER!$E:$E,""),"")=""),"Missing price",IFERROR(_xlfn.XLOOKUP(D109,HELPER!$B:$B,HELPER!$E:$E,"")," "))</f>
        <v>1.81</v>
      </c>
      <c r="J109" s="47">
        <f>IFERROR(H109*(IF(G109=8,I109*HELPER!$G$2,BOM!I109*HELPER!$G$3))," ")</f>
        <v>0.96111000000000013</v>
      </c>
      <c r="K109" s="6"/>
      <c r="L109" s="14" t="str" cm="1">
        <f t="array" ref="L109">IFERROR(_xlfn.LET(_xlpm.films,Table4[Film],_xlpm.grades,Table4[Grade],_xlpm.pairs,_xlfn._xlws.FILTER(_xlfn.HSTACK(_xlpm.films,_xlpm.grades),(_xlpm.films&lt;&gt;"")*(TRIM(_xlpm.grades)&lt;&gt;"")),_xlpm.uniquePairs,_xlfn.UNIQUE(_xlpm.pairs),_xlpm.sortedPairs,_xlfn._xlws.SORT(_xlpm.uniquePairs,1,1),INDEX(_xlpm.sortedPairs,ROWS($L$2:L109),1)),"")</f>
        <v/>
      </c>
      <c r="M109" s="15" t="str" cm="1">
        <f t="array" ref="M109">IFERROR(_xlfn.LET(_xlpm.films,Table4[Film],_xlpm.grades,Table4[Grade],_xlpm.pairs,_xlfn._xlws.FILTER(_xlfn.HSTACK(_xlpm.films,_xlpm.grades),(_xlpm.films&lt;&gt;"")*(TRIM(_xlpm.grades)&lt;&gt;"")),_xlpm.uniquePairs,_xlfn.UNIQUE(_xlpm.pairs),_xlpm.sortedPairs,_xlfn._xlws.SORT(_xlpm.uniquePairs,1,1),INDEX(_xlpm.sortedPairs,ROWS($M$2:M109),2)),"")</f>
        <v/>
      </c>
      <c r="N109" s="15" t="str" cm="1">
        <f t="array" ref="N109">IF(OR(Table2[[#This Row],[Film]]="",Table2[[#This Row],[Grade]]=""),"",IFERROR(INDEX(Table4[Serial Number],MATCH(1,(Table4[Film]=Table2[[#This Row],[Film]])*(Table4[Grade]=Table2[[#This Row],[Grade]]),0)),""))</f>
        <v/>
      </c>
      <c r="O109" s="51" t="str">
        <f>IF(OR(Table2[[#This Row],[Film]]="",Table2[[#This Row],[Grade]]=""),"",SUMIFS(Table4[Price Calculated(€) Thickness &amp; QTY related],Table4[Film],Table2[[#This Row],[Film]],Table4[Grade],Table2[[#This Row],[Grade]]))</f>
        <v/>
      </c>
      <c r="P109" s="6"/>
      <c r="T109" s="6"/>
    </row>
    <row r="110" spans="1:20" hidden="1">
      <c r="A110" s="29" t="s">
        <v>51</v>
      </c>
      <c r="B110" s="29" t="s">
        <v>6</v>
      </c>
      <c r="C110" s="28"/>
      <c r="D110" s="28" t="str">
        <f>IF(C110="","",IFERROR(_xlfn.XLOOKUP(C110,HELPER!$A$2:$A$81,HELPER!$B$2:$B$81,""),D110))</f>
        <v/>
      </c>
      <c r="E110" s="28" t="str">
        <f>IFERROR(_xlfn.XLOOKUP(D110,HELPER!$B:$B,HELPER!$C:$C,""),"")</f>
        <v/>
      </c>
      <c r="F110" s="27" t="str">
        <f>IFERROR(_xlfn.XLOOKUP(D110,HELPER!$B:$B,HELPER!$D:$D,""),"")</f>
        <v/>
      </c>
      <c r="G110" s="27">
        <v>24</v>
      </c>
      <c r="I110" s="8" t="str">
        <f>IF(AND(H110&lt;&gt;"",IFERROR(_xlfn.XLOOKUP(D110,HELPER!$B:$B,HELPER!$E:$E,""),"")=""),"Missing price",IFERROR(_xlfn.XLOOKUP(D110,HELPER!$B:$B,HELPER!$E:$E,"")," "))</f>
        <v/>
      </c>
      <c r="J110" s="47" t="str">
        <f>IFERROR(H110*(IF(G110=8,I110*HELPER!$G$2,BOM!I110*HELPER!$G$3))," ")</f>
        <v xml:space="preserve"> </v>
      </c>
      <c r="K110" s="6"/>
      <c r="L110" s="14" t="str" cm="1">
        <f t="array" ref="L110">IFERROR(_xlfn.LET(_xlpm.films,Table4[Film],_xlpm.grades,Table4[Grade],_xlpm.pairs,_xlfn._xlws.FILTER(_xlfn.HSTACK(_xlpm.films,_xlpm.grades),(_xlpm.films&lt;&gt;"")*(TRIM(_xlpm.grades)&lt;&gt;"")),_xlpm.uniquePairs,_xlfn.UNIQUE(_xlpm.pairs),_xlpm.sortedPairs,_xlfn._xlws.SORT(_xlpm.uniquePairs,1,1),INDEX(_xlpm.sortedPairs,ROWS($L$2:L110),1)),"")</f>
        <v/>
      </c>
      <c r="M110" s="15" t="str" cm="1">
        <f t="array" ref="M110">IFERROR(_xlfn.LET(_xlpm.films,Table4[Film],_xlpm.grades,Table4[Grade],_xlpm.pairs,_xlfn._xlws.FILTER(_xlfn.HSTACK(_xlpm.films,_xlpm.grades),(_xlpm.films&lt;&gt;"")*(TRIM(_xlpm.grades)&lt;&gt;"")),_xlpm.uniquePairs,_xlfn.UNIQUE(_xlpm.pairs),_xlpm.sortedPairs,_xlfn._xlws.SORT(_xlpm.uniquePairs,1,1),INDEX(_xlpm.sortedPairs,ROWS($M$2:M110),2)),"")</f>
        <v/>
      </c>
      <c r="N110" s="15" t="str" cm="1">
        <f t="array" ref="N110">IF(OR(Table2[[#This Row],[Film]]="",Table2[[#This Row],[Grade]]=""),"",IFERROR(INDEX(Table4[Serial Number],MATCH(1,(Table4[Film]=Table2[[#This Row],[Film]])*(Table4[Grade]=Table2[[#This Row],[Grade]]),0)),""))</f>
        <v/>
      </c>
      <c r="O110" s="51" t="str">
        <f>IF(OR(Table2[[#This Row],[Film]]="",Table2[[#This Row],[Grade]]=""),"",SUMIFS(Table4[Price Calculated(€) Thickness &amp; QTY related],Table4[Film],Table2[[#This Row],[Film]],Table4[Grade],Table2[[#This Row],[Grade]]))</f>
        <v/>
      </c>
      <c r="P110" s="6"/>
      <c r="T110" s="6"/>
    </row>
    <row r="111" spans="1:20" hidden="1">
      <c r="A111" s="29" t="s">
        <v>51</v>
      </c>
      <c r="B111" s="29" t="s">
        <v>6</v>
      </c>
      <c r="C111" s="28"/>
      <c r="D111" s="28" t="str">
        <f>IF(C111="","",IFERROR(_xlfn.XLOOKUP(C111,HELPER!$A$2:$A$81,HELPER!$B$2:$B$81,""),D111))</f>
        <v/>
      </c>
      <c r="E111" s="28" t="str">
        <f>IFERROR(_xlfn.XLOOKUP(D111,HELPER!$B:$B,HELPER!$C:$C,""),"")</f>
        <v/>
      </c>
      <c r="F111" s="27" t="str">
        <f>IFERROR(_xlfn.XLOOKUP(D111,HELPER!$B:$B,HELPER!$D:$D,""),"")</f>
        <v/>
      </c>
      <c r="G111" s="27">
        <v>24</v>
      </c>
      <c r="I111" s="8" t="str">
        <f>IF(AND(H111&lt;&gt;"",IFERROR(_xlfn.XLOOKUP(D111,HELPER!$B:$B,HELPER!$E:$E,""),"")=""),"Missing price",IFERROR(_xlfn.XLOOKUP(D111,HELPER!$B:$B,HELPER!$E:$E,"")," "))</f>
        <v/>
      </c>
      <c r="J111" s="47" t="str">
        <f>IFERROR(H111*(IF(G111=8,I111*HELPER!$G$2,BOM!I111*HELPER!$G$3))," ")</f>
        <v xml:space="preserve"> </v>
      </c>
      <c r="K111" s="6"/>
      <c r="L111" s="14" t="str" cm="1">
        <f t="array" ref="L111">IFERROR(_xlfn.LET(_xlpm.films,Table4[Film],_xlpm.grades,Table4[Grade],_xlpm.pairs,_xlfn._xlws.FILTER(_xlfn.HSTACK(_xlpm.films,_xlpm.grades),(_xlpm.films&lt;&gt;"")*(TRIM(_xlpm.grades)&lt;&gt;"")),_xlpm.uniquePairs,_xlfn.UNIQUE(_xlpm.pairs),_xlpm.sortedPairs,_xlfn._xlws.SORT(_xlpm.uniquePairs,1,1),INDEX(_xlpm.sortedPairs,ROWS($L$2:L111),1)),"")</f>
        <v/>
      </c>
      <c r="M111" s="15" t="str" cm="1">
        <f t="array" ref="M111">IFERROR(_xlfn.LET(_xlpm.films,Table4[Film],_xlpm.grades,Table4[Grade],_xlpm.pairs,_xlfn._xlws.FILTER(_xlfn.HSTACK(_xlpm.films,_xlpm.grades),(_xlpm.films&lt;&gt;"")*(TRIM(_xlpm.grades)&lt;&gt;"")),_xlpm.uniquePairs,_xlfn.UNIQUE(_xlpm.pairs),_xlpm.sortedPairs,_xlfn._xlws.SORT(_xlpm.uniquePairs,1,1),INDEX(_xlpm.sortedPairs,ROWS($M$2:M111),2)),"")</f>
        <v/>
      </c>
      <c r="N111" s="15" t="str" cm="1">
        <f t="array" ref="N111">IF(OR(Table2[[#This Row],[Film]]="",Table2[[#This Row],[Grade]]=""),"",IFERROR(INDEX(Table4[Serial Number],MATCH(1,(Table4[Film]=Table2[[#This Row],[Film]])*(Table4[Grade]=Table2[[#This Row],[Grade]]),0)),""))</f>
        <v/>
      </c>
      <c r="O111" s="51" t="str">
        <f>IF(OR(Table2[[#This Row],[Film]]="",Table2[[#This Row],[Grade]]=""),"",SUMIFS(Table4[Price Calculated(€) Thickness &amp; QTY related],Table4[Film],Table2[[#This Row],[Film]],Table4[Grade],Table2[[#This Row],[Grade]]))</f>
        <v/>
      </c>
      <c r="P111" s="6"/>
      <c r="T111" s="6"/>
    </row>
    <row r="112" spans="1:20" hidden="1">
      <c r="A112" s="29" t="s">
        <v>51</v>
      </c>
      <c r="B112" s="29" t="s">
        <v>7</v>
      </c>
      <c r="C112" s="28" t="s">
        <v>12</v>
      </c>
      <c r="D112" s="28" t="str">
        <f>IF(C112="","",IFERROR(_xlfn.XLOOKUP(C112,HELPER!$A$2:$A$81,HELPER!$B$2:$B$81,""),D112))</f>
        <v>FD92PM</v>
      </c>
      <c r="E112" s="28" t="str">
        <f>IFERROR(_xlfn.XLOOKUP(D112,HELPER!$B:$B,HELPER!$C:$C,""),"")</f>
        <v>RMPM2</v>
      </c>
      <c r="F112" s="27" t="str">
        <f>IFERROR(_xlfn.XLOOKUP(D112,HELPER!$B:$B,HELPER!$D:$D,""),"")</f>
        <v>Resin 9C</v>
      </c>
      <c r="G112" s="27">
        <v>8</v>
      </c>
      <c r="H112" s="32">
        <v>0.80500000000000005</v>
      </c>
      <c r="I112" s="8">
        <f>IF(AND(H112&lt;&gt;"",IFERROR(_xlfn.XLOOKUP(D112,HELPER!$B:$B,HELPER!$E:$E,""),"")=""),"Missing price",IFERROR(_xlfn.XLOOKUP(D112,HELPER!$B:$B,HELPER!$E:$E,"")," "))</f>
        <v>6.75</v>
      </c>
      <c r="J112" s="47">
        <f>IFERROR(H112*(IF(G112=8,I112*HELPER!$G$2,BOM!I112*HELPER!$G$3))," ")</f>
        <v>1.0867500000000001</v>
      </c>
      <c r="K112" s="6"/>
      <c r="L112" s="14" t="str" cm="1">
        <f t="array" ref="L112">IFERROR(_xlfn.LET(_xlpm.films,Table4[Film],_xlpm.grades,Table4[Grade],_xlpm.pairs,_xlfn._xlws.FILTER(_xlfn.HSTACK(_xlpm.films,_xlpm.grades),(_xlpm.films&lt;&gt;"")*(TRIM(_xlpm.grades)&lt;&gt;"")),_xlpm.uniquePairs,_xlfn.UNIQUE(_xlpm.pairs),_xlpm.sortedPairs,_xlfn._xlws.SORT(_xlpm.uniquePairs,1,1),INDEX(_xlpm.sortedPairs,ROWS($L$2:L112),1)),"")</f>
        <v/>
      </c>
      <c r="M112" s="15" t="str" cm="1">
        <f t="array" ref="M112">IFERROR(_xlfn.LET(_xlpm.films,Table4[Film],_xlpm.grades,Table4[Grade],_xlpm.pairs,_xlfn._xlws.FILTER(_xlfn.HSTACK(_xlpm.films,_xlpm.grades),(_xlpm.films&lt;&gt;"")*(TRIM(_xlpm.grades)&lt;&gt;"")),_xlpm.uniquePairs,_xlfn.UNIQUE(_xlpm.pairs),_xlpm.sortedPairs,_xlfn._xlws.SORT(_xlpm.uniquePairs,1,1),INDEX(_xlpm.sortedPairs,ROWS($M$2:M112),2)),"")</f>
        <v/>
      </c>
      <c r="N112" s="15" t="str" cm="1">
        <f t="array" ref="N112">IF(OR(Table2[[#This Row],[Film]]="",Table2[[#This Row],[Grade]]=""),"",IFERROR(INDEX(Table4[Serial Number],MATCH(1,(Table4[Film]=Table2[[#This Row],[Film]])*(Table4[Grade]=Table2[[#This Row],[Grade]]),0)),""))</f>
        <v/>
      </c>
      <c r="O112" s="51" t="str">
        <f>IF(OR(Table2[[#This Row],[Film]]="",Table2[[#This Row],[Grade]]=""),"",SUMIFS(Table4[Price Calculated(€) Thickness &amp; QTY related],Table4[Film],Table2[[#This Row],[Film]],Table4[Grade],Table2[[#This Row],[Grade]]))</f>
        <v/>
      </c>
      <c r="P112" s="6"/>
      <c r="T112" s="6"/>
    </row>
    <row r="113" spans="1:20" hidden="1">
      <c r="A113" s="29" t="s">
        <v>51</v>
      </c>
      <c r="B113" s="29" t="s">
        <v>7</v>
      </c>
      <c r="C113" s="28" t="s">
        <v>13</v>
      </c>
      <c r="D113" s="28" t="str">
        <f>IF(C113="","",IFERROR(_xlfn.XLOOKUP(C113,HELPER!$A$2:$A$81,HELPER!$B$2:$B$81,""),D113))</f>
        <v>LX175</v>
      </c>
      <c r="E113" s="28" t="str">
        <f>IFERROR(_xlfn.XLOOKUP(D113,HELPER!$B:$B,HELPER!$C:$C,""),"")</f>
        <v>RMLX175</v>
      </c>
      <c r="F113" s="27" t="str">
        <f>IFERROR(_xlfn.XLOOKUP(D113,HELPER!$B:$B,HELPER!$D:$D,""),"")</f>
        <v>Resin 1A</v>
      </c>
      <c r="G113" s="27">
        <v>8</v>
      </c>
      <c r="H113" s="32">
        <v>0.14199999999999999</v>
      </c>
      <c r="I113" s="8">
        <f>IF(AND(H113&lt;&gt;"",IFERROR(_xlfn.XLOOKUP(D113,HELPER!$B:$B,HELPER!$E:$E,""),"")=""),"Missing price",IFERROR(_xlfn.XLOOKUP(D113,HELPER!$B:$B,HELPER!$E:$E,"")," "))</f>
        <v>3.17</v>
      </c>
      <c r="J113" s="47">
        <f>IFERROR(H113*(IF(G113=8,I113*HELPER!$G$2,BOM!I113*HELPER!$G$3))," ")</f>
        <v>9.0027999999999997E-2</v>
      </c>
      <c r="K113" s="6"/>
      <c r="L113" s="14" t="str" cm="1">
        <f t="array" ref="L113">IFERROR(_xlfn.LET(_xlpm.films,Table4[Film],_xlpm.grades,Table4[Grade],_xlpm.pairs,_xlfn._xlws.FILTER(_xlfn.HSTACK(_xlpm.films,_xlpm.grades),(_xlpm.films&lt;&gt;"")*(TRIM(_xlpm.grades)&lt;&gt;"")),_xlpm.uniquePairs,_xlfn.UNIQUE(_xlpm.pairs),_xlpm.sortedPairs,_xlfn._xlws.SORT(_xlpm.uniquePairs,1,1),INDEX(_xlpm.sortedPairs,ROWS($L$2:L113),1)),"")</f>
        <v/>
      </c>
      <c r="M113" s="15" t="str" cm="1">
        <f t="array" ref="M113">IFERROR(_xlfn.LET(_xlpm.films,Table4[Film],_xlpm.grades,Table4[Grade],_xlpm.pairs,_xlfn._xlws.FILTER(_xlfn.HSTACK(_xlpm.films,_xlpm.grades),(_xlpm.films&lt;&gt;"")*(TRIM(_xlpm.grades)&lt;&gt;"")),_xlpm.uniquePairs,_xlfn.UNIQUE(_xlpm.pairs),_xlpm.sortedPairs,_xlfn._xlws.SORT(_xlpm.uniquePairs,1,1),INDEX(_xlpm.sortedPairs,ROWS($M$2:M113),2)),"")</f>
        <v/>
      </c>
      <c r="N113" s="15" t="str" cm="1">
        <f t="array" ref="N113">IF(OR(Table2[[#This Row],[Film]]="",Table2[[#This Row],[Grade]]=""),"",IFERROR(INDEX(Table4[Serial Number],MATCH(1,(Table4[Film]=Table2[[#This Row],[Film]])*(Table4[Grade]=Table2[[#This Row],[Grade]]),0)),""))</f>
        <v/>
      </c>
      <c r="O113" s="51" t="str">
        <f>IF(OR(Table2[[#This Row],[Film]]="",Table2[[#This Row],[Grade]]=""),"",SUMIFS(Table4[Price Calculated(€) Thickness &amp; QTY related],Table4[Film],Table2[[#This Row],[Film]],Table4[Grade],Table2[[#This Row],[Grade]]))</f>
        <v/>
      </c>
      <c r="P113" s="6"/>
      <c r="T113" s="6"/>
    </row>
    <row r="114" spans="1:20" hidden="1">
      <c r="A114" s="29" t="s">
        <v>51</v>
      </c>
      <c r="B114" s="29" t="s">
        <v>7</v>
      </c>
      <c r="C114" s="28" t="s">
        <v>18</v>
      </c>
      <c r="D114" s="28" t="str">
        <f>IF(C114="","",IFERROR(_xlfn.XLOOKUP(C114,HELPER!$A$2:$A$81,HELPER!$B$2:$B$81,""),D114))</f>
        <v>KAB59A</v>
      </c>
      <c r="E114" s="28" t="str">
        <f>IFERROR(_xlfn.XLOOKUP(D114,HELPER!$B:$B,HELPER!$C:$C,""),"")</f>
        <v>RM A KAB59A</v>
      </c>
      <c r="F114" s="27" t="str">
        <f>IFERROR(_xlfn.XLOOKUP(D114,HELPER!$B:$B,HELPER!$D:$D,""),"")</f>
        <v>Resin 8</v>
      </c>
      <c r="G114" s="27">
        <v>8</v>
      </c>
      <c r="H114" s="32">
        <v>1.4999999999999999E-2</v>
      </c>
      <c r="I114" s="8">
        <f>IF(AND(H114&lt;&gt;"",IFERROR(_xlfn.XLOOKUP(D114,HELPER!$B:$B,HELPER!$E:$E,""),"")=""),"Missing price",IFERROR(_xlfn.XLOOKUP(D114,HELPER!$B:$B,HELPER!$E:$E,"")," "))</f>
        <v>7.55</v>
      </c>
      <c r="J114" s="47">
        <f>IFERROR(H114*(IF(G114=8,I114*HELPER!$G$2,BOM!I114*HELPER!$G$3))," ")</f>
        <v>2.265E-2</v>
      </c>
      <c r="K114" s="6"/>
      <c r="L114" s="14" t="str" cm="1">
        <f t="array" ref="L114">IFERROR(_xlfn.LET(_xlpm.films,Table4[Film],_xlpm.grades,Table4[Grade],_xlpm.pairs,_xlfn._xlws.FILTER(_xlfn.HSTACK(_xlpm.films,_xlpm.grades),(_xlpm.films&lt;&gt;"")*(TRIM(_xlpm.grades)&lt;&gt;"")),_xlpm.uniquePairs,_xlfn.UNIQUE(_xlpm.pairs),_xlpm.sortedPairs,_xlfn._xlws.SORT(_xlpm.uniquePairs,1,1),INDEX(_xlpm.sortedPairs,ROWS($L$2:L114),1)),"")</f>
        <v/>
      </c>
      <c r="M114" s="15" t="str" cm="1">
        <f t="array" ref="M114">IFERROR(_xlfn.LET(_xlpm.films,Table4[Film],_xlpm.grades,Table4[Grade],_xlpm.pairs,_xlfn._xlws.FILTER(_xlfn.HSTACK(_xlpm.films,_xlpm.grades),(_xlpm.films&lt;&gt;"")*(TRIM(_xlpm.grades)&lt;&gt;"")),_xlpm.uniquePairs,_xlfn.UNIQUE(_xlpm.pairs),_xlpm.sortedPairs,_xlfn._xlws.SORT(_xlpm.uniquePairs,1,1),INDEX(_xlpm.sortedPairs,ROWS($M$2:M114),2)),"")</f>
        <v/>
      </c>
      <c r="N114" s="15" t="str" cm="1">
        <f t="array" ref="N114">IF(OR(Table2[[#This Row],[Film]]="",Table2[[#This Row],[Grade]]=""),"",IFERROR(INDEX(Table4[Serial Number],MATCH(1,(Table4[Film]=Table2[[#This Row],[Film]])*(Table4[Grade]=Table2[[#This Row],[Grade]]),0)),""))</f>
        <v/>
      </c>
      <c r="O114" s="51" t="str">
        <f>IF(OR(Table2[[#This Row],[Film]]="",Table2[[#This Row],[Grade]]=""),"",SUMIFS(Table4[Price Calculated(€) Thickness &amp; QTY related],Table4[Film],Table2[[#This Row],[Film]],Table4[Grade],Table2[[#This Row],[Grade]]))</f>
        <v/>
      </c>
      <c r="P114" s="6"/>
      <c r="T114" s="6"/>
    </row>
    <row r="115" spans="1:20" hidden="1">
      <c r="A115" s="29" t="s">
        <v>51</v>
      </c>
      <c r="B115" s="29" t="s">
        <v>7</v>
      </c>
      <c r="C115" s="28" t="s">
        <v>16</v>
      </c>
      <c r="D115" s="28" t="str">
        <f>IF(C115="","",IFERROR(_xlfn.XLOOKUP(C115,HELPER!$A$2:$A$81,HELPER!$B$2:$B$81,""),D115))</f>
        <v>S723</v>
      </c>
      <c r="E115" s="28" t="str">
        <f>IFERROR(_xlfn.XLOOKUP(D115,HELPER!$B:$B,HELPER!$C:$C,""),"")</f>
        <v>RM TA45-08 S723</v>
      </c>
      <c r="F115" s="27" t="str">
        <f>IFERROR(_xlfn.XLOOKUP(D115,HELPER!$B:$B,HELPER!$D:$D,""),"")</f>
        <v>Resin 6</v>
      </c>
      <c r="G115" s="27">
        <v>8</v>
      </c>
      <c r="H115" s="32">
        <v>1.4999999999999999E-2</v>
      </c>
      <c r="I115" s="8">
        <f>IF(AND(H115&lt;&gt;"",IFERROR(_xlfn.XLOOKUP(D115,HELPER!$B:$B,HELPER!$E:$E,""),"")=""),"Missing price",IFERROR(_xlfn.XLOOKUP(D115,HELPER!$B:$B,HELPER!$E:$E,"")," "))</f>
        <v>16.16</v>
      </c>
      <c r="J115" s="47">
        <f>IFERROR(H115*(IF(G115=8,I115*HELPER!$G$2,BOM!I115*HELPER!$G$3))," ")</f>
        <v>4.8480000000000002E-2</v>
      </c>
      <c r="K115" s="6"/>
      <c r="L115" s="14" t="str" cm="1">
        <f t="array" ref="L115">IFERROR(_xlfn.LET(_xlpm.films,Table4[Film],_xlpm.grades,Table4[Grade],_xlpm.pairs,_xlfn._xlws.FILTER(_xlfn.HSTACK(_xlpm.films,_xlpm.grades),(_xlpm.films&lt;&gt;"")*(TRIM(_xlpm.grades)&lt;&gt;"")),_xlpm.uniquePairs,_xlfn.UNIQUE(_xlpm.pairs),_xlpm.sortedPairs,_xlfn._xlws.SORT(_xlpm.uniquePairs,1,1),INDEX(_xlpm.sortedPairs,ROWS($L$2:L115),1)),"")</f>
        <v/>
      </c>
      <c r="M115" s="15" t="str" cm="1">
        <f t="array" ref="M115">IFERROR(_xlfn.LET(_xlpm.films,Table4[Film],_xlpm.grades,Table4[Grade],_xlpm.pairs,_xlfn._xlws.FILTER(_xlfn.HSTACK(_xlpm.films,_xlpm.grades),(_xlpm.films&lt;&gt;"")*(TRIM(_xlpm.grades)&lt;&gt;"")),_xlpm.uniquePairs,_xlfn.UNIQUE(_xlpm.pairs),_xlpm.sortedPairs,_xlfn._xlws.SORT(_xlpm.uniquePairs,1,1),INDEX(_xlpm.sortedPairs,ROWS($M$2:M115),2)),"")</f>
        <v/>
      </c>
      <c r="N115" s="15" t="str" cm="1">
        <f t="array" ref="N115">IF(OR(Table2[[#This Row],[Film]]="",Table2[[#This Row],[Grade]]=""),"",IFERROR(INDEX(Table4[Serial Number],MATCH(1,(Table4[Film]=Table2[[#This Row],[Film]])*(Table4[Grade]=Table2[[#This Row],[Grade]]),0)),""))</f>
        <v/>
      </c>
      <c r="O115" s="51" t="str">
        <f>IF(OR(Table2[[#This Row],[Film]]="",Table2[[#This Row],[Grade]]=""),"",SUMIFS(Table4[Price Calculated(€) Thickness &amp; QTY related],Table4[Film],Table2[[#This Row],[Film]],Table4[Grade],Table2[[#This Row],[Grade]]))</f>
        <v/>
      </c>
      <c r="P115" s="6"/>
      <c r="T115" s="6"/>
    </row>
    <row r="116" spans="1:20" hidden="1">
      <c r="A116" s="29" t="s">
        <v>51</v>
      </c>
      <c r="B116" s="29" t="s">
        <v>7</v>
      </c>
      <c r="C116" s="28" t="s">
        <v>17</v>
      </c>
      <c r="D116" s="28" t="str">
        <f>IF(C116="","",IFERROR(_xlfn.XLOOKUP(C116,HELPER!$A$2:$A$81,HELPER!$B$2:$B$81,""),D116))</f>
        <v>S724</v>
      </c>
      <c r="E116" s="28" t="str">
        <f>IFERROR(_xlfn.XLOOKUP(D116,HELPER!$B:$B,HELPER!$C:$C,""),"")</f>
        <v>RM TA45-08 S724</v>
      </c>
      <c r="F116" s="27" t="str">
        <f>IFERROR(_xlfn.XLOOKUP(D116,HELPER!$B:$B,HELPER!$D:$D,""),"")</f>
        <v>Resin 7</v>
      </c>
      <c r="G116" s="27">
        <v>8</v>
      </c>
      <c r="H116" s="32">
        <v>2.3E-2</v>
      </c>
      <c r="I116" s="8">
        <f>IF(AND(H116&lt;&gt;"",IFERROR(_xlfn.XLOOKUP(D116,HELPER!$B:$B,HELPER!$E:$E,""),"")=""),"Missing price",IFERROR(_xlfn.XLOOKUP(D116,HELPER!$B:$B,HELPER!$E:$E,"")," "))</f>
        <v>14.7</v>
      </c>
      <c r="J116" s="47">
        <f>IFERROR(H116*(IF(G116=8,I116*HELPER!$G$2,BOM!I116*HELPER!$G$3))," ")</f>
        <v>6.762E-2</v>
      </c>
      <c r="K116" s="6"/>
      <c r="L116" s="14" t="str" cm="1">
        <f t="array" ref="L116">IFERROR(_xlfn.LET(_xlpm.films,Table4[Film],_xlpm.grades,Table4[Grade],_xlpm.pairs,_xlfn._xlws.FILTER(_xlfn.HSTACK(_xlpm.films,_xlpm.grades),(_xlpm.films&lt;&gt;"")*(TRIM(_xlpm.grades)&lt;&gt;"")),_xlpm.uniquePairs,_xlfn.UNIQUE(_xlpm.pairs),_xlpm.sortedPairs,_xlfn._xlws.SORT(_xlpm.uniquePairs,1,1),INDEX(_xlpm.sortedPairs,ROWS($L$2:L116),1)),"")</f>
        <v/>
      </c>
      <c r="M116" s="15" t="str" cm="1">
        <f t="array" ref="M116">IFERROR(_xlfn.LET(_xlpm.films,Table4[Film],_xlpm.grades,Table4[Grade],_xlpm.pairs,_xlfn._xlws.FILTER(_xlfn.HSTACK(_xlpm.films,_xlpm.grades),(_xlpm.films&lt;&gt;"")*(TRIM(_xlpm.grades)&lt;&gt;"")),_xlpm.uniquePairs,_xlfn.UNIQUE(_xlpm.pairs),_xlpm.sortedPairs,_xlfn._xlws.SORT(_xlpm.uniquePairs,1,1),INDEX(_xlpm.sortedPairs,ROWS($M$2:M116),2)),"")</f>
        <v/>
      </c>
      <c r="N116" s="15" t="str" cm="1">
        <f t="array" ref="N116">IF(OR(Table2[[#This Row],[Film]]="",Table2[[#This Row],[Grade]]=""),"",IFERROR(INDEX(Table4[Serial Number],MATCH(1,(Table4[Film]=Table2[[#This Row],[Film]])*(Table4[Grade]=Table2[[#This Row],[Grade]]),0)),""))</f>
        <v/>
      </c>
      <c r="O116" s="51" t="str">
        <f>IF(OR(Table2[[#This Row],[Film]]="",Table2[[#This Row],[Grade]]=""),"",SUMIFS(Table4[Price Calculated(€) Thickness &amp; QTY related],Table4[Film],Table2[[#This Row],[Film]],Table4[Grade],Table2[[#This Row],[Grade]]))</f>
        <v/>
      </c>
      <c r="P116" s="6"/>
      <c r="T116" s="6"/>
    </row>
    <row r="117" spans="1:20" hidden="1">
      <c r="A117" s="29" t="s">
        <v>51</v>
      </c>
      <c r="B117" s="29" t="s">
        <v>7</v>
      </c>
      <c r="C117" s="28"/>
      <c r="D117" s="28" t="str">
        <f>IF(C117="","",IFERROR(_xlfn.XLOOKUP(C117,HELPER!$A$2:$A$81,HELPER!$B$2:$B$81,""),D117))</f>
        <v/>
      </c>
      <c r="E117" s="28" t="str">
        <f>IFERROR(_xlfn.XLOOKUP(D117,HELPER!$B:$B,HELPER!$C:$C,""),"")</f>
        <v/>
      </c>
      <c r="F117" s="27" t="str">
        <f>IFERROR(_xlfn.XLOOKUP(D117,HELPER!$B:$B,HELPER!$D:$D,""),"")</f>
        <v/>
      </c>
      <c r="G117" s="27">
        <v>8</v>
      </c>
      <c r="I117" s="8" t="str">
        <f>IF(AND(H117&lt;&gt;"",IFERROR(_xlfn.XLOOKUP(D117,HELPER!$B:$B,HELPER!$E:$E,""),"")=""),"Missing price",IFERROR(_xlfn.XLOOKUP(D117,HELPER!$B:$B,HELPER!$E:$E,"")," "))</f>
        <v/>
      </c>
      <c r="J117" s="47" t="str">
        <f>IFERROR(H117*(IF(G117=8,I117*HELPER!$G$2,BOM!I117*HELPER!$G$3))," ")</f>
        <v xml:space="preserve"> </v>
      </c>
      <c r="K117" s="6"/>
      <c r="L117" s="14" t="str" cm="1">
        <f t="array" ref="L117">IFERROR(_xlfn.LET(_xlpm.films,Table4[Film],_xlpm.grades,Table4[Grade],_xlpm.pairs,_xlfn._xlws.FILTER(_xlfn.HSTACK(_xlpm.films,_xlpm.grades),(_xlpm.films&lt;&gt;"")*(TRIM(_xlpm.grades)&lt;&gt;"")),_xlpm.uniquePairs,_xlfn.UNIQUE(_xlpm.pairs),_xlpm.sortedPairs,_xlfn._xlws.SORT(_xlpm.uniquePairs,1,1),INDEX(_xlpm.sortedPairs,ROWS($L$2:L117),1)),"")</f>
        <v/>
      </c>
      <c r="M117" s="15" t="str" cm="1">
        <f t="array" ref="M117">IFERROR(_xlfn.LET(_xlpm.films,Table4[Film],_xlpm.grades,Table4[Grade],_xlpm.pairs,_xlfn._xlws.FILTER(_xlfn.HSTACK(_xlpm.films,_xlpm.grades),(_xlpm.films&lt;&gt;"")*(TRIM(_xlpm.grades)&lt;&gt;"")),_xlpm.uniquePairs,_xlfn.UNIQUE(_xlpm.pairs),_xlpm.sortedPairs,_xlfn._xlws.SORT(_xlpm.uniquePairs,1,1),INDEX(_xlpm.sortedPairs,ROWS($M$2:M117),2)),"")</f>
        <v/>
      </c>
      <c r="N117" s="15" t="str" cm="1">
        <f t="array" ref="N117">IF(OR(Table2[[#This Row],[Film]]="",Table2[[#This Row],[Grade]]=""),"",IFERROR(INDEX(Table4[Serial Number],MATCH(1,(Table4[Film]=Table2[[#This Row],[Film]])*(Table4[Grade]=Table2[[#This Row],[Grade]]),0)),""))</f>
        <v/>
      </c>
      <c r="O117" s="51" t="str">
        <f>IF(OR(Table2[[#This Row],[Film]]="",Table2[[#This Row],[Grade]]=""),"",SUMIFS(Table4[Price Calculated(€) Thickness &amp; QTY related],Table4[Film],Table2[[#This Row],[Film]],Table4[Grade],Table2[[#This Row],[Grade]]))</f>
        <v/>
      </c>
      <c r="P117" s="6"/>
      <c r="T117" s="6"/>
    </row>
    <row r="118" spans="1:20" hidden="1">
      <c r="A118" s="29" t="s">
        <v>51</v>
      </c>
      <c r="B118" s="29" t="s">
        <v>7</v>
      </c>
      <c r="C118" s="28"/>
      <c r="D118" s="28" t="str">
        <f>IF(C118="","",IFERROR(_xlfn.XLOOKUP(C118,HELPER!$A$2:$A$81,HELPER!$B$2:$B$81,""),D118))</f>
        <v/>
      </c>
      <c r="E118" s="28" t="str">
        <f>IFERROR(_xlfn.XLOOKUP(D118,HELPER!$B:$B,HELPER!$C:$C,""),"")</f>
        <v/>
      </c>
      <c r="F118" s="27" t="str">
        <f>IFERROR(_xlfn.XLOOKUP(D118,HELPER!$B:$B,HELPER!$D:$D,""),"")</f>
        <v/>
      </c>
      <c r="G118" s="27">
        <v>8</v>
      </c>
      <c r="I118" s="8" t="str">
        <f>IF(AND(H118&lt;&gt;"",IFERROR(_xlfn.XLOOKUP(D118,HELPER!$B:$B,HELPER!$E:$E,""),"")=""),"Missing price",IFERROR(_xlfn.XLOOKUP(D118,HELPER!$B:$B,HELPER!$E:$E,"")," "))</f>
        <v/>
      </c>
      <c r="J118" s="47" t="str">
        <f>IFERROR(H118*(IF(G118=8,I118*HELPER!$G$2,BOM!I118*HELPER!$G$3))," ")</f>
        <v xml:space="preserve"> </v>
      </c>
      <c r="K118" s="6"/>
      <c r="L118" s="14" t="str" cm="1">
        <f t="array" ref="L118">IFERROR(_xlfn.LET(_xlpm.films,Table4[Film],_xlpm.grades,Table4[Grade],_xlpm.pairs,_xlfn._xlws.FILTER(_xlfn.HSTACK(_xlpm.films,_xlpm.grades),(_xlpm.films&lt;&gt;"")*(TRIM(_xlpm.grades)&lt;&gt;"")),_xlpm.uniquePairs,_xlfn.UNIQUE(_xlpm.pairs),_xlpm.sortedPairs,_xlfn._xlws.SORT(_xlpm.uniquePairs,1,1),INDEX(_xlpm.sortedPairs,ROWS($L$2:L118),1)),"")</f>
        <v/>
      </c>
      <c r="M118" s="15" t="str" cm="1">
        <f t="array" ref="M118">IFERROR(_xlfn.LET(_xlpm.films,Table4[Film],_xlpm.grades,Table4[Grade],_xlpm.pairs,_xlfn._xlws.FILTER(_xlfn.HSTACK(_xlpm.films,_xlpm.grades),(_xlpm.films&lt;&gt;"")*(TRIM(_xlpm.grades)&lt;&gt;"")),_xlpm.uniquePairs,_xlfn.UNIQUE(_xlpm.pairs),_xlpm.sortedPairs,_xlfn._xlws.SORT(_xlpm.uniquePairs,1,1),INDEX(_xlpm.sortedPairs,ROWS($M$2:M118),2)),"")</f>
        <v/>
      </c>
      <c r="N118" s="15" t="str" cm="1">
        <f t="array" ref="N118">IF(OR(Table2[[#This Row],[Film]]="",Table2[[#This Row],[Grade]]=""),"",IFERROR(INDEX(Table4[Serial Number],MATCH(1,(Table4[Film]=Table2[[#This Row],[Film]])*(Table4[Grade]=Table2[[#This Row],[Grade]]),0)),""))</f>
        <v/>
      </c>
      <c r="O118" s="51" t="str">
        <f>IF(OR(Table2[[#This Row],[Film]]="",Table2[[#This Row],[Grade]]=""),"",SUMIFS(Table4[Price Calculated(€) Thickness &amp; QTY related],Table4[Film],Table2[[#This Row],[Film]],Table4[Grade],Table2[[#This Row],[Grade]]))</f>
        <v/>
      </c>
      <c r="P118" s="6"/>
      <c r="T118" s="6"/>
    </row>
    <row r="119" spans="1:20" hidden="1">
      <c r="A119" s="29" t="s">
        <v>51</v>
      </c>
      <c r="B119" s="29" t="s">
        <v>7</v>
      </c>
      <c r="C119" s="28"/>
      <c r="D119" s="28" t="str">
        <f>IF(C119="","",IFERROR(_xlfn.XLOOKUP(C119,HELPER!$A$2:$A$81,HELPER!$B$2:$B$81,""),D119))</f>
        <v/>
      </c>
      <c r="E119" s="28" t="str">
        <f>IFERROR(_xlfn.XLOOKUP(D119,HELPER!$B:$B,HELPER!$C:$C,""),"")</f>
        <v/>
      </c>
      <c r="F119" s="27" t="str">
        <f>IFERROR(_xlfn.XLOOKUP(D119,HELPER!$B:$B,HELPER!$D:$D,""),"")</f>
        <v/>
      </c>
      <c r="G119" s="27">
        <v>8</v>
      </c>
      <c r="I119" s="8" t="str">
        <f>IF(AND(H119&lt;&gt;"",IFERROR(_xlfn.XLOOKUP(D119,HELPER!$B:$B,HELPER!$E:$E,""),"")=""),"Missing price",IFERROR(_xlfn.XLOOKUP(D119,HELPER!$B:$B,HELPER!$E:$E,"")," "))</f>
        <v/>
      </c>
      <c r="J119" s="47" t="str">
        <f>IFERROR(H119*(IF(G119=8,I119*HELPER!$G$2,BOM!I119*HELPER!$G$3))," ")</f>
        <v xml:space="preserve"> </v>
      </c>
      <c r="K119" s="6"/>
      <c r="L119" s="14" t="str" cm="1">
        <f t="array" ref="L119">IFERROR(_xlfn.LET(_xlpm.films,Table4[Film],_xlpm.grades,Table4[Grade],_xlpm.pairs,_xlfn._xlws.FILTER(_xlfn.HSTACK(_xlpm.films,_xlpm.grades),(_xlpm.films&lt;&gt;"")*(TRIM(_xlpm.grades)&lt;&gt;"")),_xlpm.uniquePairs,_xlfn.UNIQUE(_xlpm.pairs),_xlpm.sortedPairs,_xlfn._xlws.SORT(_xlpm.uniquePairs,1,1),INDEX(_xlpm.sortedPairs,ROWS($L$2:L119),1)),"")</f>
        <v/>
      </c>
      <c r="M119" s="15" t="str" cm="1">
        <f t="array" ref="M119">IFERROR(_xlfn.LET(_xlpm.films,Table4[Film],_xlpm.grades,Table4[Grade],_xlpm.pairs,_xlfn._xlws.FILTER(_xlfn.HSTACK(_xlpm.films,_xlpm.grades),(_xlpm.films&lt;&gt;"")*(TRIM(_xlpm.grades)&lt;&gt;"")),_xlpm.uniquePairs,_xlfn.UNIQUE(_xlpm.pairs),_xlpm.sortedPairs,_xlfn._xlws.SORT(_xlpm.uniquePairs,1,1),INDEX(_xlpm.sortedPairs,ROWS($M$2:M119),2)),"")</f>
        <v/>
      </c>
      <c r="N119" s="15" t="str" cm="1">
        <f t="array" ref="N119">IF(OR(Table2[[#This Row],[Film]]="",Table2[[#This Row],[Grade]]=""),"",IFERROR(INDEX(Table4[Serial Number],MATCH(1,(Table4[Film]=Table2[[#This Row],[Film]])*(Table4[Grade]=Table2[[#This Row],[Grade]]),0)),""))</f>
        <v/>
      </c>
      <c r="O119" s="51" t="str">
        <f>IF(OR(Table2[[#This Row],[Film]]="",Table2[[#This Row],[Grade]]=""),"",SUMIFS(Table4[Price Calculated(€) Thickness &amp; QTY related],Table4[Film],Table2[[#This Row],[Film]],Table4[Grade],Table2[[#This Row],[Grade]]))</f>
        <v/>
      </c>
      <c r="P119" s="6"/>
      <c r="T119" s="6"/>
    </row>
    <row r="120" spans="1:20" hidden="1">
      <c r="A120" s="29" t="s">
        <v>51</v>
      </c>
      <c r="B120" s="29" t="s">
        <v>7</v>
      </c>
      <c r="C120" s="28"/>
      <c r="D120" s="28" t="str">
        <f>IF(C120="","",IFERROR(_xlfn.XLOOKUP(C120,HELPER!$A$2:$A$81,HELPER!$B$2:$B$81,""),D120))</f>
        <v/>
      </c>
      <c r="E120" s="28" t="str">
        <f>IFERROR(_xlfn.XLOOKUP(D120,HELPER!$B:$B,HELPER!$C:$C,""),"")</f>
        <v/>
      </c>
      <c r="F120" s="27" t="str">
        <f>IFERROR(_xlfn.XLOOKUP(D120,HELPER!$B:$B,HELPER!$D:$D,""),"")</f>
        <v/>
      </c>
      <c r="G120" s="27">
        <v>8</v>
      </c>
      <c r="I120" s="8" t="str">
        <f>IF(AND(H120&lt;&gt;"",IFERROR(_xlfn.XLOOKUP(D120,HELPER!$B:$B,HELPER!$E:$E,""),"")=""),"Missing price",IFERROR(_xlfn.XLOOKUP(D120,HELPER!$B:$B,HELPER!$E:$E,"")," "))</f>
        <v/>
      </c>
      <c r="J120" s="47" t="str">
        <f>IFERROR(H120*(IF(G120=8,I120*HELPER!$G$2,BOM!I120*HELPER!$G$3))," ")</f>
        <v xml:space="preserve"> </v>
      </c>
      <c r="K120" s="6"/>
      <c r="L120" s="14" t="str" cm="1">
        <f t="array" ref="L120">IFERROR(_xlfn.LET(_xlpm.films,Table4[Film],_xlpm.grades,Table4[Grade],_xlpm.pairs,_xlfn._xlws.FILTER(_xlfn.HSTACK(_xlpm.films,_xlpm.grades),(_xlpm.films&lt;&gt;"")*(TRIM(_xlpm.grades)&lt;&gt;"")),_xlpm.uniquePairs,_xlfn.UNIQUE(_xlpm.pairs),_xlpm.sortedPairs,_xlfn._xlws.SORT(_xlpm.uniquePairs,1,1),INDEX(_xlpm.sortedPairs,ROWS($L$2:L120),1)),"")</f>
        <v/>
      </c>
      <c r="M120" s="15" t="str" cm="1">
        <f t="array" ref="M120">IFERROR(_xlfn.LET(_xlpm.films,Table4[Film],_xlpm.grades,Table4[Grade],_xlpm.pairs,_xlfn._xlws.FILTER(_xlfn.HSTACK(_xlpm.films,_xlpm.grades),(_xlpm.films&lt;&gt;"")*(TRIM(_xlpm.grades)&lt;&gt;"")),_xlpm.uniquePairs,_xlfn.UNIQUE(_xlpm.pairs),_xlpm.sortedPairs,_xlfn._xlws.SORT(_xlpm.uniquePairs,1,1),INDEX(_xlpm.sortedPairs,ROWS($M$2:M120),2)),"")</f>
        <v/>
      </c>
      <c r="N120" s="15" t="str" cm="1">
        <f t="array" ref="N120">IF(OR(Table2[[#This Row],[Film]]="",Table2[[#This Row],[Grade]]=""),"",IFERROR(INDEX(Table4[Serial Number],MATCH(1,(Table4[Film]=Table2[[#This Row],[Film]])*(Table4[Grade]=Table2[[#This Row],[Grade]]),0)),""))</f>
        <v/>
      </c>
      <c r="O120" s="51" t="str">
        <f>IF(OR(Table2[[#This Row],[Film]]="",Table2[[#This Row],[Grade]]=""),"",SUMIFS(Table4[Price Calculated(€) Thickness &amp; QTY related],Table4[Film],Table2[[#This Row],[Film]],Table4[Grade],Table2[[#This Row],[Grade]]))</f>
        <v/>
      </c>
      <c r="P120" s="6"/>
      <c r="T120" s="6"/>
    </row>
    <row r="121" spans="1:20" hidden="1">
      <c r="A121" s="29" t="s">
        <v>51</v>
      </c>
      <c r="B121" s="29" t="s">
        <v>7</v>
      </c>
      <c r="C121" s="28"/>
      <c r="D121" s="28" t="str">
        <f>IF(C121="","",IFERROR(_xlfn.XLOOKUP(C121,HELPER!$A$2:$A$81,HELPER!$B$2:$B$81,""),D121))</f>
        <v/>
      </c>
      <c r="E121" s="28" t="str">
        <f>IFERROR(_xlfn.XLOOKUP(D121,HELPER!$B:$B,HELPER!$C:$C,""),"")</f>
        <v/>
      </c>
      <c r="F121" s="27" t="str">
        <f>IFERROR(_xlfn.XLOOKUP(D121,HELPER!$B:$B,HELPER!$D:$D,""),"")</f>
        <v/>
      </c>
      <c r="G121" s="27">
        <v>8</v>
      </c>
      <c r="I121" s="8" t="str">
        <f>IF(AND(H121&lt;&gt;"",IFERROR(_xlfn.XLOOKUP(D121,HELPER!$B:$B,HELPER!$E:$E,""),"")=""),"Missing price",IFERROR(_xlfn.XLOOKUP(D121,HELPER!$B:$B,HELPER!$E:$E,"")," "))</f>
        <v/>
      </c>
      <c r="J121" s="47" t="str">
        <f>IFERROR(H121*(IF(G121=8,I121*HELPER!$G$2,BOM!I121*HELPER!$G$3))," ")</f>
        <v xml:space="preserve"> </v>
      </c>
      <c r="K121" s="6"/>
      <c r="L121" s="14" t="str" cm="1">
        <f t="array" ref="L121">IFERROR(_xlfn.LET(_xlpm.films,Table4[Film],_xlpm.grades,Table4[Grade],_xlpm.pairs,_xlfn._xlws.FILTER(_xlfn.HSTACK(_xlpm.films,_xlpm.grades),(_xlpm.films&lt;&gt;"")*(TRIM(_xlpm.grades)&lt;&gt;"")),_xlpm.uniquePairs,_xlfn.UNIQUE(_xlpm.pairs),_xlpm.sortedPairs,_xlfn._xlws.SORT(_xlpm.uniquePairs,1,1),INDEX(_xlpm.sortedPairs,ROWS($L$2:L121),1)),"")</f>
        <v/>
      </c>
      <c r="M121" s="15" t="str" cm="1">
        <f t="array" ref="M121">IFERROR(_xlfn.LET(_xlpm.films,Table4[Film],_xlpm.grades,Table4[Grade],_xlpm.pairs,_xlfn._xlws.FILTER(_xlfn.HSTACK(_xlpm.films,_xlpm.grades),(_xlpm.films&lt;&gt;"")*(TRIM(_xlpm.grades)&lt;&gt;"")),_xlpm.uniquePairs,_xlfn.UNIQUE(_xlpm.pairs),_xlpm.sortedPairs,_xlfn._xlws.SORT(_xlpm.uniquePairs,1,1),INDEX(_xlpm.sortedPairs,ROWS($M$2:M121),2)),"")</f>
        <v/>
      </c>
      <c r="N121" s="15" t="str" cm="1">
        <f t="array" ref="N121">IF(OR(Table2[[#This Row],[Film]]="",Table2[[#This Row],[Grade]]=""),"",IFERROR(INDEX(Table4[Serial Number],MATCH(1,(Table4[Film]=Table2[[#This Row],[Film]])*(Table4[Grade]=Table2[[#This Row],[Grade]]),0)),""))</f>
        <v/>
      </c>
      <c r="O121" s="51" t="str">
        <f>IF(OR(Table2[[#This Row],[Film]]="",Table2[[#This Row],[Grade]]=""),"",SUMIFS(Table4[Price Calculated(€) Thickness &amp; QTY related],Table4[Film],Table2[[#This Row],[Film]],Table4[Grade],Table2[[#This Row],[Grade]]))</f>
        <v/>
      </c>
      <c r="P121" s="6"/>
      <c r="T121" s="6"/>
    </row>
    <row r="122" spans="1:20" hidden="1">
      <c r="A122" s="29" t="s">
        <v>44</v>
      </c>
      <c r="B122" s="29" t="s">
        <v>5</v>
      </c>
      <c r="C122" s="28" t="s">
        <v>13</v>
      </c>
      <c r="D122" s="28" t="str">
        <f>IF(C122="","",IFERROR(_xlfn.XLOOKUP(C122,HELPER!$A$2:$A$81,HELPER!$B$2:$B$81,""),D122))</f>
        <v>LX175</v>
      </c>
      <c r="E122" s="28" t="str">
        <f>IFERROR(_xlfn.XLOOKUP(D122,HELPER!$B:$B,HELPER!$C:$C,""),"")</f>
        <v>RMLX175</v>
      </c>
      <c r="F122" s="27" t="str">
        <f>IFERROR(_xlfn.XLOOKUP(D122,HELPER!$B:$B,HELPER!$D:$D,""),"")</f>
        <v>Resin 1A</v>
      </c>
      <c r="G122" s="27">
        <v>8</v>
      </c>
      <c r="H122" s="32">
        <v>0.79500000000000004</v>
      </c>
      <c r="I122" s="8">
        <f>IF(AND(H122&lt;&gt;"",IFERROR(_xlfn.XLOOKUP(D122,HELPER!$B:$B,HELPER!$E:$E,""),"")=""),"Missing price",IFERROR(_xlfn.XLOOKUP(D122,HELPER!$B:$B,HELPER!$E:$E,"")," "))</f>
        <v>3.17</v>
      </c>
      <c r="J122" s="47">
        <f>IFERROR(H122*(IF(G122=8,I122*HELPER!$G$2,BOM!I122*HELPER!$G$3))," ")</f>
        <v>0.50402999999999998</v>
      </c>
      <c r="K122" s="6"/>
      <c r="L122" s="14" t="str" cm="1">
        <f t="array" ref="L122">IFERROR(_xlfn.LET(_xlpm.films,Table4[Film],_xlpm.grades,Table4[Grade],_xlpm.pairs,_xlfn._xlws.FILTER(_xlfn.HSTACK(_xlpm.films,_xlpm.grades),(_xlpm.films&lt;&gt;"")*(TRIM(_xlpm.grades)&lt;&gt;"")),_xlpm.uniquePairs,_xlfn.UNIQUE(_xlpm.pairs),_xlpm.sortedPairs,_xlfn._xlws.SORT(_xlpm.uniquePairs,1,1),INDEX(_xlpm.sortedPairs,ROWS($L$2:L122),1)),"")</f>
        <v/>
      </c>
      <c r="M122" s="15" t="str" cm="1">
        <f t="array" ref="M122">IFERROR(_xlfn.LET(_xlpm.films,Table4[Film],_xlpm.grades,Table4[Grade],_xlpm.pairs,_xlfn._xlws.FILTER(_xlfn.HSTACK(_xlpm.films,_xlpm.grades),(_xlpm.films&lt;&gt;"")*(TRIM(_xlpm.grades)&lt;&gt;"")),_xlpm.uniquePairs,_xlfn.UNIQUE(_xlpm.pairs),_xlpm.sortedPairs,_xlfn._xlws.SORT(_xlpm.uniquePairs,1,1),INDEX(_xlpm.sortedPairs,ROWS($M$2:M122),2)),"")</f>
        <v/>
      </c>
      <c r="N122" s="15" t="str" cm="1">
        <f t="array" ref="N122">IF(OR(Table2[[#This Row],[Film]]="",Table2[[#This Row],[Grade]]=""),"",IFERROR(INDEX(Table4[Serial Number],MATCH(1,(Table4[Film]=Table2[[#This Row],[Film]])*(Table4[Grade]=Table2[[#This Row],[Grade]]),0)),""))</f>
        <v/>
      </c>
      <c r="O122" s="51" t="str">
        <f>IF(OR(Table2[[#This Row],[Film]]="",Table2[[#This Row],[Grade]]=""),"",SUMIFS(Table4[Price Calculated(€) Thickness &amp; QTY related],Table4[Film],Table2[[#This Row],[Film]],Table4[Grade],Table2[[#This Row],[Grade]]))</f>
        <v/>
      </c>
      <c r="P122" s="6"/>
      <c r="T122" s="6"/>
    </row>
    <row r="123" spans="1:20" hidden="1">
      <c r="A123" s="29" t="s">
        <v>44</v>
      </c>
      <c r="B123" s="29" t="s">
        <v>5</v>
      </c>
      <c r="C123" s="28" t="s">
        <v>15</v>
      </c>
      <c r="D123" s="28" t="str">
        <f>IF(C123="","",IFERROR(_xlfn.XLOOKUP(C123,HELPER!$A$2:$A$81,HELPER!$B$2:$B$81,""),D123))</f>
        <v>P65D</v>
      </c>
      <c r="E123" s="28" t="str">
        <f>IFERROR(_xlfn.XLOOKUP(D123,HELPER!$B:$B,HELPER!$C:$C,""),"")</f>
        <v>RMP65D</v>
      </c>
      <c r="F123" s="27" t="str">
        <f>IFERROR(_xlfn.XLOOKUP(D123,HELPER!$B:$B,HELPER!$D:$D,""),"")</f>
        <v>Resin 4A</v>
      </c>
      <c r="G123" s="27">
        <v>8</v>
      </c>
      <c r="H123" s="32">
        <v>0.19</v>
      </c>
      <c r="I123" s="8">
        <f>IF(AND(H123&lt;&gt;"",IFERROR(_xlfn.XLOOKUP(D123,HELPER!$B:$B,HELPER!$E:$E,""),"")=""),"Missing price",IFERROR(_xlfn.XLOOKUP(D123,HELPER!$B:$B,HELPER!$E:$E,"")," "))</f>
        <v>7.3</v>
      </c>
      <c r="J123" s="47">
        <f>IFERROR(H123*(IF(G123=8,I123*HELPER!$G$2,BOM!I123*HELPER!$G$3))," ")</f>
        <v>0.27739999999999998</v>
      </c>
      <c r="K123" s="6"/>
      <c r="L123" s="14" t="str" cm="1">
        <f t="array" ref="L123">IFERROR(_xlfn.LET(_xlpm.films,Table4[Film],_xlpm.grades,Table4[Grade],_xlpm.pairs,_xlfn._xlws.FILTER(_xlfn.HSTACK(_xlpm.films,_xlpm.grades),(_xlpm.films&lt;&gt;"")*(TRIM(_xlpm.grades)&lt;&gt;"")),_xlpm.uniquePairs,_xlfn.UNIQUE(_xlpm.pairs),_xlpm.sortedPairs,_xlfn._xlws.SORT(_xlpm.uniquePairs,1,1),INDEX(_xlpm.sortedPairs,ROWS($L$2:L123),1)),"")</f>
        <v/>
      </c>
      <c r="M123" s="15" t="str" cm="1">
        <f t="array" ref="M123">IFERROR(_xlfn.LET(_xlpm.films,Table4[Film],_xlpm.grades,Table4[Grade],_xlpm.pairs,_xlfn._xlws.FILTER(_xlfn.HSTACK(_xlpm.films,_xlpm.grades),(_xlpm.films&lt;&gt;"")*(TRIM(_xlpm.grades)&lt;&gt;"")),_xlpm.uniquePairs,_xlfn.UNIQUE(_xlpm.pairs),_xlpm.sortedPairs,_xlfn._xlws.SORT(_xlpm.uniquePairs,1,1),INDEX(_xlpm.sortedPairs,ROWS($M$2:M123),2)),"")</f>
        <v/>
      </c>
      <c r="N123" s="15" t="str" cm="1">
        <f t="array" ref="N123">IF(OR(Table2[[#This Row],[Film]]="",Table2[[#This Row],[Grade]]=""),"",IFERROR(INDEX(Table4[Serial Number],MATCH(1,(Table4[Film]=Table2[[#This Row],[Film]])*(Table4[Grade]=Table2[[#This Row],[Grade]]),0)),""))</f>
        <v/>
      </c>
      <c r="O123" s="51" t="str">
        <f>IF(OR(Table2[[#This Row],[Film]]="",Table2[[#This Row],[Grade]]=""),"",SUMIFS(Table4[Price Calculated(€) Thickness &amp; QTY related],Table4[Film],Table2[[#This Row],[Film]],Table4[Grade],Table2[[#This Row],[Grade]]))</f>
        <v/>
      </c>
      <c r="P123" s="6"/>
      <c r="T123" s="6"/>
    </row>
    <row r="124" spans="1:20" hidden="1">
      <c r="A124" s="29" t="s">
        <v>44</v>
      </c>
      <c r="B124" s="29" t="s">
        <v>5</v>
      </c>
      <c r="C124" s="28" t="s">
        <v>16</v>
      </c>
      <c r="D124" s="28" t="str">
        <f>IF(C124="","",IFERROR(_xlfn.XLOOKUP(C124,HELPER!$A$2:$A$81,HELPER!$B$2:$B$81,""),D124))</f>
        <v>S723</v>
      </c>
      <c r="E124" s="28" t="str">
        <f>IFERROR(_xlfn.XLOOKUP(D124,HELPER!$B:$B,HELPER!$C:$C,""),"")</f>
        <v>RM TA45-08 S723</v>
      </c>
      <c r="F124" s="27" t="str">
        <f>IFERROR(_xlfn.XLOOKUP(D124,HELPER!$B:$B,HELPER!$D:$D,""),"")</f>
        <v>Resin 6</v>
      </c>
      <c r="G124" s="27">
        <v>8</v>
      </c>
      <c r="H124" s="32">
        <v>1.4999999999999999E-2</v>
      </c>
      <c r="I124" s="8">
        <f>IF(AND(H124&lt;&gt;"",IFERROR(_xlfn.XLOOKUP(D124,HELPER!$B:$B,HELPER!$E:$E,""),"")=""),"Missing price",IFERROR(_xlfn.XLOOKUP(D124,HELPER!$B:$B,HELPER!$E:$E,"")," "))</f>
        <v>16.16</v>
      </c>
      <c r="J124" s="47">
        <f>IFERROR(H124*(IF(G124=8,I124*HELPER!$G$2,BOM!I124*HELPER!$G$3))," ")</f>
        <v>4.8480000000000002E-2</v>
      </c>
      <c r="K124" s="6"/>
      <c r="L124" s="14" t="str" cm="1">
        <f t="array" ref="L124">IFERROR(_xlfn.LET(_xlpm.films,Table4[Film],_xlpm.grades,Table4[Grade],_xlpm.pairs,_xlfn._xlws.FILTER(_xlfn.HSTACK(_xlpm.films,_xlpm.grades),(_xlpm.films&lt;&gt;"")*(TRIM(_xlpm.grades)&lt;&gt;"")),_xlpm.uniquePairs,_xlfn.UNIQUE(_xlpm.pairs),_xlpm.sortedPairs,_xlfn._xlws.SORT(_xlpm.uniquePairs,1,1),INDEX(_xlpm.sortedPairs,ROWS($L$2:L124),1)),"")</f>
        <v/>
      </c>
      <c r="M124" s="15" t="str" cm="1">
        <f t="array" ref="M124">IFERROR(_xlfn.LET(_xlpm.films,Table4[Film],_xlpm.grades,Table4[Grade],_xlpm.pairs,_xlfn._xlws.FILTER(_xlfn.HSTACK(_xlpm.films,_xlpm.grades),(_xlpm.films&lt;&gt;"")*(TRIM(_xlpm.grades)&lt;&gt;"")),_xlpm.uniquePairs,_xlfn.UNIQUE(_xlpm.pairs),_xlpm.sortedPairs,_xlfn._xlws.SORT(_xlpm.uniquePairs,1,1),INDEX(_xlpm.sortedPairs,ROWS($M$2:M124),2)),"")</f>
        <v/>
      </c>
      <c r="N124" s="15" t="str" cm="1">
        <f t="array" ref="N124">IF(OR(Table2[[#This Row],[Film]]="",Table2[[#This Row],[Grade]]=""),"",IFERROR(INDEX(Table4[Serial Number],MATCH(1,(Table4[Film]=Table2[[#This Row],[Film]])*(Table4[Grade]=Table2[[#This Row],[Grade]]),0)),""))</f>
        <v/>
      </c>
      <c r="O124" s="51" t="str">
        <f>IF(OR(Table2[[#This Row],[Film]]="",Table2[[#This Row],[Grade]]=""),"",SUMIFS(Table4[Price Calculated(€) Thickness &amp; QTY related],Table4[Film],Table2[[#This Row],[Film]],Table4[Grade],Table2[[#This Row],[Grade]]))</f>
        <v/>
      </c>
      <c r="P124" s="6"/>
      <c r="T124" s="6"/>
    </row>
    <row r="125" spans="1:20" hidden="1">
      <c r="A125" s="29" t="s">
        <v>44</v>
      </c>
      <c r="B125" s="29" t="s">
        <v>5</v>
      </c>
      <c r="C125" s="28"/>
      <c r="D125" s="28" t="str">
        <f>IF(C125="","",IFERROR(_xlfn.XLOOKUP(C125,HELPER!$A$2:$A$81,HELPER!$B$2:$B$81,""),D125))</f>
        <v/>
      </c>
      <c r="E125" s="28" t="str">
        <f>IFERROR(_xlfn.XLOOKUP(D125,HELPER!$B:$B,HELPER!$C:$C,""),"")</f>
        <v/>
      </c>
      <c r="F125" s="27" t="str">
        <f>IFERROR(_xlfn.XLOOKUP(D125,HELPER!$B:$B,HELPER!$D:$D,""),"")</f>
        <v/>
      </c>
      <c r="G125" s="27">
        <v>8</v>
      </c>
      <c r="I125" s="8" t="str">
        <f>IF(AND(H125&lt;&gt;"",IFERROR(_xlfn.XLOOKUP(D125,HELPER!$B:$B,HELPER!$E:$E,""),"")=""),"Missing price",IFERROR(_xlfn.XLOOKUP(D125,HELPER!$B:$B,HELPER!$E:$E,"")," "))</f>
        <v/>
      </c>
      <c r="J125" s="47" t="str">
        <f>IFERROR(H125*(IF(G125=8,I125*HELPER!$G$2,BOM!I125*HELPER!$G$3))," ")</f>
        <v xml:space="preserve"> </v>
      </c>
      <c r="K125" s="6"/>
      <c r="L125" s="14" t="str" cm="1">
        <f t="array" ref="L125">IFERROR(_xlfn.LET(_xlpm.films,Table4[Film],_xlpm.grades,Table4[Grade],_xlpm.pairs,_xlfn._xlws.FILTER(_xlfn.HSTACK(_xlpm.films,_xlpm.grades),(_xlpm.films&lt;&gt;"")*(TRIM(_xlpm.grades)&lt;&gt;"")),_xlpm.uniquePairs,_xlfn.UNIQUE(_xlpm.pairs),_xlpm.sortedPairs,_xlfn._xlws.SORT(_xlpm.uniquePairs,1,1),INDEX(_xlpm.sortedPairs,ROWS($L$2:L125),1)),"")</f>
        <v/>
      </c>
      <c r="M125" s="15" t="str" cm="1">
        <f t="array" ref="M125">IFERROR(_xlfn.LET(_xlpm.films,Table4[Film],_xlpm.grades,Table4[Grade],_xlpm.pairs,_xlfn._xlws.FILTER(_xlfn.HSTACK(_xlpm.films,_xlpm.grades),(_xlpm.films&lt;&gt;"")*(TRIM(_xlpm.grades)&lt;&gt;"")),_xlpm.uniquePairs,_xlfn.UNIQUE(_xlpm.pairs),_xlpm.sortedPairs,_xlfn._xlws.SORT(_xlpm.uniquePairs,1,1),INDEX(_xlpm.sortedPairs,ROWS($M$2:M125),2)),"")</f>
        <v/>
      </c>
      <c r="N125" s="15" t="str" cm="1">
        <f t="array" ref="N125">IF(OR(Table2[[#This Row],[Film]]="",Table2[[#This Row],[Grade]]=""),"",IFERROR(INDEX(Table4[Serial Number],MATCH(1,(Table4[Film]=Table2[[#This Row],[Film]])*(Table4[Grade]=Table2[[#This Row],[Grade]]),0)),""))</f>
        <v/>
      </c>
      <c r="O125" s="51" t="str">
        <f>IF(OR(Table2[[#This Row],[Film]]="",Table2[[#This Row],[Grade]]=""),"",SUMIFS(Table4[Price Calculated(€) Thickness &amp; QTY related],Table4[Film],Table2[[#This Row],[Film]],Table4[Grade],Table2[[#This Row],[Grade]]))</f>
        <v/>
      </c>
      <c r="P125" s="6"/>
      <c r="T125" s="6"/>
    </row>
    <row r="126" spans="1:20" hidden="1">
      <c r="A126" s="29" t="s">
        <v>44</v>
      </c>
      <c r="B126" s="29" t="s">
        <v>5</v>
      </c>
      <c r="C126" s="28"/>
      <c r="D126" s="28" t="str">
        <f>IF(C126="","",IFERROR(_xlfn.XLOOKUP(C126,HELPER!$A$2:$A$81,HELPER!$B$2:$B$81,""),D126))</f>
        <v/>
      </c>
      <c r="E126" s="28" t="str">
        <f>IFERROR(_xlfn.XLOOKUP(D126,HELPER!$B:$B,HELPER!$C:$C,""),"")</f>
        <v/>
      </c>
      <c r="F126" s="27" t="str">
        <f>IFERROR(_xlfn.XLOOKUP(D126,HELPER!$B:$B,HELPER!$D:$D,""),"")</f>
        <v/>
      </c>
      <c r="G126" s="27">
        <v>8</v>
      </c>
      <c r="I126" s="8" t="str">
        <f>IF(AND(H126&lt;&gt;"",IFERROR(_xlfn.XLOOKUP(D126,HELPER!$B:$B,HELPER!$E:$E,""),"")=""),"Missing price",IFERROR(_xlfn.XLOOKUP(D126,HELPER!$B:$B,HELPER!$E:$E,"")," "))</f>
        <v/>
      </c>
      <c r="J126" s="47" t="str">
        <f>IFERROR(H126*(IF(G126=8,I126*HELPER!$G$2,BOM!I126*HELPER!$G$3))," ")</f>
        <v xml:space="preserve"> </v>
      </c>
      <c r="K126" s="6"/>
      <c r="L126" s="14" t="str" cm="1">
        <f t="array" ref="L126">IFERROR(_xlfn.LET(_xlpm.films,Table4[Film],_xlpm.grades,Table4[Grade],_xlpm.pairs,_xlfn._xlws.FILTER(_xlfn.HSTACK(_xlpm.films,_xlpm.grades),(_xlpm.films&lt;&gt;"")*(TRIM(_xlpm.grades)&lt;&gt;"")),_xlpm.uniquePairs,_xlfn.UNIQUE(_xlpm.pairs),_xlpm.sortedPairs,_xlfn._xlws.SORT(_xlpm.uniquePairs,1,1),INDEX(_xlpm.sortedPairs,ROWS($L$2:L126),1)),"")</f>
        <v/>
      </c>
      <c r="M126" s="15" t="str" cm="1">
        <f t="array" ref="M126">IFERROR(_xlfn.LET(_xlpm.films,Table4[Film],_xlpm.grades,Table4[Grade],_xlpm.pairs,_xlfn._xlws.FILTER(_xlfn.HSTACK(_xlpm.films,_xlpm.grades),(_xlpm.films&lt;&gt;"")*(TRIM(_xlpm.grades)&lt;&gt;"")),_xlpm.uniquePairs,_xlfn.UNIQUE(_xlpm.pairs),_xlpm.sortedPairs,_xlfn._xlws.SORT(_xlpm.uniquePairs,1,1),INDEX(_xlpm.sortedPairs,ROWS($M$2:M126),2)),"")</f>
        <v/>
      </c>
      <c r="N126" s="15" t="str" cm="1">
        <f t="array" ref="N126">IF(OR(Table2[[#This Row],[Film]]="",Table2[[#This Row],[Grade]]=""),"",IFERROR(INDEX(Table4[Serial Number],MATCH(1,(Table4[Film]=Table2[[#This Row],[Film]])*(Table4[Grade]=Table2[[#This Row],[Grade]]),0)),""))</f>
        <v/>
      </c>
      <c r="O126" s="51" t="str">
        <f>IF(OR(Table2[[#This Row],[Film]]="",Table2[[#This Row],[Grade]]=""),"",SUMIFS(Table4[Price Calculated(€) Thickness &amp; QTY related],Table4[Film],Table2[[#This Row],[Film]],Table4[Grade],Table2[[#This Row],[Grade]]))</f>
        <v/>
      </c>
      <c r="P126" s="6"/>
      <c r="T126" s="6"/>
    </row>
    <row r="127" spans="1:20" hidden="1">
      <c r="A127" s="29" t="s">
        <v>44</v>
      </c>
      <c r="B127" s="29" t="s">
        <v>5</v>
      </c>
      <c r="C127" s="28"/>
      <c r="D127" s="28" t="str">
        <f>IF(C127="","",IFERROR(_xlfn.XLOOKUP(C127,HELPER!$A$2:$A$81,HELPER!$B$2:$B$81,""),D127))</f>
        <v/>
      </c>
      <c r="E127" s="28" t="str">
        <f>IFERROR(_xlfn.XLOOKUP(D127,HELPER!$B:$B,HELPER!$C:$C,""),"")</f>
        <v/>
      </c>
      <c r="F127" s="27" t="str">
        <f>IFERROR(_xlfn.XLOOKUP(D127,HELPER!$B:$B,HELPER!$D:$D,""),"")</f>
        <v/>
      </c>
      <c r="G127" s="27">
        <v>8</v>
      </c>
      <c r="I127" s="8" t="str">
        <f>IF(AND(H127&lt;&gt;"",IFERROR(_xlfn.XLOOKUP(D127,HELPER!$B:$B,HELPER!$E:$E,""),"")=""),"Missing price",IFERROR(_xlfn.XLOOKUP(D127,HELPER!$B:$B,HELPER!$E:$E,"")," "))</f>
        <v/>
      </c>
      <c r="J127" s="47" t="str">
        <f>IFERROR(H127*(IF(G127=8,I127*HELPER!$G$2,BOM!I127*HELPER!$G$3))," ")</f>
        <v xml:space="preserve"> </v>
      </c>
      <c r="K127" s="6"/>
      <c r="L127" s="14" t="str" cm="1">
        <f t="array" ref="L127">IFERROR(_xlfn.LET(_xlpm.films,Table4[Film],_xlpm.grades,Table4[Grade],_xlpm.pairs,_xlfn._xlws.FILTER(_xlfn.HSTACK(_xlpm.films,_xlpm.grades),(_xlpm.films&lt;&gt;"")*(TRIM(_xlpm.grades)&lt;&gt;"")),_xlpm.uniquePairs,_xlfn.UNIQUE(_xlpm.pairs),_xlpm.sortedPairs,_xlfn._xlws.SORT(_xlpm.uniquePairs,1,1),INDEX(_xlpm.sortedPairs,ROWS($L$2:L127),1)),"")</f>
        <v/>
      </c>
      <c r="M127" s="15" t="str" cm="1">
        <f t="array" ref="M127">IFERROR(_xlfn.LET(_xlpm.films,Table4[Film],_xlpm.grades,Table4[Grade],_xlpm.pairs,_xlfn._xlws.FILTER(_xlfn.HSTACK(_xlpm.films,_xlpm.grades),(_xlpm.films&lt;&gt;"")*(TRIM(_xlpm.grades)&lt;&gt;"")),_xlpm.uniquePairs,_xlfn.UNIQUE(_xlpm.pairs),_xlpm.sortedPairs,_xlfn._xlws.SORT(_xlpm.uniquePairs,1,1),INDEX(_xlpm.sortedPairs,ROWS($M$2:M127),2)),"")</f>
        <v/>
      </c>
      <c r="N127" s="15" t="str" cm="1">
        <f t="array" ref="N127">IF(OR(Table2[[#This Row],[Film]]="",Table2[[#This Row],[Grade]]=""),"",IFERROR(INDEX(Table4[Serial Number],MATCH(1,(Table4[Film]=Table2[[#This Row],[Film]])*(Table4[Grade]=Table2[[#This Row],[Grade]]),0)),""))</f>
        <v/>
      </c>
      <c r="O127" s="51" t="str">
        <f>IF(OR(Table2[[#This Row],[Film]]="",Table2[[#This Row],[Grade]]=""),"",SUMIFS(Table4[Price Calculated(€) Thickness &amp; QTY related],Table4[Film],Table2[[#This Row],[Film]],Table4[Grade],Table2[[#This Row],[Grade]]))</f>
        <v/>
      </c>
      <c r="P127" s="6"/>
      <c r="T127" s="6"/>
    </row>
    <row r="128" spans="1:20" hidden="1">
      <c r="A128" s="29" t="s">
        <v>44</v>
      </c>
      <c r="B128" s="29" t="s">
        <v>5</v>
      </c>
      <c r="C128" s="28"/>
      <c r="D128" s="28" t="str">
        <f>IF(C128="","",IFERROR(_xlfn.XLOOKUP(C128,HELPER!$A$2:$A$81,HELPER!$B$2:$B$81,""),D128))</f>
        <v/>
      </c>
      <c r="E128" s="28" t="str">
        <f>IFERROR(_xlfn.XLOOKUP(D128,HELPER!$B:$B,HELPER!$C:$C,""),"")</f>
        <v/>
      </c>
      <c r="F128" s="27" t="str">
        <f>IFERROR(_xlfn.XLOOKUP(D128,HELPER!$B:$B,HELPER!$D:$D,""),"")</f>
        <v/>
      </c>
      <c r="G128" s="27">
        <v>8</v>
      </c>
      <c r="I128" s="8" t="str">
        <f>IF(AND(H128&lt;&gt;"",IFERROR(_xlfn.XLOOKUP(D128,HELPER!$B:$B,HELPER!$E:$E,""),"")=""),"Missing price",IFERROR(_xlfn.XLOOKUP(D128,HELPER!$B:$B,HELPER!$E:$E,"")," "))</f>
        <v/>
      </c>
      <c r="J128" s="47" t="str">
        <f>IFERROR(H128*(IF(G128=8,I128*HELPER!$G$2,BOM!I128*HELPER!$G$3))," ")</f>
        <v xml:space="preserve"> </v>
      </c>
      <c r="K128" s="6"/>
      <c r="L128" s="14" t="str" cm="1">
        <f t="array" ref="L128">IFERROR(_xlfn.LET(_xlpm.films,Table4[Film],_xlpm.grades,Table4[Grade],_xlpm.pairs,_xlfn._xlws.FILTER(_xlfn.HSTACK(_xlpm.films,_xlpm.grades),(_xlpm.films&lt;&gt;"")*(TRIM(_xlpm.grades)&lt;&gt;"")),_xlpm.uniquePairs,_xlfn.UNIQUE(_xlpm.pairs),_xlpm.sortedPairs,_xlfn._xlws.SORT(_xlpm.uniquePairs,1,1),INDEX(_xlpm.sortedPairs,ROWS($L$2:L128),1)),"")</f>
        <v/>
      </c>
      <c r="M128" s="15" t="str" cm="1">
        <f t="array" ref="M128">IFERROR(_xlfn.LET(_xlpm.films,Table4[Film],_xlpm.grades,Table4[Grade],_xlpm.pairs,_xlfn._xlws.FILTER(_xlfn.HSTACK(_xlpm.films,_xlpm.grades),(_xlpm.films&lt;&gt;"")*(TRIM(_xlpm.grades)&lt;&gt;"")),_xlpm.uniquePairs,_xlfn.UNIQUE(_xlpm.pairs),_xlpm.sortedPairs,_xlfn._xlws.SORT(_xlpm.uniquePairs,1,1),INDEX(_xlpm.sortedPairs,ROWS($M$2:M128),2)),"")</f>
        <v/>
      </c>
      <c r="N128" s="15" t="str" cm="1">
        <f t="array" ref="N128">IF(OR(Table2[[#This Row],[Film]]="",Table2[[#This Row],[Grade]]=""),"",IFERROR(INDEX(Table4[Serial Number],MATCH(1,(Table4[Film]=Table2[[#This Row],[Film]])*(Table4[Grade]=Table2[[#This Row],[Grade]]),0)),""))</f>
        <v/>
      </c>
      <c r="O128" s="51" t="str">
        <f>IF(OR(Table2[[#This Row],[Film]]="",Table2[[#This Row],[Grade]]=""),"",SUMIFS(Table4[Price Calculated(€) Thickness &amp; QTY related],Table4[Film],Table2[[#This Row],[Film]],Table4[Grade],Table2[[#This Row],[Grade]]))</f>
        <v/>
      </c>
      <c r="P128" s="6"/>
      <c r="T128" s="6"/>
    </row>
    <row r="129" spans="1:20" hidden="1">
      <c r="A129" s="29" t="s">
        <v>44</v>
      </c>
      <c r="B129" s="29" t="s">
        <v>5</v>
      </c>
      <c r="C129" s="28"/>
      <c r="D129" s="28" t="str">
        <f>IF(C129="","",IFERROR(_xlfn.XLOOKUP(C129,HELPER!$A$2:$A$81,HELPER!$B$2:$B$81,""),D129))</f>
        <v/>
      </c>
      <c r="E129" s="28" t="str">
        <f>IFERROR(_xlfn.XLOOKUP(D129,HELPER!$B:$B,HELPER!$C:$C,""),"")</f>
        <v/>
      </c>
      <c r="F129" s="27" t="str">
        <f>IFERROR(_xlfn.XLOOKUP(D129,HELPER!$B:$B,HELPER!$D:$D,""),"")</f>
        <v/>
      </c>
      <c r="G129" s="27">
        <v>8</v>
      </c>
      <c r="I129" s="8" t="str">
        <f>IF(AND(H129&lt;&gt;"",IFERROR(_xlfn.XLOOKUP(D129,HELPER!$B:$B,HELPER!$E:$E,""),"")=""),"Missing price",IFERROR(_xlfn.XLOOKUP(D129,HELPER!$B:$B,HELPER!$E:$E,"")," "))</f>
        <v/>
      </c>
      <c r="J129" s="47" t="str">
        <f>IFERROR(H129*(IF(G129=8,I129*HELPER!$G$2,BOM!I129*HELPER!$G$3))," ")</f>
        <v xml:space="preserve"> </v>
      </c>
      <c r="K129" s="6"/>
      <c r="L129" s="14" t="str" cm="1">
        <f t="array" ref="L129">IFERROR(_xlfn.LET(_xlpm.films,Table4[Film],_xlpm.grades,Table4[Grade],_xlpm.pairs,_xlfn._xlws.FILTER(_xlfn.HSTACK(_xlpm.films,_xlpm.grades),(_xlpm.films&lt;&gt;"")*(TRIM(_xlpm.grades)&lt;&gt;"")),_xlpm.uniquePairs,_xlfn.UNIQUE(_xlpm.pairs),_xlpm.sortedPairs,_xlfn._xlws.SORT(_xlpm.uniquePairs,1,1),INDEX(_xlpm.sortedPairs,ROWS($L$2:L129),1)),"")</f>
        <v/>
      </c>
      <c r="M129" s="15" t="str" cm="1">
        <f t="array" ref="M129">IFERROR(_xlfn.LET(_xlpm.films,Table4[Film],_xlpm.grades,Table4[Grade],_xlpm.pairs,_xlfn._xlws.FILTER(_xlfn.HSTACK(_xlpm.films,_xlpm.grades),(_xlpm.films&lt;&gt;"")*(TRIM(_xlpm.grades)&lt;&gt;"")),_xlpm.uniquePairs,_xlfn.UNIQUE(_xlpm.pairs),_xlpm.sortedPairs,_xlfn._xlws.SORT(_xlpm.uniquePairs,1,1),INDEX(_xlpm.sortedPairs,ROWS($M$2:M129),2)),"")</f>
        <v/>
      </c>
      <c r="N129" s="15" t="str" cm="1">
        <f t="array" ref="N129">IF(OR(Table2[[#This Row],[Film]]="",Table2[[#This Row],[Grade]]=""),"",IFERROR(INDEX(Table4[Serial Number],MATCH(1,(Table4[Film]=Table2[[#This Row],[Film]])*(Table4[Grade]=Table2[[#This Row],[Grade]]),0)),""))</f>
        <v/>
      </c>
      <c r="O129" s="51" t="str">
        <f>IF(OR(Table2[[#This Row],[Film]]="",Table2[[#This Row],[Grade]]=""),"",SUMIFS(Table4[Price Calculated(€) Thickness &amp; QTY related],Table4[Film],Table2[[#This Row],[Film]],Table4[Grade],Table2[[#This Row],[Grade]]))</f>
        <v/>
      </c>
      <c r="P129" s="6"/>
      <c r="T129" s="6"/>
    </row>
    <row r="130" spans="1:20" hidden="1">
      <c r="A130" s="29" t="s">
        <v>44</v>
      </c>
      <c r="B130" s="29" t="s">
        <v>5</v>
      </c>
      <c r="C130" s="28"/>
      <c r="D130" s="28" t="str">
        <f>IF(C130="","",IFERROR(_xlfn.XLOOKUP(C130,HELPER!$A$2:$A$81,HELPER!$B$2:$B$81,""),D130))</f>
        <v/>
      </c>
      <c r="E130" s="28" t="str">
        <f>IFERROR(_xlfn.XLOOKUP(D130,HELPER!$B:$B,HELPER!$C:$C,""),"")</f>
        <v/>
      </c>
      <c r="F130" s="27" t="str">
        <f>IFERROR(_xlfn.XLOOKUP(D130,HELPER!$B:$B,HELPER!$D:$D,""),"")</f>
        <v/>
      </c>
      <c r="G130" s="27">
        <v>8</v>
      </c>
      <c r="I130" s="8" t="str">
        <f>IF(AND(H130&lt;&gt;"",IFERROR(_xlfn.XLOOKUP(D130,HELPER!$B:$B,HELPER!$E:$E,""),"")=""),"Missing price",IFERROR(_xlfn.XLOOKUP(D130,HELPER!$B:$B,HELPER!$E:$E,"")," "))</f>
        <v/>
      </c>
      <c r="J130" s="47" t="str">
        <f>IFERROR(H130*(IF(G130=8,I130*HELPER!$G$2,BOM!I130*HELPER!$G$3))," ")</f>
        <v xml:space="preserve"> </v>
      </c>
      <c r="K130" s="6"/>
      <c r="L130" s="14" t="str" cm="1">
        <f t="array" ref="L130">IFERROR(_xlfn.LET(_xlpm.films,Table4[Film],_xlpm.grades,Table4[Grade],_xlpm.pairs,_xlfn._xlws.FILTER(_xlfn.HSTACK(_xlpm.films,_xlpm.grades),(_xlpm.films&lt;&gt;"")*(TRIM(_xlpm.grades)&lt;&gt;"")),_xlpm.uniquePairs,_xlfn.UNIQUE(_xlpm.pairs),_xlpm.sortedPairs,_xlfn._xlws.SORT(_xlpm.uniquePairs,1,1),INDEX(_xlpm.sortedPairs,ROWS($L$2:L130),1)),"")</f>
        <v/>
      </c>
      <c r="M130" s="15" t="str" cm="1">
        <f t="array" ref="M130">IFERROR(_xlfn.LET(_xlpm.films,Table4[Film],_xlpm.grades,Table4[Grade],_xlpm.pairs,_xlfn._xlws.FILTER(_xlfn.HSTACK(_xlpm.films,_xlpm.grades),(_xlpm.films&lt;&gt;"")*(TRIM(_xlpm.grades)&lt;&gt;"")),_xlpm.uniquePairs,_xlfn.UNIQUE(_xlpm.pairs),_xlpm.sortedPairs,_xlfn._xlws.SORT(_xlpm.uniquePairs,1,1),INDEX(_xlpm.sortedPairs,ROWS($M$2:M130),2)),"")</f>
        <v/>
      </c>
      <c r="N130" s="15" t="str" cm="1">
        <f t="array" ref="N130">IF(OR(Table2[[#This Row],[Film]]="",Table2[[#This Row],[Grade]]=""),"",IFERROR(INDEX(Table4[Serial Number],MATCH(1,(Table4[Film]=Table2[[#This Row],[Film]])*(Table4[Grade]=Table2[[#This Row],[Grade]]),0)),""))</f>
        <v/>
      </c>
      <c r="O130" s="51" t="str">
        <f>IF(OR(Table2[[#This Row],[Film]]="",Table2[[#This Row],[Grade]]=""),"",SUMIFS(Table4[Price Calculated(€) Thickness &amp; QTY related],Table4[Film],Table2[[#This Row],[Film]],Table4[Grade],Table2[[#This Row],[Grade]]))</f>
        <v/>
      </c>
      <c r="P130" s="6"/>
      <c r="T130" s="6"/>
    </row>
    <row r="131" spans="1:20" hidden="1">
      <c r="A131" s="29" t="s">
        <v>44</v>
      </c>
      <c r="B131" s="29" t="s">
        <v>5</v>
      </c>
      <c r="C131" s="28"/>
      <c r="D131" s="28" t="str">
        <f>IF(C131="","",IFERROR(_xlfn.XLOOKUP(C131,HELPER!$A$2:$A$81,HELPER!$B$2:$B$81,""),D131))</f>
        <v/>
      </c>
      <c r="E131" s="28" t="str">
        <f>IFERROR(_xlfn.XLOOKUP(D131,HELPER!$B:$B,HELPER!$C:$C,""),"")</f>
        <v/>
      </c>
      <c r="F131" s="27" t="str">
        <f>IFERROR(_xlfn.XLOOKUP(D131,HELPER!$B:$B,HELPER!$D:$D,""),"")</f>
        <v/>
      </c>
      <c r="G131" s="27">
        <v>8</v>
      </c>
      <c r="I131" s="8" t="str">
        <f>IF(AND(H131&lt;&gt;"",IFERROR(_xlfn.XLOOKUP(D131,HELPER!$B:$B,HELPER!$E:$E,""),"")=""),"Missing price",IFERROR(_xlfn.XLOOKUP(D131,HELPER!$B:$B,HELPER!$E:$E,"")," "))</f>
        <v/>
      </c>
      <c r="J131" s="47" t="str">
        <f>IFERROR(H131*(IF(G131=8,I131*HELPER!$G$2,BOM!I131*HELPER!$G$3))," ")</f>
        <v xml:space="preserve"> </v>
      </c>
      <c r="K131" s="6"/>
      <c r="L131" s="14" t="str" cm="1">
        <f t="array" ref="L131">IFERROR(_xlfn.LET(_xlpm.films,Table4[Film],_xlpm.grades,Table4[Grade],_xlpm.pairs,_xlfn._xlws.FILTER(_xlfn.HSTACK(_xlpm.films,_xlpm.grades),(_xlpm.films&lt;&gt;"")*(TRIM(_xlpm.grades)&lt;&gt;"")),_xlpm.uniquePairs,_xlfn.UNIQUE(_xlpm.pairs),_xlpm.sortedPairs,_xlfn._xlws.SORT(_xlpm.uniquePairs,1,1),INDEX(_xlpm.sortedPairs,ROWS($L$2:L131),1)),"")</f>
        <v/>
      </c>
      <c r="M131" s="15" t="str" cm="1">
        <f t="array" ref="M131">IFERROR(_xlfn.LET(_xlpm.films,Table4[Film],_xlpm.grades,Table4[Grade],_xlpm.pairs,_xlfn._xlws.FILTER(_xlfn.HSTACK(_xlpm.films,_xlpm.grades),(_xlpm.films&lt;&gt;"")*(TRIM(_xlpm.grades)&lt;&gt;"")),_xlpm.uniquePairs,_xlfn.UNIQUE(_xlpm.pairs),_xlpm.sortedPairs,_xlfn._xlws.SORT(_xlpm.uniquePairs,1,1),INDEX(_xlpm.sortedPairs,ROWS($M$2:M131),2)),"")</f>
        <v/>
      </c>
      <c r="N131" s="15" t="str" cm="1">
        <f t="array" ref="N131">IF(OR(Table2[[#This Row],[Film]]="",Table2[[#This Row],[Grade]]=""),"",IFERROR(INDEX(Table4[Serial Number],MATCH(1,(Table4[Film]=Table2[[#This Row],[Film]])*(Table4[Grade]=Table2[[#This Row],[Grade]]),0)),""))</f>
        <v/>
      </c>
      <c r="O131" s="51" t="str">
        <f>IF(OR(Table2[[#This Row],[Film]]="",Table2[[#This Row],[Grade]]=""),"",SUMIFS(Table4[Price Calculated(€) Thickness &amp; QTY related],Table4[Film],Table2[[#This Row],[Film]],Table4[Grade],Table2[[#This Row],[Grade]]))</f>
        <v/>
      </c>
      <c r="P131" s="6"/>
      <c r="T131" s="6"/>
    </row>
    <row r="132" spans="1:20" hidden="1">
      <c r="A132" s="29" t="s">
        <v>44</v>
      </c>
      <c r="B132" s="29" t="s">
        <v>6</v>
      </c>
      <c r="C132" s="28"/>
      <c r="D132" s="28" t="str">
        <f>IF(C132="","",IFERROR(_xlfn.XLOOKUP(C132,HELPER!$A$2:$A$81,HELPER!$B$2:$B$81,""),D132))</f>
        <v/>
      </c>
      <c r="E132" s="28" t="str">
        <f>IFERROR(_xlfn.XLOOKUP(D132,HELPER!$B:$B,HELPER!$C:$C,""),"")</f>
        <v/>
      </c>
      <c r="F132" s="27" t="str">
        <f>IFERROR(_xlfn.XLOOKUP(D132,HELPER!$B:$B,HELPER!$D:$D,""),"")</f>
        <v/>
      </c>
      <c r="G132" s="27">
        <v>24</v>
      </c>
      <c r="I132" s="8" t="str">
        <f>IF(AND(H132&lt;&gt;"",IFERROR(_xlfn.XLOOKUP(D132,HELPER!$B:$B,HELPER!$E:$E,""),"")=""),"Missing price",IFERROR(_xlfn.XLOOKUP(D132,HELPER!$B:$B,HELPER!$E:$E,"")," "))</f>
        <v/>
      </c>
      <c r="J132" s="47" t="str">
        <f>IFERROR(H132*(IF(G132=8,I132*HELPER!$G$2,BOM!I132*HELPER!$G$3))," ")</f>
        <v xml:space="preserve"> </v>
      </c>
      <c r="K132" s="6"/>
      <c r="L132" s="14" t="str" cm="1">
        <f t="array" ref="L132">IFERROR(_xlfn.LET(_xlpm.films,Table4[Film],_xlpm.grades,Table4[Grade],_xlpm.pairs,_xlfn._xlws.FILTER(_xlfn.HSTACK(_xlpm.films,_xlpm.grades),(_xlpm.films&lt;&gt;"")*(TRIM(_xlpm.grades)&lt;&gt;"")),_xlpm.uniquePairs,_xlfn.UNIQUE(_xlpm.pairs),_xlpm.sortedPairs,_xlfn._xlws.SORT(_xlpm.uniquePairs,1,1),INDEX(_xlpm.sortedPairs,ROWS($L$2:L132),1)),"")</f>
        <v/>
      </c>
      <c r="M132" s="15" t="str" cm="1">
        <f t="array" ref="M132">IFERROR(_xlfn.LET(_xlpm.films,Table4[Film],_xlpm.grades,Table4[Grade],_xlpm.pairs,_xlfn._xlws.FILTER(_xlfn.HSTACK(_xlpm.films,_xlpm.grades),(_xlpm.films&lt;&gt;"")*(TRIM(_xlpm.grades)&lt;&gt;"")),_xlpm.uniquePairs,_xlfn.UNIQUE(_xlpm.pairs),_xlpm.sortedPairs,_xlfn._xlws.SORT(_xlpm.uniquePairs,1,1),INDEX(_xlpm.sortedPairs,ROWS($M$2:M132),2)),"")</f>
        <v/>
      </c>
      <c r="N132" s="15" t="str" cm="1">
        <f t="array" ref="N132">IF(OR(Table2[[#This Row],[Film]]="",Table2[[#This Row],[Grade]]=""),"",IFERROR(INDEX(Table4[Serial Number],MATCH(1,(Table4[Film]=Table2[[#This Row],[Film]])*(Table4[Grade]=Table2[[#This Row],[Grade]]),0)),""))</f>
        <v/>
      </c>
      <c r="O132" s="51" t="str">
        <f>IF(OR(Table2[[#This Row],[Film]]="",Table2[[#This Row],[Grade]]=""),"",SUMIFS(Table4[Price Calculated(€) Thickness &amp; QTY related],Table4[Film],Table2[[#This Row],[Film]],Table4[Grade],Table2[[#This Row],[Grade]]))</f>
        <v/>
      </c>
      <c r="P132" s="6"/>
      <c r="T132" s="6"/>
    </row>
    <row r="133" spans="1:20" hidden="1">
      <c r="A133" s="29" t="s">
        <v>44</v>
      </c>
      <c r="B133" s="29" t="s">
        <v>6</v>
      </c>
      <c r="C133" s="28"/>
      <c r="D133" s="28" t="str">
        <f>IF(C133="","",IFERROR(_xlfn.XLOOKUP(C133,HELPER!$A$2:$A$81,HELPER!$B$2:$B$81,""),D133))</f>
        <v/>
      </c>
      <c r="E133" s="28" t="str">
        <f>IFERROR(_xlfn.XLOOKUP(D133,HELPER!$B:$B,HELPER!$C:$C,""),"")</f>
        <v/>
      </c>
      <c r="F133" s="27" t="str">
        <f>IFERROR(_xlfn.XLOOKUP(D133,HELPER!$B:$B,HELPER!$D:$D,""),"")</f>
        <v/>
      </c>
      <c r="G133" s="27">
        <v>24</v>
      </c>
      <c r="I133" s="8" t="str">
        <f>IF(AND(H133&lt;&gt;"",IFERROR(_xlfn.XLOOKUP(D133,HELPER!$B:$B,HELPER!$E:$E,""),"")=""),"Missing price",IFERROR(_xlfn.XLOOKUP(D133,HELPER!$B:$B,HELPER!$E:$E,"")," "))</f>
        <v/>
      </c>
      <c r="J133" s="47" t="str">
        <f>IFERROR(H133*(IF(G133=8,I133*HELPER!$G$2,BOM!I133*HELPER!$G$3))," ")</f>
        <v xml:space="preserve"> </v>
      </c>
      <c r="K133" s="6"/>
      <c r="L133" s="14" t="str" cm="1">
        <f t="array" ref="L133">IFERROR(_xlfn.LET(_xlpm.films,Table4[Film],_xlpm.grades,Table4[Grade],_xlpm.pairs,_xlfn._xlws.FILTER(_xlfn.HSTACK(_xlpm.films,_xlpm.grades),(_xlpm.films&lt;&gt;"")*(TRIM(_xlpm.grades)&lt;&gt;"")),_xlpm.uniquePairs,_xlfn.UNIQUE(_xlpm.pairs),_xlpm.sortedPairs,_xlfn._xlws.SORT(_xlpm.uniquePairs,1,1),INDEX(_xlpm.sortedPairs,ROWS($L$2:L133),1)),"")</f>
        <v/>
      </c>
      <c r="M133" s="15" t="str" cm="1">
        <f t="array" ref="M133">IFERROR(_xlfn.LET(_xlpm.films,Table4[Film],_xlpm.grades,Table4[Grade],_xlpm.pairs,_xlfn._xlws.FILTER(_xlfn.HSTACK(_xlpm.films,_xlpm.grades),(_xlpm.films&lt;&gt;"")*(TRIM(_xlpm.grades)&lt;&gt;"")),_xlpm.uniquePairs,_xlfn.UNIQUE(_xlpm.pairs),_xlpm.sortedPairs,_xlfn._xlws.SORT(_xlpm.uniquePairs,1,1),INDEX(_xlpm.sortedPairs,ROWS($M$2:M133),2)),"")</f>
        <v/>
      </c>
      <c r="N133" s="15" t="str" cm="1">
        <f t="array" ref="N133">IF(OR(Table2[[#This Row],[Film]]="",Table2[[#This Row],[Grade]]=""),"",IFERROR(INDEX(Table4[Serial Number],MATCH(1,(Table4[Film]=Table2[[#This Row],[Film]])*(Table4[Grade]=Table2[[#This Row],[Grade]]),0)),""))</f>
        <v/>
      </c>
      <c r="O133" s="51" t="str">
        <f>IF(OR(Table2[[#This Row],[Film]]="",Table2[[#This Row],[Grade]]=""),"",SUMIFS(Table4[Price Calculated(€) Thickness &amp; QTY related],Table4[Film],Table2[[#This Row],[Film]],Table4[Grade],Table2[[#This Row],[Grade]]))</f>
        <v/>
      </c>
      <c r="P133" s="6"/>
      <c r="T133" s="6"/>
    </row>
    <row r="134" spans="1:20" hidden="1">
      <c r="A134" s="29" t="s">
        <v>44</v>
      </c>
      <c r="B134" s="29" t="s">
        <v>6</v>
      </c>
      <c r="C134" s="28" t="s">
        <v>13</v>
      </c>
      <c r="D134" s="28" t="str">
        <f>IF(C134="","",IFERROR(_xlfn.XLOOKUP(C134,HELPER!$A$2:$A$81,HELPER!$B$2:$B$81,""),D134))</f>
        <v>LX175</v>
      </c>
      <c r="E134" s="28" t="str">
        <f>IFERROR(_xlfn.XLOOKUP(D134,HELPER!$B:$B,HELPER!$C:$C,""),"")</f>
        <v>RMLX175</v>
      </c>
      <c r="F134" s="27" t="str">
        <f>IFERROR(_xlfn.XLOOKUP(D134,HELPER!$B:$B,HELPER!$D:$D,""),"")</f>
        <v>Resin 1A</v>
      </c>
      <c r="G134" s="27">
        <v>24</v>
      </c>
      <c r="H134" s="32">
        <v>0.79500000000000004</v>
      </c>
      <c r="I134" s="8">
        <f>IF(AND(H134&lt;&gt;"",IFERROR(_xlfn.XLOOKUP(D134,HELPER!$B:$B,HELPER!$E:$E,""),"")=""),"Missing price",IFERROR(_xlfn.XLOOKUP(D134,HELPER!$B:$B,HELPER!$E:$E,"")," "))</f>
        <v>3.17</v>
      </c>
      <c r="J134" s="47">
        <f>IFERROR(H134*(IF(G134=8,I134*HELPER!$G$2,BOM!I134*HELPER!$G$3))," ")</f>
        <v>1.5120899999999999</v>
      </c>
      <c r="K134" s="6"/>
      <c r="L134" s="14" t="str" cm="1">
        <f t="array" ref="L134">IFERROR(_xlfn.LET(_xlpm.films,Table4[Film],_xlpm.grades,Table4[Grade],_xlpm.pairs,_xlfn._xlws.FILTER(_xlfn.HSTACK(_xlpm.films,_xlpm.grades),(_xlpm.films&lt;&gt;"")*(TRIM(_xlpm.grades)&lt;&gt;"")),_xlpm.uniquePairs,_xlfn.UNIQUE(_xlpm.pairs),_xlpm.sortedPairs,_xlfn._xlws.SORT(_xlpm.uniquePairs,1,1),INDEX(_xlpm.sortedPairs,ROWS($L$2:L134),1)),"")</f>
        <v/>
      </c>
      <c r="M134" s="15" t="str" cm="1">
        <f t="array" ref="M134">IFERROR(_xlfn.LET(_xlpm.films,Table4[Film],_xlpm.grades,Table4[Grade],_xlpm.pairs,_xlfn._xlws.FILTER(_xlfn.HSTACK(_xlpm.films,_xlpm.grades),(_xlpm.films&lt;&gt;"")*(TRIM(_xlpm.grades)&lt;&gt;"")),_xlpm.uniquePairs,_xlfn.UNIQUE(_xlpm.pairs),_xlpm.sortedPairs,_xlfn._xlws.SORT(_xlpm.uniquePairs,1,1),INDEX(_xlpm.sortedPairs,ROWS($M$2:M134),2)),"")</f>
        <v/>
      </c>
      <c r="N134" s="15" t="str" cm="1">
        <f t="array" ref="N134">IF(OR(Table2[[#This Row],[Film]]="",Table2[[#This Row],[Grade]]=""),"",IFERROR(INDEX(Table4[Serial Number],MATCH(1,(Table4[Film]=Table2[[#This Row],[Film]])*(Table4[Grade]=Table2[[#This Row],[Grade]]),0)),""))</f>
        <v/>
      </c>
      <c r="O134" s="51" t="str">
        <f>IF(OR(Table2[[#This Row],[Film]]="",Table2[[#This Row],[Grade]]=""),"",SUMIFS(Table4[Price Calculated(€) Thickness &amp; QTY related],Table4[Film],Table2[[#This Row],[Film]],Table4[Grade],Table2[[#This Row],[Grade]]))</f>
        <v/>
      </c>
      <c r="P134" s="6"/>
      <c r="T134" s="6"/>
    </row>
    <row r="135" spans="1:20" hidden="1">
      <c r="A135" s="29" t="s">
        <v>44</v>
      </c>
      <c r="B135" s="29" t="s">
        <v>6</v>
      </c>
      <c r="C135" s="28" t="s">
        <v>15</v>
      </c>
      <c r="D135" s="28" t="str">
        <f>IF(C135="","",IFERROR(_xlfn.XLOOKUP(C135,HELPER!$A$2:$A$81,HELPER!$B$2:$B$81,""),D135))</f>
        <v>P65D</v>
      </c>
      <c r="E135" s="28" t="str">
        <f>IFERROR(_xlfn.XLOOKUP(D135,HELPER!$B:$B,HELPER!$C:$C,""),"")</f>
        <v>RMP65D</v>
      </c>
      <c r="F135" s="27" t="str">
        <f>IFERROR(_xlfn.XLOOKUP(D135,HELPER!$B:$B,HELPER!$D:$D,""),"")</f>
        <v>Resin 4A</v>
      </c>
      <c r="G135" s="27">
        <v>24</v>
      </c>
      <c r="H135" s="32">
        <v>0.19</v>
      </c>
      <c r="I135" s="8">
        <f>IF(AND(H135&lt;&gt;"",IFERROR(_xlfn.XLOOKUP(D135,HELPER!$B:$B,HELPER!$E:$E,""),"")=""),"Missing price",IFERROR(_xlfn.XLOOKUP(D135,HELPER!$B:$B,HELPER!$E:$E,"")," "))</f>
        <v>7.3</v>
      </c>
      <c r="J135" s="47">
        <f>IFERROR(H135*(IF(G135=8,I135*HELPER!$G$2,BOM!I135*HELPER!$G$3))," ")</f>
        <v>0.83219999999999994</v>
      </c>
      <c r="K135" s="6"/>
      <c r="L135" s="14" t="str" cm="1">
        <f t="array" ref="L135">IFERROR(_xlfn.LET(_xlpm.films,Table4[Film],_xlpm.grades,Table4[Grade],_xlpm.pairs,_xlfn._xlws.FILTER(_xlfn.HSTACK(_xlpm.films,_xlpm.grades),(_xlpm.films&lt;&gt;"")*(TRIM(_xlpm.grades)&lt;&gt;"")),_xlpm.uniquePairs,_xlfn.UNIQUE(_xlpm.pairs),_xlpm.sortedPairs,_xlfn._xlws.SORT(_xlpm.uniquePairs,1,1),INDEX(_xlpm.sortedPairs,ROWS($L$2:L135),1)),"")</f>
        <v/>
      </c>
      <c r="M135" s="15" t="str" cm="1">
        <f t="array" ref="M135">IFERROR(_xlfn.LET(_xlpm.films,Table4[Film],_xlpm.grades,Table4[Grade],_xlpm.pairs,_xlfn._xlws.FILTER(_xlfn.HSTACK(_xlpm.films,_xlpm.grades),(_xlpm.films&lt;&gt;"")*(TRIM(_xlpm.grades)&lt;&gt;"")),_xlpm.uniquePairs,_xlfn.UNIQUE(_xlpm.pairs),_xlpm.sortedPairs,_xlfn._xlws.SORT(_xlpm.uniquePairs,1,1),INDEX(_xlpm.sortedPairs,ROWS($M$2:M135),2)),"")</f>
        <v/>
      </c>
      <c r="N135" s="15" t="str" cm="1">
        <f t="array" ref="N135">IF(OR(Table2[[#This Row],[Film]]="",Table2[[#This Row],[Grade]]=""),"",IFERROR(INDEX(Table4[Serial Number],MATCH(1,(Table4[Film]=Table2[[#This Row],[Film]])*(Table4[Grade]=Table2[[#This Row],[Grade]]),0)),""))</f>
        <v/>
      </c>
      <c r="O135" s="51" t="str">
        <f>IF(OR(Table2[[#This Row],[Film]]="",Table2[[#This Row],[Grade]]=""),"",SUMIFS(Table4[Price Calculated(€) Thickness &amp; QTY related],Table4[Film],Table2[[#This Row],[Film]],Table4[Grade],Table2[[#This Row],[Grade]]))</f>
        <v/>
      </c>
      <c r="P135" s="6"/>
      <c r="T135" s="6"/>
    </row>
    <row r="136" spans="1:20" hidden="1">
      <c r="A136" s="29" t="s">
        <v>44</v>
      </c>
      <c r="B136" s="29" t="s">
        <v>6</v>
      </c>
      <c r="C136" s="28" t="s">
        <v>16</v>
      </c>
      <c r="D136" s="28" t="str">
        <f>IF(C136="","",IFERROR(_xlfn.XLOOKUP(C136,HELPER!$A$2:$A$81,HELPER!$B$2:$B$81,""),D136))</f>
        <v>S723</v>
      </c>
      <c r="E136" s="28" t="str">
        <f>IFERROR(_xlfn.XLOOKUP(D136,HELPER!$B:$B,HELPER!$C:$C,""),"")</f>
        <v>RM TA45-08 S723</v>
      </c>
      <c r="F136" s="27" t="str">
        <f>IFERROR(_xlfn.XLOOKUP(D136,HELPER!$B:$B,HELPER!$D:$D,""),"")</f>
        <v>Resin 6</v>
      </c>
      <c r="G136" s="27">
        <v>24</v>
      </c>
      <c r="H136" s="32">
        <v>1.4999999999999999E-2</v>
      </c>
      <c r="I136" s="8">
        <f>IF(AND(H136&lt;&gt;"",IFERROR(_xlfn.XLOOKUP(D136,HELPER!$B:$B,HELPER!$E:$E,""),"")=""),"Missing price",IFERROR(_xlfn.XLOOKUP(D136,HELPER!$B:$B,HELPER!$E:$E,"")," "))</f>
        <v>16.16</v>
      </c>
      <c r="J136" s="47">
        <f>IFERROR(H136*(IF(G136=8,I136*HELPER!$G$2,BOM!I136*HELPER!$G$3))," ")</f>
        <v>0.14543999999999999</v>
      </c>
      <c r="K136" s="6"/>
      <c r="L136" s="14" t="str" cm="1">
        <f t="array" ref="L136">IFERROR(_xlfn.LET(_xlpm.films,Table4[Film],_xlpm.grades,Table4[Grade],_xlpm.pairs,_xlfn._xlws.FILTER(_xlfn.HSTACK(_xlpm.films,_xlpm.grades),(_xlpm.films&lt;&gt;"")*(TRIM(_xlpm.grades)&lt;&gt;"")),_xlpm.uniquePairs,_xlfn.UNIQUE(_xlpm.pairs),_xlpm.sortedPairs,_xlfn._xlws.SORT(_xlpm.uniquePairs,1,1),INDEX(_xlpm.sortedPairs,ROWS($L$2:L136),1)),"")</f>
        <v/>
      </c>
      <c r="M136" s="15" t="str" cm="1">
        <f t="array" ref="M136">IFERROR(_xlfn.LET(_xlpm.films,Table4[Film],_xlpm.grades,Table4[Grade],_xlpm.pairs,_xlfn._xlws.FILTER(_xlfn.HSTACK(_xlpm.films,_xlpm.grades),(_xlpm.films&lt;&gt;"")*(TRIM(_xlpm.grades)&lt;&gt;"")),_xlpm.uniquePairs,_xlfn.UNIQUE(_xlpm.pairs),_xlpm.sortedPairs,_xlfn._xlws.SORT(_xlpm.uniquePairs,1,1),INDEX(_xlpm.sortedPairs,ROWS($M$2:M136),2)),"")</f>
        <v/>
      </c>
      <c r="N136" s="15" t="str" cm="1">
        <f t="array" ref="N136">IF(OR(Table2[[#This Row],[Film]]="",Table2[[#This Row],[Grade]]=""),"",IFERROR(INDEX(Table4[Serial Number],MATCH(1,(Table4[Film]=Table2[[#This Row],[Film]])*(Table4[Grade]=Table2[[#This Row],[Grade]]),0)),""))</f>
        <v/>
      </c>
      <c r="O136" s="51" t="str">
        <f>IF(OR(Table2[[#This Row],[Film]]="",Table2[[#This Row],[Grade]]=""),"",SUMIFS(Table4[Price Calculated(€) Thickness &amp; QTY related],Table4[Film],Table2[[#This Row],[Film]],Table4[Grade],Table2[[#This Row],[Grade]]))</f>
        <v/>
      </c>
      <c r="P136" s="6"/>
      <c r="T136" s="6"/>
    </row>
    <row r="137" spans="1:20" hidden="1">
      <c r="A137" s="29" t="s">
        <v>44</v>
      </c>
      <c r="B137" s="29" t="s">
        <v>6</v>
      </c>
      <c r="C137" s="28"/>
      <c r="D137" s="28" t="str">
        <f>IF(C137="","",IFERROR(_xlfn.XLOOKUP(C137,HELPER!$A$2:$A$81,HELPER!$B$2:$B$81,""),D137))</f>
        <v/>
      </c>
      <c r="E137" s="28" t="str">
        <f>IFERROR(_xlfn.XLOOKUP(D137,HELPER!$B:$B,HELPER!$C:$C,""),"")</f>
        <v/>
      </c>
      <c r="F137" s="27" t="str">
        <f>IFERROR(_xlfn.XLOOKUP(D137,HELPER!$B:$B,HELPER!$D:$D,""),"")</f>
        <v/>
      </c>
      <c r="G137" s="27">
        <v>24</v>
      </c>
      <c r="I137" s="8" t="str">
        <f>IF(AND(H137&lt;&gt;"",IFERROR(_xlfn.XLOOKUP(D137,HELPER!$B:$B,HELPER!$E:$E,""),"")=""),"Missing price",IFERROR(_xlfn.XLOOKUP(D137,HELPER!$B:$B,HELPER!$E:$E,"")," "))</f>
        <v/>
      </c>
      <c r="J137" s="47" t="str">
        <f>IFERROR(H137*(IF(G137=8,I137*HELPER!$G$2,BOM!I137*HELPER!$G$3))," ")</f>
        <v xml:space="preserve"> </v>
      </c>
      <c r="K137" s="6"/>
      <c r="L137" s="14" t="str" cm="1">
        <f t="array" ref="L137">IFERROR(_xlfn.LET(_xlpm.films,Table4[Film],_xlpm.grades,Table4[Grade],_xlpm.pairs,_xlfn._xlws.FILTER(_xlfn.HSTACK(_xlpm.films,_xlpm.grades),(_xlpm.films&lt;&gt;"")*(TRIM(_xlpm.grades)&lt;&gt;"")),_xlpm.uniquePairs,_xlfn.UNIQUE(_xlpm.pairs),_xlpm.sortedPairs,_xlfn._xlws.SORT(_xlpm.uniquePairs,1,1),INDEX(_xlpm.sortedPairs,ROWS($L$2:L137),1)),"")</f>
        <v/>
      </c>
      <c r="M137" s="15" t="str" cm="1">
        <f t="array" ref="M137">IFERROR(_xlfn.LET(_xlpm.films,Table4[Film],_xlpm.grades,Table4[Grade],_xlpm.pairs,_xlfn._xlws.FILTER(_xlfn.HSTACK(_xlpm.films,_xlpm.grades),(_xlpm.films&lt;&gt;"")*(TRIM(_xlpm.grades)&lt;&gt;"")),_xlpm.uniquePairs,_xlfn.UNIQUE(_xlpm.pairs),_xlpm.sortedPairs,_xlfn._xlws.SORT(_xlpm.uniquePairs,1,1),INDEX(_xlpm.sortedPairs,ROWS($M$2:M137),2)),"")</f>
        <v/>
      </c>
      <c r="N137" s="15" t="str" cm="1">
        <f t="array" ref="N137">IF(OR(Table2[[#This Row],[Film]]="",Table2[[#This Row],[Grade]]=""),"",IFERROR(INDEX(Table4[Serial Number],MATCH(1,(Table4[Film]=Table2[[#This Row],[Film]])*(Table4[Grade]=Table2[[#This Row],[Grade]]),0)),""))</f>
        <v/>
      </c>
      <c r="O137" s="51" t="str">
        <f>IF(OR(Table2[[#This Row],[Film]]="",Table2[[#This Row],[Grade]]=""),"",SUMIFS(Table4[Price Calculated(€) Thickness &amp; QTY related],Table4[Film],Table2[[#This Row],[Film]],Table4[Grade],Table2[[#This Row],[Grade]]))</f>
        <v/>
      </c>
      <c r="P137" s="6"/>
      <c r="T137" s="6"/>
    </row>
    <row r="138" spans="1:20" hidden="1">
      <c r="A138" s="29" t="s">
        <v>44</v>
      </c>
      <c r="B138" s="29" t="s">
        <v>6</v>
      </c>
      <c r="C138" s="28"/>
      <c r="D138" s="28" t="str">
        <f>IF(C138="","",IFERROR(_xlfn.XLOOKUP(C138,HELPER!$A$2:$A$81,HELPER!$B$2:$B$81,""),D138))</f>
        <v/>
      </c>
      <c r="E138" s="28" t="str">
        <f>IFERROR(_xlfn.XLOOKUP(D138,HELPER!$B:$B,HELPER!$C:$C,""),"")</f>
        <v/>
      </c>
      <c r="F138" s="27" t="str">
        <f>IFERROR(_xlfn.XLOOKUP(D138,HELPER!$B:$B,HELPER!$D:$D,""),"")</f>
        <v/>
      </c>
      <c r="G138" s="27">
        <v>24</v>
      </c>
      <c r="I138" s="8" t="str">
        <f>IF(AND(H138&lt;&gt;"",IFERROR(_xlfn.XLOOKUP(D138,HELPER!$B:$B,HELPER!$E:$E,""),"")=""),"Missing price",IFERROR(_xlfn.XLOOKUP(D138,HELPER!$B:$B,HELPER!$E:$E,"")," "))</f>
        <v/>
      </c>
      <c r="J138" s="47" t="str">
        <f>IFERROR(H138*(IF(G138=8,I138*HELPER!$G$2,BOM!I138*HELPER!$G$3))," ")</f>
        <v xml:space="preserve"> </v>
      </c>
      <c r="K138" s="6"/>
      <c r="L138" s="14" t="str" cm="1">
        <f t="array" ref="L138">IFERROR(_xlfn.LET(_xlpm.films,Table4[Film],_xlpm.grades,Table4[Grade],_xlpm.pairs,_xlfn._xlws.FILTER(_xlfn.HSTACK(_xlpm.films,_xlpm.grades),(_xlpm.films&lt;&gt;"")*(TRIM(_xlpm.grades)&lt;&gt;"")),_xlpm.uniquePairs,_xlfn.UNIQUE(_xlpm.pairs),_xlpm.sortedPairs,_xlfn._xlws.SORT(_xlpm.uniquePairs,1,1),INDEX(_xlpm.sortedPairs,ROWS($L$2:L138),1)),"")</f>
        <v/>
      </c>
      <c r="M138" s="15" t="str" cm="1">
        <f t="array" ref="M138">IFERROR(_xlfn.LET(_xlpm.films,Table4[Film],_xlpm.grades,Table4[Grade],_xlpm.pairs,_xlfn._xlws.FILTER(_xlfn.HSTACK(_xlpm.films,_xlpm.grades),(_xlpm.films&lt;&gt;"")*(TRIM(_xlpm.grades)&lt;&gt;"")),_xlpm.uniquePairs,_xlfn.UNIQUE(_xlpm.pairs),_xlpm.sortedPairs,_xlfn._xlws.SORT(_xlpm.uniquePairs,1,1),INDEX(_xlpm.sortedPairs,ROWS($M$2:M138),2)),"")</f>
        <v/>
      </c>
      <c r="N138" s="15" t="str" cm="1">
        <f t="array" ref="N138">IF(OR(Table2[[#This Row],[Film]]="",Table2[[#This Row],[Grade]]=""),"",IFERROR(INDEX(Table4[Serial Number],MATCH(1,(Table4[Film]=Table2[[#This Row],[Film]])*(Table4[Grade]=Table2[[#This Row],[Grade]]),0)),""))</f>
        <v/>
      </c>
      <c r="O138" s="51" t="str">
        <f>IF(OR(Table2[[#This Row],[Film]]="",Table2[[#This Row],[Grade]]=""),"",SUMIFS(Table4[Price Calculated(€) Thickness &amp; QTY related],Table4[Film],Table2[[#This Row],[Film]],Table4[Grade],Table2[[#This Row],[Grade]]))</f>
        <v/>
      </c>
      <c r="P138" s="6"/>
      <c r="T138" s="6"/>
    </row>
    <row r="139" spans="1:20" hidden="1">
      <c r="A139" s="29" t="s">
        <v>44</v>
      </c>
      <c r="B139" s="29" t="s">
        <v>6</v>
      </c>
      <c r="C139" s="28"/>
      <c r="D139" s="28" t="str">
        <f>IF(C139="","",IFERROR(_xlfn.XLOOKUP(C139,HELPER!$A$2:$A$81,HELPER!$B$2:$B$81,""),D139))</f>
        <v/>
      </c>
      <c r="E139" s="28" t="str">
        <f>IFERROR(_xlfn.XLOOKUP(D139,HELPER!$B:$B,HELPER!$C:$C,""),"")</f>
        <v/>
      </c>
      <c r="F139" s="27" t="str">
        <f>IFERROR(_xlfn.XLOOKUP(D139,HELPER!$B:$B,HELPER!$D:$D,""),"")</f>
        <v/>
      </c>
      <c r="G139" s="27">
        <v>24</v>
      </c>
      <c r="I139" s="8" t="str">
        <f>IF(AND(H139&lt;&gt;"",IFERROR(_xlfn.XLOOKUP(D139,HELPER!$B:$B,HELPER!$E:$E,""),"")=""),"Missing price",IFERROR(_xlfn.XLOOKUP(D139,HELPER!$B:$B,HELPER!$E:$E,"")," "))</f>
        <v/>
      </c>
      <c r="J139" s="47" t="str">
        <f>IFERROR(H139*(IF(G139=8,I139*HELPER!$G$2,BOM!I139*HELPER!$G$3))," ")</f>
        <v xml:space="preserve"> </v>
      </c>
      <c r="K139" s="6"/>
      <c r="L139" s="14" t="str" cm="1">
        <f t="array" ref="L139">IFERROR(_xlfn.LET(_xlpm.films,Table4[Film],_xlpm.grades,Table4[Grade],_xlpm.pairs,_xlfn._xlws.FILTER(_xlfn.HSTACK(_xlpm.films,_xlpm.grades),(_xlpm.films&lt;&gt;"")*(TRIM(_xlpm.grades)&lt;&gt;"")),_xlpm.uniquePairs,_xlfn.UNIQUE(_xlpm.pairs),_xlpm.sortedPairs,_xlfn._xlws.SORT(_xlpm.uniquePairs,1,1),INDEX(_xlpm.sortedPairs,ROWS($L$2:L139),1)),"")</f>
        <v/>
      </c>
      <c r="M139" s="15" t="str" cm="1">
        <f t="array" ref="M139">IFERROR(_xlfn.LET(_xlpm.films,Table4[Film],_xlpm.grades,Table4[Grade],_xlpm.pairs,_xlfn._xlws.FILTER(_xlfn.HSTACK(_xlpm.films,_xlpm.grades),(_xlpm.films&lt;&gt;"")*(TRIM(_xlpm.grades)&lt;&gt;"")),_xlpm.uniquePairs,_xlfn.UNIQUE(_xlpm.pairs),_xlpm.sortedPairs,_xlfn._xlws.SORT(_xlpm.uniquePairs,1,1),INDEX(_xlpm.sortedPairs,ROWS($M$2:M139),2)),"")</f>
        <v/>
      </c>
      <c r="N139" s="15" t="str" cm="1">
        <f t="array" ref="N139">IF(OR(Table2[[#This Row],[Film]]="",Table2[[#This Row],[Grade]]=""),"",IFERROR(INDEX(Table4[Serial Number],MATCH(1,(Table4[Film]=Table2[[#This Row],[Film]])*(Table4[Grade]=Table2[[#This Row],[Grade]]),0)),""))</f>
        <v/>
      </c>
      <c r="O139" s="51" t="str">
        <f>IF(OR(Table2[[#This Row],[Film]]="",Table2[[#This Row],[Grade]]=""),"",SUMIFS(Table4[Price Calculated(€) Thickness &amp; QTY related],Table4[Film],Table2[[#This Row],[Film]],Table4[Grade],Table2[[#This Row],[Grade]]))</f>
        <v/>
      </c>
      <c r="P139" s="6"/>
      <c r="T139" s="6"/>
    </row>
    <row r="140" spans="1:20" hidden="1">
      <c r="A140" s="29" t="s">
        <v>44</v>
      </c>
      <c r="B140" s="29" t="s">
        <v>6</v>
      </c>
      <c r="C140" s="28"/>
      <c r="D140" s="28" t="str">
        <f>IF(C140="","",IFERROR(_xlfn.XLOOKUP(C140,HELPER!$A$2:$A$81,HELPER!$B$2:$B$81,""),D140))</f>
        <v/>
      </c>
      <c r="E140" s="28" t="str">
        <f>IFERROR(_xlfn.XLOOKUP(D140,HELPER!$B:$B,HELPER!$C:$C,""),"")</f>
        <v/>
      </c>
      <c r="F140" s="27" t="str">
        <f>IFERROR(_xlfn.XLOOKUP(D140,HELPER!$B:$B,HELPER!$D:$D,""),"")</f>
        <v/>
      </c>
      <c r="G140" s="27">
        <v>24</v>
      </c>
      <c r="I140" s="8" t="str">
        <f>IF(AND(H140&lt;&gt;"",IFERROR(_xlfn.XLOOKUP(D140,HELPER!$B:$B,HELPER!$E:$E,""),"")=""),"Missing price",IFERROR(_xlfn.XLOOKUP(D140,HELPER!$B:$B,HELPER!$E:$E,"")," "))</f>
        <v/>
      </c>
      <c r="J140" s="47" t="str">
        <f>IFERROR(H140*(IF(G140=8,I140*HELPER!$G$2,BOM!I140*HELPER!$G$3))," ")</f>
        <v xml:space="preserve"> </v>
      </c>
      <c r="K140" s="6"/>
      <c r="L140" s="14" t="str" cm="1">
        <f t="array" ref="L140">IFERROR(_xlfn.LET(_xlpm.films,Table4[Film],_xlpm.grades,Table4[Grade],_xlpm.pairs,_xlfn._xlws.FILTER(_xlfn.HSTACK(_xlpm.films,_xlpm.grades),(_xlpm.films&lt;&gt;"")*(TRIM(_xlpm.grades)&lt;&gt;"")),_xlpm.uniquePairs,_xlfn.UNIQUE(_xlpm.pairs),_xlpm.sortedPairs,_xlfn._xlws.SORT(_xlpm.uniquePairs,1,1),INDEX(_xlpm.sortedPairs,ROWS($L$2:L140),1)),"")</f>
        <v/>
      </c>
      <c r="M140" s="15" t="str" cm="1">
        <f t="array" ref="M140">IFERROR(_xlfn.LET(_xlpm.films,Table4[Film],_xlpm.grades,Table4[Grade],_xlpm.pairs,_xlfn._xlws.FILTER(_xlfn.HSTACK(_xlpm.films,_xlpm.grades),(_xlpm.films&lt;&gt;"")*(TRIM(_xlpm.grades)&lt;&gt;"")),_xlpm.uniquePairs,_xlfn.UNIQUE(_xlpm.pairs),_xlpm.sortedPairs,_xlfn._xlws.SORT(_xlpm.uniquePairs,1,1),INDEX(_xlpm.sortedPairs,ROWS($M$2:M140),2)),"")</f>
        <v/>
      </c>
      <c r="N140" s="15" t="str" cm="1">
        <f t="array" ref="N140">IF(OR(Table2[[#This Row],[Film]]="",Table2[[#This Row],[Grade]]=""),"",IFERROR(INDEX(Table4[Serial Number],MATCH(1,(Table4[Film]=Table2[[#This Row],[Film]])*(Table4[Grade]=Table2[[#This Row],[Grade]]),0)),""))</f>
        <v/>
      </c>
      <c r="O140" s="51" t="str">
        <f>IF(OR(Table2[[#This Row],[Film]]="",Table2[[#This Row],[Grade]]=""),"",SUMIFS(Table4[Price Calculated(€) Thickness &amp; QTY related],Table4[Film],Table2[[#This Row],[Film]],Table4[Grade],Table2[[#This Row],[Grade]]))</f>
        <v/>
      </c>
      <c r="P140" s="6"/>
      <c r="T140" s="6"/>
    </row>
    <row r="141" spans="1:20" hidden="1">
      <c r="A141" s="29" t="s">
        <v>44</v>
      </c>
      <c r="B141" s="29" t="s">
        <v>6</v>
      </c>
      <c r="C141" s="28"/>
      <c r="D141" s="28" t="str">
        <f>IF(C141="","",IFERROR(_xlfn.XLOOKUP(C141,HELPER!$A$2:$A$81,HELPER!$B$2:$B$81,""),D141))</f>
        <v/>
      </c>
      <c r="E141" s="28" t="str">
        <f>IFERROR(_xlfn.XLOOKUP(D141,HELPER!$B:$B,HELPER!$C:$C,""),"")</f>
        <v/>
      </c>
      <c r="F141" s="27" t="str">
        <f>IFERROR(_xlfn.XLOOKUP(D141,HELPER!$B:$B,HELPER!$D:$D,""),"")</f>
        <v/>
      </c>
      <c r="G141" s="27">
        <v>24</v>
      </c>
      <c r="I141" s="8" t="str">
        <f>IF(AND(H141&lt;&gt;"",IFERROR(_xlfn.XLOOKUP(D141,HELPER!$B:$B,HELPER!$E:$E,""),"")=""),"Missing price",IFERROR(_xlfn.XLOOKUP(D141,HELPER!$B:$B,HELPER!$E:$E,"")," "))</f>
        <v/>
      </c>
      <c r="J141" s="47" t="str">
        <f>IFERROR(H141*(IF(G141=8,I141*HELPER!$G$2,BOM!I141*HELPER!$G$3))," ")</f>
        <v xml:space="preserve"> </v>
      </c>
      <c r="K141" s="6"/>
      <c r="L141" s="14" t="str" cm="1">
        <f t="array" ref="L141">IFERROR(_xlfn.LET(_xlpm.films,Table4[Film],_xlpm.grades,Table4[Grade],_xlpm.pairs,_xlfn._xlws.FILTER(_xlfn.HSTACK(_xlpm.films,_xlpm.grades),(_xlpm.films&lt;&gt;"")*(TRIM(_xlpm.grades)&lt;&gt;"")),_xlpm.uniquePairs,_xlfn.UNIQUE(_xlpm.pairs),_xlpm.sortedPairs,_xlfn._xlws.SORT(_xlpm.uniquePairs,1,1),INDEX(_xlpm.sortedPairs,ROWS($L$2:L141),1)),"")</f>
        <v/>
      </c>
      <c r="M141" s="15" t="str" cm="1">
        <f t="array" ref="M141">IFERROR(_xlfn.LET(_xlpm.films,Table4[Film],_xlpm.grades,Table4[Grade],_xlpm.pairs,_xlfn._xlws.FILTER(_xlfn.HSTACK(_xlpm.films,_xlpm.grades),(_xlpm.films&lt;&gt;"")*(TRIM(_xlpm.grades)&lt;&gt;"")),_xlpm.uniquePairs,_xlfn.UNIQUE(_xlpm.pairs),_xlpm.sortedPairs,_xlfn._xlws.SORT(_xlpm.uniquePairs,1,1),INDEX(_xlpm.sortedPairs,ROWS($M$2:M141),2)),"")</f>
        <v/>
      </c>
      <c r="N141" s="15" t="str" cm="1">
        <f t="array" ref="N141">IF(OR(Table2[[#This Row],[Film]]="",Table2[[#This Row],[Grade]]=""),"",IFERROR(INDEX(Table4[Serial Number],MATCH(1,(Table4[Film]=Table2[[#This Row],[Film]])*(Table4[Grade]=Table2[[#This Row],[Grade]]),0)),""))</f>
        <v/>
      </c>
      <c r="O141" s="51" t="str">
        <f>IF(OR(Table2[[#This Row],[Film]]="",Table2[[#This Row],[Grade]]=""),"",SUMIFS(Table4[Price Calculated(€) Thickness &amp; QTY related],Table4[Film],Table2[[#This Row],[Film]],Table4[Grade],Table2[[#This Row],[Grade]]))</f>
        <v/>
      </c>
      <c r="P141" s="6"/>
      <c r="T141" s="6"/>
    </row>
    <row r="142" spans="1:20" hidden="1">
      <c r="A142" s="29" t="s">
        <v>44</v>
      </c>
      <c r="B142" s="29" t="s">
        <v>7</v>
      </c>
      <c r="C142" s="28" t="s">
        <v>12</v>
      </c>
      <c r="D142" s="28" t="str">
        <f>IF(C142="","",IFERROR(_xlfn.XLOOKUP(C142,HELPER!$A$2:$A$81,HELPER!$B$2:$B$81,""),D142))</f>
        <v>FD92PM</v>
      </c>
      <c r="E142" s="28" t="str">
        <f>IFERROR(_xlfn.XLOOKUP(D142,HELPER!$B:$B,HELPER!$C:$C,""),"")</f>
        <v>RMPM2</v>
      </c>
      <c r="F142" s="27" t="str">
        <f>IFERROR(_xlfn.XLOOKUP(D142,HELPER!$B:$B,HELPER!$D:$D,""),"")</f>
        <v>Resin 9C</v>
      </c>
      <c r="G142" s="27">
        <v>8</v>
      </c>
      <c r="H142" s="32">
        <v>0.80800000000000005</v>
      </c>
      <c r="I142" s="8">
        <f>IF(AND(H142&lt;&gt;"",IFERROR(_xlfn.XLOOKUP(D142,HELPER!$B:$B,HELPER!$E:$E,""),"")=""),"Missing price",IFERROR(_xlfn.XLOOKUP(D142,HELPER!$B:$B,HELPER!$E:$E,"")," "))</f>
        <v>6.75</v>
      </c>
      <c r="J142" s="47">
        <f>IFERROR(H142*(IF(G142=8,I142*HELPER!$G$2,BOM!I142*HELPER!$G$3))," ")</f>
        <v>1.0908000000000002</v>
      </c>
      <c r="K142" s="6"/>
      <c r="L142" s="14" t="str" cm="1">
        <f t="array" ref="L142">IFERROR(_xlfn.LET(_xlpm.films,Table4[Film],_xlpm.grades,Table4[Grade],_xlpm.pairs,_xlfn._xlws.FILTER(_xlfn.HSTACK(_xlpm.films,_xlpm.grades),(_xlpm.films&lt;&gt;"")*(TRIM(_xlpm.grades)&lt;&gt;"")),_xlpm.uniquePairs,_xlfn.UNIQUE(_xlpm.pairs),_xlpm.sortedPairs,_xlfn._xlws.SORT(_xlpm.uniquePairs,1,1),INDEX(_xlpm.sortedPairs,ROWS($L$2:L142),1)),"")</f>
        <v/>
      </c>
      <c r="M142" s="15" t="str" cm="1">
        <f t="array" ref="M142">IFERROR(_xlfn.LET(_xlpm.films,Table4[Film],_xlpm.grades,Table4[Grade],_xlpm.pairs,_xlfn._xlws.FILTER(_xlfn.HSTACK(_xlpm.films,_xlpm.grades),(_xlpm.films&lt;&gt;"")*(TRIM(_xlpm.grades)&lt;&gt;"")),_xlpm.uniquePairs,_xlfn.UNIQUE(_xlpm.pairs),_xlpm.sortedPairs,_xlfn._xlws.SORT(_xlpm.uniquePairs,1,1),INDEX(_xlpm.sortedPairs,ROWS($M$2:M142),2)),"")</f>
        <v/>
      </c>
      <c r="N142" s="15" t="str" cm="1">
        <f t="array" ref="N142">IF(OR(Table2[[#This Row],[Film]]="",Table2[[#This Row],[Grade]]=""),"",IFERROR(INDEX(Table4[Serial Number],MATCH(1,(Table4[Film]=Table2[[#This Row],[Film]])*(Table4[Grade]=Table2[[#This Row],[Grade]]),0)),""))</f>
        <v/>
      </c>
      <c r="O142" s="51" t="str">
        <f>IF(OR(Table2[[#This Row],[Film]]="",Table2[[#This Row],[Grade]]=""),"",SUMIFS(Table4[Price Calculated(€) Thickness &amp; QTY related],Table4[Film],Table2[[#This Row],[Film]],Table4[Grade],Table2[[#This Row],[Grade]]))</f>
        <v/>
      </c>
      <c r="P142" s="6"/>
      <c r="T142" s="6"/>
    </row>
    <row r="143" spans="1:20" hidden="1">
      <c r="A143" s="29" t="s">
        <v>44</v>
      </c>
      <c r="B143" s="29" t="s">
        <v>7</v>
      </c>
      <c r="C143" s="28" t="s">
        <v>13</v>
      </c>
      <c r="D143" s="28" t="str">
        <f>IF(C143="","",IFERROR(_xlfn.XLOOKUP(C143,HELPER!$A$2:$A$81,HELPER!$B$2:$B$81,""),D143))</f>
        <v>LX175</v>
      </c>
      <c r="E143" s="28" t="str">
        <f>IFERROR(_xlfn.XLOOKUP(D143,HELPER!$B:$B,HELPER!$C:$C,""),"")</f>
        <v>RMLX175</v>
      </c>
      <c r="F143" s="27" t="str">
        <f>IFERROR(_xlfn.XLOOKUP(D143,HELPER!$B:$B,HELPER!$D:$D,""),"")</f>
        <v>Resin 1A</v>
      </c>
      <c r="G143" s="27">
        <v>8</v>
      </c>
      <c r="H143" s="32">
        <v>0.14199999999999999</v>
      </c>
      <c r="I143" s="8">
        <f>IF(AND(H143&lt;&gt;"",IFERROR(_xlfn.XLOOKUP(D143,HELPER!$B:$B,HELPER!$E:$E,""),"")=""),"Missing price",IFERROR(_xlfn.XLOOKUP(D143,HELPER!$B:$B,HELPER!$E:$E,"")," "))</f>
        <v>3.17</v>
      </c>
      <c r="J143" s="47">
        <f>IFERROR(H143*(IF(G143=8,I143*HELPER!$G$2,BOM!I143*HELPER!$G$3))," ")</f>
        <v>9.0027999999999997E-2</v>
      </c>
      <c r="K143" s="6"/>
      <c r="L143" s="14" t="str" cm="1">
        <f t="array" ref="L143">IFERROR(_xlfn.LET(_xlpm.films,Table4[Film],_xlpm.grades,Table4[Grade],_xlpm.pairs,_xlfn._xlws.FILTER(_xlfn.HSTACK(_xlpm.films,_xlpm.grades),(_xlpm.films&lt;&gt;"")*(TRIM(_xlpm.grades)&lt;&gt;"")),_xlpm.uniquePairs,_xlfn.UNIQUE(_xlpm.pairs),_xlpm.sortedPairs,_xlfn._xlws.SORT(_xlpm.uniquePairs,1,1),INDEX(_xlpm.sortedPairs,ROWS($L$2:L143),1)),"")</f>
        <v/>
      </c>
      <c r="M143" s="15" t="str" cm="1">
        <f t="array" ref="M143">IFERROR(_xlfn.LET(_xlpm.films,Table4[Film],_xlpm.grades,Table4[Grade],_xlpm.pairs,_xlfn._xlws.FILTER(_xlfn.HSTACK(_xlpm.films,_xlpm.grades),(_xlpm.films&lt;&gt;"")*(TRIM(_xlpm.grades)&lt;&gt;"")),_xlpm.uniquePairs,_xlfn.UNIQUE(_xlpm.pairs),_xlpm.sortedPairs,_xlfn._xlws.SORT(_xlpm.uniquePairs,1,1),INDEX(_xlpm.sortedPairs,ROWS($M$2:M143),2)),"")</f>
        <v/>
      </c>
      <c r="N143" s="15" t="str" cm="1">
        <f t="array" ref="N143">IF(OR(Table2[[#This Row],[Film]]="",Table2[[#This Row],[Grade]]=""),"",IFERROR(INDEX(Table4[Serial Number],MATCH(1,(Table4[Film]=Table2[[#This Row],[Film]])*(Table4[Grade]=Table2[[#This Row],[Grade]]),0)),""))</f>
        <v/>
      </c>
      <c r="O143" s="51" t="str">
        <f>IF(OR(Table2[[#This Row],[Film]]="",Table2[[#This Row],[Grade]]=""),"",SUMIFS(Table4[Price Calculated(€) Thickness &amp; QTY related],Table4[Film],Table2[[#This Row],[Film]],Table4[Grade],Table2[[#This Row],[Grade]]))</f>
        <v/>
      </c>
      <c r="P143" s="6"/>
      <c r="T143" s="6"/>
    </row>
    <row r="144" spans="1:20" hidden="1">
      <c r="A144" s="29" t="s">
        <v>44</v>
      </c>
      <c r="B144" s="29" t="s">
        <v>7</v>
      </c>
      <c r="C144" s="28" t="s">
        <v>18</v>
      </c>
      <c r="D144" s="28" t="str">
        <f>IF(C144="","",IFERROR(_xlfn.XLOOKUP(C144,HELPER!$A$2:$A$81,HELPER!$B$2:$B$81,""),D144))</f>
        <v>KAB59A</v>
      </c>
      <c r="E144" s="28" t="str">
        <f>IFERROR(_xlfn.XLOOKUP(D144,HELPER!$B:$B,HELPER!$C:$C,""),"")</f>
        <v>RM A KAB59A</v>
      </c>
      <c r="F144" s="27" t="str">
        <f>IFERROR(_xlfn.XLOOKUP(D144,HELPER!$B:$B,HELPER!$D:$D,""),"")</f>
        <v>Resin 8</v>
      </c>
      <c r="G144" s="27">
        <v>8</v>
      </c>
      <c r="H144" s="32">
        <v>1.4999999999999999E-2</v>
      </c>
      <c r="I144" s="8">
        <f>IF(AND(H144&lt;&gt;"",IFERROR(_xlfn.XLOOKUP(D144,HELPER!$B:$B,HELPER!$E:$E,""),"")=""),"Missing price",IFERROR(_xlfn.XLOOKUP(D144,HELPER!$B:$B,HELPER!$E:$E,"")," "))</f>
        <v>7.55</v>
      </c>
      <c r="J144" s="47">
        <f>IFERROR(H144*(IF(G144=8,I144*HELPER!$G$2,BOM!I144*HELPER!$G$3))," ")</f>
        <v>2.265E-2</v>
      </c>
      <c r="K144" s="6"/>
      <c r="L144" s="14" t="str" cm="1">
        <f t="array" ref="L144">IFERROR(_xlfn.LET(_xlpm.films,Table4[Film],_xlpm.grades,Table4[Grade],_xlpm.pairs,_xlfn._xlws.FILTER(_xlfn.HSTACK(_xlpm.films,_xlpm.grades),(_xlpm.films&lt;&gt;"")*(TRIM(_xlpm.grades)&lt;&gt;"")),_xlpm.uniquePairs,_xlfn.UNIQUE(_xlpm.pairs),_xlpm.sortedPairs,_xlfn._xlws.SORT(_xlpm.uniquePairs,1,1),INDEX(_xlpm.sortedPairs,ROWS($L$2:L144),1)),"")</f>
        <v/>
      </c>
      <c r="M144" s="15" t="str" cm="1">
        <f t="array" ref="M144">IFERROR(_xlfn.LET(_xlpm.films,Table4[Film],_xlpm.grades,Table4[Grade],_xlpm.pairs,_xlfn._xlws.FILTER(_xlfn.HSTACK(_xlpm.films,_xlpm.grades),(_xlpm.films&lt;&gt;"")*(TRIM(_xlpm.grades)&lt;&gt;"")),_xlpm.uniquePairs,_xlfn.UNIQUE(_xlpm.pairs),_xlpm.sortedPairs,_xlfn._xlws.SORT(_xlpm.uniquePairs,1,1),INDEX(_xlpm.sortedPairs,ROWS($M$2:M144),2)),"")</f>
        <v/>
      </c>
      <c r="N144" s="15" t="str" cm="1">
        <f t="array" ref="N144">IF(OR(Table2[[#This Row],[Film]]="",Table2[[#This Row],[Grade]]=""),"",IFERROR(INDEX(Table4[Serial Number],MATCH(1,(Table4[Film]=Table2[[#This Row],[Film]])*(Table4[Grade]=Table2[[#This Row],[Grade]]),0)),""))</f>
        <v/>
      </c>
      <c r="O144" s="51" t="str">
        <f>IF(OR(Table2[[#This Row],[Film]]="",Table2[[#This Row],[Grade]]=""),"",SUMIFS(Table4[Price Calculated(€) Thickness &amp; QTY related],Table4[Film],Table2[[#This Row],[Film]],Table4[Grade],Table2[[#This Row],[Grade]]))</f>
        <v/>
      </c>
      <c r="P144" s="6"/>
      <c r="T144" s="6"/>
    </row>
    <row r="145" spans="1:20" hidden="1">
      <c r="A145" s="29" t="s">
        <v>44</v>
      </c>
      <c r="B145" s="29" t="s">
        <v>7</v>
      </c>
      <c r="C145" s="28" t="s">
        <v>16</v>
      </c>
      <c r="D145" s="28" t="str">
        <f>IF(C145="","",IFERROR(_xlfn.XLOOKUP(C145,HELPER!$A$2:$A$81,HELPER!$B$2:$B$81,""),D145))</f>
        <v>S723</v>
      </c>
      <c r="E145" s="28" t="str">
        <f>IFERROR(_xlfn.XLOOKUP(D145,HELPER!$B:$B,HELPER!$C:$C,""),"")</f>
        <v>RM TA45-08 S723</v>
      </c>
      <c r="F145" s="27" t="str">
        <f>IFERROR(_xlfn.XLOOKUP(D145,HELPER!$B:$B,HELPER!$D:$D,""),"")</f>
        <v>Resin 6</v>
      </c>
      <c r="G145" s="27">
        <v>8</v>
      </c>
      <c r="H145" s="32">
        <v>1.4999999999999999E-2</v>
      </c>
      <c r="I145" s="8">
        <f>IF(AND(H145&lt;&gt;"",IFERROR(_xlfn.XLOOKUP(D145,HELPER!$B:$B,HELPER!$E:$E,""),"")=""),"Missing price",IFERROR(_xlfn.XLOOKUP(D145,HELPER!$B:$B,HELPER!$E:$E,"")," "))</f>
        <v>16.16</v>
      </c>
      <c r="J145" s="47">
        <f>IFERROR(H145*(IF(G145=8,I145*HELPER!$G$2,BOM!I145*HELPER!$G$3))," ")</f>
        <v>4.8480000000000002E-2</v>
      </c>
      <c r="K145" s="6"/>
      <c r="L145" s="14" t="str" cm="1">
        <f t="array" ref="L145">IFERROR(_xlfn.LET(_xlpm.films,Table4[Film],_xlpm.grades,Table4[Grade],_xlpm.pairs,_xlfn._xlws.FILTER(_xlfn.HSTACK(_xlpm.films,_xlpm.grades),(_xlpm.films&lt;&gt;"")*(TRIM(_xlpm.grades)&lt;&gt;"")),_xlpm.uniquePairs,_xlfn.UNIQUE(_xlpm.pairs),_xlpm.sortedPairs,_xlfn._xlws.SORT(_xlpm.uniquePairs,1,1),INDEX(_xlpm.sortedPairs,ROWS($L$2:L145),1)),"")</f>
        <v/>
      </c>
      <c r="M145" s="15" t="str" cm="1">
        <f t="array" ref="M145">IFERROR(_xlfn.LET(_xlpm.films,Table4[Film],_xlpm.grades,Table4[Grade],_xlpm.pairs,_xlfn._xlws.FILTER(_xlfn.HSTACK(_xlpm.films,_xlpm.grades),(_xlpm.films&lt;&gt;"")*(TRIM(_xlpm.grades)&lt;&gt;"")),_xlpm.uniquePairs,_xlfn.UNIQUE(_xlpm.pairs),_xlpm.sortedPairs,_xlfn._xlws.SORT(_xlpm.uniquePairs,1,1),INDEX(_xlpm.sortedPairs,ROWS($M$2:M145),2)),"")</f>
        <v/>
      </c>
      <c r="N145" s="15" t="str" cm="1">
        <f t="array" ref="N145">IF(OR(Table2[[#This Row],[Film]]="",Table2[[#This Row],[Grade]]=""),"",IFERROR(INDEX(Table4[Serial Number],MATCH(1,(Table4[Film]=Table2[[#This Row],[Film]])*(Table4[Grade]=Table2[[#This Row],[Grade]]),0)),""))</f>
        <v/>
      </c>
      <c r="O145" s="51" t="str">
        <f>IF(OR(Table2[[#This Row],[Film]]="",Table2[[#This Row],[Grade]]=""),"",SUMIFS(Table4[Price Calculated(€) Thickness &amp; QTY related],Table4[Film],Table2[[#This Row],[Film]],Table4[Grade],Table2[[#This Row],[Grade]]))</f>
        <v/>
      </c>
      <c r="P145" s="6"/>
      <c r="T145" s="6"/>
    </row>
    <row r="146" spans="1:20" hidden="1">
      <c r="A146" s="29" t="s">
        <v>44</v>
      </c>
      <c r="B146" s="29" t="s">
        <v>7</v>
      </c>
      <c r="C146" s="28" t="s">
        <v>17</v>
      </c>
      <c r="D146" s="28" t="str">
        <f>IF(C146="","",IFERROR(_xlfn.XLOOKUP(C146,HELPER!$A$2:$A$81,HELPER!$B$2:$B$81,""),D146))</f>
        <v>S724</v>
      </c>
      <c r="E146" s="28" t="str">
        <f>IFERROR(_xlfn.XLOOKUP(D146,HELPER!$B:$B,HELPER!$C:$C,""),"")</f>
        <v>RM TA45-08 S724</v>
      </c>
      <c r="F146" s="27" t="str">
        <f>IFERROR(_xlfn.XLOOKUP(D146,HELPER!$B:$B,HELPER!$D:$D,""),"")</f>
        <v>Resin 7</v>
      </c>
      <c r="G146" s="27">
        <v>8</v>
      </c>
      <c r="H146" s="32">
        <v>0.02</v>
      </c>
      <c r="I146" s="8">
        <f>IF(AND(H146&lt;&gt;"",IFERROR(_xlfn.XLOOKUP(D146,HELPER!$B:$B,HELPER!$E:$E,""),"")=""),"Missing price",IFERROR(_xlfn.XLOOKUP(D146,HELPER!$B:$B,HELPER!$E:$E,"")," "))</f>
        <v>14.7</v>
      </c>
      <c r="J146" s="47">
        <f>IFERROR(H146*(IF(G146=8,I146*HELPER!$G$2,BOM!I146*HELPER!$G$3))," ")</f>
        <v>5.8799999999999998E-2</v>
      </c>
      <c r="K146" s="6"/>
      <c r="L146" s="14" t="str" cm="1">
        <f t="array" ref="L146">IFERROR(_xlfn.LET(_xlpm.films,Table4[Film],_xlpm.grades,Table4[Grade],_xlpm.pairs,_xlfn._xlws.FILTER(_xlfn.HSTACK(_xlpm.films,_xlpm.grades),(_xlpm.films&lt;&gt;"")*(TRIM(_xlpm.grades)&lt;&gt;"")),_xlpm.uniquePairs,_xlfn.UNIQUE(_xlpm.pairs),_xlpm.sortedPairs,_xlfn._xlws.SORT(_xlpm.uniquePairs,1,1),INDEX(_xlpm.sortedPairs,ROWS($L$2:L146),1)),"")</f>
        <v/>
      </c>
      <c r="M146" s="15" t="str" cm="1">
        <f t="array" ref="M146">IFERROR(_xlfn.LET(_xlpm.films,Table4[Film],_xlpm.grades,Table4[Grade],_xlpm.pairs,_xlfn._xlws.FILTER(_xlfn.HSTACK(_xlpm.films,_xlpm.grades),(_xlpm.films&lt;&gt;"")*(TRIM(_xlpm.grades)&lt;&gt;"")),_xlpm.uniquePairs,_xlfn.UNIQUE(_xlpm.pairs),_xlpm.sortedPairs,_xlfn._xlws.SORT(_xlpm.uniquePairs,1,1),INDEX(_xlpm.sortedPairs,ROWS($M$2:M146),2)),"")</f>
        <v/>
      </c>
      <c r="N146" s="15" t="str" cm="1">
        <f t="array" ref="N146">IF(OR(Table2[[#This Row],[Film]]="",Table2[[#This Row],[Grade]]=""),"",IFERROR(INDEX(Table4[Serial Number],MATCH(1,(Table4[Film]=Table2[[#This Row],[Film]])*(Table4[Grade]=Table2[[#This Row],[Grade]]),0)),""))</f>
        <v/>
      </c>
      <c r="O146" s="51" t="str">
        <f>IF(OR(Table2[[#This Row],[Film]]="",Table2[[#This Row],[Grade]]=""),"",SUMIFS(Table4[Price Calculated(€) Thickness &amp; QTY related],Table4[Film],Table2[[#This Row],[Film]],Table4[Grade],Table2[[#This Row],[Grade]]))</f>
        <v/>
      </c>
      <c r="P146" s="6"/>
      <c r="T146" s="6"/>
    </row>
    <row r="147" spans="1:20" hidden="1">
      <c r="A147" s="29" t="s">
        <v>44</v>
      </c>
      <c r="B147" s="29" t="s">
        <v>7</v>
      </c>
      <c r="C147" s="28"/>
      <c r="D147" s="28" t="str">
        <f>IF(C147="","",IFERROR(_xlfn.XLOOKUP(C147,HELPER!$A$2:$A$81,HELPER!$B$2:$B$81,""),D147))</f>
        <v/>
      </c>
      <c r="E147" s="28" t="str">
        <f>IFERROR(_xlfn.XLOOKUP(D147,HELPER!$B:$B,HELPER!$C:$C,""),"")</f>
        <v/>
      </c>
      <c r="F147" s="27" t="str">
        <f>IFERROR(_xlfn.XLOOKUP(D147,HELPER!$B:$B,HELPER!$D:$D,""),"")</f>
        <v/>
      </c>
      <c r="G147" s="27">
        <v>8</v>
      </c>
      <c r="I147" s="8" t="str">
        <f>IF(AND(H147&lt;&gt;"",IFERROR(_xlfn.XLOOKUP(D147,HELPER!$B:$B,HELPER!$E:$E,""),"")=""),"Missing price",IFERROR(_xlfn.XLOOKUP(D147,HELPER!$B:$B,HELPER!$E:$E,"")," "))</f>
        <v/>
      </c>
      <c r="J147" s="47" t="str">
        <f>IFERROR(H147*(IF(G147=8,I147*HELPER!$G$2,BOM!I147*HELPER!$G$3))," ")</f>
        <v xml:space="preserve"> </v>
      </c>
      <c r="K147" s="6"/>
      <c r="L147" s="14" t="str" cm="1">
        <f t="array" ref="L147">IFERROR(_xlfn.LET(_xlpm.films,Table4[Film],_xlpm.grades,Table4[Grade],_xlpm.pairs,_xlfn._xlws.FILTER(_xlfn.HSTACK(_xlpm.films,_xlpm.grades),(_xlpm.films&lt;&gt;"")*(TRIM(_xlpm.grades)&lt;&gt;"")),_xlpm.uniquePairs,_xlfn.UNIQUE(_xlpm.pairs),_xlpm.sortedPairs,_xlfn._xlws.SORT(_xlpm.uniquePairs,1,1),INDEX(_xlpm.sortedPairs,ROWS($L$2:L147),1)),"")</f>
        <v/>
      </c>
      <c r="M147" s="15" t="str" cm="1">
        <f t="array" ref="M147">IFERROR(_xlfn.LET(_xlpm.films,Table4[Film],_xlpm.grades,Table4[Grade],_xlpm.pairs,_xlfn._xlws.FILTER(_xlfn.HSTACK(_xlpm.films,_xlpm.grades),(_xlpm.films&lt;&gt;"")*(TRIM(_xlpm.grades)&lt;&gt;"")),_xlpm.uniquePairs,_xlfn.UNIQUE(_xlpm.pairs),_xlpm.sortedPairs,_xlfn._xlws.SORT(_xlpm.uniquePairs,1,1),INDEX(_xlpm.sortedPairs,ROWS($M$2:M147),2)),"")</f>
        <v/>
      </c>
      <c r="N147" s="15" t="str" cm="1">
        <f t="array" ref="N147">IF(OR(Table2[[#This Row],[Film]]="",Table2[[#This Row],[Grade]]=""),"",IFERROR(INDEX(Table4[Serial Number],MATCH(1,(Table4[Film]=Table2[[#This Row],[Film]])*(Table4[Grade]=Table2[[#This Row],[Grade]]),0)),""))</f>
        <v/>
      </c>
      <c r="O147" s="51" t="str">
        <f>IF(OR(Table2[[#This Row],[Film]]="",Table2[[#This Row],[Grade]]=""),"",SUMIFS(Table4[Price Calculated(€) Thickness &amp; QTY related],Table4[Film],Table2[[#This Row],[Film]],Table4[Grade],Table2[[#This Row],[Grade]]))</f>
        <v/>
      </c>
      <c r="P147" s="6"/>
      <c r="T147" s="6"/>
    </row>
    <row r="148" spans="1:20" hidden="1">
      <c r="A148" s="29" t="s">
        <v>44</v>
      </c>
      <c r="B148" s="29" t="s">
        <v>7</v>
      </c>
      <c r="C148" s="28"/>
      <c r="D148" s="28" t="str">
        <f>IF(C148="","",IFERROR(_xlfn.XLOOKUP(C148,HELPER!$A$2:$A$81,HELPER!$B$2:$B$81,""),D148))</f>
        <v/>
      </c>
      <c r="E148" s="28" t="str">
        <f>IFERROR(_xlfn.XLOOKUP(D148,HELPER!$B:$B,HELPER!$C:$C,""),"")</f>
        <v/>
      </c>
      <c r="F148" s="27" t="str">
        <f>IFERROR(_xlfn.XLOOKUP(D148,HELPER!$B:$B,HELPER!$D:$D,""),"")</f>
        <v/>
      </c>
      <c r="G148" s="27">
        <v>8</v>
      </c>
      <c r="I148" s="8" t="str">
        <f>IF(AND(H148&lt;&gt;"",IFERROR(_xlfn.XLOOKUP(D148,HELPER!$B:$B,HELPER!$E:$E,""),"")=""),"Missing price",IFERROR(_xlfn.XLOOKUP(D148,HELPER!$B:$B,HELPER!$E:$E,"")," "))</f>
        <v/>
      </c>
      <c r="J148" s="47" t="str">
        <f>IFERROR(H148*(IF(G148=8,I148*HELPER!$G$2,BOM!I148*HELPER!$G$3))," ")</f>
        <v xml:space="preserve"> </v>
      </c>
      <c r="K148" s="6"/>
      <c r="L148" s="14" t="str" cm="1">
        <f t="array" ref="L148">IFERROR(_xlfn.LET(_xlpm.films,Table4[Film],_xlpm.grades,Table4[Grade],_xlpm.pairs,_xlfn._xlws.FILTER(_xlfn.HSTACK(_xlpm.films,_xlpm.grades),(_xlpm.films&lt;&gt;"")*(TRIM(_xlpm.grades)&lt;&gt;"")),_xlpm.uniquePairs,_xlfn.UNIQUE(_xlpm.pairs),_xlpm.sortedPairs,_xlfn._xlws.SORT(_xlpm.uniquePairs,1,1),INDEX(_xlpm.sortedPairs,ROWS($L$2:L148),1)),"")</f>
        <v/>
      </c>
      <c r="M148" s="15" t="str" cm="1">
        <f t="array" ref="M148">IFERROR(_xlfn.LET(_xlpm.films,Table4[Film],_xlpm.grades,Table4[Grade],_xlpm.pairs,_xlfn._xlws.FILTER(_xlfn.HSTACK(_xlpm.films,_xlpm.grades),(_xlpm.films&lt;&gt;"")*(TRIM(_xlpm.grades)&lt;&gt;"")),_xlpm.uniquePairs,_xlfn.UNIQUE(_xlpm.pairs),_xlpm.sortedPairs,_xlfn._xlws.SORT(_xlpm.uniquePairs,1,1),INDEX(_xlpm.sortedPairs,ROWS($M$2:M148),2)),"")</f>
        <v/>
      </c>
      <c r="N148" s="15" t="str" cm="1">
        <f t="array" ref="N148">IF(OR(Table2[[#This Row],[Film]]="",Table2[[#This Row],[Grade]]=""),"",IFERROR(INDEX(Table4[Serial Number],MATCH(1,(Table4[Film]=Table2[[#This Row],[Film]])*(Table4[Grade]=Table2[[#This Row],[Grade]]),0)),""))</f>
        <v/>
      </c>
      <c r="O148" s="51" t="str">
        <f>IF(OR(Table2[[#This Row],[Film]]="",Table2[[#This Row],[Grade]]=""),"",SUMIFS(Table4[Price Calculated(€) Thickness &amp; QTY related],Table4[Film],Table2[[#This Row],[Film]],Table4[Grade],Table2[[#This Row],[Grade]]))</f>
        <v/>
      </c>
      <c r="P148" s="6"/>
      <c r="T148" s="6"/>
    </row>
    <row r="149" spans="1:20" hidden="1">
      <c r="A149" s="29" t="s">
        <v>44</v>
      </c>
      <c r="B149" s="29" t="s">
        <v>7</v>
      </c>
      <c r="C149" s="28"/>
      <c r="D149" s="28" t="str">
        <f>IF(C149="","",IFERROR(_xlfn.XLOOKUP(C149,HELPER!$A$2:$A$81,HELPER!$B$2:$B$81,""),D149))</f>
        <v/>
      </c>
      <c r="E149" s="28" t="str">
        <f>IFERROR(_xlfn.XLOOKUP(D149,HELPER!$B:$B,HELPER!$C:$C,""),"")</f>
        <v/>
      </c>
      <c r="F149" s="27" t="str">
        <f>IFERROR(_xlfn.XLOOKUP(D149,HELPER!$B:$B,HELPER!$D:$D,""),"")</f>
        <v/>
      </c>
      <c r="G149" s="27">
        <v>8</v>
      </c>
      <c r="I149" s="8" t="str">
        <f>IF(AND(H149&lt;&gt;"",IFERROR(_xlfn.XLOOKUP(D149,HELPER!$B:$B,HELPER!$E:$E,""),"")=""),"Missing price",IFERROR(_xlfn.XLOOKUP(D149,HELPER!$B:$B,HELPER!$E:$E,"")," "))</f>
        <v/>
      </c>
      <c r="J149" s="47" t="str">
        <f>IFERROR(H149*(IF(G149=8,I149*HELPER!$G$2,BOM!I149*HELPER!$G$3))," ")</f>
        <v xml:space="preserve"> </v>
      </c>
      <c r="K149" s="6"/>
      <c r="L149" s="14" t="str" cm="1">
        <f t="array" ref="L149">IFERROR(_xlfn.LET(_xlpm.films,Table4[Film],_xlpm.grades,Table4[Grade],_xlpm.pairs,_xlfn._xlws.FILTER(_xlfn.HSTACK(_xlpm.films,_xlpm.grades),(_xlpm.films&lt;&gt;"")*(TRIM(_xlpm.grades)&lt;&gt;"")),_xlpm.uniquePairs,_xlfn.UNIQUE(_xlpm.pairs),_xlpm.sortedPairs,_xlfn._xlws.SORT(_xlpm.uniquePairs,1,1),INDEX(_xlpm.sortedPairs,ROWS($L$2:L149),1)),"")</f>
        <v/>
      </c>
      <c r="M149" s="15" t="str" cm="1">
        <f t="array" ref="M149">IFERROR(_xlfn.LET(_xlpm.films,Table4[Film],_xlpm.grades,Table4[Grade],_xlpm.pairs,_xlfn._xlws.FILTER(_xlfn.HSTACK(_xlpm.films,_xlpm.grades),(_xlpm.films&lt;&gt;"")*(TRIM(_xlpm.grades)&lt;&gt;"")),_xlpm.uniquePairs,_xlfn.UNIQUE(_xlpm.pairs),_xlpm.sortedPairs,_xlfn._xlws.SORT(_xlpm.uniquePairs,1,1),INDEX(_xlpm.sortedPairs,ROWS($M$2:M149),2)),"")</f>
        <v/>
      </c>
      <c r="N149" s="15" t="str" cm="1">
        <f t="array" ref="N149">IF(OR(Table2[[#This Row],[Film]]="",Table2[[#This Row],[Grade]]=""),"",IFERROR(INDEX(Table4[Serial Number],MATCH(1,(Table4[Film]=Table2[[#This Row],[Film]])*(Table4[Grade]=Table2[[#This Row],[Grade]]),0)),""))</f>
        <v/>
      </c>
      <c r="O149" s="51" t="str">
        <f>IF(OR(Table2[[#This Row],[Film]]="",Table2[[#This Row],[Grade]]=""),"",SUMIFS(Table4[Price Calculated(€) Thickness &amp; QTY related],Table4[Film],Table2[[#This Row],[Film]],Table4[Grade],Table2[[#This Row],[Grade]]))</f>
        <v/>
      </c>
      <c r="P149" s="6"/>
      <c r="T149" s="6"/>
    </row>
    <row r="150" spans="1:20" hidden="1">
      <c r="A150" s="29" t="s">
        <v>44</v>
      </c>
      <c r="B150" s="29" t="s">
        <v>7</v>
      </c>
      <c r="C150" s="28"/>
      <c r="D150" s="28" t="str">
        <f>IF(C150="","",IFERROR(_xlfn.XLOOKUP(C150,HELPER!$A$2:$A$81,HELPER!$B$2:$B$81,""),D150))</f>
        <v/>
      </c>
      <c r="E150" s="28" t="str">
        <f>IFERROR(_xlfn.XLOOKUP(D150,HELPER!$B:$B,HELPER!$C:$C,""),"")</f>
        <v/>
      </c>
      <c r="F150" s="27" t="str">
        <f>IFERROR(_xlfn.XLOOKUP(D150,HELPER!$B:$B,HELPER!$D:$D,""),"")</f>
        <v/>
      </c>
      <c r="G150" s="27">
        <v>8</v>
      </c>
      <c r="I150" s="8" t="str">
        <f>IF(AND(H150&lt;&gt;"",IFERROR(_xlfn.XLOOKUP(D150,HELPER!$B:$B,HELPER!$E:$E,""),"")=""),"Missing price",IFERROR(_xlfn.XLOOKUP(D150,HELPER!$B:$B,HELPER!$E:$E,"")," "))</f>
        <v/>
      </c>
      <c r="J150" s="47" t="str">
        <f>IFERROR(H150*(IF(G150=8,I150*HELPER!$G$2,BOM!I150*HELPER!$G$3))," ")</f>
        <v xml:space="preserve"> </v>
      </c>
      <c r="K150" s="6"/>
      <c r="L150" s="14" t="str" cm="1">
        <f t="array" ref="L150">IFERROR(_xlfn.LET(_xlpm.films,Table4[Film],_xlpm.grades,Table4[Grade],_xlpm.pairs,_xlfn._xlws.FILTER(_xlfn.HSTACK(_xlpm.films,_xlpm.grades),(_xlpm.films&lt;&gt;"")*(TRIM(_xlpm.grades)&lt;&gt;"")),_xlpm.uniquePairs,_xlfn.UNIQUE(_xlpm.pairs),_xlpm.sortedPairs,_xlfn._xlws.SORT(_xlpm.uniquePairs,1,1),INDEX(_xlpm.sortedPairs,ROWS($L$2:L150),1)),"")</f>
        <v/>
      </c>
      <c r="M150" s="15" t="str" cm="1">
        <f t="array" ref="M150">IFERROR(_xlfn.LET(_xlpm.films,Table4[Film],_xlpm.grades,Table4[Grade],_xlpm.pairs,_xlfn._xlws.FILTER(_xlfn.HSTACK(_xlpm.films,_xlpm.grades),(_xlpm.films&lt;&gt;"")*(TRIM(_xlpm.grades)&lt;&gt;"")),_xlpm.uniquePairs,_xlfn.UNIQUE(_xlpm.pairs),_xlpm.sortedPairs,_xlfn._xlws.SORT(_xlpm.uniquePairs,1,1),INDEX(_xlpm.sortedPairs,ROWS($M$2:M150),2)),"")</f>
        <v/>
      </c>
      <c r="N150" s="15" t="str" cm="1">
        <f t="array" ref="N150">IF(OR(Table2[[#This Row],[Film]]="",Table2[[#This Row],[Grade]]=""),"",IFERROR(INDEX(Table4[Serial Number],MATCH(1,(Table4[Film]=Table2[[#This Row],[Film]])*(Table4[Grade]=Table2[[#This Row],[Grade]]),0)),""))</f>
        <v/>
      </c>
      <c r="O150" s="51" t="str">
        <f>IF(OR(Table2[[#This Row],[Film]]="",Table2[[#This Row],[Grade]]=""),"",SUMIFS(Table4[Price Calculated(€) Thickness &amp; QTY related],Table4[Film],Table2[[#This Row],[Film]],Table4[Grade],Table2[[#This Row],[Grade]]))</f>
        <v/>
      </c>
      <c r="P150" s="6"/>
      <c r="T150" s="6"/>
    </row>
    <row r="151" spans="1:20" hidden="1">
      <c r="A151" s="29" t="s">
        <v>44</v>
      </c>
      <c r="B151" s="29" t="s">
        <v>7</v>
      </c>
      <c r="C151" s="28"/>
      <c r="D151" s="28" t="str">
        <f>IF(C151="","",IFERROR(_xlfn.XLOOKUP(C151,HELPER!$A$2:$A$81,HELPER!$B$2:$B$81,""),D151))</f>
        <v/>
      </c>
      <c r="E151" s="28" t="str">
        <f>IFERROR(_xlfn.XLOOKUP(D151,HELPER!$B:$B,HELPER!$C:$C,""),"")</f>
        <v/>
      </c>
      <c r="F151" s="27" t="str">
        <f>IFERROR(_xlfn.XLOOKUP(D151,HELPER!$B:$B,HELPER!$D:$D,""),"")</f>
        <v/>
      </c>
      <c r="G151" s="27">
        <v>8</v>
      </c>
      <c r="I151" s="8" t="str">
        <f>IF(AND(H151&lt;&gt;"",IFERROR(_xlfn.XLOOKUP(D151,HELPER!$B:$B,HELPER!$E:$E,""),"")=""),"Missing price",IFERROR(_xlfn.XLOOKUP(D151,HELPER!$B:$B,HELPER!$E:$E,"")," "))</f>
        <v/>
      </c>
      <c r="J151" s="47" t="str">
        <f>IFERROR(H151*(IF(G151=8,I151*HELPER!$G$2,BOM!I151*HELPER!$G$3))," ")</f>
        <v xml:space="preserve"> </v>
      </c>
      <c r="K151" s="6"/>
      <c r="L151" s="14" t="str" cm="1">
        <f t="array" ref="L151">IFERROR(_xlfn.LET(_xlpm.films,Table4[Film],_xlpm.grades,Table4[Grade],_xlpm.pairs,_xlfn._xlws.FILTER(_xlfn.HSTACK(_xlpm.films,_xlpm.grades),(_xlpm.films&lt;&gt;"")*(TRIM(_xlpm.grades)&lt;&gt;"")),_xlpm.uniquePairs,_xlfn.UNIQUE(_xlpm.pairs),_xlpm.sortedPairs,_xlfn._xlws.SORT(_xlpm.uniquePairs,1,1),INDEX(_xlpm.sortedPairs,ROWS($L$2:L151),1)),"")</f>
        <v/>
      </c>
      <c r="M151" s="15" t="str" cm="1">
        <f t="array" ref="M151">IFERROR(_xlfn.LET(_xlpm.films,Table4[Film],_xlpm.grades,Table4[Grade],_xlpm.pairs,_xlfn._xlws.FILTER(_xlfn.HSTACK(_xlpm.films,_xlpm.grades),(_xlpm.films&lt;&gt;"")*(TRIM(_xlpm.grades)&lt;&gt;"")),_xlpm.uniquePairs,_xlfn.UNIQUE(_xlpm.pairs),_xlpm.sortedPairs,_xlfn._xlws.SORT(_xlpm.uniquePairs,1,1),INDEX(_xlpm.sortedPairs,ROWS($M$2:M151),2)),"")</f>
        <v/>
      </c>
      <c r="N151" s="15" t="str" cm="1">
        <f t="array" ref="N151">IF(OR(Table2[[#This Row],[Film]]="",Table2[[#This Row],[Grade]]=""),"",IFERROR(INDEX(Table4[Serial Number],MATCH(1,(Table4[Film]=Table2[[#This Row],[Film]])*(Table4[Grade]=Table2[[#This Row],[Grade]]),0)),""))</f>
        <v/>
      </c>
      <c r="O151" s="51" t="str">
        <f>IF(OR(Table2[[#This Row],[Film]]="",Table2[[#This Row],[Grade]]=""),"",SUMIFS(Table4[Price Calculated(€) Thickness &amp; QTY related],Table4[Film],Table2[[#This Row],[Film]],Table4[Grade],Table2[[#This Row],[Grade]]))</f>
        <v/>
      </c>
      <c r="P151" s="6"/>
      <c r="T151" s="6"/>
    </row>
    <row r="152" spans="1:20" hidden="1">
      <c r="A152" s="29" t="s">
        <v>45</v>
      </c>
      <c r="B152" s="29" t="s">
        <v>5</v>
      </c>
      <c r="C152" s="28" t="s">
        <v>13</v>
      </c>
      <c r="D152" s="28" t="str">
        <f>IF(C152="","",IFERROR(_xlfn.XLOOKUP(C152,HELPER!$A$2:$A$81,HELPER!$B$2:$B$81,""),D152))</f>
        <v>LX175</v>
      </c>
      <c r="E152" s="28" t="str">
        <f>IFERROR(_xlfn.XLOOKUP(D152,HELPER!$B:$B,HELPER!$C:$C,""),"")</f>
        <v>RMLX175</v>
      </c>
      <c r="F152" s="27" t="str">
        <f>IFERROR(_xlfn.XLOOKUP(D152,HELPER!$B:$B,HELPER!$D:$D,""),"")</f>
        <v>Resin 1A</v>
      </c>
      <c r="G152" s="27">
        <v>8</v>
      </c>
      <c r="H152" s="46">
        <v>0.77400000000000002</v>
      </c>
      <c r="I152" s="47">
        <f>IF(AND(H152&lt;&gt;"",IFERROR(_xlfn.XLOOKUP(D152,HELPER!$B:$B,HELPER!$E:$E,""),"")=""),"Missing price",IFERROR(_xlfn.XLOOKUP(D152,HELPER!$B:$B,HELPER!$E:$E,"")," "))</f>
        <v>3.17</v>
      </c>
      <c r="J152" s="47">
        <f>IFERROR(H152*(IF(G152=8,I152*HELPER!$G$2,BOM!I152*HELPER!$G$3))," ")</f>
        <v>0.49071600000000004</v>
      </c>
      <c r="K152" s="6"/>
      <c r="L152" s="14" t="str" cm="1">
        <f t="array" ref="L152">IFERROR(_xlfn.LET(_xlpm.films,Table4[Film],_xlpm.grades,Table4[Grade],_xlpm.pairs,_xlfn._xlws.FILTER(_xlfn.HSTACK(_xlpm.films,_xlpm.grades),(_xlpm.films&lt;&gt;"")*(TRIM(_xlpm.grades)&lt;&gt;"")),_xlpm.uniquePairs,_xlfn.UNIQUE(_xlpm.pairs),_xlpm.sortedPairs,_xlfn._xlws.SORT(_xlpm.uniquePairs,1,1),INDEX(_xlpm.sortedPairs,ROWS($L$2:L152),1)),"")</f>
        <v/>
      </c>
      <c r="M152" s="15" t="str" cm="1">
        <f t="array" ref="M152">IFERROR(_xlfn.LET(_xlpm.films,Table4[Film],_xlpm.grades,Table4[Grade],_xlpm.pairs,_xlfn._xlws.FILTER(_xlfn.HSTACK(_xlpm.films,_xlpm.grades),(_xlpm.films&lt;&gt;"")*(TRIM(_xlpm.grades)&lt;&gt;"")),_xlpm.uniquePairs,_xlfn.UNIQUE(_xlpm.pairs),_xlpm.sortedPairs,_xlfn._xlws.SORT(_xlpm.uniquePairs,1,1),INDEX(_xlpm.sortedPairs,ROWS($M$2:M152),2)),"")</f>
        <v/>
      </c>
      <c r="N152" s="15" t="str" cm="1">
        <f t="array" ref="N152">IF(OR(Table2[[#This Row],[Film]]="",Table2[[#This Row],[Grade]]=""),"",IFERROR(INDEX(Table4[Serial Number],MATCH(1,(Table4[Film]=Table2[[#This Row],[Film]])*(Table4[Grade]=Table2[[#This Row],[Grade]]),0)),""))</f>
        <v/>
      </c>
      <c r="O152" s="51" t="str">
        <f>IF(OR(Table2[[#This Row],[Film]]="",Table2[[#This Row],[Grade]]=""),"",SUMIFS(Table4[Price Calculated(€) Thickness &amp; QTY related],Table4[Film],Table2[[#This Row],[Film]],Table4[Grade],Table2[[#This Row],[Grade]]))</f>
        <v/>
      </c>
      <c r="P152" s="6"/>
      <c r="T152" s="6"/>
    </row>
    <row r="153" spans="1:20" hidden="1">
      <c r="A153" s="29" t="s">
        <v>45</v>
      </c>
      <c r="B153" s="29" t="s">
        <v>5</v>
      </c>
      <c r="C153" s="28" t="s">
        <v>15</v>
      </c>
      <c r="D153" s="28" t="str">
        <f>IF(C153="","",IFERROR(_xlfn.XLOOKUP(C153,HELPER!$A$2:$A$81,HELPER!$B$2:$B$81,""),D153))</f>
        <v>P65D</v>
      </c>
      <c r="E153" s="28" t="str">
        <f>IFERROR(_xlfn.XLOOKUP(D153,HELPER!$B:$B,HELPER!$C:$C,""),"")</f>
        <v>RMP65D</v>
      </c>
      <c r="F153" s="27" t="str">
        <f>IFERROR(_xlfn.XLOOKUP(D153,HELPER!$B:$B,HELPER!$D:$D,""),"")</f>
        <v>Resin 4A</v>
      </c>
      <c r="G153" s="27">
        <v>8</v>
      </c>
      <c r="H153" s="46">
        <v>0.17599999999999999</v>
      </c>
      <c r="I153" s="47">
        <f>IF(AND(H153&lt;&gt;"",IFERROR(_xlfn.XLOOKUP(D153,HELPER!$B:$B,HELPER!$E:$E,""),"")=""),"Missing price",IFERROR(_xlfn.XLOOKUP(D153,HELPER!$B:$B,HELPER!$E:$E,"")," "))</f>
        <v>7.3</v>
      </c>
      <c r="J153" s="47">
        <f>IFERROR(H153*(IF(G153=8,I153*HELPER!$G$2,BOM!I153*HELPER!$G$3))," ")</f>
        <v>0.25695999999999997</v>
      </c>
      <c r="K153" s="6"/>
      <c r="L153" s="14" t="str" cm="1">
        <f t="array" ref="L153">IFERROR(_xlfn.LET(_xlpm.films,Table4[Film],_xlpm.grades,Table4[Grade],_xlpm.pairs,_xlfn._xlws.FILTER(_xlfn.HSTACK(_xlpm.films,_xlpm.grades),(_xlpm.films&lt;&gt;"")*(TRIM(_xlpm.grades)&lt;&gt;"")),_xlpm.uniquePairs,_xlfn.UNIQUE(_xlpm.pairs),_xlpm.sortedPairs,_xlfn._xlws.SORT(_xlpm.uniquePairs,1,1),INDEX(_xlpm.sortedPairs,ROWS($L$2:L153),1)),"")</f>
        <v/>
      </c>
      <c r="M153" s="15" t="str" cm="1">
        <f t="array" ref="M153">IFERROR(_xlfn.LET(_xlpm.films,Table4[Film],_xlpm.grades,Table4[Grade],_xlpm.pairs,_xlfn._xlws.FILTER(_xlfn.HSTACK(_xlpm.films,_xlpm.grades),(_xlpm.films&lt;&gt;"")*(TRIM(_xlpm.grades)&lt;&gt;"")),_xlpm.uniquePairs,_xlfn.UNIQUE(_xlpm.pairs),_xlpm.sortedPairs,_xlfn._xlws.SORT(_xlpm.uniquePairs,1,1),INDEX(_xlpm.sortedPairs,ROWS($M$2:M153),2)),"")</f>
        <v/>
      </c>
      <c r="N153" s="15" t="str" cm="1">
        <f t="array" ref="N153">IF(OR(Table2[[#This Row],[Film]]="",Table2[[#This Row],[Grade]]=""),"",IFERROR(INDEX(Table4[Serial Number],MATCH(1,(Table4[Film]=Table2[[#This Row],[Film]])*(Table4[Grade]=Table2[[#This Row],[Grade]]),0)),""))</f>
        <v/>
      </c>
      <c r="O153" s="51" t="str">
        <f>IF(OR(Table2[[#This Row],[Film]]="",Table2[[#This Row],[Grade]]=""),"",SUMIFS(Table4[Price Calculated(€) Thickness &amp; QTY related],Table4[Film],Table2[[#This Row],[Film]],Table4[Grade],Table2[[#This Row],[Grade]]))</f>
        <v/>
      </c>
      <c r="P153" s="6"/>
      <c r="T153" s="6"/>
    </row>
    <row r="154" spans="1:20" hidden="1">
      <c r="A154" s="29" t="s">
        <v>45</v>
      </c>
      <c r="B154" s="29" t="s">
        <v>5</v>
      </c>
      <c r="C154" s="28" t="s">
        <v>16</v>
      </c>
      <c r="D154" s="28" t="str">
        <f>IF(C154="","",IFERROR(_xlfn.XLOOKUP(C154,HELPER!$A$2:$A$81,HELPER!$B$2:$B$81,""),D154))</f>
        <v>S723</v>
      </c>
      <c r="E154" s="28" t="str">
        <f>IFERROR(_xlfn.XLOOKUP(D154,HELPER!$B:$B,HELPER!$C:$C,""),"")</f>
        <v>RM TA45-08 S723</v>
      </c>
      <c r="F154" s="27" t="str">
        <f>IFERROR(_xlfn.XLOOKUP(D154,HELPER!$B:$B,HELPER!$D:$D,""),"")</f>
        <v>Resin 6</v>
      </c>
      <c r="G154" s="27">
        <v>8</v>
      </c>
      <c r="H154" s="46">
        <v>1.4999999999999999E-2</v>
      </c>
      <c r="I154" s="47">
        <f>IF(AND(H154&lt;&gt;"",IFERROR(_xlfn.XLOOKUP(D154,HELPER!$B:$B,HELPER!$E:$E,""),"")=""),"Missing price",IFERROR(_xlfn.XLOOKUP(D154,HELPER!$B:$B,HELPER!$E:$E,"")," "))</f>
        <v>16.16</v>
      </c>
      <c r="J154" s="47">
        <f>IFERROR(H154*(IF(G154=8,I154*HELPER!$G$2,BOM!I154*HELPER!$G$3))," ")</f>
        <v>4.8480000000000002E-2</v>
      </c>
      <c r="K154" s="6"/>
      <c r="L154" s="14" t="str" cm="1">
        <f t="array" ref="L154">IFERROR(_xlfn.LET(_xlpm.films,Table4[Film],_xlpm.grades,Table4[Grade],_xlpm.pairs,_xlfn._xlws.FILTER(_xlfn.HSTACK(_xlpm.films,_xlpm.grades),(_xlpm.films&lt;&gt;"")*(TRIM(_xlpm.grades)&lt;&gt;"")),_xlpm.uniquePairs,_xlfn.UNIQUE(_xlpm.pairs),_xlpm.sortedPairs,_xlfn._xlws.SORT(_xlpm.uniquePairs,1,1),INDEX(_xlpm.sortedPairs,ROWS($L$2:L154),1)),"")</f>
        <v/>
      </c>
      <c r="M154" s="15" t="str" cm="1">
        <f t="array" ref="M154">IFERROR(_xlfn.LET(_xlpm.films,Table4[Film],_xlpm.grades,Table4[Grade],_xlpm.pairs,_xlfn._xlws.FILTER(_xlfn.HSTACK(_xlpm.films,_xlpm.grades),(_xlpm.films&lt;&gt;"")*(TRIM(_xlpm.grades)&lt;&gt;"")),_xlpm.uniquePairs,_xlfn.UNIQUE(_xlpm.pairs),_xlpm.sortedPairs,_xlfn._xlws.SORT(_xlpm.uniquePairs,1,1),INDEX(_xlpm.sortedPairs,ROWS($M$2:M154),2)),"")</f>
        <v/>
      </c>
      <c r="N154" s="15" t="str" cm="1">
        <f t="array" ref="N154">IF(OR(Table2[[#This Row],[Film]]="",Table2[[#This Row],[Grade]]=""),"",IFERROR(INDEX(Table4[Serial Number],MATCH(1,(Table4[Film]=Table2[[#This Row],[Film]])*(Table4[Grade]=Table2[[#This Row],[Grade]]),0)),""))</f>
        <v/>
      </c>
      <c r="O154" s="51" t="str">
        <f>IF(OR(Table2[[#This Row],[Film]]="",Table2[[#This Row],[Grade]]=""),"",SUMIFS(Table4[Price Calculated(€) Thickness &amp; QTY related],Table4[Film],Table2[[#This Row],[Film]],Table4[Grade],Table2[[#This Row],[Grade]]))</f>
        <v/>
      </c>
      <c r="P154" s="6"/>
      <c r="T154" s="6"/>
    </row>
    <row r="155" spans="1:20" hidden="1">
      <c r="A155" s="29" t="s">
        <v>45</v>
      </c>
      <c r="B155" s="29" t="s">
        <v>5</v>
      </c>
      <c r="C155" s="28" t="s">
        <v>18</v>
      </c>
      <c r="D155" s="28" t="str">
        <f>IF(C155="","",IFERROR(_xlfn.XLOOKUP(C155,HELPER!$A$2:$A$81,HELPER!$B$2:$B$81,""),D155))</f>
        <v>KAB59A</v>
      </c>
      <c r="E155" s="28" t="str">
        <f>IFERROR(_xlfn.XLOOKUP(D155,HELPER!$B:$B,HELPER!$C:$C,""),"")</f>
        <v>RM A KAB59A</v>
      </c>
      <c r="F155" s="27" t="str">
        <f>IFERROR(_xlfn.XLOOKUP(D155,HELPER!$B:$B,HELPER!$D:$D,""),"")</f>
        <v>Resin 8</v>
      </c>
      <c r="G155" s="27">
        <v>8</v>
      </c>
      <c r="H155" s="46">
        <v>1.4999999999999999E-2</v>
      </c>
      <c r="I155" s="47">
        <f>IF(AND(H155&lt;&gt;"",IFERROR(_xlfn.XLOOKUP(D155,HELPER!$B:$B,HELPER!$E:$E,""),"")=""),"Missing price",IFERROR(_xlfn.XLOOKUP(D155,HELPER!$B:$B,HELPER!$E:$E,"")," "))</f>
        <v>7.55</v>
      </c>
      <c r="J155" s="47">
        <f>IFERROR(H155*(IF(G155=8,I155*HELPER!$G$2,BOM!I155*HELPER!$G$3))," ")</f>
        <v>2.265E-2</v>
      </c>
      <c r="K155" s="6"/>
      <c r="L155" s="14" t="str" cm="1">
        <f t="array" ref="L155">IFERROR(_xlfn.LET(_xlpm.films,Table4[Film],_xlpm.grades,Table4[Grade],_xlpm.pairs,_xlfn._xlws.FILTER(_xlfn.HSTACK(_xlpm.films,_xlpm.grades),(_xlpm.films&lt;&gt;"")*(TRIM(_xlpm.grades)&lt;&gt;"")),_xlpm.uniquePairs,_xlfn.UNIQUE(_xlpm.pairs),_xlpm.sortedPairs,_xlfn._xlws.SORT(_xlpm.uniquePairs,1,1),INDEX(_xlpm.sortedPairs,ROWS($L$2:L155),1)),"")</f>
        <v/>
      </c>
      <c r="M155" s="15" t="str" cm="1">
        <f t="array" ref="M155">IFERROR(_xlfn.LET(_xlpm.films,Table4[Film],_xlpm.grades,Table4[Grade],_xlpm.pairs,_xlfn._xlws.FILTER(_xlfn.HSTACK(_xlpm.films,_xlpm.grades),(_xlpm.films&lt;&gt;"")*(TRIM(_xlpm.grades)&lt;&gt;"")),_xlpm.uniquePairs,_xlfn.UNIQUE(_xlpm.pairs),_xlpm.sortedPairs,_xlfn._xlws.SORT(_xlpm.uniquePairs,1,1),INDEX(_xlpm.sortedPairs,ROWS($M$2:M155),2)),"")</f>
        <v/>
      </c>
      <c r="N155" s="15" t="str" cm="1">
        <f t="array" ref="N155">IF(OR(Table2[[#This Row],[Film]]="",Table2[[#This Row],[Grade]]=""),"",IFERROR(INDEX(Table4[Serial Number],MATCH(1,(Table4[Film]=Table2[[#This Row],[Film]])*(Table4[Grade]=Table2[[#This Row],[Grade]]),0)),""))</f>
        <v/>
      </c>
      <c r="O155" s="51" t="str">
        <f>IF(OR(Table2[[#This Row],[Film]]="",Table2[[#This Row],[Grade]]=""),"",SUMIFS(Table4[Price Calculated(€) Thickness &amp; QTY related],Table4[Film],Table2[[#This Row],[Film]],Table4[Grade],Table2[[#This Row],[Grade]]))</f>
        <v/>
      </c>
      <c r="P155" s="6"/>
      <c r="T155" s="6"/>
    </row>
    <row r="156" spans="1:20" hidden="1">
      <c r="A156" s="29" t="s">
        <v>45</v>
      </c>
      <c r="B156" s="29" t="s">
        <v>5</v>
      </c>
      <c r="C156" s="28" t="s">
        <v>17</v>
      </c>
      <c r="D156" s="28" t="str">
        <f>IF(C156="","",IFERROR(_xlfn.XLOOKUP(C156,HELPER!$A$2:$A$81,HELPER!$B$2:$B$81,""),D156))</f>
        <v>S724</v>
      </c>
      <c r="E156" s="28" t="str">
        <f>IFERROR(_xlfn.XLOOKUP(D156,HELPER!$B:$B,HELPER!$C:$C,""),"")</f>
        <v>RM TA45-08 S724</v>
      </c>
      <c r="F156" s="27" t="str">
        <f>IFERROR(_xlfn.XLOOKUP(D156,HELPER!$B:$B,HELPER!$D:$D,""),"")</f>
        <v>Resin 7</v>
      </c>
      <c r="G156" s="27">
        <v>8</v>
      </c>
      <c r="H156" s="46">
        <v>0.02</v>
      </c>
      <c r="I156" s="47">
        <f>IF(AND(H156&lt;&gt;"",IFERROR(_xlfn.XLOOKUP(D156,HELPER!$B:$B,HELPER!$E:$E,""),"")=""),"Missing price",IFERROR(_xlfn.XLOOKUP(D156,HELPER!$B:$B,HELPER!$E:$E,"")," "))</f>
        <v>14.7</v>
      </c>
      <c r="J156" s="47">
        <f>IFERROR(H156*(IF(G156=8,I156*HELPER!$G$2,BOM!I156*HELPER!$G$3))," ")</f>
        <v>5.8799999999999998E-2</v>
      </c>
      <c r="K156" s="6"/>
      <c r="L156" s="14" t="str" cm="1">
        <f t="array" ref="L156">IFERROR(_xlfn.LET(_xlpm.films,Table4[Film],_xlpm.grades,Table4[Grade],_xlpm.pairs,_xlfn._xlws.FILTER(_xlfn.HSTACK(_xlpm.films,_xlpm.grades),(_xlpm.films&lt;&gt;"")*(TRIM(_xlpm.grades)&lt;&gt;"")),_xlpm.uniquePairs,_xlfn.UNIQUE(_xlpm.pairs),_xlpm.sortedPairs,_xlfn._xlws.SORT(_xlpm.uniquePairs,1,1),INDEX(_xlpm.sortedPairs,ROWS($L$2:L156),1)),"")</f>
        <v/>
      </c>
      <c r="M156" s="15" t="str" cm="1">
        <f t="array" ref="M156">IFERROR(_xlfn.LET(_xlpm.films,Table4[Film],_xlpm.grades,Table4[Grade],_xlpm.pairs,_xlfn._xlws.FILTER(_xlfn.HSTACK(_xlpm.films,_xlpm.grades),(_xlpm.films&lt;&gt;"")*(TRIM(_xlpm.grades)&lt;&gt;"")),_xlpm.uniquePairs,_xlfn.UNIQUE(_xlpm.pairs),_xlpm.sortedPairs,_xlfn._xlws.SORT(_xlpm.uniquePairs,1,1),INDEX(_xlpm.sortedPairs,ROWS($M$2:M156),2)),"")</f>
        <v/>
      </c>
      <c r="N156" s="15" t="str" cm="1">
        <f t="array" ref="N156">IF(OR(Table2[[#This Row],[Film]]="",Table2[[#This Row],[Grade]]=""),"",IFERROR(INDEX(Table4[Serial Number],MATCH(1,(Table4[Film]=Table2[[#This Row],[Film]])*(Table4[Grade]=Table2[[#This Row],[Grade]]),0)),""))</f>
        <v/>
      </c>
      <c r="O156" s="51" t="str">
        <f>IF(OR(Table2[[#This Row],[Film]]="",Table2[[#This Row],[Grade]]=""),"",SUMIFS(Table4[Price Calculated(€) Thickness &amp; QTY related],Table4[Film],Table2[[#This Row],[Film]],Table4[Grade],Table2[[#This Row],[Grade]]))</f>
        <v/>
      </c>
      <c r="P156" s="6"/>
      <c r="T156" s="6"/>
    </row>
    <row r="157" spans="1:20" hidden="1">
      <c r="A157" s="29" t="s">
        <v>45</v>
      </c>
      <c r="B157" s="29" t="s">
        <v>5</v>
      </c>
      <c r="C157" s="28"/>
      <c r="D157" s="28" t="str">
        <f>IF(C157="","",IFERROR(_xlfn.XLOOKUP(C157,HELPER!$A$2:$A$81,HELPER!$B$2:$B$81,""),D157))</f>
        <v/>
      </c>
      <c r="E157" s="28" t="str">
        <f>IFERROR(_xlfn.XLOOKUP(D157,HELPER!$B:$B,HELPER!$C:$C,""),"")</f>
        <v/>
      </c>
      <c r="F157" s="27" t="str">
        <f>IFERROR(_xlfn.XLOOKUP(D157,HELPER!$B:$B,HELPER!$D:$D,""),"")</f>
        <v/>
      </c>
      <c r="G157" s="27">
        <v>8</v>
      </c>
      <c r="H157" s="46"/>
      <c r="I157" s="47" t="str">
        <f>IF(AND(H157&lt;&gt;"",IFERROR(_xlfn.XLOOKUP(D157,HELPER!$B:$B,HELPER!$E:$E,""),"")=""),"Missing price",IFERROR(_xlfn.XLOOKUP(D157,HELPER!$B:$B,HELPER!$E:$E,"")," "))</f>
        <v/>
      </c>
      <c r="J157" s="47" t="str">
        <f>IFERROR(H157*(IF(G157=8,I157*HELPER!$G$2,BOM!I157*HELPER!$G$3))," ")</f>
        <v xml:space="preserve"> </v>
      </c>
      <c r="K157" s="6"/>
      <c r="L157" s="14" t="str" cm="1">
        <f t="array" ref="L157">IFERROR(_xlfn.LET(_xlpm.films,Table4[Film],_xlpm.grades,Table4[Grade],_xlpm.pairs,_xlfn._xlws.FILTER(_xlfn.HSTACK(_xlpm.films,_xlpm.grades),(_xlpm.films&lt;&gt;"")*(TRIM(_xlpm.grades)&lt;&gt;"")),_xlpm.uniquePairs,_xlfn.UNIQUE(_xlpm.pairs),_xlpm.sortedPairs,_xlfn._xlws.SORT(_xlpm.uniquePairs,1,1),INDEX(_xlpm.sortedPairs,ROWS($L$2:L157),1)),"")</f>
        <v/>
      </c>
      <c r="M157" s="15" t="str" cm="1">
        <f t="array" ref="M157">IFERROR(_xlfn.LET(_xlpm.films,Table4[Film],_xlpm.grades,Table4[Grade],_xlpm.pairs,_xlfn._xlws.FILTER(_xlfn.HSTACK(_xlpm.films,_xlpm.grades),(_xlpm.films&lt;&gt;"")*(TRIM(_xlpm.grades)&lt;&gt;"")),_xlpm.uniquePairs,_xlfn.UNIQUE(_xlpm.pairs),_xlpm.sortedPairs,_xlfn._xlws.SORT(_xlpm.uniquePairs,1,1),INDEX(_xlpm.sortedPairs,ROWS($M$2:M157),2)),"")</f>
        <v/>
      </c>
      <c r="N157" s="15" t="str" cm="1">
        <f t="array" ref="N157">IF(OR(Table2[[#This Row],[Film]]="",Table2[[#This Row],[Grade]]=""),"",IFERROR(INDEX(Table4[Serial Number],MATCH(1,(Table4[Film]=Table2[[#This Row],[Film]])*(Table4[Grade]=Table2[[#This Row],[Grade]]),0)),""))</f>
        <v/>
      </c>
      <c r="O157" s="51" t="str">
        <f>IF(OR(Table2[[#This Row],[Film]]="",Table2[[#This Row],[Grade]]=""),"",SUMIFS(Table4[Price Calculated(€) Thickness &amp; QTY related],Table4[Film],Table2[[#This Row],[Film]],Table4[Grade],Table2[[#This Row],[Grade]]))</f>
        <v/>
      </c>
      <c r="P157" s="6"/>
      <c r="T157" s="6"/>
    </row>
    <row r="158" spans="1:20" hidden="1">
      <c r="A158" s="29" t="s">
        <v>45</v>
      </c>
      <c r="B158" s="29" t="s">
        <v>5</v>
      </c>
      <c r="C158" s="28"/>
      <c r="D158" s="28" t="str">
        <f>IF(C158="","",IFERROR(_xlfn.XLOOKUP(C158,HELPER!$A$2:$A$81,HELPER!$B$2:$B$81,""),D158))</f>
        <v/>
      </c>
      <c r="E158" s="28" t="str">
        <f>IFERROR(_xlfn.XLOOKUP(D158,HELPER!$B:$B,HELPER!$C:$C,""),"")</f>
        <v/>
      </c>
      <c r="F158" s="27" t="str">
        <f>IFERROR(_xlfn.XLOOKUP(D158,HELPER!$B:$B,HELPER!$D:$D,""),"")</f>
        <v/>
      </c>
      <c r="G158" s="27">
        <v>8</v>
      </c>
      <c r="H158" s="46"/>
      <c r="I158" s="47" t="str">
        <f>IF(AND(H158&lt;&gt;"",IFERROR(_xlfn.XLOOKUP(D158,HELPER!$B:$B,HELPER!$E:$E,""),"")=""),"Missing price",IFERROR(_xlfn.XLOOKUP(D158,HELPER!$B:$B,HELPER!$E:$E,"")," "))</f>
        <v/>
      </c>
      <c r="J158" s="47" t="str">
        <f>IFERROR(H158*(IF(G158=8,I158*HELPER!$G$2,BOM!I158*HELPER!$G$3))," ")</f>
        <v xml:space="preserve"> </v>
      </c>
      <c r="K158" s="6"/>
      <c r="L158" s="14" t="str" cm="1">
        <f t="array" ref="L158">IFERROR(_xlfn.LET(_xlpm.films,Table4[Film],_xlpm.grades,Table4[Grade],_xlpm.pairs,_xlfn._xlws.FILTER(_xlfn.HSTACK(_xlpm.films,_xlpm.grades),(_xlpm.films&lt;&gt;"")*(TRIM(_xlpm.grades)&lt;&gt;"")),_xlpm.uniquePairs,_xlfn.UNIQUE(_xlpm.pairs),_xlpm.sortedPairs,_xlfn._xlws.SORT(_xlpm.uniquePairs,1,1),INDEX(_xlpm.sortedPairs,ROWS($L$2:L158),1)),"")</f>
        <v/>
      </c>
      <c r="M158" s="15" t="str" cm="1">
        <f t="array" ref="M158">IFERROR(_xlfn.LET(_xlpm.films,Table4[Film],_xlpm.grades,Table4[Grade],_xlpm.pairs,_xlfn._xlws.FILTER(_xlfn.HSTACK(_xlpm.films,_xlpm.grades),(_xlpm.films&lt;&gt;"")*(TRIM(_xlpm.grades)&lt;&gt;"")),_xlpm.uniquePairs,_xlfn.UNIQUE(_xlpm.pairs),_xlpm.sortedPairs,_xlfn._xlws.SORT(_xlpm.uniquePairs,1,1),INDEX(_xlpm.sortedPairs,ROWS($M$2:M158),2)),"")</f>
        <v/>
      </c>
      <c r="N158" s="15" t="str" cm="1">
        <f t="array" ref="N158">IF(OR(Table2[[#This Row],[Film]]="",Table2[[#This Row],[Grade]]=""),"",IFERROR(INDEX(Table4[Serial Number],MATCH(1,(Table4[Film]=Table2[[#This Row],[Film]])*(Table4[Grade]=Table2[[#This Row],[Grade]]),0)),""))</f>
        <v/>
      </c>
      <c r="O158" s="51" t="str">
        <f>IF(OR(Table2[[#This Row],[Film]]="",Table2[[#This Row],[Grade]]=""),"",SUMIFS(Table4[Price Calculated(€) Thickness &amp; QTY related],Table4[Film],Table2[[#This Row],[Film]],Table4[Grade],Table2[[#This Row],[Grade]]))</f>
        <v/>
      </c>
      <c r="P158" s="6"/>
      <c r="T158" s="6"/>
    </row>
    <row r="159" spans="1:20" hidden="1">
      <c r="A159" s="29" t="s">
        <v>45</v>
      </c>
      <c r="B159" s="29" t="s">
        <v>5</v>
      </c>
      <c r="C159" s="28"/>
      <c r="D159" s="28" t="str">
        <f>IF(C159="","",IFERROR(_xlfn.XLOOKUP(C159,HELPER!$A$2:$A$81,HELPER!$B$2:$B$81,""),D159))</f>
        <v/>
      </c>
      <c r="E159" s="28" t="str">
        <f>IFERROR(_xlfn.XLOOKUP(D159,HELPER!$B:$B,HELPER!$C:$C,""),"")</f>
        <v/>
      </c>
      <c r="F159" s="27" t="str">
        <f>IFERROR(_xlfn.XLOOKUP(D159,HELPER!$B:$B,HELPER!$D:$D,""),"")</f>
        <v/>
      </c>
      <c r="G159" s="27">
        <v>8</v>
      </c>
      <c r="H159" s="46"/>
      <c r="I159" s="47" t="str">
        <f>IF(AND(H159&lt;&gt;"",IFERROR(_xlfn.XLOOKUP(D159,HELPER!$B:$B,HELPER!$E:$E,""),"")=""),"Missing price",IFERROR(_xlfn.XLOOKUP(D159,HELPER!$B:$B,HELPER!$E:$E,"")," "))</f>
        <v/>
      </c>
      <c r="J159" s="47" t="str">
        <f>IFERROR(H159*(IF(G159=8,I159*HELPER!$G$2,BOM!I159*HELPER!$G$3))," ")</f>
        <v xml:space="preserve"> </v>
      </c>
      <c r="K159" s="6"/>
      <c r="L159" s="14" t="str" cm="1">
        <f t="array" ref="L159">IFERROR(_xlfn.LET(_xlpm.films,Table4[Film],_xlpm.grades,Table4[Grade],_xlpm.pairs,_xlfn._xlws.FILTER(_xlfn.HSTACK(_xlpm.films,_xlpm.grades),(_xlpm.films&lt;&gt;"")*(TRIM(_xlpm.grades)&lt;&gt;"")),_xlpm.uniquePairs,_xlfn.UNIQUE(_xlpm.pairs),_xlpm.sortedPairs,_xlfn._xlws.SORT(_xlpm.uniquePairs,1,1),INDEX(_xlpm.sortedPairs,ROWS($L$2:L159),1)),"")</f>
        <v/>
      </c>
      <c r="M159" s="15" t="str" cm="1">
        <f t="array" ref="M159">IFERROR(_xlfn.LET(_xlpm.films,Table4[Film],_xlpm.grades,Table4[Grade],_xlpm.pairs,_xlfn._xlws.FILTER(_xlfn.HSTACK(_xlpm.films,_xlpm.grades),(_xlpm.films&lt;&gt;"")*(TRIM(_xlpm.grades)&lt;&gt;"")),_xlpm.uniquePairs,_xlfn.UNIQUE(_xlpm.pairs),_xlpm.sortedPairs,_xlfn._xlws.SORT(_xlpm.uniquePairs,1,1),INDEX(_xlpm.sortedPairs,ROWS($M$2:M159),2)),"")</f>
        <v/>
      </c>
      <c r="N159" s="15" t="str" cm="1">
        <f t="array" ref="N159">IF(OR(Table2[[#This Row],[Film]]="",Table2[[#This Row],[Grade]]=""),"",IFERROR(INDEX(Table4[Serial Number],MATCH(1,(Table4[Film]=Table2[[#This Row],[Film]])*(Table4[Grade]=Table2[[#This Row],[Grade]]),0)),""))</f>
        <v/>
      </c>
      <c r="O159" s="51" t="str">
        <f>IF(OR(Table2[[#This Row],[Film]]="",Table2[[#This Row],[Grade]]=""),"",SUMIFS(Table4[Price Calculated(€) Thickness &amp; QTY related],Table4[Film],Table2[[#This Row],[Film]],Table4[Grade],Table2[[#This Row],[Grade]]))</f>
        <v/>
      </c>
      <c r="P159" s="6"/>
      <c r="T159" s="6"/>
    </row>
    <row r="160" spans="1:20" hidden="1">
      <c r="A160" s="29" t="s">
        <v>45</v>
      </c>
      <c r="B160" s="29" t="s">
        <v>5</v>
      </c>
      <c r="C160" s="28"/>
      <c r="D160" s="28" t="str">
        <f>IF(C160="","",IFERROR(_xlfn.XLOOKUP(C160,HELPER!$A$2:$A$81,HELPER!$B$2:$B$81,""),D160))</f>
        <v/>
      </c>
      <c r="E160" s="28" t="str">
        <f>IFERROR(_xlfn.XLOOKUP(D160,HELPER!$B:$B,HELPER!$C:$C,""),"")</f>
        <v/>
      </c>
      <c r="F160" s="27" t="str">
        <f>IFERROR(_xlfn.XLOOKUP(D160,HELPER!$B:$B,HELPER!$D:$D,""),"")</f>
        <v/>
      </c>
      <c r="G160" s="27">
        <v>8</v>
      </c>
      <c r="H160" s="46"/>
      <c r="I160" s="47" t="str">
        <f>IF(AND(H160&lt;&gt;"",IFERROR(_xlfn.XLOOKUP(D160,HELPER!$B:$B,HELPER!$E:$E,""),"")=""),"Missing price",IFERROR(_xlfn.XLOOKUP(D160,HELPER!$B:$B,HELPER!$E:$E,"")," "))</f>
        <v/>
      </c>
      <c r="J160" s="47" t="str">
        <f>IFERROR(H160*(IF(G160=8,I160*HELPER!$G$2,BOM!I160*HELPER!$G$3))," ")</f>
        <v xml:space="preserve"> </v>
      </c>
      <c r="K160" s="6"/>
      <c r="L160" s="14" t="str" cm="1">
        <f t="array" ref="L160">IFERROR(_xlfn.LET(_xlpm.films,Table4[Film],_xlpm.grades,Table4[Grade],_xlpm.pairs,_xlfn._xlws.FILTER(_xlfn.HSTACK(_xlpm.films,_xlpm.grades),(_xlpm.films&lt;&gt;"")*(TRIM(_xlpm.grades)&lt;&gt;"")),_xlpm.uniquePairs,_xlfn.UNIQUE(_xlpm.pairs),_xlpm.sortedPairs,_xlfn._xlws.SORT(_xlpm.uniquePairs,1,1),INDEX(_xlpm.sortedPairs,ROWS($L$2:L160),1)),"")</f>
        <v/>
      </c>
      <c r="M160" s="15" t="str" cm="1">
        <f t="array" ref="M160">IFERROR(_xlfn.LET(_xlpm.films,Table4[Film],_xlpm.grades,Table4[Grade],_xlpm.pairs,_xlfn._xlws.FILTER(_xlfn.HSTACK(_xlpm.films,_xlpm.grades),(_xlpm.films&lt;&gt;"")*(TRIM(_xlpm.grades)&lt;&gt;"")),_xlpm.uniquePairs,_xlfn.UNIQUE(_xlpm.pairs),_xlpm.sortedPairs,_xlfn._xlws.SORT(_xlpm.uniquePairs,1,1),INDEX(_xlpm.sortedPairs,ROWS($M$2:M160),2)),"")</f>
        <v/>
      </c>
      <c r="N160" s="15" t="str" cm="1">
        <f t="array" ref="N160">IF(OR(Table2[[#This Row],[Film]]="",Table2[[#This Row],[Grade]]=""),"",IFERROR(INDEX(Table4[Serial Number],MATCH(1,(Table4[Film]=Table2[[#This Row],[Film]])*(Table4[Grade]=Table2[[#This Row],[Grade]]),0)),""))</f>
        <v/>
      </c>
      <c r="O160" s="51" t="str">
        <f>IF(OR(Table2[[#This Row],[Film]]="",Table2[[#This Row],[Grade]]=""),"",SUMIFS(Table4[Price Calculated(€) Thickness &amp; QTY related],Table4[Film],Table2[[#This Row],[Film]],Table4[Grade],Table2[[#This Row],[Grade]]))</f>
        <v/>
      </c>
      <c r="P160" s="6"/>
      <c r="T160" s="6"/>
    </row>
    <row r="161" spans="1:20" hidden="1">
      <c r="A161" s="29" t="s">
        <v>45</v>
      </c>
      <c r="B161" s="29" t="s">
        <v>5</v>
      </c>
      <c r="C161" s="28"/>
      <c r="D161" s="28" t="str">
        <f>IF(C161="","",IFERROR(_xlfn.XLOOKUP(C161,HELPER!$A$2:$A$81,HELPER!$B$2:$B$81,""),D161))</f>
        <v/>
      </c>
      <c r="E161" s="28" t="str">
        <f>IFERROR(_xlfn.XLOOKUP(D161,HELPER!$B:$B,HELPER!$C:$C,""),"")</f>
        <v/>
      </c>
      <c r="F161" s="27" t="str">
        <f>IFERROR(_xlfn.XLOOKUP(D161,HELPER!$B:$B,HELPER!$D:$D,""),"")</f>
        <v/>
      </c>
      <c r="G161" s="27">
        <v>8</v>
      </c>
      <c r="H161" s="46"/>
      <c r="I161" s="47" t="str">
        <f>IF(AND(H161&lt;&gt;"",IFERROR(_xlfn.XLOOKUP(D161,HELPER!$B:$B,HELPER!$E:$E,""),"")=""),"Missing price",IFERROR(_xlfn.XLOOKUP(D161,HELPER!$B:$B,HELPER!$E:$E,"")," "))</f>
        <v/>
      </c>
      <c r="J161" s="47" t="str">
        <f>IFERROR(H161*(IF(G161=8,I161*HELPER!$G$2,BOM!I161*HELPER!$G$3))," ")</f>
        <v xml:space="preserve"> </v>
      </c>
      <c r="K161" s="6"/>
      <c r="L161" s="14" t="str" cm="1">
        <f t="array" ref="L161">IFERROR(_xlfn.LET(_xlpm.films,Table4[Film],_xlpm.grades,Table4[Grade],_xlpm.pairs,_xlfn._xlws.FILTER(_xlfn.HSTACK(_xlpm.films,_xlpm.grades),(_xlpm.films&lt;&gt;"")*(TRIM(_xlpm.grades)&lt;&gt;"")),_xlpm.uniquePairs,_xlfn.UNIQUE(_xlpm.pairs),_xlpm.sortedPairs,_xlfn._xlws.SORT(_xlpm.uniquePairs,1,1),INDEX(_xlpm.sortedPairs,ROWS($L$2:L161),1)),"")</f>
        <v/>
      </c>
      <c r="M161" s="15" t="str" cm="1">
        <f t="array" ref="M161">IFERROR(_xlfn.LET(_xlpm.films,Table4[Film],_xlpm.grades,Table4[Grade],_xlpm.pairs,_xlfn._xlws.FILTER(_xlfn.HSTACK(_xlpm.films,_xlpm.grades),(_xlpm.films&lt;&gt;"")*(TRIM(_xlpm.grades)&lt;&gt;"")),_xlpm.uniquePairs,_xlfn.UNIQUE(_xlpm.pairs),_xlpm.sortedPairs,_xlfn._xlws.SORT(_xlpm.uniquePairs,1,1),INDEX(_xlpm.sortedPairs,ROWS($M$2:M161),2)),"")</f>
        <v/>
      </c>
      <c r="N161" s="15" t="str" cm="1">
        <f t="array" ref="N161">IF(OR(Table2[[#This Row],[Film]]="",Table2[[#This Row],[Grade]]=""),"",IFERROR(INDEX(Table4[Serial Number],MATCH(1,(Table4[Film]=Table2[[#This Row],[Film]])*(Table4[Grade]=Table2[[#This Row],[Grade]]),0)),""))</f>
        <v/>
      </c>
      <c r="O161" s="51" t="str">
        <f>IF(OR(Table2[[#This Row],[Film]]="",Table2[[#This Row],[Grade]]=""),"",SUMIFS(Table4[Price Calculated(€) Thickness &amp; QTY related],Table4[Film],Table2[[#This Row],[Film]],Table4[Grade],Table2[[#This Row],[Grade]]))</f>
        <v/>
      </c>
      <c r="P161" s="6"/>
      <c r="T161" s="6"/>
    </row>
    <row r="162" spans="1:20" hidden="1">
      <c r="A162" s="29" t="s">
        <v>45</v>
      </c>
      <c r="B162" s="29" t="s">
        <v>6</v>
      </c>
      <c r="C162" s="28"/>
      <c r="D162" s="28" t="str">
        <f>IF(C162="","",IFERROR(_xlfn.XLOOKUP(C162,HELPER!$A$2:$A$81,HELPER!$B$2:$B$81,""),D162))</f>
        <v/>
      </c>
      <c r="E162" s="28" t="str">
        <f>IFERROR(_xlfn.XLOOKUP(D162,HELPER!$B:$B,HELPER!$C:$C,""),"")</f>
        <v/>
      </c>
      <c r="F162" s="27" t="str">
        <f>IFERROR(_xlfn.XLOOKUP(D162,HELPER!$B:$B,HELPER!$D:$D,""),"")</f>
        <v/>
      </c>
      <c r="G162" s="27">
        <v>24</v>
      </c>
      <c r="H162" s="46"/>
      <c r="I162" s="47" t="str">
        <f>IF(AND(H162&lt;&gt;"",IFERROR(_xlfn.XLOOKUP(D162,HELPER!$B:$B,HELPER!$E:$E,""),"")=""),"Missing price",IFERROR(_xlfn.XLOOKUP(D162,HELPER!$B:$B,HELPER!$E:$E,"")," "))</f>
        <v/>
      </c>
      <c r="J162" s="47" t="str">
        <f>IFERROR(H162*(IF(G162=8,I162*HELPER!$G$2,BOM!I162*HELPER!$G$3))," ")</f>
        <v xml:space="preserve"> </v>
      </c>
      <c r="K162" s="6"/>
      <c r="L162" s="14" t="str" cm="1">
        <f t="array" ref="L162">IFERROR(_xlfn.LET(_xlpm.films,Table4[Film],_xlpm.grades,Table4[Grade],_xlpm.pairs,_xlfn._xlws.FILTER(_xlfn.HSTACK(_xlpm.films,_xlpm.grades),(_xlpm.films&lt;&gt;"")*(TRIM(_xlpm.grades)&lt;&gt;"")),_xlpm.uniquePairs,_xlfn.UNIQUE(_xlpm.pairs),_xlpm.sortedPairs,_xlfn._xlws.SORT(_xlpm.uniquePairs,1,1),INDEX(_xlpm.sortedPairs,ROWS($L$2:L162),1)),"")</f>
        <v/>
      </c>
      <c r="M162" s="15" t="str" cm="1">
        <f t="array" ref="M162">IFERROR(_xlfn.LET(_xlpm.films,Table4[Film],_xlpm.grades,Table4[Grade],_xlpm.pairs,_xlfn._xlws.FILTER(_xlfn.HSTACK(_xlpm.films,_xlpm.grades),(_xlpm.films&lt;&gt;"")*(TRIM(_xlpm.grades)&lt;&gt;"")),_xlpm.uniquePairs,_xlfn.UNIQUE(_xlpm.pairs),_xlpm.sortedPairs,_xlfn._xlws.SORT(_xlpm.uniquePairs,1,1),INDEX(_xlpm.sortedPairs,ROWS($M$2:M162),2)),"")</f>
        <v/>
      </c>
      <c r="N162" s="15" t="str" cm="1">
        <f t="array" ref="N162">IF(OR(Table2[[#This Row],[Film]]="",Table2[[#This Row],[Grade]]=""),"",IFERROR(INDEX(Table4[Serial Number],MATCH(1,(Table4[Film]=Table2[[#This Row],[Film]])*(Table4[Grade]=Table2[[#This Row],[Grade]]),0)),""))</f>
        <v/>
      </c>
      <c r="O162" s="51" t="str">
        <f>IF(OR(Table2[[#This Row],[Film]]="",Table2[[#This Row],[Grade]]=""),"",SUMIFS(Table4[Price Calculated(€) Thickness &amp; QTY related],Table4[Film],Table2[[#This Row],[Film]],Table4[Grade],Table2[[#This Row],[Grade]]))</f>
        <v/>
      </c>
      <c r="P162" s="6"/>
      <c r="T162" s="6"/>
    </row>
    <row r="163" spans="1:20" hidden="1">
      <c r="A163" s="29" t="s">
        <v>45</v>
      </c>
      <c r="B163" s="29" t="s">
        <v>6</v>
      </c>
      <c r="C163" s="28" t="s">
        <v>18</v>
      </c>
      <c r="D163" s="28" t="str">
        <f>IF(C163="","",IFERROR(_xlfn.XLOOKUP(C163,HELPER!$A$2:$A$81,HELPER!$B$2:$B$81,""),D163))</f>
        <v>KAB59A</v>
      </c>
      <c r="E163" s="28" t="str">
        <f>IFERROR(_xlfn.XLOOKUP(D163,HELPER!$B:$B,HELPER!$C:$C,""),"")</f>
        <v>RM A KAB59A</v>
      </c>
      <c r="F163" s="27" t="str">
        <f>IFERROR(_xlfn.XLOOKUP(D163,HELPER!$B:$B,HELPER!$D:$D,""),"")</f>
        <v>Resin 8</v>
      </c>
      <c r="G163" s="27">
        <v>24</v>
      </c>
      <c r="H163" s="46"/>
      <c r="I163" s="47">
        <f>IF(AND(H163&lt;&gt;"",IFERROR(_xlfn.XLOOKUP(D163,HELPER!$B:$B,HELPER!$E:$E,""),"")=""),"Missing price",IFERROR(_xlfn.XLOOKUP(D163,HELPER!$B:$B,HELPER!$E:$E,"")," "))</f>
        <v>7.55</v>
      </c>
      <c r="J163" s="47">
        <f>IFERROR(H163*(IF(G163=8,I163*HELPER!$G$2,BOM!I163*HELPER!$G$3))," ")</f>
        <v>0</v>
      </c>
      <c r="K163" s="6"/>
      <c r="L163" s="14" t="str" cm="1">
        <f t="array" ref="L163">IFERROR(_xlfn.LET(_xlpm.films,Table4[Film],_xlpm.grades,Table4[Grade],_xlpm.pairs,_xlfn._xlws.FILTER(_xlfn.HSTACK(_xlpm.films,_xlpm.grades),(_xlpm.films&lt;&gt;"")*(TRIM(_xlpm.grades)&lt;&gt;"")),_xlpm.uniquePairs,_xlfn.UNIQUE(_xlpm.pairs),_xlpm.sortedPairs,_xlfn._xlws.SORT(_xlpm.uniquePairs,1,1),INDEX(_xlpm.sortedPairs,ROWS($L$2:L163),1)),"")</f>
        <v/>
      </c>
      <c r="M163" s="15" t="str" cm="1">
        <f t="array" ref="M163">IFERROR(_xlfn.LET(_xlpm.films,Table4[Film],_xlpm.grades,Table4[Grade],_xlpm.pairs,_xlfn._xlws.FILTER(_xlfn.HSTACK(_xlpm.films,_xlpm.grades),(_xlpm.films&lt;&gt;"")*(TRIM(_xlpm.grades)&lt;&gt;"")),_xlpm.uniquePairs,_xlfn.UNIQUE(_xlpm.pairs),_xlpm.sortedPairs,_xlfn._xlws.SORT(_xlpm.uniquePairs,1,1),INDEX(_xlpm.sortedPairs,ROWS($M$2:M163),2)),"")</f>
        <v/>
      </c>
      <c r="N163" s="15" t="str" cm="1">
        <f t="array" ref="N163">IF(OR(Table2[[#This Row],[Film]]="",Table2[[#This Row],[Grade]]=""),"",IFERROR(INDEX(Table4[Serial Number],MATCH(1,(Table4[Film]=Table2[[#This Row],[Film]])*(Table4[Grade]=Table2[[#This Row],[Grade]]),0)),""))</f>
        <v/>
      </c>
      <c r="O163" s="51" t="str">
        <f>IF(OR(Table2[[#This Row],[Film]]="",Table2[[#This Row],[Grade]]=""),"",SUMIFS(Table4[Price Calculated(€) Thickness &amp; QTY related],Table4[Film],Table2[[#This Row],[Film]],Table4[Grade],Table2[[#This Row],[Grade]]))</f>
        <v/>
      </c>
      <c r="P163" s="6"/>
      <c r="T163" s="6"/>
    </row>
    <row r="164" spans="1:20" hidden="1">
      <c r="A164" s="29" t="s">
        <v>45</v>
      </c>
      <c r="B164" s="29" t="s">
        <v>6</v>
      </c>
      <c r="C164" s="28" t="s">
        <v>13</v>
      </c>
      <c r="D164" s="28" t="str">
        <f>IF(C164="","",IFERROR(_xlfn.XLOOKUP(C164,HELPER!$A$2:$A$81,HELPER!$B$2:$B$81,""),D164))</f>
        <v>LX175</v>
      </c>
      <c r="E164" s="28" t="str">
        <f>IFERROR(_xlfn.XLOOKUP(D164,HELPER!$B:$B,HELPER!$C:$C,""),"")</f>
        <v>RMLX175</v>
      </c>
      <c r="F164" s="27" t="str">
        <f>IFERROR(_xlfn.XLOOKUP(D164,HELPER!$B:$B,HELPER!$D:$D,""),"")</f>
        <v>Resin 1A</v>
      </c>
      <c r="G164" s="27">
        <v>24</v>
      </c>
      <c r="H164" s="46">
        <v>0.71499999999999997</v>
      </c>
      <c r="I164" s="47">
        <f>IF(AND(H164&lt;&gt;"",IFERROR(_xlfn.XLOOKUP(D164,HELPER!$B:$B,HELPER!$E:$E,""),"")=""),"Missing price",IFERROR(_xlfn.XLOOKUP(D164,HELPER!$B:$B,HELPER!$E:$E,"")," "))</f>
        <v>3.17</v>
      </c>
      <c r="J164" s="47">
        <f>IFERROR(H164*(IF(G164=8,I164*HELPER!$G$2,BOM!I164*HELPER!$G$3))," ")</f>
        <v>1.3599299999999999</v>
      </c>
      <c r="K164" s="6"/>
      <c r="L164" s="14" t="str" cm="1">
        <f t="array" ref="L164">IFERROR(_xlfn.LET(_xlpm.films,Table4[Film],_xlpm.grades,Table4[Grade],_xlpm.pairs,_xlfn._xlws.FILTER(_xlfn.HSTACK(_xlpm.films,_xlpm.grades),(_xlpm.films&lt;&gt;"")*(TRIM(_xlpm.grades)&lt;&gt;"")),_xlpm.uniquePairs,_xlfn.UNIQUE(_xlpm.pairs),_xlpm.sortedPairs,_xlfn._xlws.SORT(_xlpm.uniquePairs,1,1),INDEX(_xlpm.sortedPairs,ROWS($L$2:L164),1)),"")</f>
        <v/>
      </c>
      <c r="M164" s="15" t="str" cm="1">
        <f t="array" ref="M164">IFERROR(_xlfn.LET(_xlpm.films,Table4[Film],_xlpm.grades,Table4[Grade],_xlpm.pairs,_xlfn._xlws.FILTER(_xlfn.HSTACK(_xlpm.films,_xlpm.grades),(_xlpm.films&lt;&gt;"")*(TRIM(_xlpm.grades)&lt;&gt;"")),_xlpm.uniquePairs,_xlfn.UNIQUE(_xlpm.pairs),_xlpm.sortedPairs,_xlfn._xlws.SORT(_xlpm.uniquePairs,1,1),INDEX(_xlpm.sortedPairs,ROWS($M$2:M164),2)),"")</f>
        <v/>
      </c>
      <c r="N164" s="15" t="str" cm="1">
        <f t="array" ref="N164">IF(OR(Table2[[#This Row],[Film]]="",Table2[[#This Row],[Grade]]=""),"",IFERROR(INDEX(Table4[Serial Number],MATCH(1,(Table4[Film]=Table2[[#This Row],[Film]])*(Table4[Grade]=Table2[[#This Row],[Grade]]),0)),""))</f>
        <v/>
      </c>
      <c r="O164" s="51" t="str">
        <f>IF(OR(Table2[[#This Row],[Film]]="",Table2[[#This Row],[Grade]]=""),"",SUMIFS(Table4[Price Calculated(€) Thickness &amp; QTY related],Table4[Film],Table2[[#This Row],[Film]],Table4[Grade],Table2[[#This Row],[Grade]]))</f>
        <v/>
      </c>
      <c r="P164" s="6"/>
      <c r="T164" s="6"/>
    </row>
    <row r="165" spans="1:20" hidden="1">
      <c r="A165" s="29" t="s">
        <v>45</v>
      </c>
      <c r="B165" s="29" t="s">
        <v>6</v>
      </c>
      <c r="C165" s="28" t="s">
        <v>15</v>
      </c>
      <c r="D165" s="28" t="str">
        <f>IF(C165="","",IFERROR(_xlfn.XLOOKUP(C165,HELPER!$A$2:$A$81,HELPER!$B$2:$B$81,""),D165))</f>
        <v>P65D</v>
      </c>
      <c r="E165" s="28" t="str">
        <f>IFERROR(_xlfn.XLOOKUP(D165,HELPER!$B:$B,HELPER!$C:$C,""),"")</f>
        <v>RMP65D</v>
      </c>
      <c r="F165" s="27" t="str">
        <f>IFERROR(_xlfn.XLOOKUP(D165,HELPER!$B:$B,HELPER!$D:$D,""),"")</f>
        <v>Resin 4A</v>
      </c>
      <c r="G165" s="27">
        <v>24</v>
      </c>
      <c r="H165" s="46">
        <v>0.17</v>
      </c>
      <c r="I165" s="47">
        <f>IF(AND(H165&lt;&gt;"",IFERROR(_xlfn.XLOOKUP(D165,HELPER!$B:$B,HELPER!$E:$E,""),"")=""),"Missing price",IFERROR(_xlfn.XLOOKUP(D165,HELPER!$B:$B,HELPER!$E:$E,"")," "))</f>
        <v>7.3</v>
      </c>
      <c r="J165" s="47">
        <f>IFERROR(H165*(IF(G165=8,I165*HELPER!$G$2,BOM!I165*HELPER!$G$3))," ")</f>
        <v>0.74460000000000004</v>
      </c>
      <c r="K165" s="6"/>
      <c r="L165" s="14" t="str" cm="1">
        <f t="array" ref="L165">IFERROR(_xlfn.LET(_xlpm.films,Table4[Film],_xlpm.grades,Table4[Grade],_xlpm.pairs,_xlfn._xlws.FILTER(_xlfn.HSTACK(_xlpm.films,_xlpm.grades),(_xlpm.films&lt;&gt;"")*(TRIM(_xlpm.grades)&lt;&gt;"")),_xlpm.uniquePairs,_xlfn.UNIQUE(_xlpm.pairs),_xlpm.sortedPairs,_xlfn._xlws.SORT(_xlpm.uniquePairs,1,1),INDEX(_xlpm.sortedPairs,ROWS($L$2:L165),1)),"")</f>
        <v/>
      </c>
      <c r="M165" s="15" t="str" cm="1">
        <f t="array" ref="M165">IFERROR(_xlfn.LET(_xlpm.films,Table4[Film],_xlpm.grades,Table4[Grade],_xlpm.pairs,_xlfn._xlws.FILTER(_xlfn.HSTACK(_xlpm.films,_xlpm.grades),(_xlpm.films&lt;&gt;"")*(TRIM(_xlpm.grades)&lt;&gt;"")),_xlpm.uniquePairs,_xlfn.UNIQUE(_xlpm.pairs),_xlpm.sortedPairs,_xlfn._xlws.SORT(_xlpm.uniquePairs,1,1),INDEX(_xlpm.sortedPairs,ROWS($M$2:M165),2)),"")</f>
        <v/>
      </c>
      <c r="N165" s="15" t="str" cm="1">
        <f t="array" ref="N165">IF(OR(Table2[[#This Row],[Film]]="",Table2[[#This Row],[Grade]]=""),"",IFERROR(INDEX(Table4[Serial Number],MATCH(1,(Table4[Film]=Table2[[#This Row],[Film]])*(Table4[Grade]=Table2[[#This Row],[Grade]]),0)),""))</f>
        <v/>
      </c>
      <c r="O165" s="51" t="str">
        <f>IF(OR(Table2[[#This Row],[Film]]="",Table2[[#This Row],[Grade]]=""),"",SUMIFS(Table4[Price Calculated(€) Thickness &amp; QTY related],Table4[Film],Table2[[#This Row],[Film]],Table4[Grade],Table2[[#This Row],[Grade]]))</f>
        <v/>
      </c>
      <c r="P165" s="6"/>
      <c r="T165" s="6"/>
    </row>
    <row r="166" spans="1:20" hidden="1">
      <c r="A166" s="29" t="s">
        <v>45</v>
      </c>
      <c r="B166" s="29" t="s">
        <v>6</v>
      </c>
      <c r="C166" s="28" t="s">
        <v>16</v>
      </c>
      <c r="D166" s="28" t="str">
        <f>IF(C166="","",IFERROR(_xlfn.XLOOKUP(C166,HELPER!$A$2:$A$81,HELPER!$B$2:$B$81,""),D166))</f>
        <v>S723</v>
      </c>
      <c r="E166" s="28" t="str">
        <f>IFERROR(_xlfn.XLOOKUP(D166,HELPER!$B:$B,HELPER!$C:$C,""),"")</f>
        <v>RM TA45-08 S723</v>
      </c>
      <c r="F166" s="27" t="str">
        <f>IFERROR(_xlfn.XLOOKUP(D166,HELPER!$B:$B,HELPER!$D:$D,""),"")</f>
        <v>Resin 6</v>
      </c>
      <c r="G166" s="27">
        <v>24</v>
      </c>
      <c r="H166" s="46">
        <v>1.4999999999999999E-2</v>
      </c>
      <c r="I166" s="47">
        <f>IF(AND(H166&lt;&gt;"",IFERROR(_xlfn.XLOOKUP(D166,HELPER!$B:$B,HELPER!$E:$E,""),"")=""),"Missing price",IFERROR(_xlfn.XLOOKUP(D166,HELPER!$B:$B,HELPER!$E:$E,"")," "))</f>
        <v>16.16</v>
      </c>
      <c r="J166" s="47">
        <f>IFERROR(H166*(IF(G166=8,I166*HELPER!$G$2,BOM!I166*HELPER!$G$3))," ")</f>
        <v>0.14543999999999999</v>
      </c>
      <c r="K166" s="6"/>
      <c r="L166" s="14" t="str" cm="1">
        <f t="array" ref="L166">IFERROR(_xlfn.LET(_xlpm.films,Table4[Film],_xlpm.grades,Table4[Grade],_xlpm.pairs,_xlfn._xlws.FILTER(_xlfn.HSTACK(_xlpm.films,_xlpm.grades),(_xlpm.films&lt;&gt;"")*(TRIM(_xlpm.grades)&lt;&gt;"")),_xlpm.uniquePairs,_xlfn.UNIQUE(_xlpm.pairs),_xlpm.sortedPairs,_xlfn._xlws.SORT(_xlpm.uniquePairs,1,1),INDEX(_xlpm.sortedPairs,ROWS($L$2:L166),1)),"")</f>
        <v/>
      </c>
      <c r="M166" s="15" t="str" cm="1">
        <f t="array" ref="M166">IFERROR(_xlfn.LET(_xlpm.films,Table4[Film],_xlpm.grades,Table4[Grade],_xlpm.pairs,_xlfn._xlws.FILTER(_xlfn.HSTACK(_xlpm.films,_xlpm.grades),(_xlpm.films&lt;&gt;"")*(TRIM(_xlpm.grades)&lt;&gt;"")),_xlpm.uniquePairs,_xlfn.UNIQUE(_xlpm.pairs),_xlpm.sortedPairs,_xlfn._xlws.SORT(_xlpm.uniquePairs,1,1),INDEX(_xlpm.sortedPairs,ROWS($M$2:M166),2)),"")</f>
        <v/>
      </c>
      <c r="N166" s="15" t="str" cm="1">
        <f t="array" ref="N166">IF(OR(Table2[[#This Row],[Film]]="",Table2[[#This Row],[Grade]]=""),"",IFERROR(INDEX(Table4[Serial Number],MATCH(1,(Table4[Film]=Table2[[#This Row],[Film]])*(Table4[Grade]=Table2[[#This Row],[Grade]]),0)),""))</f>
        <v/>
      </c>
      <c r="O166" s="51" t="str">
        <f>IF(OR(Table2[[#This Row],[Film]]="",Table2[[#This Row],[Grade]]=""),"",SUMIFS(Table4[Price Calculated(€) Thickness &amp; QTY related],Table4[Film],Table2[[#This Row],[Film]],Table4[Grade],Table2[[#This Row],[Grade]]))</f>
        <v/>
      </c>
      <c r="P166" s="6"/>
      <c r="T166" s="6"/>
    </row>
    <row r="167" spans="1:20" hidden="1">
      <c r="A167" s="29" t="s">
        <v>45</v>
      </c>
      <c r="B167" s="29" t="s">
        <v>6</v>
      </c>
      <c r="C167" s="28" t="s">
        <v>41</v>
      </c>
      <c r="D167" s="28" t="str">
        <f>IF(C167="","",IFERROR(_xlfn.XLOOKUP(C167,HELPER!$A$2:$A$81,HELPER!$B$2:$B$81,""),D167))</f>
        <v>RM WHITE BIO8153</v>
      </c>
      <c r="E167" s="28" t="str">
        <f>IFERROR(_xlfn.XLOOKUP(D167,HELPER!$B:$B,HELPER!$C:$C,""),"")</f>
        <v>RM WHITE BIO8153</v>
      </c>
      <c r="F167" s="27" t="str">
        <f>IFERROR(_xlfn.XLOOKUP(D167,HELPER!$B:$B,HELPER!$D:$D,""),"")</f>
        <v>Resin 13B</v>
      </c>
      <c r="G167" s="27">
        <v>24</v>
      </c>
      <c r="H167" s="46">
        <v>0.1</v>
      </c>
      <c r="I167" s="47">
        <f>IF(AND(H167&lt;&gt;"",IFERROR(_xlfn.XLOOKUP(D167,HELPER!$B:$B,HELPER!$E:$E,""),"")=""),"Missing price",IFERROR(_xlfn.XLOOKUP(D167,HELPER!$B:$B,HELPER!$E:$E,"")," "))</f>
        <v>6.15</v>
      </c>
      <c r="J167" s="47">
        <f>IFERROR(H167*(IF(G167=8,I167*HELPER!$G$2,BOM!I167*HELPER!$G$3))," ")</f>
        <v>0.36899999999999999</v>
      </c>
      <c r="K167" s="6"/>
      <c r="L167" s="14" t="str" cm="1">
        <f t="array" ref="L167">IFERROR(_xlfn.LET(_xlpm.films,Table4[Film],_xlpm.grades,Table4[Grade],_xlpm.pairs,_xlfn._xlws.FILTER(_xlfn.HSTACK(_xlpm.films,_xlpm.grades),(_xlpm.films&lt;&gt;"")*(TRIM(_xlpm.grades)&lt;&gt;"")),_xlpm.uniquePairs,_xlfn.UNIQUE(_xlpm.pairs),_xlpm.sortedPairs,_xlfn._xlws.SORT(_xlpm.uniquePairs,1,1),INDEX(_xlpm.sortedPairs,ROWS($L$2:L167),1)),"")</f>
        <v/>
      </c>
      <c r="M167" s="15" t="str" cm="1">
        <f t="array" ref="M167">IFERROR(_xlfn.LET(_xlpm.films,Table4[Film],_xlpm.grades,Table4[Grade],_xlpm.pairs,_xlfn._xlws.FILTER(_xlfn.HSTACK(_xlpm.films,_xlpm.grades),(_xlpm.films&lt;&gt;"")*(TRIM(_xlpm.grades)&lt;&gt;"")),_xlpm.uniquePairs,_xlfn.UNIQUE(_xlpm.pairs),_xlpm.sortedPairs,_xlfn._xlws.SORT(_xlpm.uniquePairs,1,1),INDEX(_xlpm.sortedPairs,ROWS($M$2:M167),2)),"")</f>
        <v/>
      </c>
      <c r="N167" s="15" t="str" cm="1">
        <f t="array" ref="N167">IF(OR(Table2[[#This Row],[Film]]="",Table2[[#This Row],[Grade]]=""),"",IFERROR(INDEX(Table4[Serial Number],MATCH(1,(Table4[Film]=Table2[[#This Row],[Film]])*(Table4[Grade]=Table2[[#This Row],[Grade]]),0)),""))</f>
        <v/>
      </c>
      <c r="O167" s="51" t="str">
        <f>IF(OR(Table2[[#This Row],[Film]]="",Table2[[#This Row],[Grade]]=""),"",SUMIFS(Table4[Price Calculated(€) Thickness &amp; QTY related],Table4[Film],Table2[[#This Row],[Film]],Table4[Grade],Table2[[#This Row],[Grade]]))</f>
        <v/>
      </c>
      <c r="P167" s="6"/>
      <c r="T167" s="6"/>
    </row>
    <row r="168" spans="1:20" hidden="1">
      <c r="A168" s="29" t="s">
        <v>45</v>
      </c>
      <c r="B168" s="29" t="s">
        <v>6</v>
      </c>
      <c r="C168" s="28" t="s">
        <v>17</v>
      </c>
      <c r="D168" s="28" t="str">
        <f>IF(C168="","",IFERROR(_xlfn.XLOOKUP(C168,HELPER!$A$2:$A$81,HELPER!$B$2:$B$81,""),D168))</f>
        <v>S724</v>
      </c>
      <c r="E168" s="28" t="str">
        <f>IFERROR(_xlfn.XLOOKUP(D168,HELPER!$B:$B,HELPER!$C:$C,""),"")</f>
        <v>RM TA45-08 S724</v>
      </c>
      <c r="F168" s="27" t="str">
        <f>IFERROR(_xlfn.XLOOKUP(D168,HELPER!$B:$B,HELPER!$D:$D,""),"")</f>
        <v>Resin 7</v>
      </c>
      <c r="G168" s="27">
        <v>24</v>
      </c>
      <c r="H168" s="46"/>
      <c r="I168" s="47">
        <f>IF(AND(H168&lt;&gt;"",IFERROR(_xlfn.XLOOKUP(D168,HELPER!$B:$B,HELPER!$E:$E,""),"")=""),"Missing price",IFERROR(_xlfn.XLOOKUP(D168,HELPER!$B:$B,HELPER!$E:$E,"")," "))</f>
        <v>14.7</v>
      </c>
      <c r="J168" s="47">
        <f>IFERROR(H168*(IF(G168=8,I168*HELPER!$G$2,BOM!I168*HELPER!$G$3))," ")</f>
        <v>0</v>
      </c>
      <c r="K168" s="6"/>
      <c r="L168" s="14" t="str" cm="1">
        <f t="array" ref="L168">IFERROR(_xlfn.LET(_xlpm.films,Table4[Film],_xlpm.grades,Table4[Grade],_xlpm.pairs,_xlfn._xlws.FILTER(_xlfn.HSTACK(_xlpm.films,_xlpm.grades),(_xlpm.films&lt;&gt;"")*(TRIM(_xlpm.grades)&lt;&gt;"")),_xlpm.uniquePairs,_xlfn.UNIQUE(_xlpm.pairs),_xlpm.sortedPairs,_xlfn._xlws.SORT(_xlpm.uniquePairs,1,1),INDEX(_xlpm.sortedPairs,ROWS($L$2:L168),1)),"")</f>
        <v/>
      </c>
      <c r="M168" s="15" t="str" cm="1">
        <f t="array" ref="M168">IFERROR(_xlfn.LET(_xlpm.films,Table4[Film],_xlpm.grades,Table4[Grade],_xlpm.pairs,_xlfn._xlws.FILTER(_xlfn.HSTACK(_xlpm.films,_xlpm.grades),(_xlpm.films&lt;&gt;"")*(TRIM(_xlpm.grades)&lt;&gt;"")),_xlpm.uniquePairs,_xlfn.UNIQUE(_xlpm.pairs),_xlpm.sortedPairs,_xlfn._xlws.SORT(_xlpm.uniquePairs,1,1),INDEX(_xlpm.sortedPairs,ROWS($M$2:M168),2)),"")</f>
        <v/>
      </c>
      <c r="N168" s="15" t="str" cm="1">
        <f t="array" ref="N168">IF(OR(Table2[[#This Row],[Film]]="",Table2[[#This Row],[Grade]]=""),"",IFERROR(INDEX(Table4[Serial Number],MATCH(1,(Table4[Film]=Table2[[#This Row],[Film]])*(Table4[Grade]=Table2[[#This Row],[Grade]]),0)),""))</f>
        <v/>
      </c>
      <c r="O168" s="51" t="str">
        <f>IF(OR(Table2[[#This Row],[Film]]="",Table2[[#This Row],[Grade]]=""),"",SUMIFS(Table4[Price Calculated(€) Thickness &amp; QTY related],Table4[Film],Table2[[#This Row],[Film]],Table4[Grade],Table2[[#This Row],[Grade]]))</f>
        <v/>
      </c>
      <c r="P168" s="6"/>
      <c r="T168" s="6"/>
    </row>
    <row r="169" spans="1:20" hidden="1">
      <c r="A169" s="29" t="s">
        <v>45</v>
      </c>
      <c r="B169" s="29" t="s">
        <v>6</v>
      </c>
      <c r="C169" s="28"/>
      <c r="D169" s="28" t="str">
        <f>IF(C169="","",IFERROR(_xlfn.XLOOKUP(C169,HELPER!$A$2:$A$81,HELPER!$B$2:$B$81,""),D169))</f>
        <v/>
      </c>
      <c r="E169" s="28" t="str">
        <f>IFERROR(_xlfn.XLOOKUP(D169,HELPER!$B:$B,HELPER!$C:$C,""),"")</f>
        <v/>
      </c>
      <c r="F169" s="27" t="str">
        <f>IFERROR(_xlfn.XLOOKUP(D169,HELPER!$B:$B,HELPER!$D:$D,""),"")</f>
        <v/>
      </c>
      <c r="G169" s="27">
        <v>24</v>
      </c>
      <c r="H169" s="46"/>
      <c r="I169" s="47" t="str">
        <f>IF(AND(H169&lt;&gt;"",IFERROR(_xlfn.XLOOKUP(D169,HELPER!$B:$B,HELPER!$E:$E,""),"")=""),"Missing price",IFERROR(_xlfn.XLOOKUP(D169,HELPER!$B:$B,HELPER!$E:$E,"")," "))</f>
        <v/>
      </c>
      <c r="J169" s="47" t="str">
        <f>IFERROR(H169*(IF(G169=8,I169*HELPER!$G$2,BOM!I169*HELPER!$G$3))," ")</f>
        <v xml:space="preserve"> </v>
      </c>
      <c r="K169" s="6"/>
      <c r="L169" s="14" t="str" cm="1">
        <f t="array" ref="L169">IFERROR(_xlfn.LET(_xlpm.films,Table4[Film],_xlpm.grades,Table4[Grade],_xlpm.pairs,_xlfn._xlws.FILTER(_xlfn.HSTACK(_xlpm.films,_xlpm.grades),(_xlpm.films&lt;&gt;"")*(TRIM(_xlpm.grades)&lt;&gt;"")),_xlpm.uniquePairs,_xlfn.UNIQUE(_xlpm.pairs),_xlpm.sortedPairs,_xlfn._xlws.SORT(_xlpm.uniquePairs,1,1),INDEX(_xlpm.sortedPairs,ROWS($L$2:L169),1)),"")</f>
        <v/>
      </c>
      <c r="M169" s="15" t="str" cm="1">
        <f t="array" ref="M169">IFERROR(_xlfn.LET(_xlpm.films,Table4[Film],_xlpm.grades,Table4[Grade],_xlpm.pairs,_xlfn._xlws.FILTER(_xlfn.HSTACK(_xlpm.films,_xlpm.grades),(_xlpm.films&lt;&gt;"")*(TRIM(_xlpm.grades)&lt;&gt;"")),_xlpm.uniquePairs,_xlfn.UNIQUE(_xlpm.pairs),_xlpm.sortedPairs,_xlfn._xlws.SORT(_xlpm.uniquePairs,1,1),INDEX(_xlpm.sortedPairs,ROWS($M$2:M169),2)),"")</f>
        <v/>
      </c>
      <c r="N169" s="15" t="str" cm="1">
        <f t="array" ref="N169">IF(OR(Table2[[#This Row],[Film]]="",Table2[[#This Row],[Grade]]=""),"",IFERROR(INDEX(Table4[Serial Number],MATCH(1,(Table4[Film]=Table2[[#This Row],[Film]])*(Table4[Grade]=Table2[[#This Row],[Grade]]),0)),""))</f>
        <v/>
      </c>
      <c r="O169" s="51" t="str">
        <f>IF(OR(Table2[[#This Row],[Film]]="",Table2[[#This Row],[Grade]]=""),"",SUMIFS(Table4[Price Calculated(€) Thickness &amp; QTY related],Table4[Film],Table2[[#This Row],[Film]],Table4[Grade],Table2[[#This Row],[Grade]]))</f>
        <v/>
      </c>
      <c r="P169" s="6"/>
      <c r="T169" s="6"/>
    </row>
    <row r="170" spans="1:20" hidden="1">
      <c r="A170" s="29" t="s">
        <v>45</v>
      </c>
      <c r="B170" s="29" t="s">
        <v>6</v>
      </c>
      <c r="C170" s="28"/>
      <c r="D170" s="28" t="str">
        <f>IF(C170="","",IFERROR(_xlfn.XLOOKUP(C170,HELPER!$A$2:$A$81,HELPER!$B$2:$B$81,""),D170))</f>
        <v/>
      </c>
      <c r="E170" s="28" t="str">
        <f>IFERROR(_xlfn.XLOOKUP(D170,HELPER!$B:$B,HELPER!$C:$C,""),"")</f>
        <v/>
      </c>
      <c r="F170" s="27" t="str">
        <f>IFERROR(_xlfn.XLOOKUP(D170,HELPER!$B:$B,HELPER!$D:$D,""),"")</f>
        <v/>
      </c>
      <c r="G170" s="27">
        <v>24</v>
      </c>
      <c r="H170" s="46"/>
      <c r="I170" s="47" t="str">
        <f>IF(AND(H170&lt;&gt;"",IFERROR(_xlfn.XLOOKUP(D170,HELPER!$B:$B,HELPER!$E:$E,""),"")=""),"Missing price",IFERROR(_xlfn.XLOOKUP(D170,HELPER!$B:$B,HELPER!$E:$E,"")," "))</f>
        <v/>
      </c>
      <c r="J170" s="47" t="str">
        <f>IFERROR(H170*(IF(G170=8,I170*HELPER!$G$2,BOM!I170*HELPER!$G$3))," ")</f>
        <v xml:space="preserve"> </v>
      </c>
      <c r="K170" s="6"/>
      <c r="L170" s="14" t="str" cm="1">
        <f t="array" ref="L170">IFERROR(_xlfn.LET(_xlpm.films,Table4[Film],_xlpm.grades,Table4[Grade],_xlpm.pairs,_xlfn._xlws.FILTER(_xlfn.HSTACK(_xlpm.films,_xlpm.grades),(_xlpm.films&lt;&gt;"")*(TRIM(_xlpm.grades)&lt;&gt;"")),_xlpm.uniquePairs,_xlfn.UNIQUE(_xlpm.pairs),_xlpm.sortedPairs,_xlfn._xlws.SORT(_xlpm.uniquePairs,1,1),INDEX(_xlpm.sortedPairs,ROWS($L$2:L170),1)),"")</f>
        <v/>
      </c>
      <c r="M170" s="15" t="str" cm="1">
        <f t="array" ref="M170">IFERROR(_xlfn.LET(_xlpm.films,Table4[Film],_xlpm.grades,Table4[Grade],_xlpm.pairs,_xlfn._xlws.FILTER(_xlfn.HSTACK(_xlpm.films,_xlpm.grades),(_xlpm.films&lt;&gt;"")*(TRIM(_xlpm.grades)&lt;&gt;"")),_xlpm.uniquePairs,_xlfn.UNIQUE(_xlpm.pairs),_xlpm.sortedPairs,_xlfn._xlws.SORT(_xlpm.uniquePairs,1,1),INDEX(_xlpm.sortedPairs,ROWS($M$2:M170),2)),"")</f>
        <v/>
      </c>
      <c r="N170" s="15" t="str" cm="1">
        <f t="array" ref="N170">IF(OR(Table2[[#This Row],[Film]]="",Table2[[#This Row],[Grade]]=""),"",IFERROR(INDEX(Table4[Serial Number],MATCH(1,(Table4[Film]=Table2[[#This Row],[Film]])*(Table4[Grade]=Table2[[#This Row],[Grade]]),0)),""))</f>
        <v/>
      </c>
      <c r="O170" s="51" t="str">
        <f>IF(OR(Table2[[#This Row],[Film]]="",Table2[[#This Row],[Grade]]=""),"",SUMIFS(Table4[Price Calculated(€) Thickness &amp; QTY related],Table4[Film],Table2[[#This Row],[Film]],Table4[Grade],Table2[[#This Row],[Grade]]))</f>
        <v/>
      </c>
      <c r="P170" s="6"/>
      <c r="T170" s="6"/>
    </row>
    <row r="171" spans="1:20" hidden="1">
      <c r="A171" s="29" t="s">
        <v>45</v>
      </c>
      <c r="B171" s="29" t="s">
        <v>6</v>
      </c>
      <c r="C171" s="28"/>
      <c r="D171" s="28" t="str">
        <f>IF(C171="","",IFERROR(_xlfn.XLOOKUP(C171,HELPER!$A$2:$A$81,HELPER!$B$2:$B$81,""),D171))</f>
        <v/>
      </c>
      <c r="E171" s="28" t="str">
        <f>IFERROR(_xlfn.XLOOKUP(D171,HELPER!$B:$B,HELPER!$C:$C,""),"")</f>
        <v/>
      </c>
      <c r="F171" s="27" t="str">
        <f>IFERROR(_xlfn.XLOOKUP(D171,HELPER!$B:$B,HELPER!$D:$D,""),"")</f>
        <v/>
      </c>
      <c r="G171" s="27">
        <v>24</v>
      </c>
      <c r="H171" s="46"/>
      <c r="I171" s="47" t="str">
        <f>IF(AND(H171&lt;&gt;"",IFERROR(_xlfn.XLOOKUP(D171,HELPER!$B:$B,HELPER!$E:$E,""),"")=""),"Missing price",IFERROR(_xlfn.XLOOKUP(D171,HELPER!$B:$B,HELPER!$E:$E,"")," "))</f>
        <v/>
      </c>
      <c r="J171" s="47" t="str">
        <f>IFERROR(H171*(IF(G171=8,I171*HELPER!$G$2,BOM!I171*HELPER!$G$3))," ")</f>
        <v xml:space="preserve"> </v>
      </c>
      <c r="K171" s="6"/>
      <c r="L171" s="14" t="str" cm="1">
        <f t="array" ref="L171">IFERROR(_xlfn.LET(_xlpm.films,Table4[Film],_xlpm.grades,Table4[Grade],_xlpm.pairs,_xlfn._xlws.FILTER(_xlfn.HSTACK(_xlpm.films,_xlpm.grades),(_xlpm.films&lt;&gt;"")*(TRIM(_xlpm.grades)&lt;&gt;"")),_xlpm.uniquePairs,_xlfn.UNIQUE(_xlpm.pairs),_xlpm.sortedPairs,_xlfn._xlws.SORT(_xlpm.uniquePairs,1,1),INDEX(_xlpm.sortedPairs,ROWS($L$2:L171),1)),"")</f>
        <v/>
      </c>
      <c r="M171" s="15" t="str" cm="1">
        <f t="array" ref="M171">IFERROR(_xlfn.LET(_xlpm.films,Table4[Film],_xlpm.grades,Table4[Grade],_xlpm.pairs,_xlfn._xlws.FILTER(_xlfn.HSTACK(_xlpm.films,_xlpm.grades),(_xlpm.films&lt;&gt;"")*(TRIM(_xlpm.grades)&lt;&gt;"")),_xlpm.uniquePairs,_xlfn.UNIQUE(_xlpm.pairs),_xlpm.sortedPairs,_xlfn._xlws.SORT(_xlpm.uniquePairs,1,1),INDEX(_xlpm.sortedPairs,ROWS($M$2:M171),2)),"")</f>
        <v/>
      </c>
      <c r="N171" s="15" t="str" cm="1">
        <f t="array" ref="N171">IF(OR(Table2[[#This Row],[Film]]="",Table2[[#This Row],[Grade]]=""),"",IFERROR(INDEX(Table4[Serial Number],MATCH(1,(Table4[Film]=Table2[[#This Row],[Film]])*(Table4[Grade]=Table2[[#This Row],[Grade]]),0)),""))</f>
        <v/>
      </c>
      <c r="O171" s="51" t="str">
        <f>IF(OR(Table2[[#This Row],[Film]]="",Table2[[#This Row],[Grade]]=""),"",SUMIFS(Table4[Price Calculated(€) Thickness &amp; QTY related],Table4[Film],Table2[[#This Row],[Film]],Table4[Grade],Table2[[#This Row],[Grade]]))</f>
        <v/>
      </c>
      <c r="P171" s="6"/>
      <c r="T171" s="6"/>
    </row>
    <row r="172" spans="1:20" hidden="1">
      <c r="A172" s="29" t="s">
        <v>45</v>
      </c>
      <c r="B172" s="29" t="s">
        <v>7</v>
      </c>
      <c r="C172" s="28" t="s">
        <v>12</v>
      </c>
      <c r="D172" s="28" t="str">
        <f>IF(C172="","",IFERROR(_xlfn.XLOOKUP(C172,HELPER!$A$2:$A$81,HELPER!$B$2:$B$81,""),D172))</f>
        <v>FD92PM</v>
      </c>
      <c r="E172" s="28" t="str">
        <f>IFERROR(_xlfn.XLOOKUP(D172,HELPER!$B:$B,HELPER!$C:$C,""),"")</f>
        <v>RMPM2</v>
      </c>
      <c r="F172" s="27" t="str">
        <f>IFERROR(_xlfn.XLOOKUP(D172,HELPER!$B:$B,HELPER!$D:$D,""),"")</f>
        <v>Resin 9C</v>
      </c>
      <c r="G172" s="27">
        <v>8</v>
      </c>
      <c r="H172" s="46">
        <v>0.80800000000000005</v>
      </c>
      <c r="I172" s="47">
        <f>IF(AND(H172&lt;&gt;"",IFERROR(_xlfn.XLOOKUP(D172,HELPER!$B:$B,HELPER!$E:$E,""),"")=""),"Missing price",IFERROR(_xlfn.XLOOKUP(D172,HELPER!$B:$B,HELPER!$E:$E,"")," "))</f>
        <v>6.75</v>
      </c>
      <c r="J172" s="47">
        <f>IFERROR(H172*(IF(G172=8,I172*HELPER!$G$2,BOM!I172*HELPER!$G$3))," ")</f>
        <v>1.0908000000000002</v>
      </c>
      <c r="K172" s="6"/>
      <c r="L172" s="14" t="str" cm="1">
        <f t="array" ref="L172">IFERROR(_xlfn.LET(_xlpm.films,Table4[Film],_xlpm.grades,Table4[Grade],_xlpm.pairs,_xlfn._xlws.FILTER(_xlfn.HSTACK(_xlpm.films,_xlpm.grades),(_xlpm.films&lt;&gt;"")*(TRIM(_xlpm.grades)&lt;&gt;"")),_xlpm.uniquePairs,_xlfn.UNIQUE(_xlpm.pairs),_xlpm.sortedPairs,_xlfn._xlws.SORT(_xlpm.uniquePairs,1,1),INDEX(_xlpm.sortedPairs,ROWS($L$2:L172),1)),"")</f>
        <v/>
      </c>
      <c r="M172" s="15" t="str" cm="1">
        <f t="array" ref="M172">IFERROR(_xlfn.LET(_xlpm.films,Table4[Film],_xlpm.grades,Table4[Grade],_xlpm.pairs,_xlfn._xlws.FILTER(_xlfn.HSTACK(_xlpm.films,_xlpm.grades),(_xlpm.films&lt;&gt;"")*(TRIM(_xlpm.grades)&lt;&gt;"")),_xlpm.uniquePairs,_xlfn.UNIQUE(_xlpm.pairs),_xlpm.sortedPairs,_xlfn._xlws.SORT(_xlpm.uniquePairs,1,1),INDEX(_xlpm.sortedPairs,ROWS($M$2:M172),2)),"")</f>
        <v/>
      </c>
      <c r="N172" s="15" t="str" cm="1">
        <f t="array" ref="N172">IF(OR(Table2[[#This Row],[Film]]="",Table2[[#This Row],[Grade]]=""),"",IFERROR(INDEX(Table4[Serial Number],MATCH(1,(Table4[Film]=Table2[[#This Row],[Film]])*(Table4[Grade]=Table2[[#This Row],[Grade]]),0)),""))</f>
        <v/>
      </c>
      <c r="O172" s="51" t="str">
        <f>IF(OR(Table2[[#This Row],[Film]]="",Table2[[#This Row],[Grade]]=""),"",SUMIFS(Table4[Price Calculated(€) Thickness &amp; QTY related],Table4[Film],Table2[[#This Row],[Film]],Table4[Grade],Table2[[#This Row],[Grade]]))</f>
        <v/>
      </c>
      <c r="P172" s="6"/>
      <c r="T172" s="6"/>
    </row>
    <row r="173" spans="1:20" hidden="1">
      <c r="A173" s="29" t="s">
        <v>45</v>
      </c>
      <c r="B173" s="29" t="s">
        <v>7</v>
      </c>
      <c r="C173" s="28" t="s">
        <v>13</v>
      </c>
      <c r="D173" s="28" t="str">
        <f>IF(C173="","",IFERROR(_xlfn.XLOOKUP(C173,HELPER!$A$2:$A$81,HELPER!$B$2:$B$81,""),D173))</f>
        <v>LX175</v>
      </c>
      <c r="E173" s="28" t="str">
        <f>IFERROR(_xlfn.XLOOKUP(D173,HELPER!$B:$B,HELPER!$C:$C,""),"")</f>
        <v>RMLX175</v>
      </c>
      <c r="F173" s="27" t="str">
        <f>IFERROR(_xlfn.XLOOKUP(D173,HELPER!$B:$B,HELPER!$D:$D,""),"")</f>
        <v>Resin 1A</v>
      </c>
      <c r="G173" s="27">
        <v>8</v>
      </c>
      <c r="H173" s="46">
        <v>0.14199999999999999</v>
      </c>
      <c r="I173" s="47">
        <f>IF(AND(H173&lt;&gt;"",IFERROR(_xlfn.XLOOKUP(D173,HELPER!$B:$B,HELPER!$E:$E,""),"")=""),"Missing price",IFERROR(_xlfn.XLOOKUP(D173,HELPER!$B:$B,HELPER!$E:$E,"")," "))</f>
        <v>3.17</v>
      </c>
      <c r="J173" s="47">
        <f>IFERROR(H173*(IF(G173=8,I173*HELPER!$G$2,BOM!I173*HELPER!$G$3))," ")</f>
        <v>9.0027999999999997E-2</v>
      </c>
      <c r="K173" s="6"/>
      <c r="L173" s="14" t="str" cm="1">
        <f t="array" ref="L173">IFERROR(_xlfn.LET(_xlpm.films,Table4[Film],_xlpm.grades,Table4[Grade],_xlpm.pairs,_xlfn._xlws.FILTER(_xlfn.HSTACK(_xlpm.films,_xlpm.grades),(_xlpm.films&lt;&gt;"")*(TRIM(_xlpm.grades)&lt;&gt;"")),_xlpm.uniquePairs,_xlfn.UNIQUE(_xlpm.pairs),_xlpm.sortedPairs,_xlfn._xlws.SORT(_xlpm.uniquePairs,1,1),INDEX(_xlpm.sortedPairs,ROWS($L$2:L173),1)),"")</f>
        <v/>
      </c>
      <c r="M173" s="15" t="str" cm="1">
        <f t="array" ref="M173">IFERROR(_xlfn.LET(_xlpm.films,Table4[Film],_xlpm.grades,Table4[Grade],_xlpm.pairs,_xlfn._xlws.FILTER(_xlfn.HSTACK(_xlpm.films,_xlpm.grades),(_xlpm.films&lt;&gt;"")*(TRIM(_xlpm.grades)&lt;&gt;"")),_xlpm.uniquePairs,_xlfn.UNIQUE(_xlpm.pairs),_xlpm.sortedPairs,_xlfn._xlws.SORT(_xlpm.uniquePairs,1,1),INDEX(_xlpm.sortedPairs,ROWS($M$2:M173),2)),"")</f>
        <v/>
      </c>
      <c r="N173" s="15" t="str" cm="1">
        <f t="array" ref="N173">IF(OR(Table2[[#This Row],[Film]]="",Table2[[#This Row],[Grade]]=""),"",IFERROR(INDEX(Table4[Serial Number],MATCH(1,(Table4[Film]=Table2[[#This Row],[Film]])*(Table4[Grade]=Table2[[#This Row],[Grade]]),0)),""))</f>
        <v/>
      </c>
      <c r="O173" s="51" t="str">
        <f>IF(OR(Table2[[#This Row],[Film]]="",Table2[[#This Row],[Grade]]=""),"",SUMIFS(Table4[Price Calculated(€) Thickness &amp; QTY related],Table4[Film],Table2[[#This Row],[Film]],Table4[Grade],Table2[[#This Row],[Grade]]))</f>
        <v/>
      </c>
      <c r="P173" s="6"/>
      <c r="T173" s="6"/>
    </row>
    <row r="174" spans="1:20" hidden="1">
      <c r="A174" s="29" t="s">
        <v>45</v>
      </c>
      <c r="B174" s="29" t="s">
        <v>7</v>
      </c>
      <c r="C174" s="28" t="s">
        <v>18</v>
      </c>
      <c r="D174" s="28" t="str">
        <f>IF(C174="","",IFERROR(_xlfn.XLOOKUP(C174,HELPER!$A$2:$A$81,HELPER!$B$2:$B$81,""),D174))</f>
        <v>KAB59A</v>
      </c>
      <c r="E174" s="28" t="str">
        <f>IFERROR(_xlfn.XLOOKUP(D174,HELPER!$B:$B,HELPER!$C:$C,""),"")</f>
        <v>RM A KAB59A</v>
      </c>
      <c r="F174" s="27" t="str">
        <f>IFERROR(_xlfn.XLOOKUP(D174,HELPER!$B:$B,HELPER!$D:$D,""),"")</f>
        <v>Resin 8</v>
      </c>
      <c r="G174" s="27">
        <v>8</v>
      </c>
      <c r="H174" s="46">
        <v>1.4999999999999999E-2</v>
      </c>
      <c r="I174" s="47">
        <f>IF(AND(H174&lt;&gt;"",IFERROR(_xlfn.XLOOKUP(D174,HELPER!$B:$B,HELPER!$E:$E,""),"")=""),"Missing price",IFERROR(_xlfn.XLOOKUP(D174,HELPER!$B:$B,HELPER!$E:$E,"")," "))</f>
        <v>7.55</v>
      </c>
      <c r="J174" s="47">
        <f>IFERROR(H174*(IF(G174=8,I174*HELPER!$G$2,BOM!I174*HELPER!$G$3))," ")</f>
        <v>2.265E-2</v>
      </c>
      <c r="K174" s="6"/>
      <c r="L174" s="14" t="str" cm="1">
        <f t="array" ref="L174">IFERROR(_xlfn.LET(_xlpm.films,Table4[Film],_xlpm.grades,Table4[Grade],_xlpm.pairs,_xlfn._xlws.FILTER(_xlfn.HSTACK(_xlpm.films,_xlpm.grades),(_xlpm.films&lt;&gt;"")*(TRIM(_xlpm.grades)&lt;&gt;"")),_xlpm.uniquePairs,_xlfn.UNIQUE(_xlpm.pairs),_xlpm.sortedPairs,_xlfn._xlws.SORT(_xlpm.uniquePairs,1,1),INDEX(_xlpm.sortedPairs,ROWS($L$2:L174),1)),"")</f>
        <v/>
      </c>
      <c r="M174" s="15" t="str" cm="1">
        <f t="array" ref="M174">IFERROR(_xlfn.LET(_xlpm.films,Table4[Film],_xlpm.grades,Table4[Grade],_xlpm.pairs,_xlfn._xlws.FILTER(_xlfn.HSTACK(_xlpm.films,_xlpm.grades),(_xlpm.films&lt;&gt;"")*(TRIM(_xlpm.grades)&lt;&gt;"")),_xlpm.uniquePairs,_xlfn.UNIQUE(_xlpm.pairs),_xlpm.sortedPairs,_xlfn._xlws.SORT(_xlpm.uniquePairs,1,1),INDEX(_xlpm.sortedPairs,ROWS($M$2:M174),2)),"")</f>
        <v/>
      </c>
      <c r="N174" s="15" t="str" cm="1">
        <f t="array" ref="N174">IF(OR(Table2[[#This Row],[Film]]="",Table2[[#This Row],[Grade]]=""),"",IFERROR(INDEX(Table4[Serial Number],MATCH(1,(Table4[Film]=Table2[[#This Row],[Film]])*(Table4[Grade]=Table2[[#This Row],[Grade]]),0)),""))</f>
        <v/>
      </c>
      <c r="O174" s="51" t="str">
        <f>IF(OR(Table2[[#This Row],[Film]]="",Table2[[#This Row],[Grade]]=""),"",SUMIFS(Table4[Price Calculated(€) Thickness &amp; QTY related],Table4[Film],Table2[[#This Row],[Film]],Table4[Grade],Table2[[#This Row],[Grade]]))</f>
        <v/>
      </c>
      <c r="P174" s="6"/>
      <c r="T174" s="6"/>
    </row>
    <row r="175" spans="1:20" hidden="1">
      <c r="A175" s="29" t="s">
        <v>45</v>
      </c>
      <c r="B175" s="29" t="s">
        <v>7</v>
      </c>
      <c r="C175" s="28" t="s">
        <v>16</v>
      </c>
      <c r="D175" s="28" t="str">
        <f>IF(C175="","",IFERROR(_xlfn.XLOOKUP(C175,HELPER!$A$2:$A$81,HELPER!$B$2:$B$81,""),D175))</f>
        <v>S723</v>
      </c>
      <c r="E175" s="28" t="str">
        <f>IFERROR(_xlfn.XLOOKUP(D175,HELPER!$B:$B,HELPER!$C:$C,""),"")</f>
        <v>RM TA45-08 S723</v>
      </c>
      <c r="F175" s="27" t="str">
        <f>IFERROR(_xlfn.XLOOKUP(D175,HELPER!$B:$B,HELPER!$D:$D,""),"")</f>
        <v>Resin 6</v>
      </c>
      <c r="G175" s="27">
        <v>8</v>
      </c>
      <c r="H175" s="46">
        <v>1.4999999999999999E-2</v>
      </c>
      <c r="I175" s="47">
        <f>IF(AND(H175&lt;&gt;"",IFERROR(_xlfn.XLOOKUP(D175,HELPER!$B:$B,HELPER!$E:$E,""),"")=""),"Missing price",IFERROR(_xlfn.XLOOKUP(D175,HELPER!$B:$B,HELPER!$E:$E,"")," "))</f>
        <v>16.16</v>
      </c>
      <c r="J175" s="47">
        <f>IFERROR(H175*(IF(G175=8,I175*HELPER!$G$2,BOM!I175*HELPER!$G$3))," ")</f>
        <v>4.8480000000000002E-2</v>
      </c>
      <c r="K175" s="6"/>
      <c r="L175" s="14" t="str" cm="1">
        <f t="array" ref="L175">IFERROR(_xlfn.LET(_xlpm.films,Table4[Film],_xlpm.grades,Table4[Grade],_xlpm.pairs,_xlfn._xlws.FILTER(_xlfn.HSTACK(_xlpm.films,_xlpm.grades),(_xlpm.films&lt;&gt;"")*(TRIM(_xlpm.grades)&lt;&gt;"")),_xlpm.uniquePairs,_xlfn.UNIQUE(_xlpm.pairs),_xlpm.sortedPairs,_xlfn._xlws.SORT(_xlpm.uniquePairs,1,1),INDEX(_xlpm.sortedPairs,ROWS($L$2:L175),1)),"")</f>
        <v/>
      </c>
      <c r="M175" s="15" t="str" cm="1">
        <f t="array" ref="M175">IFERROR(_xlfn.LET(_xlpm.films,Table4[Film],_xlpm.grades,Table4[Grade],_xlpm.pairs,_xlfn._xlws.FILTER(_xlfn.HSTACK(_xlpm.films,_xlpm.grades),(_xlpm.films&lt;&gt;"")*(TRIM(_xlpm.grades)&lt;&gt;"")),_xlpm.uniquePairs,_xlfn.UNIQUE(_xlpm.pairs),_xlpm.sortedPairs,_xlfn._xlws.SORT(_xlpm.uniquePairs,1,1),INDEX(_xlpm.sortedPairs,ROWS($M$2:M175),2)),"")</f>
        <v/>
      </c>
      <c r="N175" s="15" t="str" cm="1">
        <f t="array" ref="N175">IF(OR(Table2[[#This Row],[Film]]="",Table2[[#This Row],[Grade]]=""),"",IFERROR(INDEX(Table4[Serial Number],MATCH(1,(Table4[Film]=Table2[[#This Row],[Film]])*(Table4[Grade]=Table2[[#This Row],[Grade]]),0)),""))</f>
        <v/>
      </c>
      <c r="O175" s="51" t="str">
        <f>IF(OR(Table2[[#This Row],[Film]]="",Table2[[#This Row],[Grade]]=""),"",SUMIFS(Table4[Price Calculated(€) Thickness &amp; QTY related],Table4[Film],Table2[[#This Row],[Film]],Table4[Grade],Table2[[#This Row],[Grade]]))</f>
        <v/>
      </c>
      <c r="P175" s="6"/>
      <c r="T175" s="6"/>
    </row>
    <row r="176" spans="1:20" hidden="1">
      <c r="A176" s="29" t="s">
        <v>45</v>
      </c>
      <c r="B176" s="29" t="s">
        <v>7</v>
      </c>
      <c r="C176" s="28" t="s">
        <v>17</v>
      </c>
      <c r="D176" s="28" t="str">
        <f>IF(C176="","",IFERROR(_xlfn.XLOOKUP(C176,HELPER!$A$2:$A$81,HELPER!$B$2:$B$81,""),D176))</f>
        <v>S724</v>
      </c>
      <c r="E176" s="28" t="str">
        <f>IFERROR(_xlfn.XLOOKUP(D176,HELPER!$B:$B,HELPER!$C:$C,""),"")</f>
        <v>RM TA45-08 S724</v>
      </c>
      <c r="F176" s="27" t="str">
        <f>IFERROR(_xlfn.XLOOKUP(D176,HELPER!$B:$B,HELPER!$D:$D,""),"")</f>
        <v>Resin 7</v>
      </c>
      <c r="G176" s="27">
        <v>8</v>
      </c>
      <c r="H176" s="46">
        <v>0.02</v>
      </c>
      <c r="I176" s="47">
        <f>IF(AND(H176&lt;&gt;"",IFERROR(_xlfn.XLOOKUP(D176,HELPER!$B:$B,HELPER!$E:$E,""),"")=""),"Missing price",IFERROR(_xlfn.XLOOKUP(D176,HELPER!$B:$B,HELPER!$E:$E,"")," "))</f>
        <v>14.7</v>
      </c>
      <c r="J176" s="47">
        <f>IFERROR(H176*(IF(G176=8,I176*HELPER!$G$2,BOM!I176*HELPER!$G$3))," ")</f>
        <v>5.8799999999999998E-2</v>
      </c>
      <c r="K176" s="6"/>
      <c r="L176" s="14" t="str" cm="1">
        <f t="array" ref="L176">IFERROR(_xlfn.LET(_xlpm.films,Table4[Film],_xlpm.grades,Table4[Grade],_xlpm.pairs,_xlfn._xlws.FILTER(_xlfn.HSTACK(_xlpm.films,_xlpm.grades),(_xlpm.films&lt;&gt;"")*(TRIM(_xlpm.grades)&lt;&gt;"")),_xlpm.uniquePairs,_xlfn.UNIQUE(_xlpm.pairs),_xlpm.sortedPairs,_xlfn._xlws.SORT(_xlpm.uniquePairs,1,1),INDEX(_xlpm.sortedPairs,ROWS($L$2:L176),1)),"")</f>
        <v/>
      </c>
      <c r="M176" s="15" t="str" cm="1">
        <f t="array" ref="M176">IFERROR(_xlfn.LET(_xlpm.films,Table4[Film],_xlpm.grades,Table4[Grade],_xlpm.pairs,_xlfn._xlws.FILTER(_xlfn.HSTACK(_xlpm.films,_xlpm.grades),(_xlpm.films&lt;&gt;"")*(TRIM(_xlpm.grades)&lt;&gt;"")),_xlpm.uniquePairs,_xlfn.UNIQUE(_xlpm.pairs),_xlpm.sortedPairs,_xlfn._xlws.SORT(_xlpm.uniquePairs,1,1),INDEX(_xlpm.sortedPairs,ROWS($M$2:M176),2)),"")</f>
        <v/>
      </c>
      <c r="N176" s="15" t="str" cm="1">
        <f t="array" ref="N176">IF(OR(Table2[[#This Row],[Film]]="",Table2[[#This Row],[Grade]]=""),"",IFERROR(INDEX(Table4[Serial Number],MATCH(1,(Table4[Film]=Table2[[#This Row],[Film]])*(Table4[Grade]=Table2[[#This Row],[Grade]]),0)),""))</f>
        <v/>
      </c>
      <c r="O176" s="51" t="str">
        <f>IF(OR(Table2[[#This Row],[Film]]="",Table2[[#This Row],[Grade]]=""),"",SUMIFS(Table4[Price Calculated(€) Thickness &amp; QTY related],Table4[Film],Table2[[#This Row],[Film]],Table4[Grade],Table2[[#This Row],[Grade]]))</f>
        <v/>
      </c>
      <c r="P176" s="6"/>
      <c r="T176" s="6"/>
    </row>
    <row r="177" spans="1:20" hidden="1">
      <c r="A177" s="29" t="s">
        <v>45</v>
      </c>
      <c r="B177" s="29" t="s">
        <v>7</v>
      </c>
      <c r="C177" s="28"/>
      <c r="D177" s="28" t="str">
        <f>IF(C177="","",IFERROR(_xlfn.XLOOKUP(C177,HELPER!$A$2:$A$81,HELPER!$B$2:$B$81,""),D177))</f>
        <v/>
      </c>
      <c r="E177" s="28" t="str">
        <f>IFERROR(_xlfn.XLOOKUP(D177,HELPER!$B:$B,HELPER!$C:$C,""),"")</f>
        <v/>
      </c>
      <c r="F177" s="27" t="str">
        <f>IFERROR(_xlfn.XLOOKUP(D177,HELPER!$B:$B,HELPER!$D:$D,""),"")</f>
        <v/>
      </c>
      <c r="G177" s="27">
        <v>8</v>
      </c>
      <c r="H177" s="46"/>
      <c r="I177" s="47" t="str">
        <f>IF(AND(H177&lt;&gt;"",IFERROR(_xlfn.XLOOKUP(D177,HELPER!$B:$B,HELPER!$E:$E,""),"")=""),"Missing price",IFERROR(_xlfn.XLOOKUP(D177,HELPER!$B:$B,HELPER!$E:$E,"")," "))</f>
        <v/>
      </c>
      <c r="J177" s="47" t="str">
        <f>IFERROR(H177*(IF(G177=8,I177*HELPER!$G$2,BOM!I177*HELPER!$G$3))," ")</f>
        <v xml:space="preserve"> </v>
      </c>
      <c r="K177" s="6"/>
      <c r="L177" s="14" t="str" cm="1">
        <f t="array" ref="L177">IFERROR(_xlfn.LET(_xlpm.films,Table4[Film],_xlpm.grades,Table4[Grade],_xlpm.pairs,_xlfn._xlws.FILTER(_xlfn.HSTACK(_xlpm.films,_xlpm.grades),(_xlpm.films&lt;&gt;"")*(TRIM(_xlpm.grades)&lt;&gt;"")),_xlpm.uniquePairs,_xlfn.UNIQUE(_xlpm.pairs),_xlpm.sortedPairs,_xlfn._xlws.SORT(_xlpm.uniquePairs,1,1),INDEX(_xlpm.sortedPairs,ROWS($L$2:L177),1)),"")</f>
        <v/>
      </c>
      <c r="M177" s="15" t="str" cm="1">
        <f t="array" ref="M177">IFERROR(_xlfn.LET(_xlpm.films,Table4[Film],_xlpm.grades,Table4[Grade],_xlpm.pairs,_xlfn._xlws.FILTER(_xlfn.HSTACK(_xlpm.films,_xlpm.grades),(_xlpm.films&lt;&gt;"")*(TRIM(_xlpm.grades)&lt;&gt;"")),_xlpm.uniquePairs,_xlfn.UNIQUE(_xlpm.pairs),_xlpm.sortedPairs,_xlfn._xlws.SORT(_xlpm.uniquePairs,1,1),INDEX(_xlpm.sortedPairs,ROWS($M$2:M177),2)),"")</f>
        <v/>
      </c>
      <c r="N177" s="15" t="str" cm="1">
        <f t="array" ref="N177">IF(OR(Table2[[#This Row],[Film]]="",Table2[[#This Row],[Grade]]=""),"",IFERROR(INDEX(Table4[Serial Number],MATCH(1,(Table4[Film]=Table2[[#This Row],[Film]])*(Table4[Grade]=Table2[[#This Row],[Grade]]),0)),""))</f>
        <v/>
      </c>
      <c r="O177" s="51" t="str">
        <f>IF(OR(Table2[[#This Row],[Film]]="",Table2[[#This Row],[Grade]]=""),"",SUMIFS(Table4[Price Calculated(€) Thickness &amp; QTY related],Table4[Film],Table2[[#This Row],[Film]],Table4[Grade],Table2[[#This Row],[Grade]]))</f>
        <v/>
      </c>
      <c r="P177" s="6"/>
      <c r="T177" s="6"/>
    </row>
    <row r="178" spans="1:20" hidden="1">
      <c r="A178" s="29" t="s">
        <v>45</v>
      </c>
      <c r="B178" s="29" t="s">
        <v>7</v>
      </c>
      <c r="C178" s="28"/>
      <c r="D178" s="28" t="str">
        <f>IF(C178="","",IFERROR(_xlfn.XLOOKUP(C178,HELPER!$A$2:$A$81,HELPER!$B$2:$B$81,""),D178))</f>
        <v/>
      </c>
      <c r="E178" s="28" t="str">
        <f>IFERROR(_xlfn.XLOOKUP(D178,HELPER!$B:$B,HELPER!$C:$C,""),"")</f>
        <v/>
      </c>
      <c r="F178" s="27" t="str">
        <f>IFERROR(_xlfn.XLOOKUP(D178,HELPER!$B:$B,HELPER!$D:$D,""),"")</f>
        <v/>
      </c>
      <c r="G178" s="27">
        <v>8</v>
      </c>
      <c r="H178" s="46"/>
      <c r="I178" s="47" t="str">
        <f>IF(AND(H178&lt;&gt;"",IFERROR(_xlfn.XLOOKUP(D178,HELPER!$B:$B,HELPER!$E:$E,""),"")=""),"Missing price",IFERROR(_xlfn.XLOOKUP(D178,HELPER!$B:$B,HELPER!$E:$E,"")," "))</f>
        <v/>
      </c>
      <c r="J178" s="47" t="str">
        <f>IFERROR(H178*(IF(G178=8,I178*HELPER!$G$2,BOM!I178*HELPER!$G$3))," ")</f>
        <v xml:space="preserve"> </v>
      </c>
      <c r="K178" s="6"/>
      <c r="L178" s="14" t="str" cm="1">
        <f t="array" ref="L178">IFERROR(_xlfn.LET(_xlpm.films,Table4[Film],_xlpm.grades,Table4[Grade],_xlpm.pairs,_xlfn._xlws.FILTER(_xlfn.HSTACK(_xlpm.films,_xlpm.grades),(_xlpm.films&lt;&gt;"")*(TRIM(_xlpm.grades)&lt;&gt;"")),_xlpm.uniquePairs,_xlfn.UNIQUE(_xlpm.pairs),_xlpm.sortedPairs,_xlfn._xlws.SORT(_xlpm.uniquePairs,1,1),INDEX(_xlpm.sortedPairs,ROWS($L$2:L178),1)),"")</f>
        <v/>
      </c>
      <c r="M178" s="15" t="str" cm="1">
        <f t="array" ref="M178">IFERROR(_xlfn.LET(_xlpm.films,Table4[Film],_xlpm.grades,Table4[Grade],_xlpm.pairs,_xlfn._xlws.FILTER(_xlfn.HSTACK(_xlpm.films,_xlpm.grades),(_xlpm.films&lt;&gt;"")*(TRIM(_xlpm.grades)&lt;&gt;"")),_xlpm.uniquePairs,_xlfn.UNIQUE(_xlpm.pairs),_xlpm.sortedPairs,_xlfn._xlws.SORT(_xlpm.uniquePairs,1,1),INDEX(_xlpm.sortedPairs,ROWS($M$2:M178),2)),"")</f>
        <v/>
      </c>
      <c r="N178" s="15" t="str" cm="1">
        <f t="array" ref="N178">IF(OR(Table2[[#This Row],[Film]]="",Table2[[#This Row],[Grade]]=""),"",IFERROR(INDEX(Table4[Serial Number],MATCH(1,(Table4[Film]=Table2[[#This Row],[Film]])*(Table4[Grade]=Table2[[#This Row],[Grade]]),0)),""))</f>
        <v/>
      </c>
      <c r="O178" s="51" t="str">
        <f>IF(OR(Table2[[#This Row],[Film]]="",Table2[[#This Row],[Grade]]=""),"",SUMIFS(Table4[Price Calculated(€) Thickness &amp; QTY related],Table4[Film],Table2[[#This Row],[Film]],Table4[Grade],Table2[[#This Row],[Grade]]))</f>
        <v/>
      </c>
      <c r="P178" s="6"/>
      <c r="T178" s="6"/>
    </row>
    <row r="179" spans="1:20" hidden="1">
      <c r="A179" s="29" t="s">
        <v>45</v>
      </c>
      <c r="B179" s="29" t="s">
        <v>7</v>
      </c>
      <c r="C179" s="28"/>
      <c r="D179" s="28" t="str">
        <f>IF(C179="","",IFERROR(_xlfn.XLOOKUP(C179,HELPER!$A$2:$A$81,HELPER!$B$2:$B$81,""),D179))</f>
        <v/>
      </c>
      <c r="E179" s="28" t="str">
        <f>IFERROR(_xlfn.XLOOKUP(D179,HELPER!$B:$B,HELPER!$C:$C,""),"")</f>
        <v/>
      </c>
      <c r="F179" s="27" t="str">
        <f>IFERROR(_xlfn.XLOOKUP(D179,HELPER!$B:$B,HELPER!$D:$D,""),"")</f>
        <v/>
      </c>
      <c r="G179" s="27">
        <v>8</v>
      </c>
      <c r="H179" s="46"/>
      <c r="I179" s="47" t="str">
        <f>IF(AND(H179&lt;&gt;"",IFERROR(_xlfn.XLOOKUP(D179,HELPER!$B:$B,HELPER!$E:$E,""),"")=""),"Missing price",IFERROR(_xlfn.XLOOKUP(D179,HELPER!$B:$B,HELPER!$E:$E,"")," "))</f>
        <v/>
      </c>
      <c r="J179" s="47" t="str">
        <f>IFERROR(H179*(IF(G179=8,I179*HELPER!$G$2,BOM!I179*HELPER!$G$3))," ")</f>
        <v xml:space="preserve"> </v>
      </c>
      <c r="K179" s="6"/>
      <c r="L179" s="14" t="str" cm="1">
        <f t="array" ref="L179">IFERROR(_xlfn.LET(_xlpm.films,Table4[Film],_xlpm.grades,Table4[Grade],_xlpm.pairs,_xlfn._xlws.FILTER(_xlfn.HSTACK(_xlpm.films,_xlpm.grades),(_xlpm.films&lt;&gt;"")*(TRIM(_xlpm.grades)&lt;&gt;"")),_xlpm.uniquePairs,_xlfn.UNIQUE(_xlpm.pairs),_xlpm.sortedPairs,_xlfn._xlws.SORT(_xlpm.uniquePairs,1,1),INDEX(_xlpm.sortedPairs,ROWS($L$2:L179),1)),"")</f>
        <v/>
      </c>
      <c r="M179" s="15" t="str" cm="1">
        <f t="array" ref="M179">IFERROR(_xlfn.LET(_xlpm.films,Table4[Film],_xlpm.grades,Table4[Grade],_xlpm.pairs,_xlfn._xlws.FILTER(_xlfn.HSTACK(_xlpm.films,_xlpm.grades),(_xlpm.films&lt;&gt;"")*(TRIM(_xlpm.grades)&lt;&gt;"")),_xlpm.uniquePairs,_xlfn.UNIQUE(_xlpm.pairs),_xlpm.sortedPairs,_xlfn._xlws.SORT(_xlpm.uniquePairs,1,1),INDEX(_xlpm.sortedPairs,ROWS($M$2:M179),2)),"")</f>
        <v/>
      </c>
      <c r="N179" s="15" t="str" cm="1">
        <f t="array" ref="N179">IF(OR(Table2[[#This Row],[Film]]="",Table2[[#This Row],[Grade]]=""),"",IFERROR(INDEX(Table4[Serial Number],MATCH(1,(Table4[Film]=Table2[[#This Row],[Film]])*(Table4[Grade]=Table2[[#This Row],[Grade]]),0)),""))</f>
        <v/>
      </c>
      <c r="O179" s="51" t="str">
        <f>IF(OR(Table2[[#This Row],[Film]]="",Table2[[#This Row],[Grade]]=""),"",SUMIFS(Table4[Price Calculated(€) Thickness &amp; QTY related],Table4[Film],Table2[[#This Row],[Film]],Table4[Grade],Table2[[#This Row],[Grade]]))</f>
        <v/>
      </c>
      <c r="P179" s="6"/>
      <c r="T179" s="6"/>
    </row>
    <row r="180" spans="1:20" hidden="1">
      <c r="A180" s="29" t="s">
        <v>45</v>
      </c>
      <c r="B180" s="29" t="s">
        <v>7</v>
      </c>
      <c r="C180" s="28"/>
      <c r="D180" s="28" t="str">
        <f>IF(C180="","",IFERROR(_xlfn.XLOOKUP(C180,HELPER!$A$2:$A$81,HELPER!$B$2:$B$81,""),D180))</f>
        <v/>
      </c>
      <c r="E180" s="28" t="str">
        <f>IFERROR(_xlfn.XLOOKUP(D180,HELPER!$B:$B,HELPER!$C:$C,""),"")</f>
        <v/>
      </c>
      <c r="F180" s="27" t="str">
        <f>IFERROR(_xlfn.XLOOKUP(D180,HELPER!$B:$B,HELPER!$D:$D,""),"")</f>
        <v/>
      </c>
      <c r="G180" s="27">
        <v>8</v>
      </c>
      <c r="H180" s="46"/>
      <c r="I180" s="47" t="str">
        <f>IF(AND(H180&lt;&gt;"",IFERROR(_xlfn.XLOOKUP(D180,HELPER!$B:$B,HELPER!$E:$E,""),"")=""),"Missing price",IFERROR(_xlfn.XLOOKUP(D180,HELPER!$B:$B,HELPER!$E:$E,"")," "))</f>
        <v/>
      </c>
      <c r="J180" s="47" t="str">
        <f>IFERROR(H180*(IF(G180=8,I180*HELPER!$G$2,BOM!I180*HELPER!$G$3))," ")</f>
        <v xml:space="preserve"> </v>
      </c>
      <c r="K180" s="6"/>
      <c r="L180" s="14" t="str" cm="1">
        <f t="array" ref="L180">IFERROR(_xlfn.LET(_xlpm.films,Table4[Film],_xlpm.grades,Table4[Grade],_xlpm.pairs,_xlfn._xlws.FILTER(_xlfn.HSTACK(_xlpm.films,_xlpm.grades),(_xlpm.films&lt;&gt;"")*(TRIM(_xlpm.grades)&lt;&gt;"")),_xlpm.uniquePairs,_xlfn.UNIQUE(_xlpm.pairs),_xlpm.sortedPairs,_xlfn._xlws.SORT(_xlpm.uniquePairs,1,1),INDEX(_xlpm.sortedPairs,ROWS($L$2:L180),1)),"")</f>
        <v/>
      </c>
      <c r="M180" s="15" t="str" cm="1">
        <f t="array" ref="M180">IFERROR(_xlfn.LET(_xlpm.films,Table4[Film],_xlpm.grades,Table4[Grade],_xlpm.pairs,_xlfn._xlws.FILTER(_xlfn.HSTACK(_xlpm.films,_xlpm.grades),(_xlpm.films&lt;&gt;"")*(TRIM(_xlpm.grades)&lt;&gt;"")),_xlpm.uniquePairs,_xlfn.UNIQUE(_xlpm.pairs),_xlpm.sortedPairs,_xlfn._xlws.SORT(_xlpm.uniquePairs,1,1),INDEX(_xlpm.sortedPairs,ROWS($M$2:M180),2)),"")</f>
        <v/>
      </c>
      <c r="N180" s="15" t="str" cm="1">
        <f t="array" ref="N180">IF(OR(Table2[[#This Row],[Film]]="",Table2[[#This Row],[Grade]]=""),"",IFERROR(INDEX(Table4[Serial Number],MATCH(1,(Table4[Film]=Table2[[#This Row],[Film]])*(Table4[Grade]=Table2[[#This Row],[Grade]]),0)),""))</f>
        <v/>
      </c>
      <c r="O180" s="51" t="str">
        <f>IF(OR(Table2[[#This Row],[Film]]="",Table2[[#This Row],[Grade]]=""),"",SUMIFS(Table4[Price Calculated(€) Thickness &amp; QTY related],Table4[Film],Table2[[#This Row],[Film]],Table4[Grade],Table2[[#This Row],[Grade]]))</f>
        <v/>
      </c>
      <c r="P180" s="6"/>
      <c r="T180" s="6"/>
    </row>
    <row r="181" spans="1:20" hidden="1">
      <c r="A181" s="29" t="s">
        <v>45</v>
      </c>
      <c r="B181" s="29" t="s">
        <v>7</v>
      </c>
      <c r="C181" s="28"/>
      <c r="D181" s="28" t="str">
        <f>IF(C181="","",IFERROR(_xlfn.XLOOKUP(C181,HELPER!$A$2:$A$81,HELPER!$B$2:$B$81,""),D181))</f>
        <v/>
      </c>
      <c r="E181" s="28" t="str">
        <f>IFERROR(_xlfn.XLOOKUP(D181,HELPER!$B:$B,HELPER!$C:$C,""),"")</f>
        <v/>
      </c>
      <c r="F181" s="27" t="str">
        <f>IFERROR(_xlfn.XLOOKUP(D181,HELPER!$B:$B,HELPER!$D:$D,""),"")</f>
        <v/>
      </c>
      <c r="G181" s="27">
        <v>8</v>
      </c>
      <c r="H181" s="46"/>
      <c r="I181" s="47" t="str">
        <f>IF(AND(H181&lt;&gt;"",IFERROR(_xlfn.XLOOKUP(D181,HELPER!$B:$B,HELPER!$E:$E,""),"")=""),"Missing price",IFERROR(_xlfn.XLOOKUP(D181,HELPER!$B:$B,HELPER!$E:$E,"")," "))</f>
        <v/>
      </c>
      <c r="J181" s="47" t="str">
        <f>IFERROR(H181*(IF(G181=8,I181*HELPER!$G$2,BOM!I181*HELPER!$G$3))," ")</f>
        <v xml:space="preserve"> </v>
      </c>
      <c r="K181" s="6"/>
      <c r="L181" s="14" t="str" cm="1">
        <f t="array" ref="L181">IFERROR(_xlfn.LET(_xlpm.films,Table4[Film],_xlpm.grades,Table4[Grade],_xlpm.pairs,_xlfn._xlws.FILTER(_xlfn.HSTACK(_xlpm.films,_xlpm.grades),(_xlpm.films&lt;&gt;"")*(TRIM(_xlpm.grades)&lt;&gt;"")),_xlpm.uniquePairs,_xlfn.UNIQUE(_xlpm.pairs),_xlpm.sortedPairs,_xlfn._xlws.SORT(_xlpm.uniquePairs,1,1),INDEX(_xlpm.sortedPairs,ROWS($L$2:L181),1)),"")</f>
        <v/>
      </c>
      <c r="M181" s="15" t="str" cm="1">
        <f t="array" ref="M181">IFERROR(_xlfn.LET(_xlpm.films,Table4[Film],_xlpm.grades,Table4[Grade],_xlpm.pairs,_xlfn._xlws.FILTER(_xlfn.HSTACK(_xlpm.films,_xlpm.grades),(_xlpm.films&lt;&gt;"")*(TRIM(_xlpm.grades)&lt;&gt;"")),_xlpm.uniquePairs,_xlfn.UNIQUE(_xlpm.pairs),_xlpm.sortedPairs,_xlfn._xlws.SORT(_xlpm.uniquePairs,1,1),INDEX(_xlpm.sortedPairs,ROWS($M$2:M181),2)),"")</f>
        <v/>
      </c>
      <c r="N181" s="15" t="str" cm="1">
        <f t="array" ref="N181">IF(OR(Table2[[#This Row],[Film]]="",Table2[[#This Row],[Grade]]=""),"",IFERROR(INDEX(Table4[Serial Number],MATCH(1,(Table4[Film]=Table2[[#This Row],[Film]])*(Table4[Grade]=Table2[[#This Row],[Grade]]),0)),""))</f>
        <v/>
      </c>
      <c r="O181" s="51" t="str">
        <f>IF(OR(Table2[[#This Row],[Film]]="",Table2[[#This Row],[Grade]]=""),"",SUMIFS(Table4[Price Calculated(€) Thickness &amp; QTY related],Table4[Film],Table2[[#This Row],[Film]],Table4[Grade],Table2[[#This Row],[Grade]]))</f>
        <v/>
      </c>
      <c r="P181" s="6"/>
      <c r="T181" s="6"/>
    </row>
    <row r="182" spans="1:20" hidden="1">
      <c r="A182" s="29" t="s">
        <v>46</v>
      </c>
      <c r="B182" s="29" t="s">
        <v>5</v>
      </c>
      <c r="C182" s="28" t="s">
        <v>12</v>
      </c>
      <c r="D182" s="28" t="str">
        <f>IF(C182="","",IFERROR(_xlfn.XLOOKUP(C182,HELPER!$A$2:$A$81,HELPER!$B$2:$B$81,""),D182))</f>
        <v>FD92PM</v>
      </c>
      <c r="E182" s="28" t="str">
        <f>IFERROR(_xlfn.XLOOKUP(D182,HELPER!$B:$B,HELPER!$C:$C,""),"")</f>
        <v>RMPM2</v>
      </c>
      <c r="F182" s="27" t="str">
        <f>IFERROR(_xlfn.XLOOKUP(D182,HELPER!$B:$B,HELPER!$D:$D,""),"")</f>
        <v>Resin 9C</v>
      </c>
      <c r="G182" s="27">
        <v>24</v>
      </c>
      <c r="H182" s="46">
        <v>0.80300000000000005</v>
      </c>
      <c r="I182" s="47">
        <f>IF(AND(H182&lt;&gt;"",IFERROR(_xlfn.XLOOKUP(D182,HELPER!$B:$B,HELPER!$E:$E,""),"")=""),"Missing price",IFERROR(_xlfn.XLOOKUP(D182,HELPER!$B:$B,HELPER!$E:$E,"")," "))</f>
        <v>6.75</v>
      </c>
      <c r="J182" s="47">
        <f>IFERROR(H182*(IF(G182=8,I182*HELPER!$G$2,BOM!I182*HELPER!$G$3))," ")</f>
        <v>3.2521499999999999</v>
      </c>
      <c r="K182" s="6"/>
      <c r="L182" s="14" t="str" cm="1">
        <f t="array" ref="L182">IFERROR(_xlfn.LET(_xlpm.films,Table4[Film],_xlpm.grades,Table4[Grade],_xlpm.pairs,_xlfn._xlws.FILTER(_xlfn.HSTACK(_xlpm.films,_xlpm.grades),(_xlpm.films&lt;&gt;"")*(TRIM(_xlpm.grades)&lt;&gt;"")),_xlpm.uniquePairs,_xlfn.UNIQUE(_xlpm.pairs),_xlpm.sortedPairs,_xlfn._xlws.SORT(_xlpm.uniquePairs,1,1),INDEX(_xlpm.sortedPairs,ROWS($L$2:L182),1)),"")</f>
        <v/>
      </c>
      <c r="M182" s="15" t="str" cm="1">
        <f t="array" ref="M182">IFERROR(_xlfn.LET(_xlpm.films,Table4[Film],_xlpm.grades,Table4[Grade],_xlpm.pairs,_xlfn._xlws.FILTER(_xlfn.HSTACK(_xlpm.films,_xlpm.grades),(_xlpm.films&lt;&gt;"")*(TRIM(_xlpm.grades)&lt;&gt;"")),_xlpm.uniquePairs,_xlfn.UNIQUE(_xlpm.pairs),_xlpm.sortedPairs,_xlfn._xlws.SORT(_xlpm.uniquePairs,1,1),INDEX(_xlpm.sortedPairs,ROWS($M$2:M182),2)),"")</f>
        <v/>
      </c>
      <c r="N182" s="15" t="str" cm="1">
        <f t="array" ref="N182">IF(OR(Table2[[#This Row],[Film]]="",Table2[[#This Row],[Grade]]=""),"",IFERROR(INDEX(Table4[Serial Number],MATCH(1,(Table4[Film]=Table2[[#This Row],[Film]])*(Table4[Grade]=Table2[[#This Row],[Grade]]),0)),""))</f>
        <v/>
      </c>
      <c r="O182" s="51" t="str">
        <f>IF(OR(Table2[[#This Row],[Film]]="",Table2[[#This Row],[Grade]]=""),"",SUMIFS(Table4[Price Calculated(€) Thickness &amp; QTY related],Table4[Film],Table2[[#This Row],[Film]],Table4[Grade],Table2[[#This Row],[Grade]]))</f>
        <v/>
      </c>
      <c r="P182" s="6"/>
      <c r="T182" s="6"/>
    </row>
    <row r="183" spans="1:20" hidden="1">
      <c r="A183" s="29" t="s">
        <v>46</v>
      </c>
      <c r="B183" s="29" t="s">
        <v>5</v>
      </c>
      <c r="C183" s="28" t="s">
        <v>13</v>
      </c>
      <c r="D183" s="28" t="str">
        <f>IF(C183="","",IFERROR(_xlfn.XLOOKUP(C183,HELPER!$A$2:$A$81,HELPER!$B$2:$B$81,""),D183))</f>
        <v>LX175</v>
      </c>
      <c r="E183" s="28" t="str">
        <f>IFERROR(_xlfn.XLOOKUP(D183,HELPER!$B:$B,HELPER!$C:$C,""),"")</f>
        <v>RMLX175</v>
      </c>
      <c r="F183" s="27" t="str">
        <f>IFERROR(_xlfn.XLOOKUP(D183,HELPER!$B:$B,HELPER!$D:$D,""),"")</f>
        <v>Resin 1A</v>
      </c>
      <c r="G183" s="27">
        <v>24</v>
      </c>
      <c r="H183" s="46">
        <v>0.14199999999999999</v>
      </c>
      <c r="I183" s="47">
        <f>IF(AND(H183&lt;&gt;"",IFERROR(_xlfn.XLOOKUP(D183,HELPER!$B:$B,HELPER!$E:$E,""),"")=""),"Missing price",IFERROR(_xlfn.XLOOKUP(D183,HELPER!$B:$B,HELPER!$E:$E,"")," "))</f>
        <v>3.17</v>
      </c>
      <c r="J183" s="47">
        <f>IFERROR(H183*(IF(G183=8,I183*HELPER!$G$2,BOM!I183*HELPER!$G$3))," ")</f>
        <v>0.27008399999999999</v>
      </c>
      <c r="K183" s="6"/>
      <c r="L183" s="14" t="str" cm="1">
        <f t="array" ref="L183">IFERROR(_xlfn.LET(_xlpm.films,Table4[Film],_xlpm.grades,Table4[Grade],_xlpm.pairs,_xlfn._xlws.FILTER(_xlfn.HSTACK(_xlpm.films,_xlpm.grades),(_xlpm.films&lt;&gt;"")*(TRIM(_xlpm.grades)&lt;&gt;"")),_xlpm.uniquePairs,_xlfn.UNIQUE(_xlpm.pairs),_xlpm.sortedPairs,_xlfn._xlws.SORT(_xlpm.uniquePairs,1,1),INDEX(_xlpm.sortedPairs,ROWS($L$2:L183),1)),"")</f>
        <v/>
      </c>
      <c r="M183" s="15" t="str" cm="1">
        <f t="array" ref="M183">IFERROR(_xlfn.LET(_xlpm.films,Table4[Film],_xlpm.grades,Table4[Grade],_xlpm.pairs,_xlfn._xlws.FILTER(_xlfn.HSTACK(_xlpm.films,_xlpm.grades),(_xlpm.films&lt;&gt;"")*(TRIM(_xlpm.grades)&lt;&gt;"")),_xlpm.uniquePairs,_xlfn.UNIQUE(_xlpm.pairs),_xlpm.sortedPairs,_xlfn._xlws.SORT(_xlpm.uniquePairs,1,1),INDEX(_xlpm.sortedPairs,ROWS($M$2:M183),2)),"")</f>
        <v/>
      </c>
      <c r="N183" s="15" t="str" cm="1">
        <f t="array" ref="N183">IF(OR(Table2[[#This Row],[Film]]="",Table2[[#This Row],[Grade]]=""),"",IFERROR(INDEX(Table4[Serial Number],MATCH(1,(Table4[Film]=Table2[[#This Row],[Film]])*(Table4[Grade]=Table2[[#This Row],[Grade]]),0)),""))</f>
        <v/>
      </c>
      <c r="O183" s="51" t="str">
        <f>IF(OR(Table2[[#This Row],[Film]]="",Table2[[#This Row],[Grade]]=""),"",SUMIFS(Table4[Price Calculated(€) Thickness &amp; QTY related],Table4[Film],Table2[[#This Row],[Film]],Table4[Grade],Table2[[#This Row],[Grade]]))</f>
        <v/>
      </c>
      <c r="P183" s="6"/>
      <c r="T183" s="6"/>
    </row>
    <row r="184" spans="1:20" hidden="1">
      <c r="A184" s="29" t="s">
        <v>46</v>
      </c>
      <c r="B184" s="29" t="s">
        <v>5</v>
      </c>
      <c r="C184" s="28" t="s">
        <v>16</v>
      </c>
      <c r="D184" s="28" t="str">
        <f>IF(C184="","",IFERROR(_xlfn.XLOOKUP(C184,HELPER!$A$2:$A$81,HELPER!$B$2:$B$81,""),D184))</f>
        <v>S723</v>
      </c>
      <c r="E184" s="28" t="str">
        <f>IFERROR(_xlfn.XLOOKUP(D184,HELPER!$B:$B,HELPER!$C:$C,""),"")</f>
        <v>RM TA45-08 S723</v>
      </c>
      <c r="F184" s="27" t="str">
        <f>IFERROR(_xlfn.XLOOKUP(D184,HELPER!$B:$B,HELPER!$D:$D,""),"")</f>
        <v>Resin 6</v>
      </c>
      <c r="G184" s="27">
        <v>24</v>
      </c>
      <c r="H184" s="46">
        <v>0.02</v>
      </c>
      <c r="I184" s="47">
        <f>IF(AND(H184&lt;&gt;"",IFERROR(_xlfn.XLOOKUP(D184,HELPER!$B:$B,HELPER!$E:$E,""),"")=""),"Missing price",IFERROR(_xlfn.XLOOKUP(D184,HELPER!$B:$B,HELPER!$E:$E,"")," "))</f>
        <v>16.16</v>
      </c>
      <c r="J184" s="47">
        <f>IFERROR(H184*(IF(G184=8,I184*HELPER!$G$2,BOM!I184*HELPER!$G$3))," ")</f>
        <v>0.19392000000000001</v>
      </c>
      <c r="K184" s="6"/>
      <c r="L184" s="14" t="str" cm="1">
        <f t="array" ref="L184">IFERROR(_xlfn.LET(_xlpm.films,Table4[Film],_xlpm.grades,Table4[Grade],_xlpm.pairs,_xlfn._xlws.FILTER(_xlfn.HSTACK(_xlpm.films,_xlpm.grades),(_xlpm.films&lt;&gt;"")*(TRIM(_xlpm.grades)&lt;&gt;"")),_xlpm.uniquePairs,_xlfn.UNIQUE(_xlpm.pairs),_xlpm.sortedPairs,_xlfn._xlws.SORT(_xlpm.uniquePairs,1,1),INDEX(_xlpm.sortedPairs,ROWS($L$2:L184),1)),"")</f>
        <v/>
      </c>
      <c r="M184" s="15" t="str" cm="1">
        <f t="array" ref="M184">IFERROR(_xlfn.LET(_xlpm.films,Table4[Film],_xlpm.grades,Table4[Grade],_xlpm.pairs,_xlfn._xlws.FILTER(_xlfn.HSTACK(_xlpm.films,_xlpm.grades),(_xlpm.films&lt;&gt;"")*(TRIM(_xlpm.grades)&lt;&gt;"")),_xlpm.uniquePairs,_xlfn.UNIQUE(_xlpm.pairs),_xlpm.sortedPairs,_xlfn._xlws.SORT(_xlpm.uniquePairs,1,1),INDEX(_xlpm.sortedPairs,ROWS($M$2:M184),2)),"")</f>
        <v/>
      </c>
      <c r="N184" s="15" t="str" cm="1">
        <f t="array" ref="N184">IF(OR(Table2[[#This Row],[Film]]="",Table2[[#This Row],[Grade]]=""),"",IFERROR(INDEX(Table4[Serial Number],MATCH(1,(Table4[Film]=Table2[[#This Row],[Film]])*(Table4[Grade]=Table2[[#This Row],[Grade]]),0)),""))</f>
        <v/>
      </c>
      <c r="O184" s="51" t="str">
        <f>IF(OR(Table2[[#This Row],[Film]]="",Table2[[#This Row],[Grade]]=""),"",SUMIFS(Table4[Price Calculated(€) Thickness &amp; QTY related],Table4[Film],Table2[[#This Row],[Film]],Table4[Grade],Table2[[#This Row],[Grade]]))</f>
        <v/>
      </c>
      <c r="P184" s="6"/>
      <c r="T184" s="6"/>
    </row>
    <row r="185" spans="1:20" hidden="1">
      <c r="A185" s="29" t="s">
        <v>46</v>
      </c>
      <c r="B185" s="29" t="s">
        <v>5</v>
      </c>
      <c r="C185" s="28" t="s">
        <v>17</v>
      </c>
      <c r="D185" s="28" t="str">
        <f>IF(C185="","",IFERROR(_xlfn.XLOOKUP(C185,HELPER!$A$2:$A$81,HELPER!$B$2:$B$81,""),D185))</f>
        <v>S724</v>
      </c>
      <c r="E185" s="28" t="str">
        <f>IFERROR(_xlfn.XLOOKUP(D185,HELPER!$B:$B,HELPER!$C:$C,""),"")</f>
        <v>RM TA45-08 S724</v>
      </c>
      <c r="F185" s="27" t="str">
        <f>IFERROR(_xlfn.XLOOKUP(D185,HELPER!$B:$B,HELPER!$D:$D,""),"")</f>
        <v>Resin 7</v>
      </c>
      <c r="G185" s="27">
        <v>24</v>
      </c>
      <c r="H185" s="46">
        <v>0.02</v>
      </c>
      <c r="I185" s="47">
        <f>IF(AND(H185&lt;&gt;"",IFERROR(_xlfn.XLOOKUP(D185,HELPER!$B:$B,HELPER!$E:$E,""),"")=""),"Missing price",IFERROR(_xlfn.XLOOKUP(D185,HELPER!$B:$B,HELPER!$E:$E,"")," "))</f>
        <v>14.7</v>
      </c>
      <c r="J185" s="47">
        <f>IFERROR(H185*(IF(G185=8,I185*HELPER!$G$2,BOM!I185*HELPER!$G$3))," ")</f>
        <v>0.17639999999999997</v>
      </c>
      <c r="K185" s="6"/>
      <c r="L185" s="14" t="str" cm="1">
        <f t="array" ref="L185">IFERROR(_xlfn.LET(_xlpm.films,Table4[Film],_xlpm.grades,Table4[Grade],_xlpm.pairs,_xlfn._xlws.FILTER(_xlfn.HSTACK(_xlpm.films,_xlpm.grades),(_xlpm.films&lt;&gt;"")*(TRIM(_xlpm.grades)&lt;&gt;"")),_xlpm.uniquePairs,_xlfn.UNIQUE(_xlpm.pairs),_xlpm.sortedPairs,_xlfn._xlws.SORT(_xlpm.uniquePairs,1,1),INDEX(_xlpm.sortedPairs,ROWS($L$2:L185),1)),"")</f>
        <v/>
      </c>
      <c r="M185" s="15" t="str" cm="1">
        <f t="array" ref="M185">IFERROR(_xlfn.LET(_xlpm.films,Table4[Film],_xlpm.grades,Table4[Grade],_xlpm.pairs,_xlfn._xlws.FILTER(_xlfn.HSTACK(_xlpm.films,_xlpm.grades),(_xlpm.films&lt;&gt;"")*(TRIM(_xlpm.grades)&lt;&gt;"")),_xlpm.uniquePairs,_xlfn.UNIQUE(_xlpm.pairs),_xlpm.sortedPairs,_xlfn._xlws.SORT(_xlpm.uniquePairs,1,1),INDEX(_xlpm.sortedPairs,ROWS($M$2:M185),2)),"")</f>
        <v/>
      </c>
      <c r="N185" s="15" t="str" cm="1">
        <f t="array" ref="N185">IF(OR(Table2[[#This Row],[Film]]="",Table2[[#This Row],[Grade]]=""),"",IFERROR(INDEX(Table4[Serial Number],MATCH(1,(Table4[Film]=Table2[[#This Row],[Film]])*(Table4[Grade]=Table2[[#This Row],[Grade]]),0)),""))</f>
        <v/>
      </c>
      <c r="O185" s="51" t="str">
        <f>IF(OR(Table2[[#This Row],[Film]]="",Table2[[#This Row],[Grade]]=""),"",SUMIFS(Table4[Price Calculated(€) Thickness &amp; QTY related],Table4[Film],Table2[[#This Row],[Film]],Table4[Grade],Table2[[#This Row],[Grade]]))</f>
        <v/>
      </c>
      <c r="P185" s="6"/>
      <c r="T185" s="6"/>
    </row>
    <row r="186" spans="1:20" hidden="1">
      <c r="A186" s="29" t="s">
        <v>46</v>
      </c>
      <c r="B186" s="29" t="s">
        <v>5</v>
      </c>
      <c r="C186" s="28" t="s">
        <v>18</v>
      </c>
      <c r="D186" s="28" t="str">
        <f>IF(C186="","",IFERROR(_xlfn.XLOOKUP(C186,HELPER!$A$2:$A$81,HELPER!$B$2:$B$81,""),D186))</f>
        <v>KAB59A</v>
      </c>
      <c r="E186" s="28" t="str">
        <f>IFERROR(_xlfn.XLOOKUP(D186,HELPER!$B:$B,HELPER!$C:$C,""),"")</f>
        <v>RM A KAB59A</v>
      </c>
      <c r="F186" s="27" t="str">
        <f>IFERROR(_xlfn.XLOOKUP(D186,HELPER!$B:$B,HELPER!$D:$D,""),"")</f>
        <v>Resin 8</v>
      </c>
      <c r="G186" s="27">
        <v>24</v>
      </c>
      <c r="H186" s="46">
        <v>1.4999999999999999E-2</v>
      </c>
      <c r="I186" s="47">
        <f>IF(AND(H186&lt;&gt;"",IFERROR(_xlfn.XLOOKUP(D186,HELPER!$B:$B,HELPER!$E:$E,""),"")=""),"Missing price",IFERROR(_xlfn.XLOOKUP(D186,HELPER!$B:$B,HELPER!$E:$E,"")," "))</f>
        <v>7.55</v>
      </c>
      <c r="J186" s="47">
        <f>IFERROR(H186*(IF(G186=8,I186*HELPER!$G$2,BOM!I186*HELPER!$G$3))," ")</f>
        <v>6.7949999999999983E-2</v>
      </c>
      <c r="K186" s="6"/>
      <c r="L186" s="14" t="str" cm="1">
        <f t="array" ref="L186">IFERROR(_xlfn.LET(_xlpm.films,Table4[Film],_xlpm.grades,Table4[Grade],_xlpm.pairs,_xlfn._xlws.FILTER(_xlfn.HSTACK(_xlpm.films,_xlpm.grades),(_xlpm.films&lt;&gt;"")*(TRIM(_xlpm.grades)&lt;&gt;"")),_xlpm.uniquePairs,_xlfn.UNIQUE(_xlpm.pairs),_xlpm.sortedPairs,_xlfn._xlws.SORT(_xlpm.uniquePairs,1,1),INDEX(_xlpm.sortedPairs,ROWS($L$2:L186),1)),"")</f>
        <v/>
      </c>
      <c r="M186" s="15" t="str" cm="1">
        <f t="array" ref="M186">IFERROR(_xlfn.LET(_xlpm.films,Table4[Film],_xlpm.grades,Table4[Grade],_xlpm.pairs,_xlfn._xlws.FILTER(_xlfn.HSTACK(_xlpm.films,_xlpm.grades),(_xlpm.films&lt;&gt;"")*(TRIM(_xlpm.grades)&lt;&gt;"")),_xlpm.uniquePairs,_xlfn.UNIQUE(_xlpm.pairs),_xlpm.sortedPairs,_xlfn._xlws.SORT(_xlpm.uniquePairs,1,1),INDEX(_xlpm.sortedPairs,ROWS($M$2:M186),2)),"")</f>
        <v/>
      </c>
      <c r="N186" s="15" t="str" cm="1">
        <f t="array" ref="N186">IF(OR(Table2[[#This Row],[Film]]="",Table2[[#This Row],[Grade]]=""),"",IFERROR(INDEX(Table4[Serial Number],MATCH(1,(Table4[Film]=Table2[[#This Row],[Film]])*(Table4[Grade]=Table2[[#This Row],[Grade]]),0)),""))</f>
        <v/>
      </c>
      <c r="O186" s="51" t="str">
        <f>IF(OR(Table2[[#This Row],[Film]]="",Table2[[#This Row],[Grade]]=""),"",SUMIFS(Table4[Price Calculated(€) Thickness &amp; QTY related],Table4[Film],Table2[[#This Row],[Film]],Table4[Grade],Table2[[#This Row],[Grade]]))</f>
        <v/>
      </c>
      <c r="P186" s="6"/>
      <c r="T186" s="6"/>
    </row>
    <row r="187" spans="1:20" hidden="1">
      <c r="A187" s="29" t="s">
        <v>46</v>
      </c>
      <c r="B187" s="29" t="s">
        <v>5</v>
      </c>
      <c r="C187" s="28"/>
      <c r="D187" s="28" t="str">
        <f>IF(C187="","",IFERROR(_xlfn.XLOOKUP(C187,HELPER!$A$2:$A$81,HELPER!$B$2:$B$81,""),D187))</f>
        <v/>
      </c>
      <c r="E187" s="28" t="str">
        <f>IFERROR(_xlfn.XLOOKUP(D187,HELPER!$B:$B,HELPER!$C:$C,""),"")</f>
        <v/>
      </c>
      <c r="F187" s="27" t="str">
        <f>IFERROR(_xlfn.XLOOKUP(D187,HELPER!$B:$B,HELPER!$D:$D,""),"")</f>
        <v/>
      </c>
      <c r="G187" s="27">
        <v>24</v>
      </c>
      <c r="H187" s="46"/>
      <c r="I187" s="47" t="str">
        <f>IF(AND(H187&lt;&gt;"",IFERROR(_xlfn.XLOOKUP(D187,HELPER!$B:$B,HELPER!$E:$E,""),"")=""),"Missing price",IFERROR(_xlfn.XLOOKUP(D187,HELPER!$B:$B,HELPER!$E:$E,"")," "))</f>
        <v/>
      </c>
      <c r="J187" s="47" t="str">
        <f>IFERROR(H187*(IF(G187=8,I187*HELPER!$G$2,BOM!I187*HELPER!$G$3))," ")</f>
        <v xml:space="preserve"> </v>
      </c>
      <c r="K187" s="6"/>
      <c r="L187" s="14" t="str" cm="1">
        <f t="array" ref="L187">IFERROR(_xlfn.LET(_xlpm.films,Table4[Film],_xlpm.grades,Table4[Grade],_xlpm.pairs,_xlfn._xlws.FILTER(_xlfn.HSTACK(_xlpm.films,_xlpm.grades),(_xlpm.films&lt;&gt;"")*(TRIM(_xlpm.grades)&lt;&gt;"")),_xlpm.uniquePairs,_xlfn.UNIQUE(_xlpm.pairs),_xlpm.sortedPairs,_xlfn._xlws.SORT(_xlpm.uniquePairs,1,1),INDEX(_xlpm.sortedPairs,ROWS($L$2:L187),1)),"")</f>
        <v/>
      </c>
      <c r="M187" s="15" t="str" cm="1">
        <f t="array" ref="M187">IFERROR(_xlfn.LET(_xlpm.films,Table4[Film],_xlpm.grades,Table4[Grade],_xlpm.pairs,_xlfn._xlws.FILTER(_xlfn.HSTACK(_xlpm.films,_xlpm.grades),(_xlpm.films&lt;&gt;"")*(TRIM(_xlpm.grades)&lt;&gt;"")),_xlpm.uniquePairs,_xlfn.UNIQUE(_xlpm.pairs),_xlpm.sortedPairs,_xlfn._xlws.SORT(_xlpm.uniquePairs,1,1),INDEX(_xlpm.sortedPairs,ROWS($M$2:M187),2)),"")</f>
        <v/>
      </c>
      <c r="N187" s="15" t="str" cm="1">
        <f t="array" ref="N187">IF(OR(Table2[[#This Row],[Film]]="",Table2[[#This Row],[Grade]]=""),"",IFERROR(INDEX(Table4[Serial Number],MATCH(1,(Table4[Film]=Table2[[#This Row],[Film]])*(Table4[Grade]=Table2[[#This Row],[Grade]]),0)),""))</f>
        <v/>
      </c>
      <c r="O187" s="51" t="str">
        <f>IF(OR(Table2[[#This Row],[Film]]="",Table2[[#This Row],[Grade]]=""),"",SUMIFS(Table4[Price Calculated(€) Thickness &amp; QTY related],Table4[Film],Table2[[#This Row],[Film]],Table4[Grade],Table2[[#This Row],[Grade]]))</f>
        <v/>
      </c>
      <c r="P187" s="6"/>
      <c r="T187" s="6"/>
    </row>
    <row r="188" spans="1:20" hidden="1">
      <c r="A188" s="29" t="s">
        <v>46</v>
      </c>
      <c r="B188" s="29" t="s">
        <v>5</v>
      </c>
      <c r="C188" s="28"/>
      <c r="D188" s="28" t="str">
        <f>IF(C188="","",IFERROR(_xlfn.XLOOKUP(C188,HELPER!$A$2:$A$81,HELPER!$B$2:$B$81,""),D188))</f>
        <v/>
      </c>
      <c r="E188" s="28" t="str">
        <f>IFERROR(_xlfn.XLOOKUP(D188,HELPER!$B:$B,HELPER!$C:$C,""),"")</f>
        <v/>
      </c>
      <c r="F188" s="27" t="str">
        <f>IFERROR(_xlfn.XLOOKUP(D188,HELPER!$B:$B,HELPER!$D:$D,""),"")</f>
        <v/>
      </c>
      <c r="G188" s="27">
        <v>24</v>
      </c>
      <c r="H188" s="46"/>
      <c r="I188" s="47" t="str">
        <f>IF(AND(H188&lt;&gt;"",IFERROR(_xlfn.XLOOKUP(D188,HELPER!$B:$B,HELPER!$E:$E,""),"")=""),"Missing price",IFERROR(_xlfn.XLOOKUP(D188,HELPER!$B:$B,HELPER!$E:$E,"")," "))</f>
        <v/>
      </c>
      <c r="J188" s="47" t="str">
        <f>IFERROR(H188*(IF(G188=8,I188*HELPER!$G$2,BOM!I188*HELPER!$G$3))," ")</f>
        <v xml:space="preserve"> </v>
      </c>
      <c r="K188" s="6"/>
      <c r="L188" s="14" t="str" cm="1">
        <f t="array" ref="L188">IFERROR(_xlfn.LET(_xlpm.films,Table4[Film],_xlpm.grades,Table4[Grade],_xlpm.pairs,_xlfn._xlws.FILTER(_xlfn.HSTACK(_xlpm.films,_xlpm.grades),(_xlpm.films&lt;&gt;"")*(TRIM(_xlpm.grades)&lt;&gt;"")),_xlpm.uniquePairs,_xlfn.UNIQUE(_xlpm.pairs),_xlpm.sortedPairs,_xlfn._xlws.SORT(_xlpm.uniquePairs,1,1),INDEX(_xlpm.sortedPairs,ROWS($L$2:L188),1)),"")</f>
        <v/>
      </c>
      <c r="M188" s="15" t="str" cm="1">
        <f t="array" ref="M188">IFERROR(_xlfn.LET(_xlpm.films,Table4[Film],_xlpm.grades,Table4[Grade],_xlpm.pairs,_xlfn._xlws.FILTER(_xlfn.HSTACK(_xlpm.films,_xlpm.grades),(_xlpm.films&lt;&gt;"")*(TRIM(_xlpm.grades)&lt;&gt;"")),_xlpm.uniquePairs,_xlfn.UNIQUE(_xlpm.pairs),_xlpm.sortedPairs,_xlfn._xlws.SORT(_xlpm.uniquePairs,1,1),INDEX(_xlpm.sortedPairs,ROWS($M$2:M188),2)),"")</f>
        <v/>
      </c>
      <c r="N188" s="15" t="str" cm="1">
        <f t="array" ref="N188">IF(OR(Table2[[#This Row],[Film]]="",Table2[[#This Row],[Grade]]=""),"",IFERROR(INDEX(Table4[Serial Number],MATCH(1,(Table4[Film]=Table2[[#This Row],[Film]])*(Table4[Grade]=Table2[[#This Row],[Grade]]),0)),""))</f>
        <v/>
      </c>
      <c r="O188" s="51" t="str">
        <f>IF(OR(Table2[[#This Row],[Film]]="",Table2[[#This Row],[Grade]]=""),"",SUMIFS(Table4[Price Calculated(€) Thickness &amp; QTY related],Table4[Film],Table2[[#This Row],[Film]],Table4[Grade],Table2[[#This Row],[Grade]]))</f>
        <v/>
      </c>
      <c r="P188" s="6"/>
      <c r="T188" s="6"/>
    </row>
    <row r="189" spans="1:20" hidden="1">
      <c r="A189" s="29" t="s">
        <v>46</v>
      </c>
      <c r="B189" s="29" t="s">
        <v>5</v>
      </c>
      <c r="C189" s="28"/>
      <c r="D189" s="28" t="str">
        <f>IF(C189="","",IFERROR(_xlfn.XLOOKUP(C189,HELPER!$A$2:$A$81,HELPER!$B$2:$B$81,""),D189))</f>
        <v/>
      </c>
      <c r="E189" s="28" t="str">
        <f>IFERROR(_xlfn.XLOOKUP(D189,HELPER!$B:$B,HELPER!$C:$C,""),"")</f>
        <v/>
      </c>
      <c r="F189" s="27" t="str">
        <f>IFERROR(_xlfn.XLOOKUP(D189,HELPER!$B:$B,HELPER!$D:$D,""),"")</f>
        <v/>
      </c>
      <c r="G189" s="27">
        <v>24</v>
      </c>
      <c r="H189" s="46"/>
      <c r="I189" s="47" t="str">
        <f>IF(AND(H189&lt;&gt;"",IFERROR(_xlfn.XLOOKUP(D189,HELPER!$B:$B,HELPER!$E:$E,""),"")=""),"Missing price",IFERROR(_xlfn.XLOOKUP(D189,HELPER!$B:$B,HELPER!$E:$E,"")," "))</f>
        <v/>
      </c>
      <c r="J189" s="47" t="str">
        <f>IFERROR(H189*(IF(G189=8,I189*HELPER!$G$2,BOM!I189*HELPER!$G$3))," ")</f>
        <v xml:space="preserve"> </v>
      </c>
      <c r="K189" s="6"/>
      <c r="L189" s="14" t="str" cm="1">
        <f t="array" ref="L189">IFERROR(_xlfn.LET(_xlpm.films,Table4[Film],_xlpm.grades,Table4[Grade],_xlpm.pairs,_xlfn._xlws.FILTER(_xlfn.HSTACK(_xlpm.films,_xlpm.grades),(_xlpm.films&lt;&gt;"")*(TRIM(_xlpm.grades)&lt;&gt;"")),_xlpm.uniquePairs,_xlfn.UNIQUE(_xlpm.pairs),_xlpm.sortedPairs,_xlfn._xlws.SORT(_xlpm.uniquePairs,1,1),INDEX(_xlpm.sortedPairs,ROWS($L$2:L189),1)),"")</f>
        <v/>
      </c>
      <c r="M189" s="15" t="str" cm="1">
        <f t="array" ref="M189">IFERROR(_xlfn.LET(_xlpm.films,Table4[Film],_xlpm.grades,Table4[Grade],_xlpm.pairs,_xlfn._xlws.FILTER(_xlfn.HSTACK(_xlpm.films,_xlpm.grades),(_xlpm.films&lt;&gt;"")*(TRIM(_xlpm.grades)&lt;&gt;"")),_xlpm.uniquePairs,_xlfn.UNIQUE(_xlpm.pairs),_xlpm.sortedPairs,_xlfn._xlws.SORT(_xlpm.uniquePairs,1,1),INDEX(_xlpm.sortedPairs,ROWS($M$2:M189),2)),"")</f>
        <v/>
      </c>
      <c r="N189" s="15" t="str" cm="1">
        <f t="array" ref="N189">IF(OR(Table2[[#This Row],[Film]]="",Table2[[#This Row],[Grade]]=""),"",IFERROR(INDEX(Table4[Serial Number],MATCH(1,(Table4[Film]=Table2[[#This Row],[Film]])*(Table4[Grade]=Table2[[#This Row],[Grade]]),0)),""))</f>
        <v/>
      </c>
      <c r="O189" s="51" t="str">
        <f>IF(OR(Table2[[#This Row],[Film]]="",Table2[[#This Row],[Grade]]=""),"",SUMIFS(Table4[Price Calculated(€) Thickness &amp; QTY related],Table4[Film],Table2[[#This Row],[Film]],Table4[Grade],Table2[[#This Row],[Grade]]))</f>
        <v/>
      </c>
      <c r="P189" s="6"/>
      <c r="T189" s="6"/>
    </row>
    <row r="190" spans="1:20" hidden="1">
      <c r="A190" s="29" t="s">
        <v>46</v>
      </c>
      <c r="B190" s="29" t="s">
        <v>5</v>
      </c>
      <c r="C190" s="28"/>
      <c r="D190" s="28" t="str">
        <f>IF(C190="","",IFERROR(_xlfn.XLOOKUP(C190,HELPER!$A$2:$A$81,HELPER!$B$2:$B$81,""),D190))</f>
        <v/>
      </c>
      <c r="E190" s="28" t="str">
        <f>IFERROR(_xlfn.XLOOKUP(D190,HELPER!$B:$B,HELPER!$C:$C,""),"")</f>
        <v/>
      </c>
      <c r="F190" s="27" t="str">
        <f>IFERROR(_xlfn.XLOOKUP(D190,HELPER!$B:$B,HELPER!$D:$D,""),"")</f>
        <v/>
      </c>
      <c r="G190" s="27">
        <v>24</v>
      </c>
      <c r="H190" s="46"/>
      <c r="I190" s="47" t="str">
        <f>IF(AND(H190&lt;&gt;"",IFERROR(_xlfn.XLOOKUP(D190,HELPER!$B:$B,HELPER!$E:$E,""),"")=""),"Missing price",IFERROR(_xlfn.XLOOKUP(D190,HELPER!$B:$B,HELPER!$E:$E,"")," "))</f>
        <v/>
      </c>
      <c r="J190" s="47" t="str">
        <f>IFERROR(H190*(IF(G190=8,I190*HELPER!$G$2,BOM!I190*HELPER!$G$3))," ")</f>
        <v xml:space="preserve"> </v>
      </c>
      <c r="K190" s="6"/>
      <c r="L190" s="14" t="str" cm="1">
        <f t="array" ref="L190">IFERROR(_xlfn.LET(_xlpm.films,Table4[Film],_xlpm.grades,Table4[Grade],_xlpm.pairs,_xlfn._xlws.FILTER(_xlfn.HSTACK(_xlpm.films,_xlpm.grades),(_xlpm.films&lt;&gt;"")*(TRIM(_xlpm.grades)&lt;&gt;"")),_xlpm.uniquePairs,_xlfn.UNIQUE(_xlpm.pairs),_xlpm.sortedPairs,_xlfn._xlws.SORT(_xlpm.uniquePairs,1,1),INDEX(_xlpm.sortedPairs,ROWS($L$2:L190),1)),"")</f>
        <v/>
      </c>
      <c r="M190" s="15" t="str" cm="1">
        <f t="array" ref="M190">IFERROR(_xlfn.LET(_xlpm.films,Table4[Film],_xlpm.grades,Table4[Grade],_xlpm.pairs,_xlfn._xlws.FILTER(_xlfn.HSTACK(_xlpm.films,_xlpm.grades),(_xlpm.films&lt;&gt;"")*(TRIM(_xlpm.grades)&lt;&gt;"")),_xlpm.uniquePairs,_xlfn.UNIQUE(_xlpm.pairs),_xlpm.sortedPairs,_xlfn._xlws.SORT(_xlpm.uniquePairs,1,1),INDEX(_xlpm.sortedPairs,ROWS($M$2:M190),2)),"")</f>
        <v/>
      </c>
      <c r="N190" s="15" t="str" cm="1">
        <f t="array" ref="N190">IF(OR(Table2[[#This Row],[Film]]="",Table2[[#This Row],[Grade]]=""),"",IFERROR(INDEX(Table4[Serial Number],MATCH(1,(Table4[Film]=Table2[[#This Row],[Film]])*(Table4[Grade]=Table2[[#This Row],[Grade]]),0)),""))</f>
        <v/>
      </c>
      <c r="O190" s="51" t="str">
        <f>IF(OR(Table2[[#This Row],[Film]]="",Table2[[#This Row],[Grade]]=""),"",SUMIFS(Table4[Price Calculated(€) Thickness &amp; QTY related],Table4[Film],Table2[[#This Row],[Film]],Table4[Grade],Table2[[#This Row],[Grade]]))</f>
        <v/>
      </c>
      <c r="P190" s="6"/>
      <c r="T190" s="6"/>
    </row>
    <row r="191" spans="1:20" hidden="1">
      <c r="A191" s="29" t="s">
        <v>46</v>
      </c>
      <c r="B191" s="29" t="s">
        <v>5</v>
      </c>
      <c r="C191" s="28"/>
      <c r="D191" s="28" t="str">
        <f>IF(C191="","",IFERROR(_xlfn.XLOOKUP(C191,HELPER!$A$2:$A$81,HELPER!$B$2:$B$81,""),D191))</f>
        <v/>
      </c>
      <c r="E191" s="28" t="str">
        <f>IFERROR(_xlfn.XLOOKUP(D191,HELPER!$B:$B,HELPER!$C:$C,""),"")</f>
        <v/>
      </c>
      <c r="F191" s="27" t="str">
        <f>IFERROR(_xlfn.XLOOKUP(D191,HELPER!$B:$B,HELPER!$D:$D,""),"")</f>
        <v/>
      </c>
      <c r="G191" s="27">
        <v>24</v>
      </c>
      <c r="H191" s="46"/>
      <c r="I191" s="47" t="str">
        <f>IF(AND(H191&lt;&gt;"",IFERROR(_xlfn.XLOOKUP(D191,HELPER!$B:$B,HELPER!$E:$E,""),"")=""),"Missing price",IFERROR(_xlfn.XLOOKUP(D191,HELPER!$B:$B,HELPER!$E:$E,"")," "))</f>
        <v/>
      </c>
      <c r="J191" s="47" t="str">
        <f>IFERROR(H191*(IF(G191=8,I191*HELPER!$G$2,BOM!I191*HELPER!$G$3))," ")</f>
        <v xml:space="preserve"> </v>
      </c>
      <c r="K191" s="6"/>
      <c r="L191" s="14" t="str" cm="1">
        <f t="array" ref="L191">IFERROR(_xlfn.LET(_xlpm.films,Table4[Film],_xlpm.grades,Table4[Grade],_xlpm.pairs,_xlfn._xlws.FILTER(_xlfn.HSTACK(_xlpm.films,_xlpm.grades),(_xlpm.films&lt;&gt;"")*(TRIM(_xlpm.grades)&lt;&gt;"")),_xlpm.uniquePairs,_xlfn.UNIQUE(_xlpm.pairs),_xlpm.sortedPairs,_xlfn._xlws.SORT(_xlpm.uniquePairs,1,1),INDEX(_xlpm.sortedPairs,ROWS($L$2:L191),1)),"")</f>
        <v/>
      </c>
      <c r="M191" s="15" t="str" cm="1">
        <f t="array" ref="M191">IFERROR(_xlfn.LET(_xlpm.films,Table4[Film],_xlpm.grades,Table4[Grade],_xlpm.pairs,_xlfn._xlws.FILTER(_xlfn.HSTACK(_xlpm.films,_xlpm.grades),(_xlpm.films&lt;&gt;"")*(TRIM(_xlpm.grades)&lt;&gt;"")),_xlpm.uniquePairs,_xlfn.UNIQUE(_xlpm.pairs),_xlpm.sortedPairs,_xlfn._xlws.SORT(_xlpm.uniquePairs,1,1),INDEX(_xlpm.sortedPairs,ROWS($M$2:M191),2)),"")</f>
        <v/>
      </c>
      <c r="N191" s="15" t="str" cm="1">
        <f t="array" ref="N191">IF(OR(Table2[[#This Row],[Film]]="",Table2[[#This Row],[Grade]]=""),"",IFERROR(INDEX(Table4[Serial Number],MATCH(1,(Table4[Film]=Table2[[#This Row],[Film]])*(Table4[Grade]=Table2[[#This Row],[Grade]]),0)),""))</f>
        <v/>
      </c>
      <c r="O191" s="51" t="str">
        <f>IF(OR(Table2[[#This Row],[Film]]="",Table2[[#This Row],[Grade]]=""),"",SUMIFS(Table4[Price Calculated(€) Thickness &amp; QTY related],Table4[Film],Table2[[#This Row],[Film]],Table4[Grade],Table2[[#This Row],[Grade]]))</f>
        <v/>
      </c>
      <c r="P191" s="6"/>
      <c r="T191" s="6"/>
    </row>
    <row r="192" spans="1:20" hidden="1">
      <c r="A192" s="29" t="s">
        <v>46</v>
      </c>
      <c r="B192" s="29" t="s">
        <v>6</v>
      </c>
      <c r="C192" s="28" t="s">
        <v>19</v>
      </c>
      <c r="D192" s="28" t="str">
        <f>IF(C192="","",IFERROR(_xlfn.XLOOKUP(C192,HELPER!$A$2:$A$81,HELPER!$B$2:$B$81,""),D192))</f>
        <v>BVE8049P</v>
      </c>
      <c r="E192" s="28" t="str">
        <f>IFERROR(_xlfn.XLOOKUP(D192,HELPER!$B:$B,HELPER!$C:$C,""),"")</f>
        <v>BVE8049P</v>
      </c>
      <c r="F192" s="27" t="str">
        <f>IFERROR(_xlfn.XLOOKUP(D192,HELPER!$B:$B,HELPER!$D:$D,""),"")</f>
        <v>BVE8049P</v>
      </c>
      <c r="G192" s="27">
        <v>8</v>
      </c>
      <c r="H192" s="46">
        <v>0.98</v>
      </c>
      <c r="I192" s="47">
        <f>IF(AND(H192&lt;&gt;"",IFERROR(_xlfn.XLOOKUP(D192,HELPER!$B:$B,HELPER!$E:$E,""),"")=""),"Missing price",IFERROR(_xlfn.XLOOKUP(D192,HELPER!$B:$B,HELPER!$E:$E,"")," "))</f>
        <v>18.5</v>
      </c>
      <c r="J192" s="47">
        <f>IFERROR(H192*(IF(G192=8,I192*HELPER!$G$2,BOM!I192*HELPER!$G$3))," ")</f>
        <v>3.6259999999999999</v>
      </c>
      <c r="K192" s="6"/>
      <c r="L192" s="14" t="str" cm="1">
        <f t="array" ref="L192">IFERROR(_xlfn.LET(_xlpm.films,Table4[Film],_xlpm.grades,Table4[Grade],_xlpm.pairs,_xlfn._xlws.FILTER(_xlfn.HSTACK(_xlpm.films,_xlpm.grades),(_xlpm.films&lt;&gt;"")*(TRIM(_xlpm.grades)&lt;&gt;"")),_xlpm.uniquePairs,_xlfn.UNIQUE(_xlpm.pairs),_xlpm.sortedPairs,_xlfn._xlws.SORT(_xlpm.uniquePairs,1,1),INDEX(_xlpm.sortedPairs,ROWS($L$2:L192),1)),"")</f>
        <v/>
      </c>
      <c r="M192" s="15" t="str" cm="1">
        <f t="array" ref="M192">IFERROR(_xlfn.LET(_xlpm.films,Table4[Film],_xlpm.grades,Table4[Grade],_xlpm.pairs,_xlfn._xlws.FILTER(_xlfn.HSTACK(_xlpm.films,_xlpm.grades),(_xlpm.films&lt;&gt;"")*(TRIM(_xlpm.grades)&lt;&gt;"")),_xlpm.uniquePairs,_xlfn.UNIQUE(_xlpm.pairs),_xlpm.sortedPairs,_xlfn._xlws.SORT(_xlpm.uniquePairs,1,1),INDEX(_xlpm.sortedPairs,ROWS($M$2:M192),2)),"")</f>
        <v/>
      </c>
      <c r="N192" s="15" t="str" cm="1">
        <f t="array" ref="N192">IF(OR(Table2[[#This Row],[Film]]="",Table2[[#This Row],[Grade]]=""),"",IFERROR(INDEX(Table4[Serial Number],MATCH(1,(Table4[Film]=Table2[[#This Row],[Film]])*(Table4[Grade]=Table2[[#This Row],[Grade]]),0)),""))</f>
        <v/>
      </c>
      <c r="O192" s="51" t="str">
        <f>IF(OR(Table2[[#This Row],[Film]]="",Table2[[#This Row],[Grade]]=""),"",SUMIFS(Table4[Price Calculated(€) Thickness &amp; QTY related],Table4[Film],Table2[[#This Row],[Film]],Table4[Grade],Table2[[#This Row],[Grade]]))</f>
        <v/>
      </c>
      <c r="P192" s="6"/>
      <c r="T192" s="6"/>
    </row>
    <row r="193" spans="1:20" hidden="1">
      <c r="A193" s="29" t="s">
        <v>46</v>
      </c>
      <c r="B193" s="29" t="s">
        <v>6</v>
      </c>
      <c r="C193" s="28" t="s">
        <v>16</v>
      </c>
      <c r="D193" s="28" t="str">
        <f>IF(C193="","",IFERROR(_xlfn.XLOOKUP(C193,HELPER!$A$2:$A$81,HELPER!$B$2:$B$81,""),D193))</f>
        <v>S723</v>
      </c>
      <c r="E193" s="28" t="str">
        <f>IFERROR(_xlfn.XLOOKUP(D193,HELPER!$B:$B,HELPER!$C:$C,""),"")</f>
        <v>RM TA45-08 S723</v>
      </c>
      <c r="F193" s="27" t="str">
        <f>IFERROR(_xlfn.XLOOKUP(D193,HELPER!$B:$B,HELPER!$D:$D,""),"")</f>
        <v>Resin 6</v>
      </c>
      <c r="G193" s="27">
        <v>8</v>
      </c>
      <c r="H193" s="46">
        <v>0.02</v>
      </c>
      <c r="I193" s="47">
        <f>IF(AND(H193&lt;&gt;"",IFERROR(_xlfn.XLOOKUP(D193,HELPER!$B:$B,HELPER!$E:$E,""),"")=""),"Missing price",IFERROR(_xlfn.XLOOKUP(D193,HELPER!$B:$B,HELPER!$E:$E,"")," "))</f>
        <v>16.16</v>
      </c>
      <c r="J193" s="47">
        <f>IFERROR(H193*(IF(G193=8,I193*HELPER!$G$2,BOM!I193*HELPER!$G$3))," ")</f>
        <v>6.4640000000000003E-2</v>
      </c>
      <c r="K193" s="6"/>
      <c r="L193" s="14" t="str" cm="1">
        <f t="array" ref="L193">IFERROR(_xlfn.LET(_xlpm.films,Table4[Film],_xlpm.grades,Table4[Grade],_xlpm.pairs,_xlfn._xlws.FILTER(_xlfn.HSTACK(_xlpm.films,_xlpm.grades),(_xlpm.films&lt;&gt;"")*(TRIM(_xlpm.grades)&lt;&gt;"")),_xlpm.uniquePairs,_xlfn.UNIQUE(_xlpm.pairs),_xlpm.sortedPairs,_xlfn._xlws.SORT(_xlpm.uniquePairs,1,1),INDEX(_xlpm.sortedPairs,ROWS($L$2:L193),1)),"")</f>
        <v/>
      </c>
      <c r="M193" s="15" t="str" cm="1">
        <f t="array" ref="M193">IFERROR(_xlfn.LET(_xlpm.films,Table4[Film],_xlpm.grades,Table4[Grade],_xlpm.pairs,_xlfn._xlws.FILTER(_xlfn.HSTACK(_xlpm.films,_xlpm.grades),(_xlpm.films&lt;&gt;"")*(TRIM(_xlpm.grades)&lt;&gt;"")),_xlpm.uniquePairs,_xlfn.UNIQUE(_xlpm.pairs),_xlpm.sortedPairs,_xlfn._xlws.SORT(_xlpm.uniquePairs,1,1),INDEX(_xlpm.sortedPairs,ROWS($M$2:M193),2)),"")</f>
        <v/>
      </c>
      <c r="N193" s="15" t="str" cm="1">
        <f t="array" ref="N193">IF(OR(Table2[[#This Row],[Film]]="",Table2[[#This Row],[Grade]]=""),"",IFERROR(INDEX(Table4[Serial Number],MATCH(1,(Table4[Film]=Table2[[#This Row],[Film]])*(Table4[Grade]=Table2[[#This Row],[Grade]]),0)),""))</f>
        <v/>
      </c>
      <c r="O193" s="51" t="str">
        <f>IF(OR(Table2[[#This Row],[Film]]="",Table2[[#This Row],[Grade]]=""),"",SUMIFS(Table4[Price Calculated(€) Thickness &amp; QTY related],Table4[Film],Table2[[#This Row],[Film]],Table4[Grade],Table2[[#This Row],[Grade]]))</f>
        <v/>
      </c>
      <c r="P193" s="6"/>
      <c r="T193" s="6"/>
    </row>
    <row r="194" spans="1:20" hidden="1">
      <c r="A194" s="29" t="s">
        <v>46</v>
      </c>
      <c r="B194" s="29" t="s">
        <v>6</v>
      </c>
      <c r="C194" s="28"/>
      <c r="D194" s="28" t="str">
        <f>IF(C194="","",IFERROR(_xlfn.XLOOKUP(C194,HELPER!$A$2:$A$81,HELPER!$B$2:$B$81,""),D194))</f>
        <v/>
      </c>
      <c r="E194" s="28" t="str">
        <f>IFERROR(_xlfn.XLOOKUP(D194,HELPER!$B:$B,HELPER!$C:$C,""),"")</f>
        <v/>
      </c>
      <c r="F194" s="27" t="str">
        <f>IFERROR(_xlfn.XLOOKUP(D194,HELPER!$B:$B,HELPER!$D:$D,""),"")</f>
        <v/>
      </c>
      <c r="G194" s="27">
        <v>8</v>
      </c>
      <c r="H194" s="46"/>
      <c r="I194" s="47" t="str">
        <f>IF(AND(H194&lt;&gt;"",IFERROR(_xlfn.XLOOKUP(D194,HELPER!$B:$B,HELPER!$E:$E,""),"")=""),"Missing price",IFERROR(_xlfn.XLOOKUP(D194,HELPER!$B:$B,HELPER!$E:$E,"")," "))</f>
        <v/>
      </c>
      <c r="J194" s="47" t="str">
        <f>IFERROR(H194*(IF(G194=8,I194*HELPER!$G$2,BOM!I194*HELPER!$G$3))," ")</f>
        <v xml:space="preserve"> </v>
      </c>
      <c r="K194" s="6"/>
      <c r="L194" s="14" t="str" cm="1">
        <f t="array" ref="L194">IFERROR(_xlfn.LET(_xlpm.films,Table4[Film],_xlpm.grades,Table4[Grade],_xlpm.pairs,_xlfn._xlws.FILTER(_xlfn.HSTACK(_xlpm.films,_xlpm.grades),(_xlpm.films&lt;&gt;"")*(TRIM(_xlpm.grades)&lt;&gt;"")),_xlpm.uniquePairs,_xlfn.UNIQUE(_xlpm.pairs),_xlpm.sortedPairs,_xlfn._xlws.SORT(_xlpm.uniquePairs,1,1),INDEX(_xlpm.sortedPairs,ROWS($L$2:L194),1)),"")</f>
        <v/>
      </c>
      <c r="M194" s="15" t="str" cm="1">
        <f t="array" ref="M194">IFERROR(_xlfn.LET(_xlpm.films,Table4[Film],_xlpm.grades,Table4[Grade],_xlpm.pairs,_xlfn._xlws.FILTER(_xlfn.HSTACK(_xlpm.films,_xlpm.grades),(_xlpm.films&lt;&gt;"")*(TRIM(_xlpm.grades)&lt;&gt;"")),_xlpm.uniquePairs,_xlfn.UNIQUE(_xlpm.pairs),_xlpm.sortedPairs,_xlfn._xlws.SORT(_xlpm.uniquePairs,1,1),INDEX(_xlpm.sortedPairs,ROWS($M$2:M194),2)),"")</f>
        <v/>
      </c>
      <c r="N194" s="15" t="str" cm="1">
        <f t="array" ref="N194">IF(OR(Table2[[#This Row],[Film]]="",Table2[[#This Row],[Grade]]=""),"",IFERROR(INDEX(Table4[Serial Number],MATCH(1,(Table4[Film]=Table2[[#This Row],[Film]])*(Table4[Grade]=Table2[[#This Row],[Grade]]),0)),""))</f>
        <v/>
      </c>
      <c r="O194" s="51" t="str">
        <f>IF(OR(Table2[[#This Row],[Film]]="",Table2[[#This Row],[Grade]]=""),"",SUMIFS(Table4[Price Calculated(€) Thickness &amp; QTY related],Table4[Film],Table2[[#This Row],[Film]],Table4[Grade],Table2[[#This Row],[Grade]]))</f>
        <v/>
      </c>
      <c r="P194" s="6"/>
      <c r="T194" s="6"/>
    </row>
    <row r="195" spans="1:20" hidden="1">
      <c r="A195" s="29" t="s">
        <v>46</v>
      </c>
      <c r="B195" s="29" t="s">
        <v>6</v>
      </c>
      <c r="C195" s="28"/>
      <c r="D195" s="28" t="str">
        <f>IF(C195="","",IFERROR(_xlfn.XLOOKUP(C195,HELPER!$A$2:$A$81,HELPER!$B$2:$B$81,""),D195))</f>
        <v/>
      </c>
      <c r="E195" s="28" t="str">
        <f>IFERROR(_xlfn.XLOOKUP(D195,HELPER!$B:$B,HELPER!$C:$C,""),"")</f>
        <v/>
      </c>
      <c r="F195" s="27" t="str">
        <f>IFERROR(_xlfn.XLOOKUP(D195,HELPER!$B:$B,HELPER!$D:$D,""),"")</f>
        <v/>
      </c>
      <c r="G195" s="27">
        <v>8</v>
      </c>
      <c r="H195" s="46"/>
      <c r="I195" s="47" t="str">
        <f>IF(AND(H195&lt;&gt;"",IFERROR(_xlfn.XLOOKUP(D195,HELPER!$B:$B,HELPER!$E:$E,""),"")=""),"Missing price",IFERROR(_xlfn.XLOOKUP(D195,HELPER!$B:$B,HELPER!$E:$E,"")," "))</f>
        <v/>
      </c>
      <c r="J195" s="47" t="str">
        <f>IFERROR(H195*(IF(G195=8,I195*HELPER!$G$2,BOM!I195*HELPER!$G$3))," ")</f>
        <v xml:space="preserve"> </v>
      </c>
      <c r="K195" s="6"/>
      <c r="L195" s="14" t="str" cm="1">
        <f t="array" ref="L195">IFERROR(_xlfn.LET(_xlpm.films,Table4[Film],_xlpm.grades,Table4[Grade],_xlpm.pairs,_xlfn._xlws.FILTER(_xlfn.HSTACK(_xlpm.films,_xlpm.grades),(_xlpm.films&lt;&gt;"")*(TRIM(_xlpm.grades)&lt;&gt;"")),_xlpm.uniquePairs,_xlfn.UNIQUE(_xlpm.pairs),_xlpm.sortedPairs,_xlfn._xlws.SORT(_xlpm.uniquePairs,1,1),INDEX(_xlpm.sortedPairs,ROWS($L$2:L195),1)),"")</f>
        <v/>
      </c>
      <c r="M195" s="15" t="str" cm="1">
        <f t="array" ref="M195">IFERROR(_xlfn.LET(_xlpm.films,Table4[Film],_xlpm.grades,Table4[Grade],_xlpm.pairs,_xlfn._xlws.FILTER(_xlfn.HSTACK(_xlpm.films,_xlpm.grades),(_xlpm.films&lt;&gt;"")*(TRIM(_xlpm.grades)&lt;&gt;"")),_xlpm.uniquePairs,_xlfn.UNIQUE(_xlpm.pairs),_xlpm.sortedPairs,_xlfn._xlws.SORT(_xlpm.uniquePairs,1,1),INDEX(_xlpm.sortedPairs,ROWS($M$2:M195),2)),"")</f>
        <v/>
      </c>
      <c r="N195" s="15" t="str" cm="1">
        <f t="array" ref="N195">IF(OR(Table2[[#This Row],[Film]]="",Table2[[#This Row],[Grade]]=""),"",IFERROR(INDEX(Table4[Serial Number],MATCH(1,(Table4[Film]=Table2[[#This Row],[Film]])*(Table4[Grade]=Table2[[#This Row],[Grade]]),0)),""))</f>
        <v/>
      </c>
      <c r="O195" s="51" t="str">
        <f>IF(OR(Table2[[#This Row],[Film]]="",Table2[[#This Row],[Grade]]=""),"",SUMIFS(Table4[Price Calculated(€) Thickness &amp; QTY related],Table4[Film],Table2[[#This Row],[Film]],Table4[Grade],Table2[[#This Row],[Grade]]))</f>
        <v/>
      </c>
      <c r="P195" s="6"/>
      <c r="T195" s="6"/>
    </row>
    <row r="196" spans="1:20" hidden="1">
      <c r="A196" s="29" t="s">
        <v>46</v>
      </c>
      <c r="B196" s="29" t="s">
        <v>6</v>
      </c>
      <c r="C196" s="28"/>
      <c r="D196" s="28" t="str">
        <f>IF(C196="","",IFERROR(_xlfn.XLOOKUP(C196,HELPER!$A$2:$A$81,HELPER!$B$2:$B$81,""),D196))</f>
        <v/>
      </c>
      <c r="E196" s="28" t="str">
        <f>IFERROR(_xlfn.XLOOKUP(D196,HELPER!$B:$B,HELPER!$C:$C,""),"")</f>
        <v/>
      </c>
      <c r="F196" s="27" t="str">
        <f>IFERROR(_xlfn.XLOOKUP(D196,HELPER!$B:$B,HELPER!$D:$D,""),"")</f>
        <v/>
      </c>
      <c r="G196" s="27">
        <v>8</v>
      </c>
      <c r="H196" s="46"/>
      <c r="I196" s="47" t="str">
        <f>IF(AND(H196&lt;&gt;"",IFERROR(_xlfn.XLOOKUP(D196,HELPER!$B:$B,HELPER!$E:$E,""),"")=""),"Missing price",IFERROR(_xlfn.XLOOKUP(D196,HELPER!$B:$B,HELPER!$E:$E,"")," "))</f>
        <v/>
      </c>
      <c r="J196" s="47" t="str">
        <f>IFERROR(H196*(IF(G196=8,I196*HELPER!$G$2,BOM!I196*HELPER!$G$3))," ")</f>
        <v xml:space="preserve"> </v>
      </c>
      <c r="K196" s="6"/>
      <c r="L196" s="14" t="str" cm="1">
        <f t="array" ref="L196">IFERROR(_xlfn.LET(_xlpm.films,Table4[Film],_xlpm.grades,Table4[Grade],_xlpm.pairs,_xlfn._xlws.FILTER(_xlfn.HSTACK(_xlpm.films,_xlpm.grades),(_xlpm.films&lt;&gt;"")*(TRIM(_xlpm.grades)&lt;&gt;"")),_xlpm.uniquePairs,_xlfn.UNIQUE(_xlpm.pairs),_xlpm.sortedPairs,_xlfn._xlws.SORT(_xlpm.uniquePairs,1,1),INDEX(_xlpm.sortedPairs,ROWS($L$2:L196),1)),"")</f>
        <v/>
      </c>
      <c r="M196" s="15" t="str" cm="1">
        <f t="array" ref="M196">IFERROR(_xlfn.LET(_xlpm.films,Table4[Film],_xlpm.grades,Table4[Grade],_xlpm.pairs,_xlfn._xlws.FILTER(_xlfn.HSTACK(_xlpm.films,_xlpm.grades),(_xlpm.films&lt;&gt;"")*(TRIM(_xlpm.grades)&lt;&gt;"")),_xlpm.uniquePairs,_xlfn.UNIQUE(_xlpm.pairs),_xlpm.sortedPairs,_xlfn._xlws.SORT(_xlpm.uniquePairs,1,1),INDEX(_xlpm.sortedPairs,ROWS($M$2:M196),2)),"")</f>
        <v/>
      </c>
      <c r="N196" s="15" t="str" cm="1">
        <f t="array" ref="N196">IF(OR(Table2[[#This Row],[Film]]="",Table2[[#This Row],[Grade]]=""),"",IFERROR(INDEX(Table4[Serial Number],MATCH(1,(Table4[Film]=Table2[[#This Row],[Film]])*(Table4[Grade]=Table2[[#This Row],[Grade]]),0)),""))</f>
        <v/>
      </c>
      <c r="O196" s="51" t="str">
        <f>IF(OR(Table2[[#This Row],[Film]]="",Table2[[#This Row],[Grade]]=""),"",SUMIFS(Table4[Price Calculated(€) Thickness &amp; QTY related],Table4[Film],Table2[[#This Row],[Film]],Table4[Grade],Table2[[#This Row],[Grade]]))</f>
        <v/>
      </c>
      <c r="P196" s="6"/>
      <c r="T196" s="6"/>
    </row>
    <row r="197" spans="1:20" hidden="1">
      <c r="A197" s="29" t="s">
        <v>46</v>
      </c>
      <c r="B197" s="29" t="s">
        <v>6</v>
      </c>
      <c r="C197" s="28"/>
      <c r="D197" s="28" t="str">
        <f>IF(C197="","",IFERROR(_xlfn.XLOOKUP(C197,HELPER!$A$2:$A$81,HELPER!$B$2:$B$81,""),D197))</f>
        <v/>
      </c>
      <c r="E197" s="28" t="str">
        <f>IFERROR(_xlfn.XLOOKUP(D197,HELPER!$B:$B,HELPER!$C:$C,""),"")</f>
        <v/>
      </c>
      <c r="F197" s="27" t="str">
        <f>IFERROR(_xlfn.XLOOKUP(D197,HELPER!$B:$B,HELPER!$D:$D,""),"")</f>
        <v/>
      </c>
      <c r="G197" s="27">
        <v>8</v>
      </c>
      <c r="H197" s="46"/>
      <c r="I197" s="47" t="str">
        <f>IF(AND(H197&lt;&gt;"",IFERROR(_xlfn.XLOOKUP(D197,HELPER!$B:$B,HELPER!$E:$E,""),"")=""),"Missing price",IFERROR(_xlfn.XLOOKUP(D197,HELPER!$B:$B,HELPER!$E:$E,"")," "))</f>
        <v/>
      </c>
      <c r="J197" s="47" t="str">
        <f>IFERROR(H197*(IF(G197=8,I197*HELPER!$G$2,BOM!I197*HELPER!$G$3))," ")</f>
        <v xml:space="preserve"> </v>
      </c>
      <c r="K197" s="6"/>
      <c r="L197" s="14" t="str" cm="1">
        <f t="array" ref="L197">IFERROR(_xlfn.LET(_xlpm.films,Table4[Film],_xlpm.grades,Table4[Grade],_xlpm.pairs,_xlfn._xlws.FILTER(_xlfn.HSTACK(_xlpm.films,_xlpm.grades),(_xlpm.films&lt;&gt;"")*(TRIM(_xlpm.grades)&lt;&gt;"")),_xlpm.uniquePairs,_xlfn.UNIQUE(_xlpm.pairs),_xlpm.sortedPairs,_xlfn._xlws.SORT(_xlpm.uniquePairs,1,1),INDEX(_xlpm.sortedPairs,ROWS($L$2:L197),1)),"")</f>
        <v/>
      </c>
      <c r="M197" s="15" t="str" cm="1">
        <f t="array" ref="M197">IFERROR(_xlfn.LET(_xlpm.films,Table4[Film],_xlpm.grades,Table4[Grade],_xlpm.pairs,_xlfn._xlws.FILTER(_xlfn.HSTACK(_xlpm.films,_xlpm.grades),(_xlpm.films&lt;&gt;"")*(TRIM(_xlpm.grades)&lt;&gt;"")),_xlpm.uniquePairs,_xlfn.UNIQUE(_xlpm.pairs),_xlpm.sortedPairs,_xlfn._xlws.SORT(_xlpm.uniquePairs,1,1),INDEX(_xlpm.sortedPairs,ROWS($M$2:M197),2)),"")</f>
        <v/>
      </c>
      <c r="N197" s="15" t="str" cm="1">
        <f t="array" ref="N197">IF(OR(Table2[[#This Row],[Film]]="",Table2[[#This Row],[Grade]]=""),"",IFERROR(INDEX(Table4[Serial Number],MATCH(1,(Table4[Film]=Table2[[#This Row],[Film]])*(Table4[Grade]=Table2[[#This Row],[Grade]]),0)),""))</f>
        <v/>
      </c>
      <c r="O197" s="51" t="str">
        <f>IF(OR(Table2[[#This Row],[Film]]="",Table2[[#This Row],[Grade]]=""),"",SUMIFS(Table4[Price Calculated(€) Thickness &amp; QTY related],Table4[Film],Table2[[#This Row],[Film]],Table4[Grade],Table2[[#This Row],[Grade]]))</f>
        <v/>
      </c>
      <c r="P197" s="6"/>
      <c r="T197" s="6"/>
    </row>
    <row r="198" spans="1:20" hidden="1">
      <c r="A198" s="29" t="s">
        <v>46</v>
      </c>
      <c r="B198" s="29" t="s">
        <v>6</v>
      </c>
      <c r="C198" s="28"/>
      <c r="D198" s="28" t="str">
        <f>IF(C198="","",IFERROR(_xlfn.XLOOKUP(C198,HELPER!$A$2:$A$81,HELPER!$B$2:$B$81,""),D198))</f>
        <v/>
      </c>
      <c r="E198" s="28" t="str">
        <f>IFERROR(_xlfn.XLOOKUP(D198,HELPER!$B:$B,HELPER!$C:$C,""),"")</f>
        <v/>
      </c>
      <c r="F198" s="27" t="str">
        <f>IFERROR(_xlfn.XLOOKUP(D198,HELPER!$B:$B,HELPER!$D:$D,""),"")</f>
        <v/>
      </c>
      <c r="G198" s="27">
        <v>8</v>
      </c>
      <c r="H198" s="46"/>
      <c r="I198" s="47" t="str">
        <f>IF(AND(H198&lt;&gt;"",IFERROR(_xlfn.XLOOKUP(D198,HELPER!$B:$B,HELPER!$E:$E,""),"")=""),"Missing price",IFERROR(_xlfn.XLOOKUP(D198,HELPER!$B:$B,HELPER!$E:$E,"")," "))</f>
        <v/>
      </c>
      <c r="J198" s="47" t="str">
        <f>IFERROR(H198*(IF(G198=8,I198*HELPER!$G$2,BOM!I198*HELPER!$G$3))," ")</f>
        <v xml:space="preserve"> </v>
      </c>
      <c r="K198" s="6"/>
      <c r="L198" s="14" t="str" cm="1">
        <f t="array" ref="L198">IFERROR(_xlfn.LET(_xlpm.films,Table4[Film],_xlpm.grades,Table4[Grade],_xlpm.pairs,_xlfn._xlws.FILTER(_xlfn.HSTACK(_xlpm.films,_xlpm.grades),(_xlpm.films&lt;&gt;"")*(TRIM(_xlpm.grades)&lt;&gt;"")),_xlpm.uniquePairs,_xlfn.UNIQUE(_xlpm.pairs),_xlpm.sortedPairs,_xlfn._xlws.SORT(_xlpm.uniquePairs,1,1),INDEX(_xlpm.sortedPairs,ROWS($L$2:L198),1)),"")</f>
        <v/>
      </c>
      <c r="M198" s="15" t="str" cm="1">
        <f t="array" ref="M198">IFERROR(_xlfn.LET(_xlpm.films,Table4[Film],_xlpm.grades,Table4[Grade],_xlpm.pairs,_xlfn._xlws.FILTER(_xlfn.HSTACK(_xlpm.films,_xlpm.grades),(_xlpm.films&lt;&gt;"")*(TRIM(_xlpm.grades)&lt;&gt;"")),_xlpm.uniquePairs,_xlfn.UNIQUE(_xlpm.pairs),_xlpm.sortedPairs,_xlfn._xlws.SORT(_xlpm.uniquePairs,1,1),INDEX(_xlpm.sortedPairs,ROWS($M$2:M198),2)),"")</f>
        <v/>
      </c>
      <c r="N198" s="15" t="str" cm="1">
        <f t="array" ref="N198">IF(OR(Table2[[#This Row],[Film]]="",Table2[[#This Row],[Grade]]=""),"",IFERROR(INDEX(Table4[Serial Number],MATCH(1,(Table4[Film]=Table2[[#This Row],[Film]])*(Table4[Grade]=Table2[[#This Row],[Grade]]),0)),""))</f>
        <v/>
      </c>
      <c r="O198" s="51" t="str">
        <f>IF(OR(Table2[[#This Row],[Film]]="",Table2[[#This Row],[Grade]]=""),"",SUMIFS(Table4[Price Calculated(€) Thickness &amp; QTY related],Table4[Film],Table2[[#This Row],[Film]],Table4[Grade],Table2[[#This Row],[Grade]]))</f>
        <v/>
      </c>
      <c r="P198" s="6"/>
      <c r="T198" s="6"/>
    </row>
    <row r="199" spans="1:20" hidden="1">
      <c r="A199" s="29" t="s">
        <v>46</v>
      </c>
      <c r="B199" s="29" t="s">
        <v>6</v>
      </c>
      <c r="C199" s="28"/>
      <c r="D199" s="28" t="str">
        <f>IF(C199="","",IFERROR(_xlfn.XLOOKUP(C199,HELPER!$A$2:$A$81,HELPER!$B$2:$B$81,""),D199))</f>
        <v/>
      </c>
      <c r="E199" s="28" t="str">
        <f>IFERROR(_xlfn.XLOOKUP(D199,HELPER!$B:$B,HELPER!$C:$C,""),"")</f>
        <v/>
      </c>
      <c r="F199" s="27" t="str">
        <f>IFERROR(_xlfn.XLOOKUP(D199,HELPER!$B:$B,HELPER!$D:$D,""),"")</f>
        <v/>
      </c>
      <c r="G199" s="27">
        <v>8</v>
      </c>
      <c r="H199" s="46"/>
      <c r="I199" s="47" t="str">
        <f>IF(AND(H199&lt;&gt;"",IFERROR(_xlfn.XLOOKUP(D199,HELPER!$B:$B,HELPER!$E:$E,""),"")=""),"Missing price",IFERROR(_xlfn.XLOOKUP(D199,HELPER!$B:$B,HELPER!$E:$E,"")," "))</f>
        <v/>
      </c>
      <c r="J199" s="47" t="str">
        <f>IFERROR(H199*(IF(G199=8,I199*HELPER!$G$2,BOM!I199*HELPER!$G$3))," ")</f>
        <v xml:space="preserve"> </v>
      </c>
      <c r="K199" s="6"/>
      <c r="L199" s="14" t="str" cm="1">
        <f t="array" ref="L199">IFERROR(_xlfn.LET(_xlpm.films,Table4[Film],_xlpm.grades,Table4[Grade],_xlpm.pairs,_xlfn._xlws.FILTER(_xlfn.HSTACK(_xlpm.films,_xlpm.grades),(_xlpm.films&lt;&gt;"")*(TRIM(_xlpm.grades)&lt;&gt;"")),_xlpm.uniquePairs,_xlfn.UNIQUE(_xlpm.pairs),_xlpm.sortedPairs,_xlfn._xlws.SORT(_xlpm.uniquePairs,1,1),INDEX(_xlpm.sortedPairs,ROWS($L$2:L199),1)),"")</f>
        <v/>
      </c>
      <c r="M199" s="15" t="str" cm="1">
        <f t="array" ref="M199">IFERROR(_xlfn.LET(_xlpm.films,Table4[Film],_xlpm.grades,Table4[Grade],_xlpm.pairs,_xlfn._xlws.FILTER(_xlfn.HSTACK(_xlpm.films,_xlpm.grades),(_xlpm.films&lt;&gt;"")*(TRIM(_xlpm.grades)&lt;&gt;"")),_xlpm.uniquePairs,_xlfn.UNIQUE(_xlpm.pairs),_xlpm.sortedPairs,_xlfn._xlws.SORT(_xlpm.uniquePairs,1,1),INDEX(_xlpm.sortedPairs,ROWS($M$2:M199),2)),"")</f>
        <v/>
      </c>
      <c r="N199" s="15" t="str" cm="1">
        <f t="array" ref="N199">IF(OR(Table2[[#This Row],[Film]]="",Table2[[#This Row],[Grade]]=""),"",IFERROR(INDEX(Table4[Serial Number],MATCH(1,(Table4[Film]=Table2[[#This Row],[Film]])*(Table4[Grade]=Table2[[#This Row],[Grade]]),0)),""))</f>
        <v/>
      </c>
      <c r="O199" s="51" t="str">
        <f>IF(OR(Table2[[#This Row],[Film]]="",Table2[[#This Row],[Grade]]=""),"",SUMIFS(Table4[Price Calculated(€) Thickness &amp; QTY related],Table4[Film],Table2[[#This Row],[Film]],Table4[Grade],Table2[[#This Row],[Grade]]))</f>
        <v/>
      </c>
      <c r="P199" s="6"/>
      <c r="T199" s="6"/>
    </row>
    <row r="200" spans="1:20" hidden="1">
      <c r="A200" s="29" t="s">
        <v>46</v>
      </c>
      <c r="B200" s="29" t="s">
        <v>6</v>
      </c>
      <c r="C200" s="28"/>
      <c r="D200" s="28" t="str">
        <f>IF(C200="","",IFERROR(_xlfn.XLOOKUP(C200,HELPER!$A$2:$A$81,HELPER!$B$2:$B$81,""),D200))</f>
        <v/>
      </c>
      <c r="E200" s="28" t="str">
        <f>IFERROR(_xlfn.XLOOKUP(D200,HELPER!$B:$B,HELPER!$C:$C,""),"")</f>
        <v/>
      </c>
      <c r="F200" s="27" t="str">
        <f>IFERROR(_xlfn.XLOOKUP(D200,HELPER!$B:$B,HELPER!$D:$D,""),"")</f>
        <v/>
      </c>
      <c r="G200" s="27">
        <v>8</v>
      </c>
      <c r="H200" s="46"/>
      <c r="I200" s="47" t="str">
        <f>IF(AND(H200&lt;&gt;"",IFERROR(_xlfn.XLOOKUP(D200,HELPER!$B:$B,HELPER!$E:$E,""),"")=""),"Missing price",IFERROR(_xlfn.XLOOKUP(D200,HELPER!$B:$B,HELPER!$E:$E,"")," "))</f>
        <v/>
      </c>
      <c r="J200" s="47" t="str">
        <f>IFERROR(H200*(IF(G200=8,I200*HELPER!$G$2,BOM!I200*HELPER!$G$3))," ")</f>
        <v xml:space="preserve"> </v>
      </c>
      <c r="K200" s="6"/>
      <c r="L200" s="14" t="str" cm="1">
        <f t="array" ref="L200">IFERROR(_xlfn.LET(_xlpm.films,Table4[Film],_xlpm.grades,Table4[Grade],_xlpm.pairs,_xlfn._xlws.FILTER(_xlfn.HSTACK(_xlpm.films,_xlpm.grades),(_xlpm.films&lt;&gt;"")*(TRIM(_xlpm.grades)&lt;&gt;"")),_xlpm.uniquePairs,_xlfn.UNIQUE(_xlpm.pairs),_xlpm.sortedPairs,_xlfn._xlws.SORT(_xlpm.uniquePairs,1,1),INDEX(_xlpm.sortedPairs,ROWS($L$2:L200),1)),"")</f>
        <v/>
      </c>
      <c r="M200" s="15" t="str" cm="1">
        <f t="array" ref="M200">IFERROR(_xlfn.LET(_xlpm.films,Table4[Film],_xlpm.grades,Table4[Grade],_xlpm.pairs,_xlfn._xlws.FILTER(_xlfn.HSTACK(_xlpm.films,_xlpm.grades),(_xlpm.films&lt;&gt;"")*(TRIM(_xlpm.grades)&lt;&gt;"")),_xlpm.uniquePairs,_xlfn.UNIQUE(_xlpm.pairs),_xlpm.sortedPairs,_xlfn._xlws.SORT(_xlpm.uniquePairs,1,1),INDEX(_xlpm.sortedPairs,ROWS($M$2:M200),2)),"")</f>
        <v/>
      </c>
      <c r="N200" s="15" t="str" cm="1">
        <f t="array" ref="N200">IF(OR(Table2[[#This Row],[Film]]="",Table2[[#This Row],[Grade]]=""),"",IFERROR(INDEX(Table4[Serial Number],MATCH(1,(Table4[Film]=Table2[[#This Row],[Film]])*(Table4[Grade]=Table2[[#This Row],[Grade]]),0)),""))</f>
        <v/>
      </c>
      <c r="O200" s="51" t="str">
        <f>IF(OR(Table2[[#This Row],[Film]]="",Table2[[#This Row],[Grade]]=""),"",SUMIFS(Table4[Price Calculated(€) Thickness &amp; QTY related],Table4[Film],Table2[[#This Row],[Film]],Table4[Grade],Table2[[#This Row],[Grade]]))</f>
        <v/>
      </c>
      <c r="P200" s="6"/>
      <c r="T200" s="6"/>
    </row>
    <row r="201" spans="1:20" hidden="1">
      <c r="A201" s="29" t="s">
        <v>46</v>
      </c>
      <c r="B201" s="29" t="s">
        <v>6</v>
      </c>
      <c r="C201" s="28"/>
      <c r="D201" s="28" t="str">
        <f>IF(C201="","",IFERROR(_xlfn.XLOOKUP(C201,HELPER!$A$2:$A$81,HELPER!$B$2:$B$81,""),D201))</f>
        <v/>
      </c>
      <c r="E201" s="28" t="str">
        <f>IFERROR(_xlfn.XLOOKUP(D201,HELPER!$B:$B,HELPER!$C:$C,""),"")</f>
        <v/>
      </c>
      <c r="F201" s="27" t="str">
        <f>IFERROR(_xlfn.XLOOKUP(D201,HELPER!$B:$B,HELPER!$D:$D,""),"")</f>
        <v/>
      </c>
      <c r="G201" s="27">
        <v>8</v>
      </c>
      <c r="H201" s="46"/>
      <c r="I201" s="47" t="str">
        <f>IF(AND(H201&lt;&gt;"",IFERROR(_xlfn.XLOOKUP(D201,HELPER!$B:$B,HELPER!$E:$E,""),"")=""),"Missing price",IFERROR(_xlfn.XLOOKUP(D201,HELPER!$B:$B,HELPER!$E:$E,"")," "))</f>
        <v/>
      </c>
      <c r="J201" s="47" t="str">
        <f>IFERROR(H201*(IF(G201=8,I201*HELPER!$G$2,BOM!I201*HELPER!$G$3))," ")</f>
        <v xml:space="preserve"> </v>
      </c>
      <c r="K201" s="6"/>
      <c r="L201" s="14" t="str" cm="1">
        <f t="array" ref="L201">IFERROR(_xlfn.LET(_xlpm.films,Table4[Film],_xlpm.grades,Table4[Grade],_xlpm.pairs,_xlfn._xlws.FILTER(_xlfn.HSTACK(_xlpm.films,_xlpm.grades),(_xlpm.films&lt;&gt;"")*(TRIM(_xlpm.grades)&lt;&gt;"")),_xlpm.uniquePairs,_xlfn.UNIQUE(_xlpm.pairs),_xlpm.sortedPairs,_xlfn._xlws.SORT(_xlpm.uniquePairs,1,1),INDEX(_xlpm.sortedPairs,ROWS($L$2:L201),1)),"")</f>
        <v/>
      </c>
      <c r="M201" s="15" t="str" cm="1">
        <f t="array" ref="M201">IFERROR(_xlfn.LET(_xlpm.films,Table4[Film],_xlpm.grades,Table4[Grade],_xlpm.pairs,_xlfn._xlws.FILTER(_xlfn.HSTACK(_xlpm.films,_xlpm.grades),(_xlpm.films&lt;&gt;"")*(TRIM(_xlpm.grades)&lt;&gt;"")),_xlpm.uniquePairs,_xlfn.UNIQUE(_xlpm.pairs),_xlpm.sortedPairs,_xlfn._xlws.SORT(_xlpm.uniquePairs,1,1),INDEX(_xlpm.sortedPairs,ROWS($M$2:M201),2)),"")</f>
        <v/>
      </c>
      <c r="N201" s="15" t="str" cm="1">
        <f t="array" ref="N201">IF(OR(Table2[[#This Row],[Film]]="",Table2[[#This Row],[Grade]]=""),"",IFERROR(INDEX(Table4[Serial Number],MATCH(1,(Table4[Film]=Table2[[#This Row],[Film]])*(Table4[Grade]=Table2[[#This Row],[Grade]]),0)),""))</f>
        <v/>
      </c>
      <c r="O201" s="51" t="str">
        <f>IF(OR(Table2[[#This Row],[Film]]="",Table2[[#This Row],[Grade]]=""),"",SUMIFS(Table4[Price Calculated(€) Thickness &amp; QTY related],Table4[Film],Table2[[#This Row],[Film]],Table4[Grade],Table2[[#This Row],[Grade]]))</f>
        <v/>
      </c>
      <c r="P201" s="6"/>
      <c r="T201" s="6"/>
    </row>
    <row r="202" spans="1:20" hidden="1">
      <c r="A202" s="29" t="s">
        <v>46</v>
      </c>
      <c r="B202" s="29" t="s">
        <v>7</v>
      </c>
      <c r="C202" s="28" t="s">
        <v>14</v>
      </c>
      <c r="D202" s="28" t="str">
        <f>IF(C202="","",IFERROR(_xlfn.XLOOKUP(C202,HELPER!$A$2:$A$81,HELPER!$B$2:$B$81,""),D202))</f>
        <v>B12</v>
      </c>
      <c r="E202" s="28" t="str">
        <f>IFERROR(_xlfn.XLOOKUP(D202,HELPER!$B:$B,HELPER!$C:$C,""),"")</f>
        <v>RMB12</v>
      </c>
      <c r="F202" s="27" t="str">
        <f>IFERROR(_xlfn.XLOOKUP(D202,HELPER!$B:$B,HELPER!$D:$D,""),"")</f>
        <v>Resin 2A</v>
      </c>
      <c r="G202" s="27">
        <v>8</v>
      </c>
      <c r="H202" s="46">
        <v>0.69</v>
      </c>
      <c r="I202" s="47">
        <f>IF(AND(H202&lt;&gt;"",IFERROR(_xlfn.XLOOKUP(D202,HELPER!$B:$B,HELPER!$E:$E,""),"")=""),"Missing price",IFERROR(_xlfn.XLOOKUP(D202,HELPER!$B:$B,HELPER!$E:$E,"")," "))</f>
        <v>1.81</v>
      </c>
      <c r="J202" s="47">
        <f>IFERROR(H202*(IF(G202=8,I202*HELPER!$G$2,BOM!I202*HELPER!$G$3))," ")</f>
        <v>0.24978</v>
      </c>
      <c r="K202" s="6"/>
      <c r="L202" s="14" t="str" cm="1">
        <f t="array" ref="L202">IFERROR(_xlfn.LET(_xlpm.films,Table4[Film],_xlpm.grades,Table4[Grade],_xlpm.pairs,_xlfn._xlws.FILTER(_xlfn.HSTACK(_xlpm.films,_xlpm.grades),(_xlpm.films&lt;&gt;"")*(TRIM(_xlpm.grades)&lt;&gt;"")),_xlpm.uniquePairs,_xlfn.UNIQUE(_xlpm.pairs),_xlpm.sortedPairs,_xlfn._xlws.SORT(_xlpm.uniquePairs,1,1),INDEX(_xlpm.sortedPairs,ROWS($L$2:L202),1)),"")</f>
        <v/>
      </c>
      <c r="M202" s="15" t="str" cm="1">
        <f t="array" ref="M202">IFERROR(_xlfn.LET(_xlpm.films,Table4[Film],_xlpm.grades,Table4[Grade],_xlpm.pairs,_xlfn._xlws.FILTER(_xlfn.HSTACK(_xlpm.films,_xlpm.grades),(_xlpm.films&lt;&gt;"")*(TRIM(_xlpm.grades)&lt;&gt;"")),_xlpm.uniquePairs,_xlfn.UNIQUE(_xlpm.pairs),_xlpm.sortedPairs,_xlfn._xlws.SORT(_xlpm.uniquePairs,1,1),INDEX(_xlpm.sortedPairs,ROWS($M$2:M202),2)),"")</f>
        <v/>
      </c>
      <c r="N202" s="15" t="str" cm="1">
        <f t="array" ref="N202">IF(OR(Table2[[#This Row],[Film]]="",Table2[[#This Row],[Grade]]=""),"",IFERROR(INDEX(Table4[Serial Number],MATCH(1,(Table4[Film]=Table2[[#This Row],[Film]])*(Table4[Grade]=Table2[[#This Row],[Grade]]),0)),""))</f>
        <v/>
      </c>
      <c r="O202" s="51" t="str">
        <f>IF(OR(Table2[[#This Row],[Film]]="",Table2[[#This Row],[Grade]]=""),"",SUMIFS(Table4[Price Calculated(€) Thickness &amp; QTY related],Table4[Film],Table2[[#This Row],[Film]],Table4[Grade],Table2[[#This Row],[Grade]]))</f>
        <v/>
      </c>
      <c r="P202" s="6"/>
      <c r="T202" s="6"/>
    </row>
    <row r="203" spans="1:20" hidden="1">
      <c r="A203" s="29" t="s">
        <v>46</v>
      </c>
      <c r="B203" s="29" t="s">
        <v>7</v>
      </c>
      <c r="C203" s="28" t="s">
        <v>19</v>
      </c>
      <c r="D203" s="28" t="str">
        <f>IF(C203="","",IFERROR(_xlfn.XLOOKUP(C203,HELPER!$A$2:$A$81,HELPER!$B$2:$B$81,""),D203))</f>
        <v>BVE8049P</v>
      </c>
      <c r="E203" s="28" t="str">
        <f>IFERROR(_xlfn.XLOOKUP(D203,HELPER!$B:$B,HELPER!$C:$C,""),"")</f>
        <v>BVE8049P</v>
      </c>
      <c r="F203" s="27" t="str">
        <f>IFERROR(_xlfn.XLOOKUP(D203,HELPER!$B:$B,HELPER!$D:$D,""),"")</f>
        <v>BVE8049P</v>
      </c>
      <c r="G203" s="27">
        <v>8</v>
      </c>
      <c r="H203" s="46">
        <v>0.28999999999999998</v>
      </c>
      <c r="I203" s="47">
        <f>IF(AND(H203&lt;&gt;"",IFERROR(_xlfn.XLOOKUP(D203,HELPER!$B:$B,HELPER!$E:$E,""),"")=""),"Missing price",IFERROR(_xlfn.XLOOKUP(D203,HELPER!$B:$B,HELPER!$E:$E,"")," "))</f>
        <v>18.5</v>
      </c>
      <c r="J203" s="47">
        <f>IFERROR(H203*(IF(G203=8,I203*HELPER!$G$2,BOM!I203*HELPER!$G$3))," ")</f>
        <v>1.073</v>
      </c>
      <c r="K203" s="6"/>
      <c r="L203" s="14" t="str" cm="1">
        <f t="array" ref="L203">IFERROR(_xlfn.LET(_xlpm.films,Table4[Film],_xlpm.grades,Table4[Grade],_xlpm.pairs,_xlfn._xlws.FILTER(_xlfn.HSTACK(_xlpm.films,_xlpm.grades),(_xlpm.films&lt;&gt;"")*(TRIM(_xlpm.grades)&lt;&gt;"")),_xlpm.uniquePairs,_xlfn.UNIQUE(_xlpm.pairs),_xlpm.sortedPairs,_xlfn._xlws.SORT(_xlpm.uniquePairs,1,1),INDEX(_xlpm.sortedPairs,ROWS($L$2:L203),1)),"")</f>
        <v/>
      </c>
      <c r="M203" s="15" t="str" cm="1">
        <f t="array" ref="M203">IFERROR(_xlfn.LET(_xlpm.films,Table4[Film],_xlpm.grades,Table4[Grade],_xlpm.pairs,_xlfn._xlws.FILTER(_xlfn.HSTACK(_xlpm.films,_xlpm.grades),(_xlpm.films&lt;&gt;"")*(TRIM(_xlpm.grades)&lt;&gt;"")),_xlpm.uniquePairs,_xlfn.UNIQUE(_xlpm.pairs),_xlpm.sortedPairs,_xlfn._xlws.SORT(_xlpm.uniquePairs,1,1),INDEX(_xlpm.sortedPairs,ROWS($M$2:M203),2)),"")</f>
        <v/>
      </c>
      <c r="N203" s="15" t="str" cm="1">
        <f t="array" ref="N203">IF(OR(Table2[[#This Row],[Film]]="",Table2[[#This Row],[Grade]]=""),"",IFERROR(INDEX(Table4[Serial Number],MATCH(1,(Table4[Film]=Table2[[#This Row],[Film]])*(Table4[Grade]=Table2[[#This Row],[Grade]]),0)),""))</f>
        <v/>
      </c>
      <c r="O203" s="51" t="str">
        <f>IF(OR(Table2[[#This Row],[Film]]="",Table2[[#This Row],[Grade]]=""),"",SUMIFS(Table4[Price Calculated(€) Thickness &amp; QTY related],Table4[Film],Table2[[#This Row],[Film]],Table4[Grade],Table2[[#This Row],[Grade]]))</f>
        <v/>
      </c>
      <c r="P203" s="6"/>
      <c r="T203" s="6"/>
    </row>
    <row r="204" spans="1:20" hidden="1">
      <c r="A204" s="29" t="s">
        <v>46</v>
      </c>
      <c r="B204" s="29" t="s">
        <v>7</v>
      </c>
      <c r="C204" s="28" t="s">
        <v>16</v>
      </c>
      <c r="D204" s="28" t="str">
        <f>IF(C204="","",IFERROR(_xlfn.XLOOKUP(C204,HELPER!$A$2:$A$81,HELPER!$B$2:$B$81,""),D204))</f>
        <v>S723</v>
      </c>
      <c r="E204" s="28" t="str">
        <f>IFERROR(_xlfn.XLOOKUP(D204,HELPER!$B:$B,HELPER!$C:$C,""),"")</f>
        <v>RM TA45-08 S723</v>
      </c>
      <c r="F204" s="27" t="str">
        <f>IFERROR(_xlfn.XLOOKUP(D204,HELPER!$B:$B,HELPER!$D:$D,""),"")</f>
        <v>Resin 6</v>
      </c>
      <c r="G204" s="27">
        <v>8</v>
      </c>
      <c r="H204" s="46">
        <v>0.02</v>
      </c>
      <c r="I204" s="47">
        <f>IF(AND(H204&lt;&gt;"",IFERROR(_xlfn.XLOOKUP(D204,HELPER!$B:$B,HELPER!$E:$E,""),"")=""),"Missing price",IFERROR(_xlfn.XLOOKUP(D204,HELPER!$B:$B,HELPER!$E:$E,"")," "))</f>
        <v>16.16</v>
      </c>
      <c r="J204" s="47">
        <f>IFERROR(H204*(IF(G204=8,I204*HELPER!$G$2,BOM!I204*HELPER!$G$3))," ")</f>
        <v>6.4640000000000003E-2</v>
      </c>
      <c r="K204" s="6"/>
      <c r="L204" s="14" t="str" cm="1">
        <f t="array" ref="L204">IFERROR(_xlfn.LET(_xlpm.films,Table4[Film],_xlpm.grades,Table4[Grade],_xlpm.pairs,_xlfn._xlws.FILTER(_xlfn.HSTACK(_xlpm.films,_xlpm.grades),(_xlpm.films&lt;&gt;"")*(TRIM(_xlpm.grades)&lt;&gt;"")),_xlpm.uniquePairs,_xlfn.UNIQUE(_xlpm.pairs),_xlpm.sortedPairs,_xlfn._xlws.SORT(_xlpm.uniquePairs,1,1),INDEX(_xlpm.sortedPairs,ROWS($L$2:L204),1)),"")</f>
        <v/>
      </c>
      <c r="M204" s="15" t="str" cm="1">
        <f t="array" ref="M204">IFERROR(_xlfn.LET(_xlpm.films,Table4[Film],_xlpm.grades,Table4[Grade],_xlpm.pairs,_xlfn._xlws.FILTER(_xlfn.HSTACK(_xlpm.films,_xlpm.grades),(_xlpm.films&lt;&gt;"")*(TRIM(_xlpm.grades)&lt;&gt;"")),_xlpm.uniquePairs,_xlfn.UNIQUE(_xlpm.pairs),_xlpm.sortedPairs,_xlfn._xlws.SORT(_xlpm.uniquePairs,1,1),INDEX(_xlpm.sortedPairs,ROWS($M$2:M204),2)),"")</f>
        <v/>
      </c>
      <c r="N204" s="15" t="str" cm="1">
        <f t="array" ref="N204">IF(OR(Table2[[#This Row],[Film]]="",Table2[[#This Row],[Grade]]=""),"",IFERROR(INDEX(Table4[Serial Number],MATCH(1,(Table4[Film]=Table2[[#This Row],[Film]])*(Table4[Grade]=Table2[[#This Row],[Grade]]),0)),""))</f>
        <v/>
      </c>
      <c r="O204" s="51" t="str">
        <f>IF(OR(Table2[[#This Row],[Film]]="",Table2[[#This Row],[Grade]]=""),"",SUMIFS(Table4[Price Calculated(€) Thickness &amp; QTY related],Table4[Film],Table2[[#This Row],[Film]],Table4[Grade],Table2[[#This Row],[Grade]]))</f>
        <v/>
      </c>
      <c r="P204" s="6"/>
      <c r="T204" s="6"/>
    </row>
    <row r="205" spans="1:20" hidden="1">
      <c r="A205" s="29" t="s">
        <v>46</v>
      </c>
      <c r="B205" s="29" t="s">
        <v>7</v>
      </c>
      <c r="C205" s="28"/>
      <c r="D205" s="28" t="str">
        <f>IF(C205="","",IFERROR(_xlfn.XLOOKUP(C205,HELPER!$A$2:$A$81,HELPER!$B$2:$B$81,""),D205))</f>
        <v/>
      </c>
      <c r="E205" s="28" t="str">
        <f>IFERROR(_xlfn.XLOOKUP(D205,HELPER!$B:$B,HELPER!$C:$C,""),"")</f>
        <v/>
      </c>
      <c r="F205" s="27" t="str">
        <f>IFERROR(_xlfn.XLOOKUP(D205,HELPER!$B:$B,HELPER!$D:$D,""),"")</f>
        <v/>
      </c>
      <c r="G205" s="27">
        <v>8</v>
      </c>
      <c r="H205" s="46"/>
      <c r="I205" s="47" t="str">
        <f>IF(AND(H205&lt;&gt;"",IFERROR(_xlfn.XLOOKUP(D205,HELPER!$B:$B,HELPER!$E:$E,""),"")=""),"Missing price",IFERROR(_xlfn.XLOOKUP(D205,HELPER!$B:$B,HELPER!$E:$E,"")," "))</f>
        <v/>
      </c>
      <c r="J205" s="47" t="str">
        <f>IFERROR(H205*(IF(G205=8,I205*HELPER!$G$2,BOM!I205*HELPER!$G$3))," ")</f>
        <v xml:space="preserve"> </v>
      </c>
      <c r="K205" s="6"/>
      <c r="L205" s="14" t="str" cm="1">
        <f t="array" ref="L205">IFERROR(_xlfn.LET(_xlpm.films,Table4[Film],_xlpm.grades,Table4[Grade],_xlpm.pairs,_xlfn._xlws.FILTER(_xlfn.HSTACK(_xlpm.films,_xlpm.grades),(_xlpm.films&lt;&gt;"")*(TRIM(_xlpm.grades)&lt;&gt;"")),_xlpm.uniquePairs,_xlfn.UNIQUE(_xlpm.pairs),_xlpm.sortedPairs,_xlfn._xlws.SORT(_xlpm.uniquePairs,1,1),INDEX(_xlpm.sortedPairs,ROWS($L$2:L205),1)),"")</f>
        <v/>
      </c>
      <c r="M205" s="15" t="str" cm="1">
        <f t="array" ref="M205">IFERROR(_xlfn.LET(_xlpm.films,Table4[Film],_xlpm.grades,Table4[Grade],_xlpm.pairs,_xlfn._xlws.FILTER(_xlfn.HSTACK(_xlpm.films,_xlpm.grades),(_xlpm.films&lt;&gt;"")*(TRIM(_xlpm.grades)&lt;&gt;"")),_xlpm.uniquePairs,_xlfn.UNIQUE(_xlpm.pairs),_xlpm.sortedPairs,_xlfn._xlws.SORT(_xlpm.uniquePairs,1,1),INDEX(_xlpm.sortedPairs,ROWS($M$2:M205),2)),"")</f>
        <v/>
      </c>
      <c r="N205" s="15" t="str" cm="1">
        <f t="array" ref="N205">IF(OR(Table2[[#This Row],[Film]]="",Table2[[#This Row],[Grade]]=""),"",IFERROR(INDEX(Table4[Serial Number],MATCH(1,(Table4[Film]=Table2[[#This Row],[Film]])*(Table4[Grade]=Table2[[#This Row],[Grade]]),0)),""))</f>
        <v/>
      </c>
      <c r="O205" s="51" t="str">
        <f>IF(OR(Table2[[#This Row],[Film]]="",Table2[[#This Row],[Grade]]=""),"",SUMIFS(Table4[Price Calculated(€) Thickness &amp; QTY related],Table4[Film],Table2[[#This Row],[Film]],Table4[Grade],Table2[[#This Row],[Grade]]))</f>
        <v/>
      </c>
      <c r="P205" s="6"/>
      <c r="T205" s="6"/>
    </row>
    <row r="206" spans="1:20" hidden="1">
      <c r="A206" s="29" t="s">
        <v>46</v>
      </c>
      <c r="B206" s="29" t="s">
        <v>7</v>
      </c>
      <c r="C206" s="28"/>
      <c r="D206" s="28" t="str">
        <f>IF(C206="","",IFERROR(_xlfn.XLOOKUP(C206,HELPER!$A$2:$A$81,HELPER!$B$2:$B$81,""),D206))</f>
        <v/>
      </c>
      <c r="E206" s="28" t="str">
        <f>IFERROR(_xlfn.XLOOKUP(D206,HELPER!$B:$B,HELPER!$C:$C,""),"")</f>
        <v/>
      </c>
      <c r="F206" s="27" t="str">
        <f>IFERROR(_xlfn.XLOOKUP(D206,HELPER!$B:$B,HELPER!$D:$D,""),"")</f>
        <v/>
      </c>
      <c r="G206" s="27">
        <v>8</v>
      </c>
      <c r="H206" s="46"/>
      <c r="I206" s="47" t="str">
        <f>IF(AND(H206&lt;&gt;"",IFERROR(_xlfn.XLOOKUP(D206,HELPER!$B:$B,HELPER!$E:$E,""),"")=""),"Missing price",IFERROR(_xlfn.XLOOKUP(D206,HELPER!$B:$B,HELPER!$E:$E,"")," "))</f>
        <v/>
      </c>
      <c r="J206" s="47" t="str">
        <f>IFERROR(H206*(IF(G206=8,I206*HELPER!$G$2,BOM!I206*HELPER!$G$3))," ")</f>
        <v xml:space="preserve"> </v>
      </c>
      <c r="K206" s="6"/>
      <c r="L206" s="14" t="str" cm="1">
        <f t="array" ref="L206">IFERROR(_xlfn.LET(_xlpm.films,Table4[Film],_xlpm.grades,Table4[Grade],_xlpm.pairs,_xlfn._xlws.FILTER(_xlfn.HSTACK(_xlpm.films,_xlpm.grades),(_xlpm.films&lt;&gt;"")*(TRIM(_xlpm.grades)&lt;&gt;"")),_xlpm.uniquePairs,_xlfn.UNIQUE(_xlpm.pairs),_xlpm.sortedPairs,_xlfn._xlws.SORT(_xlpm.uniquePairs,1,1),INDEX(_xlpm.sortedPairs,ROWS($L$2:L206),1)),"")</f>
        <v/>
      </c>
      <c r="M206" s="15" t="str" cm="1">
        <f t="array" ref="M206">IFERROR(_xlfn.LET(_xlpm.films,Table4[Film],_xlpm.grades,Table4[Grade],_xlpm.pairs,_xlfn._xlws.FILTER(_xlfn.HSTACK(_xlpm.films,_xlpm.grades),(_xlpm.films&lt;&gt;"")*(TRIM(_xlpm.grades)&lt;&gt;"")),_xlpm.uniquePairs,_xlfn.UNIQUE(_xlpm.pairs),_xlpm.sortedPairs,_xlfn._xlws.SORT(_xlpm.uniquePairs,1,1),INDEX(_xlpm.sortedPairs,ROWS($M$2:M206),2)),"")</f>
        <v/>
      </c>
      <c r="N206" s="15" t="str" cm="1">
        <f t="array" ref="N206">IF(OR(Table2[[#This Row],[Film]]="",Table2[[#This Row],[Grade]]=""),"",IFERROR(INDEX(Table4[Serial Number],MATCH(1,(Table4[Film]=Table2[[#This Row],[Film]])*(Table4[Grade]=Table2[[#This Row],[Grade]]),0)),""))</f>
        <v/>
      </c>
      <c r="O206" s="51" t="str">
        <f>IF(OR(Table2[[#This Row],[Film]]="",Table2[[#This Row],[Grade]]=""),"",SUMIFS(Table4[Price Calculated(€) Thickness &amp; QTY related],Table4[Film],Table2[[#This Row],[Film]],Table4[Grade],Table2[[#This Row],[Grade]]))</f>
        <v/>
      </c>
      <c r="P206" s="6"/>
      <c r="T206" s="6"/>
    </row>
    <row r="207" spans="1:20" hidden="1">
      <c r="A207" s="29" t="s">
        <v>46</v>
      </c>
      <c r="B207" s="29" t="s">
        <v>7</v>
      </c>
      <c r="C207" s="28"/>
      <c r="D207" s="28" t="str">
        <f>IF(C207="","",IFERROR(_xlfn.XLOOKUP(C207,HELPER!$A$2:$A$81,HELPER!$B$2:$B$81,""),D207))</f>
        <v/>
      </c>
      <c r="E207" s="28" t="str">
        <f>IFERROR(_xlfn.XLOOKUP(D207,HELPER!$B:$B,HELPER!$C:$C,""),"")</f>
        <v/>
      </c>
      <c r="F207" s="27" t="str">
        <f>IFERROR(_xlfn.XLOOKUP(D207,HELPER!$B:$B,HELPER!$D:$D,""),"")</f>
        <v/>
      </c>
      <c r="G207" s="27">
        <v>8</v>
      </c>
      <c r="H207" s="46"/>
      <c r="I207" s="47" t="str">
        <f>IF(AND(H207&lt;&gt;"",IFERROR(_xlfn.XLOOKUP(D207,HELPER!$B:$B,HELPER!$E:$E,""),"")=""),"Missing price",IFERROR(_xlfn.XLOOKUP(D207,HELPER!$B:$B,HELPER!$E:$E,"")," "))</f>
        <v/>
      </c>
      <c r="J207" s="47" t="str">
        <f>IFERROR(H207*(IF(G207=8,I207*HELPER!$G$2,BOM!I207*HELPER!$G$3))," ")</f>
        <v xml:space="preserve"> </v>
      </c>
      <c r="K207" s="6"/>
      <c r="L207" s="14" t="str" cm="1">
        <f t="array" ref="L207">IFERROR(_xlfn.LET(_xlpm.films,Table4[Film],_xlpm.grades,Table4[Grade],_xlpm.pairs,_xlfn._xlws.FILTER(_xlfn.HSTACK(_xlpm.films,_xlpm.grades),(_xlpm.films&lt;&gt;"")*(TRIM(_xlpm.grades)&lt;&gt;"")),_xlpm.uniquePairs,_xlfn.UNIQUE(_xlpm.pairs),_xlpm.sortedPairs,_xlfn._xlws.SORT(_xlpm.uniquePairs,1,1),INDEX(_xlpm.sortedPairs,ROWS($L$2:L207),1)),"")</f>
        <v/>
      </c>
      <c r="M207" s="15" t="str" cm="1">
        <f t="array" ref="M207">IFERROR(_xlfn.LET(_xlpm.films,Table4[Film],_xlpm.grades,Table4[Grade],_xlpm.pairs,_xlfn._xlws.FILTER(_xlfn.HSTACK(_xlpm.films,_xlpm.grades),(_xlpm.films&lt;&gt;"")*(TRIM(_xlpm.grades)&lt;&gt;"")),_xlpm.uniquePairs,_xlfn.UNIQUE(_xlpm.pairs),_xlpm.sortedPairs,_xlfn._xlws.SORT(_xlpm.uniquePairs,1,1),INDEX(_xlpm.sortedPairs,ROWS($M$2:M207),2)),"")</f>
        <v/>
      </c>
      <c r="N207" s="15" t="str" cm="1">
        <f t="array" ref="N207">IF(OR(Table2[[#This Row],[Film]]="",Table2[[#This Row],[Grade]]=""),"",IFERROR(INDEX(Table4[Serial Number],MATCH(1,(Table4[Film]=Table2[[#This Row],[Film]])*(Table4[Grade]=Table2[[#This Row],[Grade]]),0)),""))</f>
        <v/>
      </c>
      <c r="O207" s="51" t="str">
        <f>IF(OR(Table2[[#This Row],[Film]]="",Table2[[#This Row],[Grade]]=""),"",SUMIFS(Table4[Price Calculated(€) Thickness &amp; QTY related],Table4[Film],Table2[[#This Row],[Film]],Table4[Grade],Table2[[#This Row],[Grade]]))</f>
        <v/>
      </c>
      <c r="P207" s="6"/>
      <c r="T207" s="6"/>
    </row>
    <row r="208" spans="1:20" hidden="1">
      <c r="A208" s="29" t="s">
        <v>46</v>
      </c>
      <c r="B208" s="29" t="s">
        <v>7</v>
      </c>
      <c r="C208" s="28"/>
      <c r="D208" s="28" t="str">
        <f>IF(C208="","",IFERROR(_xlfn.XLOOKUP(C208,HELPER!$A$2:$A$81,HELPER!$B$2:$B$81,""),D208))</f>
        <v/>
      </c>
      <c r="E208" s="28" t="str">
        <f>IFERROR(_xlfn.XLOOKUP(D208,HELPER!$B:$B,HELPER!$C:$C,""),"")</f>
        <v/>
      </c>
      <c r="F208" s="27" t="str">
        <f>IFERROR(_xlfn.XLOOKUP(D208,HELPER!$B:$B,HELPER!$D:$D,""),"")</f>
        <v/>
      </c>
      <c r="G208" s="27">
        <v>8</v>
      </c>
      <c r="H208" s="46"/>
      <c r="I208" s="47" t="str">
        <f>IF(AND(H208&lt;&gt;"",IFERROR(_xlfn.XLOOKUP(D208,HELPER!$B:$B,HELPER!$E:$E,""),"")=""),"Missing price",IFERROR(_xlfn.XLOOKUP(D208,HELPER!$B:$B,HELPER!$E:$E,"")," "))</f>
        <v/>
      </c>
      <c r="J208" s="47" t="str">
        <f>IFERROR(H208*(IF(G208=8,I208*HELPER!$G$2,BOM!I208*HELPER!$G$3))," ")</f>
        <v xml:space="preserve"> </v>
      </c>
      <c r="K208" s="6"/>
      <c r="L208" s="14" t="str" cm="1">
        <f t="array" ref="L208">IFERROR(_xlfn.LET(_xlpm.films,Table4[Film],_xlpm.grades,Table4[Grade],_xlpm.pairs,_xlfn._xlws.FILTER(_xlfn.HSTACK(_xlpm.films,_xlpm.grades),(_xlpm.films&lt;&gt;"")*(TRIM(_xlpm.grades)&lt;&gt;"")),_xlpm.uniquePairs,_xlfn.UNIQUE(_xlpm.pairs),_xlpm.sortedPairs,_xlfn._xlws.SORT(_xlpm.uniquePairs,1,1),INDEX(_xlpm.sortedPairs,ROWS($L$2:L208),1)),"")</f>
        <v/>
      </c>
      <c r="M208" s="15" t="str" cm="1">
        <f t="array" ref="M208">IFERROR(_xlfn.LET(_xlpm.films,Table4[Film],_xlpm.grades,Table4[Grade],_xlpm.pairs,_xlfn._xlws.FILTER(_xlfn.HSTACK(_xlpm.films,_xlpm.grades),(_xlpm.films&lt;&gt;"")*(TRIM(_xlpm.grades)&lt;&gt;"")),_xlpm.uniquePairs,_xlfn.UNIQUE(_xlpm.pairs),_xlpm.sortedPairs,_xlfn._xlws.SORT(_xlpm.uniquePairs,1,1),INDEX(_xlpm.sortedPairs,ROWS($M$2:M208),2)),"")</f>
        <v/>
      </c>
      <c r="N208" s="15" t="str" cm="1">
        <f t="array" ref="N208">IF(OR(Table2[[#This Row],[Film]]="",Table2[[#This Row],[Grade]]=""),"",IFERROR(INDEX(Table4[Serial Number],MATCH(1,(Table4[Film]=Table2[[#This Row],[Film]])*(Table4[Grade]=Table2[[#This Row],[Grade]]),0)),""))</f>
        <v/>
      </c>
      <c r="O208" s="51" t="str">
        <f>IF(OR(Table2[[#This Row],[Film]]="",Table2[[#This Row],[Grade]]=""),"",SUMIFS(Table4[Price Calculated(€) Thickness &amp; QTY related],Table4[Film],Table2[[#This Row],[Film]],Table4[Grade],Table2[[#This Row],[Grade]]))</f>
        <v/>
      </c>
      <c r="P208" s="6"/>
      <c r="T208" s="6"/>
    </row>
    <row r="209" spans="1:20" hidden="1">
      <c r="A209" s="29" t="s">
        <v>46</v>
      </c>
      <c r="B209" s="29" t="s">
        <v>7</v>
      </c>
      <c r="C209" s="28"/>
      <c r="D209" s="28" t="str">
        <f>IF(C209="","",IFERROR(_xlfn.XLOOKUP(C209,HELPER!$A$2:$A$81,HELPER!$B$2:$B$81,""),D209))</f>
        <v/>
      </c>
      <c r="E209" s="28" t="str">
        <f>IFERROR(_xlfn.XLOOKUP(D209,HELPER!$B:$B,HELPER!$C:$C,""),"")</f>
        <v/>
      </c>
      <c r="F209" s="27" t="str">
        <f>IFERROR(_xlfn.XLOOKUP(D209,HELPER!$B:$B,HELPER!$D:$D,""),"")</f>
        <v/>
      </c>
      <c r="G209" s="27">
        <v>8</v>
      </c>
      <c r="H209" s="46"/>
      <c r="I209" s="47" t="str">
        <f>IF(AND(H209&lt;&gt;"",IFERROR(_xlfn.XLOOKUP(D209,HELPER!$B:$B,HELPER!$E:$E,""),"")=""),"Missing price",IFERROR(_xlfn.XLOOKUP(D209,HELPER!$B:$B,HELPER!$E:$E,"")," "))</f>
        <v/>
      </c>
      <c r="J209" s="47" t="str">
        <f>IFERROR(H209*(IF(G209=8,I209*HELPER!$G$2,BOM!I209*HELPER!$G$3))," ")</f>
        <v xml:space="preserve"> </v>
      </c>
      <c r="K209" s="6"/>
      <c r="L209" s="14" t="str" cm="1">
        <f t="array" ref="L209">IFERROR(_xlfn.LET(_xlpm.films,Table4[Film],_xlpm.grades,Table4[Grade],_xlpm.pairs,_xlfn._xlws.FILTER(_xlfn.HSTACK(_xlpm.films,_xlpm.grades),(_xlpm.films&lt;&gt;"")*(TRIM(_xlpm.grades)&lt;&gt;"")),_xlpm.uniquePairs,_xlfn.UNIQUE(_xlpm.pairs),_xlpm.sortedPairs,_xlfn._xlws.SORT(_xlpm.uniquePairs,1,1),INDEX(_xlpm.sortedPairs,ROWS($L$2:L209),1)),"")</f>
        <v/>
      </c>
      <c r="M209" s="15" t="str" cm="1">
        <f t="array" ref="M209">IFERROR(_xlfn.LET(_xlpm.films,Table4[Film],_xlpm.grades,Table4[Grade],_xlpm.pairs,_xlfn._xlws.FILTER(_xlfn.HSTACK(_xlpm.films,_xlpm.grades),(_xlpm.films&lt;&gt;"")*(TRIM(_xlpm.grades)&lt;&gt;"")),_xlpm.uniquePairs,_xlfn.UNIQUE(_xlpm.pairs),_xlpm.sortedPairs,_xlfn._xlws.SORT(_xlpm.uniquePairs,1,1),INDEX(_xlpm.sortedPairs,ROWS($M$2:M209),2)),"")</f>
        <v/>
      </c>
      <c r="N209" s="15" t="str" cm="1">
        <f t="array" ref="N209">IF(OR(Table2[[#This Row],[Film]]="",Table2[[#This Row],[Grade]]=""),"",IFERROR(INDEX(Table4[Serial Number],MATCH(1,(Table4[Film]=Table2[[#This Row],[Film]])*(Table4[Grade]=Table2[[#This Row],[Grade]]),0)),""))</f>
        <v/>
      </c>
      <c r="O209" s="51" t="str">
        <f>IF(OR(Table2[[#This Row],[Film]]="",Table2[[#This Row],[Grade]]=""),"",SUMIFS(Table4[Price Calculated(€) Thickness &amp; QTY related],Table4[Film],Table2[[#This Row],[Film]],Table4[Grade],Table2[[#This Row],[Grade]]))</f>
        <v/>
      </c>
      <c r="P209" s="6"/>
      <c r="T209" s="6"/>
    </row>
    <row r="210" spans="1:20" hidden="1">
      <c r="A210" s="29" t="s">
        <v>46</v>
      </c>
      <c r="B210" s="29" t="s">
        <v>7</v>
      </c>
      <c r="C210" s="28"/>
      <c r="D210" s="28" t="str">
        <f>IF(C210="","",IFERROR(_xlfn.XLOOKUP(C210,HELPER!$A$2:$A$81,HELPER!$B$2:$B$81,""),D210))</f>
        <v/>
      </c>
      <c r="E210" s="28" t="str">
        <f>IFERROR(_xlfn.XLOOKUP(D210,HELPER!$B:$B,HELPER!$C:$C,""),"")</f>
        <v/>
      </c>
      <c r="F210" s="27" t="str">
        <f>IFERROR(_xlfn.XLOOKUP(D210,HELPER!$B:$B,HELPER!$D:$D,""),"")</f>
        <v/>
      </c>
      <c r="G210" s="27">
        <v>8</v>
      </c>
      <c r="H210" s="46"/>
      <c r="I210" s="47" t="str">
        <f>IF(AND(H210&lt;&gt;"",IFERROR(_xlfn.XLOOKUP(D210,HELPER!$B:$B,HELPER!$E:$E,""),"")=""),"Missing price",IFERROR(_xlfn.XLOOKUP(D210,HELPER!$B:$B,HELPER!$E:$E,"")," "))</f>
        <v/>
      </c>
      <c r="J210" s="47" t="str">
        <f>IFERROR(H210*(IF(G210=8,I210*HELPER!$G$2,BOM!I210*HELPER!$G$3))," ")</f>
        <v xml:space="preserve"> </v>
      </c>
      <c r="K210" s="6"/>
      <c r="L210" s="14" t="str" cm="1">
        <f t="array" ref="L210">IFERROR(_xlfn.LET(_xlpm.films,Table4[Film],_xlpm.grades,Table4[Grade],_xlpm.pairs,_xlfn._xlws.FILTER(_xlfn.HSTACK(_xlpm.films,_xlpm.grades),(_xlpm.films&lt;&gt;"")*(TRIM(_xlpm.grades)&lt;&gt;"")),_xlpm.uniquePairs,_xlfn.UNIQUE(_xlpm.pairs),_xlpm.sortedPairs,_xlfn._xlws.SORT(_xlpm.uniquePairs,1,1),INDEX(_xlpm.sortedPairs,ROWS($L$2:L210),1)),"")</f>
        <v/>
      </c>
      <c r="M210" s="15" t="str" cm="1">
        <f t="array" ref="M210">IFERROR(_xlfn.LET(_xlpm.films,Table4[Film],_xlpm.grades,Table4[Grade],_xlpm.pairs,_xlfn._xlws.FILTER(_xlfn.HSTACK(_xlpm.films,_xlpm.grades),(_xlpm.films&lt;&gt;"")*(TRIM(_xlpm.grades)&lt;&gt;"")),_xlpm.uniquePairs,_xlfn.UNIQUE(_xlpm.pairs),_xlpm.sortedPairs,_xlfn._xlws.SORT(_xlpm.uniquePairs,1,1),INDEX(_xlpm.sortedPairs,ROWS($M$2:M210),2)),"")</f>
        <v/>
      </c>
      <c r="N210" s="15" t="str" cm="1">
        <f t="array" ref="N210">IF(OR(Table2[[#This Row],[Film]]="",Table2[[#This Row],[Grade]]=""),"",IFERROR(INDEX(Table4[Serial Number],MATCH(1,(Table4[Film]=Table2[[#This Row],[Film]])*(Table4[Grade]=Table2[[#This Row],[Grade]]),0)),""))</f>
        <v/>
      </c>
      <c r="O210" s="51" t="str">
        <f>IF(OR(Table2[[#This Row],[Film]]="",Table2[[#This Row],[Grade]]=""),"",SUMIFS(Table4[Price Calculated(€) Thickness &amp; QTY related],Table4[Film],Table2[[#This Row],[Film]],Table4[Grade],Table2[[#This Row],[Grade]]))</f>
        <v/>
      </c>
      <c r="P210" s="6"/>
      <c r="T210" s="6"/>
    </row>
    <row r="211" spans="1:20" hidden="1">
      <c r="A211" s="29" t="s">
        <v>46</v>
      </c>
      <c r="B211" s="29" t="s">
        <v>7</v>
      </c>
      <c r="C211" s="28"/>
      <c r="D211" s="28" t="str">
        <f>IF(C211="","",IFERROR(_xlfn.XLOOKUP(C211,HELPER!$A$2:$A$81,HELPER!$B$2:$B$81,""),D211))</f>
        <v/>
      </c>
      <c r="E211" s="28" t="str">
        <f>IFERROR(_xlfn.XLOOKUP(D211,HELPER!$B:$B,HELPER!$C:$C,""),"")</f>
        <v/>
      </c>
      <c r="F211" s="27" t="str">
        <f>IFERROR(_xlfn.XLOOKUP(D211,HELPER!$B:$B,HELPER!$D:$D,""),"")</f>
        <v/>
      </c>
      <c r="G211" s="27">
        <v>8</v>
      </c>
      <c r="H211" s="46"/>
      <c r="I211" s="47" t="str">
        <f>IF(AND(H211&lt;&gt;"",IFERROR(_xlfn.XLOOKUP(D211,HELPER!$B:$B,HELPER!$E:$E,""),"")=""),"Missing price",IFERROR(_xlfn.XLOOKUP(D211,HELPER!$B:$B,HELPER!$E:$E,"")," "))</f>
        <v/>
      </c>
      <c r="J211" s="47" t="str">
        <f>IFERROR(H211*(IF(G211=8,I211*HELPER!$G$2,BOM!I211*HELPER!$G$3))," ")</f>
        <v xml:space="preserve"> </v>
      </c>
      <c r="K211" s="6"/>
      <c r="L211" s="14" t="str" cm="1">
        <f t="array" ref="L211">IFERROR(_xlfn.LET(_xlpm.films,Table4[Film],_xlpm.grades,Table4[Grade],_xlpm.pairs,_xlfn._xlws.FILTER(_xlfn.HSTACK(_xlpm.films,_xlpm.grades),(_xlpm.films&lt;&gt;"")*(TRIM(_xlpm.grades)&lt;&gt;"")),_xlpm.uniquePairs,_xlfn.UNIQUE(_xlpm.pairs),_xlpm.sortedPairs,_xlfn._xlws.SORT(_xlpm.uniquePairs,1,1),INDEX(_xlpm.sortedPairs,ROWS($L$2:L211),1)),"")</f>
        <v/>
      </c>
      <c r="M211" s="15" t="str" cm="1">
        <f t="array" ref="M211">IFERROR(_xlfn.LET(_xlpm.films,Table4[Film],_xlpm.grades,Table4[Grade],_xlpm.pairs,_xlfn._xlws.FILTER(_xlfn.HSTACK(_xlpm.films,_xlpm.grades),(_xlpm.films&lt;&gt;"")*(TRIM(_xlpm.grades)&lt;&gt;"")),_xlpm.uniquePairs,_xlfn.UNIQUE(_xlpm.pairs),_xlpm.sortedPairs,_xlfn._xlws.SORT(_xlpm.uniquePairs,1,1),INDEX(_xlpm.sortedPairs,ROWS($M$2:M211),2)),"")</f>
        <v/>
      </c>
      <c r="N211" s="15" t="str" cm="1">
        <f t="array" ref="N211">IF(OR(Table2[[#This Row],[Film]]="",Table2[[#This Row],[Grade]]=""),"",IFERROR(INDEX(Table4[Serial Number],MATCH(1,(Table4[Film]=Table2[[#This Row],[Film]])*(Table4[Grade]=Table2[[#This Row],[Grade]]),0)),""))</f>
        <v/>
      </c>
      <c r="O211" s="51" t="str">
        <f>IF(OR(Table2[[#This Row],[Film]]="",Table2[[#This Row],[Grade]]=""),"",SUMIFS(Table4[Price Calculated(€) Thickness &amp; QTY related],Table4[Film],Table2[[#This Row],[Film]],Table4[Grade],Table2[[#This Row],[Grade]]))</f>
        <v/>
      </c>
      <c r="P211" s="6"/>
      <c r="T211" s="6"/>
    </row>
    <row r="212" spans="1:20" hidden="1">
      <c r="A212" s="29" t="s">
        <v>47</v>
      </c>
      <c r="B212" s="29" t="s">
        <v>5</v>
      </c>
      <c r="C212" s="28" t="s">
        <v>13</v>
      </c>
      <c r="D212" s="28" t="str">
        <f>IF(C212="","",IFERROR(_xlfn.XLOOKUP(C212,HELPER!$A$2:$A$81,HELPER!$B$2:$B$81,""),D212))</f>
        <v>LX175</v>
      </c>
      <c r="E212" s="28" t="str">
        <f>IFERROR(_xlfn.XLOOKUP(D212,HELPER!$B:$B,HELPER!$C:$C,""),"")</f>
        <v>RMLX175</v>
      </c>
      <c r="F212" s="27" t="str">
        <f>IFERROR(_xlfn.XLOOKUP(D212,HELPER!$B:$B,HELPER!$D:$D,""),"")</f>
        <v>Resin 1A</v>
      </c>
      <c r="G212" s="27">
        <v>24</v>
      </c>
      <c r="H212" s="46">
        <v>0.79</v>
      </c>
      <c r="I212" s="47">
        <f>IF(AND(H212&lt;&gt;"",IFERROR(_xlfn.XLOOKUP(D212,HELPER!$B:$B,HELPER!$E:$E,""),"")=""),"Missing price",IFERROR(_xlfn.XLOOKUP(D212,HELPER!$B:$B,HELPER!$E:$E,"")," "))</f>
        <v>3.17</v>
      </c>
      <c r="J212" s="47">
        <f>IFERROR(H212*(IF(G212=8,I212*HELPER!$G$2,BOM!I212*HELPER!$G$3))," ")</f>
        <v>1.50258</v>
      </c>
      <c r="K212" s="6"/>
      <c r="L212" s="14" t="str" cm="1">
        <f t="array" ref="L212">IFERROR(_xlfn.LET(_xlpm.films,Table4[Film],_xlpm.grades,Table4[Grade],_xlpm.pairs,_xlfn._xlws.FILTER(_xlfn.HSTACK(_xlpm.films,_xlpm.grades),(_xlpm.films&lt;&gt;"")*(TRIM(_xlpm.grades)&lt;&gt;"")),_xlpm.uniquePairs,_xlfn.UNIQUE(_xlpm.pairs),_xlpm.sortedPairs,_xlfn._xlws.SORT(_xlpm.uniquePairs,1,1),INDEX(_xlpm.sortedPairs,ROWS($L$2:L212),1)),"")</f>
        <v/>
      </c>
      <c r="M212" s="15" t="str" cm="1">
        <f t="array" ref="M212">IFERROR(_xlfn.LET(_xlpm.films,Table4[Film],_xlpm.grades,Table4[Grade],_xlpm.pairs,_xlfn._xlws.FILTER(_xlfn.HSTACK(_xlpm.films,_xlpm.grades),(_xlpm.films&lt;&gt;"")*(TRIM(_xlpm.grades)&lt;&gt;"")),_xlpm.uniquePairs,_xlfn.UNIQUE(_xlpm.pairs),_xlpm.sortedPairs,_xlfn._xlws.SORT(_xlpm.uniquePairs,1,1),INDEX(_xlpm.sortedPairs,ROWS($M$2:M212),2)),"")</f>
        <v/>
      </c>
      <c r="N212" s="15" t="str" cm="1">
        <f t="array" ref="N212">IF(OR(Table2[[#This Row],[Film]]="",Table2[[#This Row],[Grade]]=""),"",IFERROR(INDEX(Table4[Serial Number],MATCH(1,(Table4[Film]=Table2[[#This Row],[Film]])*(Table4[Grade]=Table2[[#This Row],[Grade]]),0)),""))</f>
        <v/>
      </c>
      <c r="O212" s="51" t="str">
        <f>IF(OR(Table2[[#This Row],[Film]]="",Table2[[#This Row],[Grade]]=""),"",SUMIFS(Table4[Price Calculated(€) Thickness &amp; QTY related],Table4[Film],Table2[[#This Row],[Film]],Table4[Grade],Table2[[#This Row],[Grade]]))</f>
        <v/>
      </c>
      <c r="P212" s="6"/>
      <c r="T212" s="6"/>
    </row>
    <row r="213" spans="1:20" hidden="1">
      <c r="A213" s="29" t="s">
        <v>47</v>
      </c>
      <c r="B213" s="29" t="s">
        <v>5</v>
      </c>
      <c r="C213" s="28" t="s">
        <v>15</v>
      </c>
      <c r="D213" s="28" t="str">
        <f>IF(C213="","",IFERROR(_xlfn.XLOOKUP(C213,HELPER!$A$2:$A$81,HELPER!$B$2:$B$81,""),D213))</f>
        <v>P65D</v>
      </c>
      <c r="E213" s="28" t="str">
        <f>IFERROR(_xlfn.XLOOKUP(D213,HELPER!$B:$B,HELPER!$C:$C,""),"")</f>
        <v>RMP65D</v>
      </c>
      <c r="F213" s="27" t="str">
        <f>IFERROR(_xlfn.XLOOKUP(D213,HELPER!$B:$B,HELPER!$D:$D,""),"")</f>
        <v>Resin 4A</v>
      </c>
      <c r="G213" s="27">
        <v>24</v>
      </c>
      <c r="H213" s="46">
        <v>0.19</v>
      </c>
      <c r="I213" s="47">
        <f>IF(AND(H213&lt;&gt;"",IFERROR(_xlfn.XLOOKUP(D213,HELPER!$B:$B,HELPER!$E:$E,""),"")=""),"Missing price",IFERROR(_xlfn.XLOOKUP(D213,HELPER!$B:$B,HELPER!$E:$E,"")," "))</f>
        <v>7.3</v>
      </c>
      <c r="J213" s="47">
        <f>IFERROR(H213*(IF(G213=8,I213*HELPER!$G$2,BOM!I213*HELPER!$G$3))," ")</f>
        <v>0.83219999999999994</v>
      </c>
      <c r="K213" s="6"/>
      <c r="L213" s="14" t="str" cm="1">
        <f t="array" ref="L213">IFERROR(_xlfn.LET(_xlpm.films,Table4[Film],_xlpm.grades,Table4[Grade],_xlpm.pairs,_xlfn._xlws.FILTER(_xlfn.HSTACK(_xlpm.films,_xlpm.grades),(_xlpm.films&lt;&gt;"")*(TRIM(_xlpm.grades)&lt;&gt;"")),_xlpm.uniquePairs,_xlfn.UNIQUE(_xlpm.pairs),_xlpm.sortedPairs,_xlfn._xlws.SORT(_xlpm.uniquePairs,1,1),INDEX(_xlpm.sortedPairs,ROWS($L$2:L213),1)),"")</f>
        <v/>
      </c>
      <c r="M213" s="15" t="str" cm="1">
        <f t="array" ref="M213">IFERROR(_xlfn.LET(_xlpm.films,Table4[Film],_xlpm.grades,Table4[Grade],_xlpm.pairs,_xlfn._xlws.FILTER(_xlfn.HSTACK(_xlpm.films,_xlpm.grades),(_xlpm.films&lt;&gt;"")*(TRIM(_xlpm.grades)&lt;&gt;"")),_xlpm.uniquePairs,_xlfn.UNIQUE(_xlpm.pairs),_xlpm.sortedPairs,_xlfn._xlws.SORT(_xlpm.uniquePairs,1,1),INDEX(_xlpm.sortedPairs,ROWS($M$2:M213),2)),"")</f>
        <v/>
      </c>
      <c r="N213" s="15" t="str" cm="1">
        <f t="array" ref="N213">IF(OR(Table2[[#This Row],[Film]]="",Table2[[#This Row],[Grade]]=""),"",IFERROR(INDEX(Table4[Serial Number],MATCH(1,(Table4[Film]=Table2[[#This Row],[Film]])*(Table4[Grade]=Table2[[#This Row],[Grade]]),0)),""))</f>
        <v/>
      </c>
      <c r="O213" s="51" t="str">
        <f>IF(OR(Table2[[#This Row],[Film]]="",Table2[[#This Row],[Grade]]=""),"",SUMIFS(Table4[Price Calculated(€) Thickness &amp; QTY related],Table4[Film],Table2[[#This Row],[Film]],Table4[Grade],Table2[[#This Row],[Grade]]))</f>
        <v/>
      </c>
      <c r="P213" s="6"/>
      <c r="T213" s="6"/>
    </row>
    <row r="214" spans="1:20" hidden="1">
      <c r="A214" s="29" t="s">
        <v>47</v>
      </c>
      <c r="B214" s="29" t="s">
        <v>5</v>
      </c>
      <c r="C214" s="28" t="s">
        <v>16</v>
      </c>
      <c r="D214" s="28" t="str">
        <f>IF(C214="","",IFERROR(_xlfn.XLOOKUP(C214,HELPER!$A$2:$A$81,HELPER!$B$2:$B$81,""),D214))</f>
        <v>S723</v>
      </c>
      <c r="E214" s="28" t="str">
        <f>IFERROR(_xlfn.XLOOKUP(D214,HELPER!$B:$B,HELPER!$C:$C,""),"")</f>
        <v>RM TA45-08 S723</v>
      </c>
      <c r="F214" s="27" t="str">
        <f>IFERROR(_xlfn.XLOOKUP(D214,HELPER!$B:$B,HELPER!$D:$D,""),"")</f>
        <v>Resin 6</v>
      </c>
      <c r="G214" s="27">
        <v>24</v>
      </c>
      <c r="H214" s="46">
        <v>0.02</v>
      </c>
      <c r="I214" s="47">
        <f>IF(AND(H214&lt;&gt;"",IFERROR(_xlfn.XLOOKUP(D214,HELPER!$B:$B,HELPER!$E:$E,""),"")=""),"Missing price",IFERROR(_xlfn.XLOOKUP(D214,HELPER!$B:$B,HELPER!$E:$E,"")," "))</f>
        <v>16.16</v>
      </c>
      <c r="J214" s="47">
        <f>IFERROR(H214*(IF(G214=8,I214*HELPER!$G$2,BOM!I214*HELPER!$G$3))," ")</f>
        <v>0.19392000000000001</v>
      </c>
      <c r="K214" s="6"/>
      <c r="L214" s="14" t="str" cm="1">
        <f t="array" ref="L214">IFERROR(_xlfn.LET(_xlpm.films,Table4[Film],_xlpm.grades,Table4[Grade],_xlpm.pairs,_xlfn._xlws.FILTER(_xlfn.HSTACK(_xlpm.films,_xlpm.grades),(_xlpm.films&lt;&gt;"")*(TRIM(_xlpm.grades)&lt;&gt;"")),_xlpm.uniquePairs,_xlfn.UNIQUE(_xlpm.pairs),_xlpm.sortedPairs,_xlfn._xlws.SORT(_xlpm.uniquePairs,1,1),INDEX(_xlpm.sortedPairs,ROWS($L$2:L214),1)),"")</f>
        <v/>
      </c>
      <c r="M214" s="15" t="str" cm="1">
        <f t="array" ref="M214">IFERROR(_xlfn.LET(_xlpm.films,Table4[Film],_xlpm.grades,Table4[Grade],_xlpm.pairs,_xlfn._xlws.FILTER(_xlfn.HSTACK(_xlpm.films,_xlpm.grades),(_xlpm.films&lt;&gt;"")*(TRIM(_xlpm.grades)&lt;&gt;"")),_xlpm.uniquePairs,_xlfn.UNIQUE(_xlpm.pairs),_xlpm.sortedPairs,_xlfn._xlws.SORT(_xlpm.uniquePairs,1,1),INDEX(_xlpm.sortedPairs,ROWS($M$2:M214),2)),"")</f>
        <v/>
      </c>
      <c r="N214" s="15" t="str" cm="1">
        <f t="array" ref="N214">IF(OR(Table2[[#This Row],[Film]]="",Table2[[#This Row],[Grade]]=""),"",IFERROR(INDEX(Table4[Serial Number],MATCH(1,(Table4[Film]=Table2[[#This Row],[Film]])*(Table4[Grade]=Table2[[#This Row],[Grade]]),0)),""))</f>
        <v/>
      </c>
      <c r="O214" s="51" t="str">
        <f>IF(OR(Table2[[#This Row],[Film]]="",Table2[[#This Row],[Grade]]=""),"",SUMIFS(Table4[Price Calculated(€) Thickness &amp; QTY related],Table4[Film],Table2[[#This Row],[Film]],Table4[Grade],Table2[[#This Row],[Grade]]))</f>
        <v/>
      </c>
      <c r="P214" s="6"/>
      <c r="T214" s="6"/>
    </row>
    <row r="215" spans="1:20" hidden="1">
      <c r="A215" s="29" t="s">
        <v>47</v>
      </c>
      <c r="B215" s="29" t="s">
        <v>5</v>
      </c>
      <c r="C215" s="28"/>
      <c r="D215" s="28" t="str">
        <f>IF(C215="","",IFERROR(_xlfn.XLOOKUP(C215,HELPER!$A$2:$A$81,HELPER!$B$2:$B$81,""),D215))</f>
        <v/>
      </c>
      <c r="E215" s="28" t="str">
        <f>IFERROR(_xlfn.XLOOKUP(D215,HELPER!$B:$B,HELPER!$C:$C,""),"")</f>
        <v/>
      </c>
      <c r="F215" s="27" t="str">
        <f>IFERROR(_xlfn.XLOOKUP(D215,HELPER!$B:$B,HELPER!$D:$D,""),"")</f>
        <v/>
      </c>
      <c r="G215" s="27">
        <v>24</v>
      </c>
      <c r="H215" s="46"/>
      <c r="I215" s="47" t="str">
        <f>IF(AND(H215&lt;&gt;"",IFERROR(_xlfn.XLOOKUP(D215,HELPER!$B:$B,HELPER!$E:$E,""),"")=""),"Missing price",IFERROR(_xlfn.XLOOKUP(D215,HELPER!$B:$B,HELPER!$E:$E,"")," "))</f>
        <v/>
      </c>
      <c r="J215" s="47" t="str">
        <f>IFERROR(H215*(IF(G215=8,I215*HELPER!$G$2,BOM!I215*HELPER!$G$3))," ")</f>
        <v xml:space="preserve"> </v>
      </c>
      <c r="K215" s="6"/>
      <c r="L215" s="14" t="str" cm="1">
        <f t="array" ref="L215">IFERROR(_xlfn.LET(_xlpm.films,Table4[Film],_xlpm.grades,Table4[Grade],_xlpm.pairs,_xlfn._xlws.FILTER(_xlfn.HSTACK(_xlpm.films,_xlpm.grades),(_xlpm.films&lt;&gt;"")*(TRIM(_xlpm.grades)&lt;&gt;"")),_xlpm.uniquePairs,_xlfn.UNIQUE(_xlpm.pairs),_xlpm.sortedPairs,_xlfn._xlws.SORT(_xlpm.uniquePairs,1,1),INDEX(_xlpm.sortedPairs,ROWS($L$2:L215),1)),"")</f>
        <v/>
      </c>
      <c r="M215" s="15" t="str" cm="1">
        <f t="array" ref="M215">IFERROR(_xlfn.LET(_xlpm.films,Table4[Film],_xlpm.grades,Table4[Grade],_xlpm.pairs,_xlfn._xlws.FILTER(_xlfn.HSTACK(_xlpm.films,_xlpm.grades),(_xlpm.films&lt;&gt;"")*(TRIM(_xlpm.grades)&lt;&gt;"")),_xlpm.uniquePairs,_xlfn.UNIQUE(_xlpm.pairs),_xlpm.sortedPairs,_xlfn._xlws.SORT(_xlpm.uniquePairs,1,1),INDEX(_xlpm.sortedPairs,ROWS($M$2:M215),2)),"")</f>
        <v/>
      </c>
      <c r="N215" s="15" t="str" cm="1">
        <f t="array" ref="N215">IF(OR(Table2[[#This Row],[Film]]="",Table2[[#This Row],[Grade]]=""),"",IFERROR(INDEX(Table4[Serial Number],MATCH(1,(Table4[Film]=Table2[[#This Row],[Film]])*(Table4[Grade]=Table2[[#This Row],[Grade]]),0)),""))</f>
        <v/>
      </c>
      <c r="O215" s="51" t="str">
        <f>IF(OR(Table2[[#This Row],[Film]]="",Table2[[#This Row],[Grade]]=""),"",SUMIFS(Table4[Price Calculated(€) Thickness &amp; QTY related],Table4[Film],Table2[[#This Row],[Film]],Table4[Grade],Table2[[#This Row],[Grade]]))</f>
        <v/>
      </c>
      <c r="P215" s="6"/>
      <c r="T215" s="6"/>
    </row>
    <row r="216" spans="1:20" hidden="1">
      <c r="A216" s="29" t="s">
        <v>47</v>
      </c>
      <c r="B216" s="29" t="s">
        <v>5</v>
      </c>
      <c r="C216" s="28"/>
      <c r="D216" s="28" t="str">
        <f>IF(C216="","",IFERROR(_xlfn.XLOOKUP(C216,HELPER!$A$2:$A$81,HELPER!$B$2:$B$81,""),D216))</f>
        <v/>
      </c>
      <c r="E216" s="28" t="str">
        <f>IFERROR(_xlfn.XLOOKUP(D216,HELPER!$B:$B,HELPER!$C:$C,""),"")</f>
        <v/>
      </c>
      <c r="F216" s="27" t="str">
        <f>IFERROR(_xlfn.XLOOKUP(D216,HELPER!$B:$B,HELPER!$D:$D,""),"")</f>
        <v/>
      </c>
      <c r="G216" s="27">
        <v>24</v>
      </c>
      <c r="H216" s="46"/>
      <c r="I216" s="47" t="str">
        <f>IF(AND(H216&lt;&gt;"",IFERROR(_xlfn.XLOOKUP(D216,HELPER!$B:$B,HELPER!$E:$E,""),"")=""),"Missing price",IFERROR(_xlfn.XLOOKUP(D216,HELPER!$B:$B,HELPER!$E:$E,"")," "))</f>
        <v/>
      </c>
      <c r="J216" s="47" t="str">
        <f>IFERROR(H216*(IF(G216=8,I216*HELPER!$G$2,BOM!I216*HELPER!$G$3))," ")</f>
        <v xml:space="preserve"> </v>
      </c>
      <c r="K216" s="6"/>
      <c r="L216" s="14" t="str" cm="1">
        <f t="array" ref="L216">IFERROR(_xlfn.LET(_xlpm.films,Table4[Film],_xlpm.grades,Table4[Grade],_xlpm.pairs,_xlfn._xlws.FILTER(_xlfn.HSTACK(_xlpm.films,_xlpm.grades),(_xlpm.films&lt;&gt;"")*(TRIM(_xlpm.grades)&lt;&gt;"")),_xlpm.uniquePairs,_xlfn.UNIQUE(_xlpm.pairs),_xlpm.sortedPairs,_xlfn._xlws.SORT(_xlpm.uniquePairs,1,1),INDEX(_xlpm.sortedPairs,ROWS($L$2:L216),1)),"")</f>
        <v/>
      </c>
      <c r="M216" s="15" t="str" cm="1">
        <f t="array" ref="M216">IFERROR(_xlfn.LET(_xlpm.films,Table4[Film],_xlpm.grades,Table4[Grade],_xlpm.pairs,_xlfn._xlws.FILTER(_xlfn.HSTACK(_xlpm.films,_xlpm.grades),(_xlpm.films&lt;&gt;"")*(TRIM(_xlpm.grades)&lt;&gt;"")),_xlpm.uniquePairs,_xlfn.UNIQUE(_xlpm.pairs),_xlpm.sortedPairs,_xlfn._xlws.SORT(_xlpm.uniquePairs,1,1),INDEX(_xlpm.sortedPairs,ROWS($M$2:M216),2)),"")</f>
        <v/>
      </c>
      <c r="N216" s="15" t="str" cm="1">
        <f t="array" ref="N216">IF(OR(Table2[[#This Row],[Film]]="",Table2[[#This Row],[Grade]]=""),"",IFERROR(INDEX(Table4[Serial Number],MATCH(1,(Table4[Film]=Table2[[#This Row],[Film]])*(Table4[Grade]=Table2[[#This Row],[Grade]]),0)),""))</f>
        <v/>
      </c>
      <c r="O216" s="51" t="str">
        <f>IF(OR(Table2[[#This Row],[Film]]="",Table2[[#This Row],[Grade]]=""),"",SUMIFS(Table4[Price Calculated(€) Thickness &amp; QTY related],Table4[Film],Table2[[#This Row],[Film]],Table4[Grade],Table2[[#This Row],[Grade]]))</f>
        <v/>
      </c>
      <c r="P216" s="6"/>
      <c r="T216" s="6"/>
    </row>
    <row r="217" spans="1:20" hidden="1">
      <c r="A217" s="29" t="s">
        <v>47</v>
      </c>
      <c r="B217" s="29" t="s">
        <v>5</v>
      </c>
      <c r="C217" s="28"/>
      <c r="D217" s="28" t="str">
        <f>IF(C217="","",IFERROR(_xlfn.XLOOKUP(C217,HELPER!$A$2:$A$81,HELPER!$B$2:$B$81,""),D217))</f>
        <v/>
      </c>
      <c r="E217" s="28" t="str">
        <f>IFERROR(_xlfn.XLOOKUP(D217,HELPER!$B:$B,HELPER!$C:$C,""),"")</f>
        <v/>
      </c>
      <c r="F217" s="27" t="str">
        <f>IFERROR(_xlfn.XLOOKUP(D217,HELPER!$B:$B,HELPER!$D:$D,""),"")</f>
        <v/>
      </c>
      <c r="G217" s="27">
        <v>24</v>
      </c>
      <c r="H217" s="46"/>
      <c r="I217" s="47" t="str">
        <f>IF(AND(H217&lt;&gt;"",IFERROR(_xlfn.XLOOKUP(D217,HELPER!$B:$B,HELPER!$E:$E,""),"")=""),"Missing price",IFERROR(_xlfn.XLOOKUP(D217,HELPER!$B:$B,HELPER!$E:$E,"")," "))</f>
        <v/>
      </c>
      <c r="J217" s="47" t="str">
        <f>IFERROR(H217*(IF(G217=8,I217*HELPER!$G$2,BOM!I217*HELPER!$G$3))," ")</f>
        <v xml:space="preserve"> </v>
      </c>
      <c r="K217" s="6"/>
      <c r="L217" s="14" t="str" cm="1">
        <f t="array" ref="L217">IFERROR(_xlfn.LET(_xlpm.films,Table4[Film],_xlpm.grades,Table4[Grade],_xlpm.pairs,_xlfn._xlws.FILTER(_xlfn.HSTACK(_xlpm.films,_xlpm.grades),(_xlpm.films&lt;&gt;"")*(TRIM(_xlpm.grades)&lt;&gt;"")),_xlpm.uniquePairs,_xlfn.UNIQUE(_xlpm.pairs),_xlpm.sortedPairs,_xlfn._xlws.SORT(_xlpm.uniquePairs,1,1),INDEX(_xlpm.sortedPairs,ROWS($L$2:L217),1)),"")</f>
        <v/>
      </c>
      <c r="M217" s="15" t="str" cm="1">
        <f t="array" ref="M217">IFERROR(_xlfn.LET(_xlpm.films,Table4[Film],_xlpm.grades,Table4[Grade],_xlpm.pairs,_xlfn._xlws.FILTER(_xlfn.HSTACK(_xlpm.films,_xlpm.grades),(_xlpm.films&lt;&gt;"")*(TRIM(_xlpm.grades)&lt;&gt;"")),_xlpm.uniquePairs,_xlfn.UNIQUE(_xlpm.pairs),_xlpm.sortedPairs,_xlfn._xlws.SORT(_xlpm.uniquePairs,1,1),INDEX(_xlpm.sortedPairs,ROWS($M$2:M217),2)),"")</f>
        <v/>
      </c>
      <c r="N217" s="15" t="str" cm="1">
        <f t="array" ref="N217">IF(OR(Table2[[#This Row],[Film]]="",Table2[[#This Row],[Grade]]=""),"",IFERROR(INDEX(Table4[Serial Number],MATCH(1,(Table4[Film]=Table2[[#This Row],[Film]])*(Table4[Grade]=Table2[[#This Row],[Grade]]),0)),""))</f>
        <v/>
      </c>
      <c r="O217" s="51" t="str">
        <f>IF(OR(Table2[[#This Row],[Film]]="",Table2[[#This Row],[Grade]]=""),"",SUMIFS(Table4[Price Calculated(€) Thickness &amp; QTY related],Table4[Film],Table2[[#This Row],[Film]],Table4[Grade],Table2[[#This Row],[Grade]]))</f>
        <v/>
      </c>
      <c r="P217" s="6"/>
      <c r="T217" s="6"/>
    </row>
    <row r="218" spans="1:20" hidden="1">
      <c r="A218" s="29" t="s">
        <v>47</v>
      </c>
      <c r="B218" s="29" t="s">
        <v>5</v>
      </c>
      <c r="C218" s="28"/>
      <c r="D218" s="28" t="str">
        <f>IF(C218="","",IFERROR(_xlfn.XLOOKUP(C218,HELPER!$A$2:$A$81,HELPER!$B$2:$B$81,""),D218))</f>
        <v/>
      </c>
      <c r="E218" s="28" t="str">
        <f>IFERROR(_xlfn.XLOOKUP(D218,HELPER!$B:$B,HELPER!$C:$C,""),"")</f>
        <v/>
      </c>
      <c r="F218" s="27" t="str">
        <f>IFERROR(_xlfn.XLOOKUP(D218,HELPER!$B:$B,HELPER!$D:$D,""),"")</f>
        <v/>
      </c>
      <c r="G218" s="27">
        <v>24</v>
      </c>
      <c r="H218" s="46"/>
      <c r="I218" s="47" t="str">
        <f>IF(AND(H218&lt;&gt;"",IFERROR(_xlfn.XLOOKUP(D218,HELPER!$B:$B,HELPER!$E:$E,""),"")=""),"Missing price",IFERROR(_xlfn.XLOOKUP(D218,HELPER!$B:$B,HELPER!$E:$E,"")," "))</f>
        <v/>
      </c>
      <c r="J218" s="47" t="str">
        <f>IFERROR(H218*(IF(G218=8,I218*HELPER!$G$2,BOM!I218*HELPER!$G$3))," ")</f>
        <v xml:space="preserve"> </v>
      </c>
      <c r="K218" s="6"/>
      <c r="L218" s="14" t="str" cm="1">
        <f t="array" ref="L218">IFERROR(_xlfn.LET(_xlpm.films,Table4[Film],_xlpm.grades,Table4[Grade],_xlpm.pairs,_xlfn._xlws.FILTER(_xlfn.HSTACK(_xlpm.films,_xlpm.grades),(_xlpm.films&lt;&gt;"")*(TRIM(_xlpm.grades)&lt;&gt;"")),_xlpm.uniquePairs,_xlfn.UNIQUE(_xlpm.pairs),_xlpm.sortedPairs,_xlfn._xlws.SORT(_xlpm.uniquePairs,1,1),INDEX(_xlpm.sortedPairs,ROWS($L$2:L218),1)),"")</f>
        <v/>
      </c>
      <c r="M218" s="15" t="str" cm="1">
        <f t="array" ref="M218">IFERROR(_xlfn.LET(_xlpm.films,Table4[Film],_xlpm.grades,Table4[Grade],_xlpm.pairs,_xlfn._xlws.FILTER(_xlfn.HSTACK(_xlpm.films,_xlpm.grades),(_xlpm.films&lt;&gt;"")*(TRIM(_xlpm.grades)&lt;&gt;"")),_xlpm.uniquePairs,_xlfn.UNIQUE(_xlpm.pairs),_xlpm.sortedPairs,_xlfn._xlws.SORT(_xlpm.uniquePairs,1,1),INDEX(_xlpm.sortedPairs,ROWS($M$2:M218),2)),"")</f>
        <v/>
      </c>
      <c r="N218" s="15" t="str" cm="1">
        <f t="array" ref="N218">IF(OR(Table2[[#This Row],[Film]]="",Table2[[#This Row],[Grade]]=""),"",IFERROR(INDEX(Table4[Serial Number],MATCH(1,(Table4[Film]=Table2[[#This Row],[Film]])*(Table4[Grade]=Table2[[#This Row],[Grade]]),0)),""))</f>
        <v/>
      </c>
      <c r="O218" s="51" t="str">
        <f>IF(OR(Table2[[#This Row],[Film]]="",Table2[[#This Row],[Grade]]=""),"",SUMIFS(Table4[Price Calculated(€) Thickness &amp; QTY related],Table4[Film],Table2[[#This Row],[Film]],Table4[Grade],Table2[[#This Row],[Grade]]))</f>
        <v/>
      </c>
      <c r="P218" s="6"/>
      <c r="T218" s="6"/>
    </row>
    <row r="219" spans="1:20" hidden="1">
      <c r="A219" s="29" t="s">
        <v>47</v>
      </c>
      <c r="B219" s="29" t="s">
        <v>5</v>
      </c>
      <c r="C219" s="28"/>
      <c r="D219" s="28" t="str">
        <f>IF(C219="","",IFERROR(_xlfn.XLOOKUP(C219,HELPER!$A$2:$A$81,HELPER!$B$2:$B$81,""),D219))</f>
        <v/>
      </c>
      <c r="E219" s="28" t="str">
        <f>IFERROR(_xlfn.XLOOKUP(D219,HELPER!$B:$B,HELPER!$C:$C,""),"")</f>
        <v/>
      </c>
      <c r="F219" s="27" t="str">
        <f>IFERROR(_xlfn.XLOOKUP(D219,HELPER!$B:$B,HELPER!$D:$D,""),"")</f>
        <v/>
      </c>
      <c r="G219" s="27">
        <v>24</v>
      </c>
      <c r="H219" s="46"/>
      <c r="I219" s="47" t="str">
        <f>IF(AND(H219&lt;&gt;"",IFERROR(_xlfn.XLOOKUP(D219,HELPER!$B:$B,HELPER!$E:$E,""),"")=""),"Missing price",IFERROR(_xlfn.XLOOKUP(D219,HELPER!$B:$B,HELPER!$E:$E,"")," "))</f>
        <v/>
      </c>
      <c r="J219" s="47" t="str">
        <f>IFERROR(H219*(IF(G219=8,I219*HELPER!$G$2,BOM!I219*HELPER!$G$3))," ")</f>
        <v xml:space="preserve"> </v>
      </c>
      <c r="K219" s="6"/>
      <c r="L219" s="14" t="str" cm="1">
        <f t="array" ref="L219">IFERROR(_xlfn.LET(_xlpm.films,Table4[Film],_xlpm.grades,Table4[Grade],_xlpm.pairs,_xlfn._xlws.FILTER(_xlfn.HSTACK(_xlpm.films,_xlpm.grades),(_xlpm.films&lt;&gt;"")*(TRIM(_xlpm.grades)&lt;&gt;"")),_xlpm.uniquePairs,_xlfn.UNIQUE(_xlpm.pairs),_xlpm.sortedPairs,_xlfn._xlws.SORT(_xlpm.uniquePairs,1,1),INDEX(_xlpm.sortedPairs,ROWS($L$2:L219),1)),"")</f>
        <v/>
      </c>
      <c r="M219" s="15" t="str" cm="1">
        <f t="array" ref="M219">IFERROR(_xlfn.LET(_xlpm.films,Table4[Film],_xlpm.grades,Table4[Grade],_xlpm.pairs,_xlfn._xlws.FILTER(_xlfn.HSTACK(_xlpm.films,_xlpm.grades),(_xlpm.films&lt;&gt;"")*(TRIM(_xlpm.grades)&lt;&gt;"")),_xlpm.uniquePairs,_xlfn.UNIQUE(_xlpm.pairs),_xlpm.sortedPairs,_xlfn._xlws.SORT(_xlpm.uniquePairs,1,1),INDEX(_xlpm.sortedPairs,ROWS($M$2:M219),2)),"")</f>
        <v/>
      </c>
      <c r="N219" s="15" t="str" cm="1">
        <f t="array" ref="N219">IF(OR(Table2[[#This Row],[Film]]="",Table2[[#This Row],[Grade]]=""),"",IFERROR(INDEX(Table4[Serial Number],MATCH(1,(Table4[Film]=Table2[[#This Row],[Film]])*(Table4[Grade]=Table2[[#This Row],[Grade]]),0)),""))</f>
        <v/>
      </c>
      <c r="O219" s="51" t="str">
        <f>IF(OR(Table2[[#This Row],[Film]]="",Table2[[#This Row],[Grade]]=""),"",SUMIFS(Table4[Price Calculated(€) Thickness &amp; QTY related],Table4[Film],Table2[[#This Row],[Film]],Table4[Grade],Table2[[#This Row],[Grade]]))</f>
        <v/>
      </c>
      <c r="P219" s="6"/>
      <c r="T219" s="6"/>
    </row>
    <row r="220" spans="1:20" hidden="1">
      <c r="A220" s="29" t="s">
        <v>47</v>
      </c>
      <c r="B220" s="29" t="s">
        <v>5</v>
      </c>
      <c r="C220" s="28"/>
      <c r="D220" s="28" t="str">
        <f>IF(C220="","",IFERROR(_xlfn.XLOOKUP(C220,HELPER!$A$2:$A$81,HELPER!$B$2:$B$81,""),D220))</f>
        <v/>
      </c>
      <c r="E220" s="28" t="str">
        <f>IFERROR(_xlfn.XLOOKUP(D220,HELPER!$B:$B,HELPER!$C:$C,""),"")</f>
        <v/>
      </c>
      <c r="F220" s="27" t="str">
        <f>IFERROR(_xlfn.XLOOKUP(D220,HELPER!$B:$B,HELPER!$D:$D,""),"")</f>
        <v/>
      </c>
      <c r="G220" s="27">
        <v>24</v>
      </c>
      <c r="H220" s="46"/>
      <c r="I220" s="47" t="str">
        <f>IF(AND(H220&lt;&gt;"",IFERROR(_xlfn.XLOOKUP(D220,HELPER!$B:$B,HELPER!$E:$E,""),"")=""),"Missing price",IFERROR(_xlfn.XLOOKUP(D220,HELPER!$B:$B,HELPER!$E:$E,"")," "))</f>
        <v/>
      </c>
      <c r="J220" s="47" t="str">
        <f>IFERROR(H220*(IF(G220=8,I220*HELPER!$G$2,BOM!I220*HELPER!$G$3))," ")</f>
        <v xml:space="preserve"> </v>
      </c>
      <c r="K220" s="6"/>
      <c r="L220" s="14" t="str" cm="1">
        <f t="array" ref="L220">IFERROR(_xlfn.LET(_xlpm.films,Table4[Film],_xlpm.grades,Table4[Grade],_xlpm.pairs,_xlfn._xlws.FILTER(_xlfn.HSTACK(_xlpm.films,_xlpm.grades),(_xlpm.films&lt;&gt;"")*(TRIM(_xlpm.grades)&lt;&gt;"")),_xlpm.uniquePairs,_xlfn.UNIQUE(_xlpm.pairs),_xlpm.sortedPairs,_xlfn._xlws.SORT(_xlpm.uniquePairs,1,1),INDEX(_xlpm.sortedPairs,ROWS($L$2:L220),1)),"")</f>
        <v/>
      </c>
      <c r="M220" s="15" t="str" cm="1">
        <f t="array" ref="M220">IFERROR(_xlfn.LET(_xlpm.films,Table4[Film],_xlpm.grades,Table4[Grade],_xlpm.pairs,_xlfn._xlws.FILTER(_xlfn.HSTACK(_xlpm.films,_xlpm.grades),(_xlpm.films&lt;&gt;"")*(TRIM(_xlpm.grades)&lt;&gt;"")),_xlpm.uniquePairs,_xlfn.UNIQUE(_xlpm.pairs),_xlpm.sortedPairs,_xlfn._xlws.SORT(_xlpm.uniquePairs,1,1),INDEX(_xlpm.sortedPairs,ROWS($M$2:M220),2)),"")</f>
        <v/>
      </c>
      <c r="N220" s="15" t="str" cm="1">
        <f t="array" ref="N220">IF(OR(Table2[[#This Row],[Film]]="",Table2[[#This Row],[Grade]]=""),"",IFERROR(INDEX(Table4[Serial Number],MATCH(1,(Table4[Film]=Table2[[#This Row],[Film]])*(Table4[Grade]=Table2[[#This Row],[Grade]]),0)),""))</f>
        <v/>
      </c>
      <c r="O220" s="51" t="str">
        <f>IF(OR(Table2[[#This Row],[Film]]="",Table2[[#This Row],[Grade]]=""),"",SUMIFS(Table4[Price Calculated(€) Thickness &amp; QTY related],Table4[Film],Table2[[#This Row],[Film]],Table4[Grade],Table2[[#This Row],[Grade]]))</f>
        <v/>
      </c>
      <c r="P220" s="6"/>
      <c r="T220" s="6"/>
    </row>
    <row r="221" spans="1:20" hidden="1">
      <c r="A221" s="29" t="s">
        <v>47</v>
      </c>
      <c r="B221" s="29" t="s">
        <v>5</v>
      </c>
      <c r="C221" s="28"/>
      <c r="D221" s="28" t="str">
        <f>IF(C221="","",IFERROR(_xlfn.XLOOKUP(C221,HELPER!$A$2:$A$81,HELPER!$B$2:$B$81,""),D221))</f>
        <v/>
      </c>
      <c r="E221" s="28" t="str">
        <f>IFERROR(_xlfn.XLOOKUP(D221,HELPER!$B:$B,HELPER!$C:$C,""),"")</f>
        <v/>
      </c>
      <c r="F221" s="27" t="str">
        <f>IFERROR(_xlfn.XLOOKUP(D221,HELPER!$B:$B,HELPER!$D:$D,""),"")</f>
        <v/>
      </c>
      <c r="G221" s="27">
        <v>24</v>
      </c>
      <c r="H221" s="46"/>
      <c r="I221" s="47" t="str">
        <f>IF(AND(H221&lt;&gt;"",IFERROR(_xlfn.XLOOKUP(D221,HELPER!$B:$B,HELPER!$E:$E,""),"")=""),"Missing price",IFERROR(_xlfn.XLOOKUP(D221,HELPER!$B:$B,HELPER!$E:$E,"")," "))</f>
        <v/>
      </c>
      <c r="J221" s="47" t="str">
        <f>IFERROR(H221*(IF(G221=8,I221*HELPER!$G$2,BOM!I221*HELPER!$G$3))," ")</f>
        <v xml:space="preserve"> </v>
      </c>
      <c r="K221" s="6"/>
      <c r="L221" s="14" t="str" cm="1">
        <f t="array" ref="L221">IFERROR(_xlfn.LET(_xlpm.films,Table4[Film],_xlpm.grades,Table4[Grade],_xlpm.pairs,_xlfn._xlws.FILTER(_xlfn.HSTACK(_xlpm.films,_xlpm.grades),(_xlpm.films&lt;&gt;"")*(TRIM(_xlpm.grades)&lt;&gt;"")),_xlpm.uniquePairs,_xlfn.UNIQUE(_xlpm.pairs),_xlpm.sortedPairs,_xlfn._xlws.SORT(_xlpm.uniquePairs,1,1),INDEX(_xlpm.sortedPairs,ROWS($L$2:L221),1)),"")</f>
        <v/>
      </c>
      <c r="M221" s="15" t="str" cm="1">
        <f t="array" ref="M221">IFERROR(_xlfn.LET(_xlpm.films,Table4[Film],_xlpm.grades,Table4[Grade],_xlpm.pairs,_xlfn._xlws.FILTER(_xlfn.HSTACK(_xlpm.films,_xlpm.grades),(_xlpm.films&lt;&gt;"")*(TRIM(_xlpm.grades)&lt;&gt;"")),_xlpm.uniquePairs,_xlfn.UNIQUE(_xlpm.pairs),_xlpm.sortedPairs,_xlfn._xlws.SORT(_xlpm.uniquePairs,1,1),INDEX(_xlpm.sortedPairs,ROWS($M$2:M221),2)),"")</f>
        <v/>
      </c>
      <c r="N221" s="15" t="str" cm="1">
        <f t="array" ref="N221">IF(OR(Table2[[#This Row],[Film]]="",Table2[[#This Row],[Grade]]=""),"",IFERROR(INDEX(Table4[Serial Number],MATCH(1,(Table4[Film]=Table2[[#This Row],[Film]])*(Table4[Grade]=Table2[[#This Row],[Grade]]),0)),""))</f>
        <v/>
      </c>
      <c r="O221" s="51" t="str">
        <f>IF(OR(Table2[[#This Row],[Film]]="",Table2[[#This Row],[Grade]]=""),"",SUMIFS(Table4[Price Calculated(€) Thickness &amp; QTY related],Table4[Film],Table2[[#This Row],[Film]],Table4[Grade],Table2[[#This Row],[Grade]]))</f>
        <v/>
      </c>
      <c r="P221" s="6"/>
      <c r="T221" s="6"/>
    </row>
    <row r="222" spans="1:20" hidden="1">
      <c r="A222" s="29" t="s">
        <v>47</v>
      </c>
      <c r="B222" s="29" t="s">
        <v>6</v>
      </c>
      <c r="C222" s="28" t="s">
        <v>19</v>
      </c>
      <c r="D222" s="28" t="str">
        <f>IF(C222="","",IFERROR(_xlfn.XLOOKUP(C222,HELPER!$A$2:$A$81,HELPER!$B$2:$B$81,""),D222))</f>
        <v>BVE8049P</v>
      </c>
      <c r="E222" s="28" t="str">
        <f>IFERROR(_xlfn.XLOOKUP(D222,HELPER!$B:$B,HELPER!$C:$C,""),"")</f>
        <v>BVE8049P</v>
      </c>
      <c r="F222" s="27" t="str">
        <f>IFERROR(_xlfn.XLOOKUP(D222,HELPER!$B:$B,HELPER!$D:$D,""),"")</f>
        <v>BVE8049P</v>
      </c>
      <c r="G222" s="27">
        <v>8</v>
      </c>
      <c r="H222" s="46">
        <v>0.98</v>
      </c>
      <c r="I222" s="47">
        <f>IF(AND(H222&lt;&gt;"",IFERROR(_xlfn.XLOOKUP(D222,HELPER!$B:$B,HELPER!$E:$E,""),"")=""),"Missing price",IFERROR(_xlfn.XLOOKUP(D222,HELPER!$B:$B,HELPER!$E:$E,"")," "))</f>
        <v>18.5</v>
      </c>
      <c r="J222" s="47">
        <f>IFERROR(H222*(IF(G222=8,I222*HELPER!$G$2,BOM!I222*HELPER!$G$3))," ")</f>
        <v>3.6259999999999999</v>
      </c>
      <c r="K222" s="6"/>
      <c r="L222" s="14" t="str" cm="1">
        <f t="array" ref="L222">IFERROR(_xlfn.LET(_xlpm.films,Table4[Film],_xlpm.grades,Table4[Grade],_xlpm.pairs,_xlfn._xlws.FILTER(_xlfn.HSTACK(_xlpm.films,_xlpm.grades),(_xlpm.films&lt;&gt;"")*(TRIM(_xlpm.grades)&lt;&gt;"")),_xlpm.uniquePairs,_xlfn.UNIQUE(_xlpm.pairs),_xlpm.sortedPairs,_xlfn._xlws.SORT(_xlpm.uniquePairs,1,1),INDEX(_xlpm.sortedPairs,ROWS($L$2:L222),1)),"")</f>
        <v/>
      </c>
      <c r="M222" s="15" t="str" cm="1">
        <f t="array" ref="M222">IFERROR(_xlfn.LET(_xlpm.films,Table4[Film],_xlpm.grades,Table4[Grade],_xlpm.pairs,_xlfn._xlws.FILTER(_xlfn.HSTACK(_xlpm.films,_xlpm.grades),(_xlpm.films&lt;&gt;"")*(TRIM(_xlpm.grades)&lt;&gt;"")),_xlpm.uniquePairs,_xlfn.UNIQUE(_xlpm.pairs),_xlpm.sortedPairs,_xlfn._xlws.SORT(_xlpm.uniquePairs,1,1),INDEX(_xlpm.sortedPairs,ROWS($M$2:M222),2)),"")</f>
        <v/>
      </c>
      <c r="N222" s="15" t="str" cm="1">
        <f t="array" ref="N222">IF(OR(Table2[[#This Row],[Film]]="",Table2[[#This Row],[Grade]]=""),"",IFERROR(INDEX(Table4[Serial Number],MATCH(1,(Table4[Film]=Table2[[#This Row],[Film]])*(Table4[Grade]=Table2[[#This Row],[Grade]]),0)),""))</f>
        <v/>
      </c>
      <c r="O222" s="51" t="str">
        <f>IF(OR(Table2[[#This Row],[Film]]="",Table2[[#This Row],[Grade]]=""),"",SUMIFS(Table4[Price Calculated(€) Thickness &amp; QTY related],Table4[Film],Table2[[#This Row],[Film]],Table4[Grade],Table2[[#This Row],[Grade]]))</f>
        <v/>
      </c>
      <c r="P222" s="6"/>
      <c r="T222" s="6"/>
    </row>
    <row r="223" spans="1:20" hidden="1">
      <c r="A223" s="29" t="s">
        <v>47</v>
      </c>
      <c r="B223" s="29" t="s">
        <v>6</v>
      </c>
      <c r="C223" s="28" t="s">
        <v>16</v>
      </c>
      <c r="D223" s="28" t="str">
        <f>IF(C223="","",IFERROR(_xlfn.XLOOKUP(C223,HELPER!$A$2:$A$81,HELPER!$B$2:$B$81,""),D223))</f>
        <v>S723</v>
      </c>
      <c r="E223" s="28" t="str">
        <f>IFERROR(_xlfn.XLOOKUP(D223,HELPER!$B:$B,HELPER!$C:$C,""),"")</f>
        <v>RM TA45-08 S723</v>
      </c>
      <c r="F223" s="27" t="str">
        <f>IFERROR(_xlfn.XLOOKUP(D223,HELPER!$B:$B,HELPER!$D:$D,""),"")</f>
        <v>Resin 6</v>
      </c>
      <c r="G223" s="27">
        <v>8</v>
      </c>
      <c r="H223" s="46">
        <v>0.02</v>
      </c>
      <c r="I223" s="47">
        <f>IF(AND(H223&lt;&gt;"",IFERROR(_xlfn.XLOOKUP(D223,HELPER!$B:$B,HELPER!$E:$E,""),"")=""),"Missing price",IFERROR(_xlfn.XLOOKUP(D223,HELPER!$B:$B,HELPER!$E:$E,"")," "))</f>
        <v>16.16</v>
      </c>
      <c r="J223" s="47">
        <f>IFERROR(H223*(IF(G223=8,I223*HELPER!$G$2,BOM!I223*HELPER!$G$3))," ")</f>
        <v>6.4640000000000003E-2</v>
      </c>
      <c r="K223" s="6"/>
      <c r="L223" s="14" t="str" cm="1">
        <f t="array" ref="L223">IFERROR(_xlfn.LET(_xlpm.films,Table4[Film],_xlpm.grades,Table4[Grade],_xlpm.pairs,_xlfn._xlws.FILTER(_xlfn.HSTACK(_xlpm.films,_xlpm.grades),(_xlpm.films&lt;&gt;"")*(TRIM(_xlpm.grades)&lt;&gt;"")),_xlpm.uniquePairs,_xlfn.UNIQUE(_xlpm.pairs),_xlpm.sortedPairs,_xlfn._xlws.SORT(_xlpm.uniquePairs,1,1),INDEX(_xlpm.sortedPairs,ROWS($L$2:L223),1)),"")</f>
        <v/>
      </c>
      <c r="M223" s="15" t="str" cm="1">
        <f t="array" ref="M223">IFERROR(_xlfn.LET(_xlpm.films,Table4[Film],_xlpm.grades,Table4[Grade],_xlpm.pairs,_xlfn._xlws.FILTER(_xlfn.HSTACK(_xlpm.films,_xlpm.grades),(_xlpm.films&lt;&gt;"")*(TRIM(_xlpm.grades)&lt;&gt;"")),_xlpm.uniquePairs,_xlfn.UNIQUE(_xlpm.pairs),_xlpm.sortedPairs,_xlfn._xlws.SORT(_xlpm.uniquePairs,1,1),INDEX(_xlpm.sortedPairs,ROWS($M$2:M223),2)),"")</f>
        <v/>
      </c>
      <c r="N223" s="15" t="str" cm="1">
        <f t="array" ref="N223">IF(OR(Table2[[#This Row],[Film]]="",Table2[[#This Row],[Grade]]=""),"",IFERROR(INDEX(Table4[Serial Number],MATCH(1,(Table4[Film]=Table2[[#This Row],[Film]])*(Table4[Grade]=Table2[[#This Row],[Grade]]),0)),""))</f>
        <v/>
      </c>
      <c r="O223" s="51" t="str">
        <f>IF(OR(Table2[[#This Row],[Film]]="",Table2[[#This Row],[Grade]]=""),"",SUMIFS(Table4[Price Calculated(€) Thickness &amp; QTY related],Table4[Film],Table2[[#This Row],[Film]],Table4[Grade],Table2[[#This Row],[Grade]]))</f>
        <v/>
      </c>
      <c r="P223" s="6"/>
      <c r="T223" s="6"/>
    </row>
    <row r="224" spans="1:20" hidden="1">
      <c r="A224" s="29" t="s">
        <v>47</v>
      </c>
      <c r="B224" s="29" t="s">
        <v>6</v>
      </c>
      <c r="C224" s="28"/>
      <c r="D224" s="28" t="str">
        <f>IF(C224="","",IFERROR(_xlfn.XLOOKUP(C224,HELPER!$A$2:$A$81,HELPER!$B$2:$B$81,""),D224))</f>
        <v/>
      </c>
      <c r="E224" s="28" t="str">
        <f>IFERROR(_xlfn.XLOOKUP(D224,HELPER!$B:$B,HELPER!$C:$C,""),"")</f>
        <v/>
      </c>
      <c r="F224" s="27" t="str">
        <f>IFERROR(_xlfn.XLOOKUP(D224,HELPER!$B:$B,HELPER!$D:$D,""),"")</f>
        <v/>
      </c>
      <c r="G224" s="27">
        <v>8</v>
      </c>
      <c r="H224" s="46"/>
      <c r="I224" s="47" t="str">
        <f>IF(AND(H224&lt;&gt;"",IFERROR(_xlfn.XLOOKUP(D224,HELPER!$B:$B,HELPER!$E:$E,""),"")=""),"Missing price",IFERROR(_xlfn.XLOOKUP(D224,HELPER!$B:$B,HELPER!$E:$E,"")," "))</f>
        <v/>
      </c>
      <c r="J224" s="47" t="str">
        <f>IFERROR(H224*(IF(G224=8,I224*HELPER!$G$2,BOM!I224*HELPER!$G$3))," ")</f>
        <v xml:space="preserve"> </v>
      </c>
      <c r="K224" s="6"/>
      <c r="L224" s="14" t="str" cm="1">
        <f t="array" ref="L224">IFERROR(_xlfn.LET(_xlpm.films,Table4[Film],_xlpm.grades,Table4[Grade],_xlpm.pairs,_xlfn._xlws.FILTER(_xlfn.HSTACK(_xlpm.films,_xlpm.grades),(_xlpm.films&lt;&gt;"")*(TRIM(_xlpm.grades)&lt;&gt;"")),_xlpm.uniquePairs,_xlfn.UNIQUE(_xlpm.pairs),_xlpm.sortedPairs,_xlfn._xlws.SORT(_xlpm.uniquePairs,1,1),INDEX(_xlpm.sortedPairs,ROWS($L$2:L224),1)),"")</f>
        <v/>
      </c>
      <c r="M224" s="15" t="str" cm="1">
        <f t="array" ref="M224">IFERROR(_xlfn.LET(_xlpm.films,Table4[Film],_xlpm.grades,Table4[Grade],_xlpm.pairs,_xlfn._xlws.FILTER(_xlfn.HSTACK(_xlpm.films,_xlpm.grades),(_xlpm.films&lt;&gt;"")*(TRIM(_xlpm.grades)&lt;&gt;"")),_xlpm.uniquePairs,_xlfn.UNIQUE(_xlpm.pairs),_xlpm.sortedPairs,_xlfn._xlws.SORT(_xlpm.uniquePairs,1,1),INDEX(_xlpm.sortedPairs,ROWS($M$2:M224),2)),"")</f>
        <v/>
      </c>
      <c r="N224" s="15" t="str" cm="1">
        <f t="array" ref="N224">IF(OR(Table2[[#This Row],[Film]]="",Table2[[#This Row],[Grade]]=""),"",IFERROR(INDEX(Table4[Serial Number],MATCH(1,(Table4[Film]=Table2[[#This Row],[Film]])*(Table4[Grade]=Table2[[#This Row],[Grade]]),0)),""))</f>
        <v/>
      </c>
      <c r="O224" s="51" t="str">
        <f>IF(OR(Table2[[#This Row],[Film]]="",Table2[[#This Row],[Grade]]=""),"",SUMIFS(Table4[Price Calculated(€) Thickness &amp; QTY related],Table4[Film],Table2[[#This Row],[Film]],Table4[Grade],Table2[[#This Row],[Grade]]))</f>
        <v/>
      </c>
      <c r="P224" s="6"/>
      <c r="T224" s="6"/>
    </row>
    <row r="225" spans="1:20" hidden="1">
      <c r="A225" s="29" t="s">
        <v>47</v>
      </c>
      <c r="B225" s="29" t="s">
        <v>6</v>
      </c>
      <c r="C225" s="28"/>
      <c r="D225" s="28" t="str">
        <f>IF(C225="","",IFERROR(_xlfn.XLOOKUP(C225,HELPER!$A$2:$A$81,HELPER!$B$2:$B$81,""),D225))</f>
        <v/>
      </c>
      <c r="E225" s="28" t="str">
        <f>IFERROR(_xlfn.XLOOKUP(D225,HELPER!$B:$B,HELPER!$C:$C,""),"")</f>
        <v/>
      </c>
      <c r="F225" s="27" t="str">
        <f>IFERROR(_xlfn.XLOOKUP(D225,HELPER!$B:$B,HELPER!$D:$D,""),"")</f>
        <v/>
      </c>
      <c r="G225" s="27">
        <v>8</v>
      </c>
      <c r="H225" s="46"/>
      <c r="I225" s="47" t="str">
        <f>IF(AND(H225&lt;&gt;"",IFERROR(_xlfn.XLOOKUP(D225,HELPER!$B:$B,HELPER!$E:$E,""),"")=""),"Missing price",IFERROR(_xlfn.XLOOKUP(D225,HELPER!$B:$B,HELPER!$E:$E,"")," "))</f>
        <v/>
      </c>
      <c r="J225" s="47" t="str">
        <f>IFERROR(H225*(IF(G225=8,I225*HELPER!$G$2,BOM!I225*HELPER!$G$3))," ")</f>
        <v xml:space="preserve"> </v>
      </c>
      <c r="K225" s="6"/>
      <c r="L225" s="14" t="str" cm="1">
        <f t="array" ref="L225">IFERROR(_xlfn.LET(_xlpm.films,Table4[Film],_xlpm.grades,Table4[Grade],_xlpm.pairs,_xlfn._xlws.FILTER(_xlfn.HSTACK(_xlpm.films,_xlpm.grades),(_xlpm.films&lt;&gt;"")*(TRIM(_xlpm.grades)&lt;&gt;"")),_xlpm.uniquePairs,_xlfn.UNIQUE(_xlpm.pairs),_xlpm.sortedPairs,_xlfn._xlws.SORT(_xlpm.uniquePairs,1,1),INDEX(_xlpm.sortedPairs,ROWS($L$2:L225),1)),"")</f>
        <v/>
      </c>
      <c r="M225" s="15" t="str" cm="1">
        <f t="array" ref="M225">IFERROR(_xlfn.LET(_xlpm.films,Table4[Film],_xlpm.grades,Table4[Grade],_xlpm.pairs,_xlfn._xlws.FILTER(_xlfn.HSTACK(_xlpm.films,_xlpm.grades),(_xlpm.films&lt;&gt;"")*(TRIM(_xlpm.grades)&lt;&gt;"")),_xlpm.uniquePairs,_xlfn.UNIQUE(_xlpm.pairs),_xlpm.sortedPairs,_xlfn._xlws.SORT(_xlpm.uniquePairs,1,1),INDEX(_xlpm.sortedPairs,ROWS($M$2:M225),2)),"")</f>
        <v/>
      </c>
      <c r="N225" s="15" t="str" cm="1">
        <f t="array" ref="N225">IF(OR(Table2[[#This Row],[Film]]="",Table2[[#This Row],[Grade]]=""),"",IFERROR(INDEX(Table4[Serial Number],MATCH(1,(Table4[Film]=Table2[[#This Row],[Film]])*(Table4[Grade]=Table2[[#This Row],[Grade]]),0)),""))</f>
        <v/>
      </c>
      <c r="O225" s="51" t="str">
        <f>IF(OR(Table2[[#This Row],[Film]]="",Table2[[#This Row],[Grade]]=""),"",SUMIFS(Table4[Price Calculated(€) Thickness &amp; QTY related],Table4[Film],Table2[[#This Row],[Film]],Table4[Grade],Table2[[#This Row],[Grade]]))</f>
        <v/>
      </c>
      <c r="P225" s="6"/>
      <c r="T225" s="6"/>
    </row>
    <row r="226" spans="1:20" hidden="1">
      <c r="A226" s="29" t="s">
        <v>47</v>
      </c>
      <c r="B226" s="29" t="s">
        <v>6</v>
      </c>
      <c r="C226" s="28"/>
      <c r="D226" s="28" t="str">
        <f>IF(C226="","",IFERROR(_xlfn.XLOOKUP(C226,HELPER!$A$2:$A$81,HELPER!$B$2:$B$81,""),D226))</f>
        <v/>
      </c>
      <c r="E226" s="28" t="str">
        <f>IFERROR(_xlfn.XLOOKUP(D226,HELPER!$B:$B,HELPER!$C:$C,""),"")</f>
        <v/>
      </c>
      <c r="F226" s="27" t="str">
        <f>IFERROR(_xlfn.XLOOKUP(D226,HELPER!$B:$B,HELPER!$D:$D,""),"")</f>
        <v/>
      </c>
      <c r="G226" s="27">
        <v>8</v>
      </c>
      <c r="H226" s="46"/>
      <c r="I226" s="47" t="str">
        <f>IF(AND(H226&lt;&gt;"",IFERROR(_xlfn.XLOOKUP(D226,HELPER!$B:$B,HELPER!$E:$E,""),"")=""),"Missing price",IFERROR(_xlfn.XLOOKUP(D226,HELPER!$B:$B,HELPER!$E:$E,"")," "))</f>
        <v/>
      </c>
      <c r="J226" s="47" t="str">
        <f>IFERROR(H226*(IF(G226=8,I226*HELPER!$G$2,BOM!I226*HELPER!$G$3))," ")</f>
        <v xml:space="preserve"> </v>
      </c>
      <c r="K226" s="6"/>
      <c r="L226" s="14" t="str" cm="1">
        <f t="array" ref="L226">IFERROR(_xlfn.LET(_xlpm.films,Table4[Film],_xlpm.grades,Table4[Grade],_xlpm.pairs,_xlfn._xlws.FILTER(_xlfn.HSTACK(_xlpm.films,_xlpm.grades),(_xlpm.films&lt;&gt;"")*(TRIM(_xlpm.grades)&lt;&gt;"")),_xlpm.uniquePairs,_xlfn.UNIQUE(_xlpm.pairs),_xlpm.sortedPairs,_xlfn._xlws.SORT(_xlpm.uniquePairs,1,1),INDEX(_xlpm.sortedPairs,ROWS($L$2:L226),1)),"")</f>
        <v/>
      </c>
      <c r="M226" s="15" t="str" cm="1">
        <f t="array" ref="M226">IFERROR(_xlfn.LET(_xlpm.films,Table4[Film],_xlpm.grades,Table4[Grade],_xlpm.pairs,_xlfn._xlws.FILTER(_xlfn.HSTACK(_xlpm.films,_xlpm.grades),(_xlpm.films&lt;&gt;"")*(TRIM(_xlpm.grades)&lt;&gt;"")),_xlpm.uniquePairs,_xlfn.UNIQUE(_xlpm.pairs),_xlpm.sortedPairs,_xlfn._xlws.SORT(_xlpm.uniquePairs,1,1),INDEX(_xlpm.sortedPairs,ROWS($M$2:M226),2)),"")</f>
        <v/>
      </c>
      <c r="N226" s="15" t="str" cm="1">
        <f t="array" ref="N226">IF(OR(Table2[[#This Row],[Film]]="",Table2[[#This Row],[Grade]]=""),"",IFERROR(INDEX(Table4[Serial Number],MATCH(1,(Table4[Film]=Table2[[#This Row],[Film]])*(Table4[Grade]=Table2[[#This Row],[Grade]]),0)),""))</f>
        <v/>
      </c>
      <c r="O226" s="51" t="str">
        <f>IF(OR(Table2[[#This Row],[Film]]="",Table2[[#This Row],[Grade]]=""),"",SUMIFS(Table4[Price Calculated(€) Thickness &amp; QTY related],Table4[Film],Table2[[#This Row],[Film]],Table4[Grade],Table2[[#This Row],[Grade]]))</f>
        <v/>
      </c>
      <c r="P226" s="6"/>
      <c r="T226" s="6"/>
    </row>
    <row r="227" spans="1:20" hidden="1">
      <c r="A227" s="29" t="s">
        <v>47</v>
      </c>
      <c r="B227" s="29" t="s">
        <v>6</v>
      </c>
      <c r="C227" s="28"/>
      <c r="D227" s="28" t="str">
        <f>IF(C227="","",IFERROR(_xlfn.XLOOKUP(C227,HELPER!$A$2:$A$81,HELPER!$B$2:$B$81,""),D227))</f>
        <v/>
      </c>
      <c r="E227" s="28" t="str">
        <f>IFERROR(_xlfn.XLOOKUP(D227,HELPER!$B:$B,HELPER!$C:$C,""),"")</f>
        <v/>
      </c>
      <c r="F227" s="27" t="str">
        <f>IFERROR(_xlfn.XLOOKUP(D227,HELPER!$B:$B,HELPER!$D:$D,""),"")</f>
        <v/>
      </c>
      <c r="G227" s="27">
        <v>8</v>
      </c>
      <c r="H227" s="46"/>
      <c r="I227" s="47" t="str">
        <f>IF(AND(H227&lt;&gt;"",IFERROR(_xlfn.XLOOKUP(D227,HELPER!$B:$B,HELPER!$E:$E,""),"")=""),"Missing price",IFERROR(_xlfn.XLOOKUP(D227,HELPER!$B:$B,HELPER!$E:$E,"")," "))</f>
        <v/>
      </c>
      <c r="J227" s="47" t="str">
        <f>IFERROR(H227*(IF(G227=8,I227*HELPER!$G$2,BOM!I227*HELPER!$G$3))," ")</f>
        <v xml:space="preserve"> </v>
      </c>
      <c r="K227" s="6"/>
      <c r="L227" s="14" t="str" cm="1">
        <f t="array" ref="L227">IFERROR(_xlfn.LET(_xlpm.films,Table4[Film],_xlpm.grades,Table4[Grade],_xlpm.pairs,_xlfn._xlws.FILTER(_xlfn.HSTACK(_xlpm.films,_xlpm.grades),(_xlpm.films&lt;&gt;"")*(TRIM(_xlpm.grades)&lt;&gt;"")),_xlpm.uniquePairs,_xlfn.UNIQUE(_xlpm.pairs),_xlpm.sortedPairs,_xlfn._xlws.SORT(_xlpm.uniquePairs,1,1),INDEX(_xlpm.sortedPairs,ROWS($L$2:L227),1)),"")</f>
        <v/>
      </c>
      <c r="M227" s="15" t="str" cm="1">
        <f t="array" ref="M227">IFERROR(_xlfn.LET(_xlpm.films,Table4[Film],_xlpm.grades,Table4[Grade],_xlpm.pairs,_xlfn._xlws.FILTER(_xlfn.HSTACK(_xlpm.films,_xlpm.grades),(_xlpm.films&lt;&gt;"")*(TRIM(_xlpm.grades)&lt;&gt;"")),_xlpm.uniquePairs,_xlfn.UNIQUE(_xlpm.pairs),_xlpm.sortedPairs,_xlfn._xlws.SORT(_xlpm.uniquePairs,1,1),INDEX(_xlpm.sortedPairs,ROWS($M$2:M227),2)),"")</f>
        <v/>
      </c>
      <c r="N227" s="15" t="str" cm="1">
        <f t="array" ref="N227">IF(OR(Table2[[#This Row],[Film]]="",Table2[[#This Row],[Grade]]=""),"",IFERROR(INDEX(Table4[Serial Number],MATCH(1,(Table4[Film]=Table2[[#This Row],[Film]])*(Table4[Grade]=Table2[[#This Row],[Grade]]),0)),""))</f>
        <v/>
      </c>
      <c r="O227" s="51" t="str">
        <f>IF(OR(Table2[[#This Row],[Film]]="",Table2[[#This Row],[Grade]]=""),"",SUMIFS(Table4[Price Calculated(€) Thickness &amp; QTY related],Table4[Film],Table2[[#This Row],[Film]],Table4[Grade],Table2[[#This Row],[Grade]]))</f>
        <v/>
      </c>
      <c r="P227" s="6"/>
      <c r="T227" s="6"/>
    </row>
    <row r="228" spans="1:20" hidden="1">
      <c r="A228" s="29" t="s">
        <v>47</v>
      </c>
      <c r="B228" s="29" t="s">
        <v>6</v>
      </c>
      <c r="C228" s="28"/>
      <c r="D228" s="28" t="str">
        <f>IF(C228="","",IFERROR(_xlfn.XLOOKUP(C228,HELPER!$A$2:$A$81,HELPER!$B$2:$B$81,""),D228))</f>
        <v/>
      </c>
      <c r="E228" s="28" t="str">
        <f>IFERROR(_xlfn.XLOOKUP(D228,HELPER!$B:$B,HELPER!$C:$C,""),"")</f>
        <v/>
      </c>
      <c r="F228" s="27" t="str">
        <f>IFERROR(_xlfn.XLOOKUP(D228,HELPER!$B:$B,HELPER!$D:$D,""),"")</f>
        <v/>
      </c>
      <c r="G228" s="27">
        <v>8</v>
      </c>
      <c r="H228" s="46"/>
      <c r="I228" s="47" t="str">
        <f>IF(AND(H228&lt;&gt;"",IFERROR(_xlfn.XLOOKUP(D228,HELPER!$B:$B,HELPER!$E:$E,""),"")=""),"Missing price",IFERROR(_xlfn.XLOOKUP(D228,HELPER!$B:$B,HELPER!$E:$E,"")," "))</f>
        <v/>
      </c>
      <c r="J228" s="47" t="str">
        <f>IFERROR(H228*(IF(G228=8,I228*HELPER!$G$2,BOM!I228*HELPER!$G$3))," ")</f>
        <v xml:space="preserve"> </v>
      </c>
      <c r="K228" s="6"/>
      <c r="L228" s="14" t="str" cm="1">
        <f t="array" ref="L228">IFERROR(_xlfn.LET(_xlpm.films,Table4[Film],_xlpm.grades,Table4[Grade],_xlpm.pairs,_xlfn._xlws.FILTER(_xlfn.HSTACK(_xlpm.films,_xlpm.grades),(_xlpm.films&lt;&gt;"")*(TRIM(_xlpm.grades)&lt;&gt;"")),_xlpm.uniquePairs,_xlfn.UNIQUE(_xlpm.pairs),_xlpm.sortedPairs,_xlfn._xlws.SORT(_xlpm.uniquePairs,1,1),INDEX(_xlpm.sortedPairs,ROWS($L$2:L228),1)),"")</f>
        <v/>
      </c>
      <c r="M228" s="15" t="str" cm="1">
        <f t="array" ref="M228">IFERROR(_xlfn.LET(_xlpm.films,Table4[Film],_xlpm.grades,Table4[Grade],_xlpm.pairs,_xlfn._xlws.FILTER(_xlfn.HSTACK(_xlpm.films,_xlpm.grades),(_xlpm.films&lt;&gt;"")*(TRIM(_xlpm.grades)&lt;&gt;"")),_xlpm.uniquePairs,_xlfn.UNIQUE(_xlpm.pairs),_xlpm.sortedPairs,_xlfn._xlws.SORT(_xlpm.uniquePairs,1,1),INDEX(_xlpm.sortedPairs,ROWS($M$2:M228),2)),"")</f>
        <v/>
      </c>
      <c r="N228" s="15" t="str" cm="1">
        <f t="array" ref="N228">IF(OR(Table2[[#This Row],[Film]]="",Table2[[#This Row],[Grade]]=""),"",IFERROR(INDEX(Table4[Serial Number],MATCH(1,(Table4[Film]=Table2[[#This Row],[Film]])*(Table4[Grade]=Table2[[#This Row],[Grade]]),0)),""))</f>
        <v/>
      </c>
      <c r="O228" s="51" t="str">
        <f>IF(OR(Table2[[#This Row],[Film]]="",Table2[[#This Row],[Grade]]=""),"",SUMIFS(Table4[Price Calculated(€) Thickness &amp; QTY related],Table4[Film],Table2[[#This Row],[Film]],Table4[Grade],Table2[[#This Row],[Grade]]))</f>
        <v/>
      </c>
      <c r="P228" s="6"/>
      <c r="T228" s="6"/>
    </row>
    <row r="229" spans="1:20" hidden="1">
      <c r="A229" s="29" t="s">
        <v>47</v>
      </c>
      <c r="B229" s="29" t="s">
        <v>6</v>
      </c>
      <c r="C229" s="28"/>
      <c r="D229" s="28" t="str">
        <f>IF(C229="","",IFERROR(_xlfn.XLOOKUP(C229,HELPER!$A$2:$A$81,HELPER!$B$2:$B$81,""),D229))</f>
        <v/>
      </c>
      <c r="E229" s="28" t="str">
        <f>IFERROR(_xlfn.XLOOKUP(D229,HELPER!$B:$B,HELPER!$C:$C,""),"")</f>
        <v/>
      </c>
      <c r="F229" s="27" t="str">
        <f>IFERROR(_xlfn.XLOOKUP(D229,HELPER!$B:$B,HELPER!$D:$D,""),"")</f>
        <v/>
      </c>
      <c r="G229" s="27">
        <v>8</v>
      </c>
      <c r="H229" s="46"/>
      <c r="I229" s="47" t="str">
        <f>IF(AND(H229&lt;&gt;"",IFERROR(_xlfn.XLOOKUP(D229,HELPER!$B:$B,HELPER!$E:$E,""),"")=""),"Missing price",IFERROR(_xlfn.XLOOKUP(D229,HELPER!$B:$B,HELPER!$E:$E,"")," "))</f>
        <v/>
      </c>
      <c r="J229" s="47" t="str">
        <f>IFERROR(H229*(IF(G229=8,I229*HELPER!$G$2,BOM!I229*HELPER!$G$3))," ")</f>
        <v xml:space="preserve"> </v>
      </c>
      <c r="K229" s="6"/>
      <c r="L229" s="14" t="str" cm="1">
        <f t="array" ref="L229">IFERROR(_xlfn.LET(_xlpm.films,Table4[Film],_xlpm.grades,Table4[Grade],_xlpm.pairs,_xlfn._xlws.FILTER(_xlfn.HSTACK(_xlpm.films,_xlpm.grades),(_xlpm.films&lt;&gt;"")*(TRIM(_xlpm.grades)&lt;&gt;"")),_xlpm.uniquePairs,_xlfn.UNIQUE(_xlpm.pairs),_xlpm.sortedPairs,_xlfn._xlws.SORT(_xlpm.uniquePairs,1,1),INDEX(_xlpm.sortedPairs,ROWS($L$2:L229),1)),"")</f>
        <v/>
      </c>
      <c r="M229" s="15" t="str" cm="1">
        <f t="array" ref="M229">IFERROR(_xlfn.LET(_xlpm.films,Table4[Film],_xlpm.grades,Table4[Grade],_xlpm.pairs,_xlfn._xlws.FILTER(_xlfn.HSTACK(_xlpm.films,_xlpm.grades),(_xlpm.films&lt;&gt;"")*(TRIM(_xlpm.grades)&lt;&gt;"")),_xlpm.uniquePairs,_xlfn.UNIQUE(_xlpm.pairs),_xlpm.sortedPairs,_xlfn._xlws.SORT(_xlpm.uniquePairs,1,1),INDEX(_xlpm.sortedPairs,ROWS($M$2:M229),2)),"")</f>
        <v/>
      </c>
      <c r="N229" s="15" t="str" cm="1">
        <f t="array" ref="N229">IF(OR(Table2[[#This Row],[Film]]="",Table2[[#This Row],[Grade]]=""),"",IFERROR(INDEX(Table4[Serial Number],MATCH(1,(Table4[Film]=Table2[[#This Row],[Film]])*(Table4[Grade]=Table2[[#This Row],[Grade]]),0)),""))</f>
        <v/>
      </c>
      <c r="O229" s="51" t="str">
        <f>IF(OR(Table2[[#This Row],[Film]]="",Table2[[#This Row],[Grade]]=""),"",SUMIFS(Table4[Price Calculated(€) Thickness &amp; QTY related],Table4[Film],Table2[[#This Row],[Film]],Table4[Grade],Table2[[#This Row],[Grade]]))</f>
        <v/>
      </c>
      <c r="P229" s="6"/>
      <c r="T229" s="6"/>
    </row>
    <row r="230" spans="1:20" hidden="1">
      <c r="A230" s="29" t="s">
        <v>47</v>
      </c>
      <c r="B230" s="29" t="s">
        <v>6</v>
      </c>
      <c r="C230" s="28"/>
      <c r="D230" s="28" t="str">
        <f>IF(C230="","",IFERROR(_xlfn.XLOOKUP(C230,HELPER!$A$2:$A$81,HELPER!$B$2:$B$81,""),D230))</f>
        <v/>
      </c>
      <c r="E230" s="28" t="str">
        <f>IFERROR(_xlfn.XLOOKUP(D230,HELPER!$B:$B,HELPER!$C:$C,""),"")</f>
        <v/>
      </c>
      <c r="F230" s="27" t="str">
        <f>IFERROR(_xlfn.XLOOKUP(D230,HELPER!$B:$B,HELPER!$D:$D,""),"")</f>
        <v/>
      </c>
      <c r="G230" s="27">
        <v>8</v>
      </c>
      <c r="H230" s="46"/>
      <c r="I230" s="47" t="str">
        <f>IF(AND(H230&lt;&gt;"",IFERROR(_xlfn.XLOOKUP(D230,HELPER!$B:$B,HELPER!$E:$E,""),"")=""),"Missing price",IFERROR(_xlfn.XLOOKUP(D230,HELPER!$B:$B,HELPER!$E:$E,"")," "))</f>
        <v/>
      </c>
      <c r="J230" s="47" t="str">
        <f>IFERROR(H230*(IF(G230=8,I230*HELPER!$G$2,BOM!I230*HELPER!$G$3))," ")</f>
        <v xml:space="preserve"> </v>
      </c>
      <c r="K230" s="6"/>
      <c r="L230" s="14" t="str" cm="1">
        <f t="array" ref="L230">IFERROR(_xlfn.LET(_xlpm.films,Table4[Film],_xlpm.grades,Table4[Grade],_xlpm.pairs,_xlfn._xlws.FILTER(_xlfn.HSTACK(_xlpm.films,_xlpm.grades),(_xlpm.films&lt;&gt;"")*(TRIM(_xlpm.grades)&lt;&gt;"")),_xlpm.uniquePairs,_xlfn.UNIQUE(_xlpm.pairs),_xlpm.sortedPairs,_xlfn._xlws.SORT(_xlpm.uniquePairs,1,1),INDEX(_xlpm.sortedPairs,ROWS($L$2:L230),1)),"")</f>
        <v/>
      </c>
      <c r="M230" s="15" t="str" cm="1">
        <f t="array" ref="M230">IFERROR(_xlfn.LET(_xlpm.films,Table4[Film],_xlpm.grades,Table4[Grade],_xlpm.pairs,_xlfn._xlws.FILTER(_xlfn.HSTACK(_xlpm.films,_xlpm.grades),(_xlpm.films&lt;&gt;"")*(TRIM(_xlpm.grades)&lt;&gt;"")),_xlpm.uniquePairs,_xlfn.UNIQUE(_xlpm.pairs),_xlpm.sortedPairs,_xlfn._xlws.SORT(_xlpm.uniquePairs,1,1),INDEX(_xlpm.sortedPairs,ROWS($M$2:M230),2)),"")</f>
        <v/>
      </c>
      <c r="N230" s="15" t="str" cm="1">
        <f t="array" ref="N230">IF(OR(Table2[[#This Row],[Film]]="",Table2[[#This Row],[Grade]]=""),"",IFERROR(INDEX(Table4[Serial Number],MATCH(1,(Table4[Film]=Table2[[#This Row],[Film]])*(Table4[Grade]=Table2[[#This Row],[Grade]]),0)),""))</f>
        <v/>
      </c>
      <c r="O230" s="51" t="str">
        <f>IF(OR(Table2[[#This Row],[Film]]="",Table2[[#This Row],[Grade]]=""),"",SUMIFS(Table4[Price Calculated(€) Thickness &amp; QTY related],Table4[Film],Table2[[#This Row],[Film]],Table4[Grade],Table2[[#This Row],[Grade]]))</f>
        <v/>
      </c>
      <c r="P230" s="6"/>
      <c r="T230" s="6"/>
    </row>
    <row r="231" spans="1:20" hidden="1">
      <c r="A231" s="29" t="s">
        <v>47</v>
      </c>
      <c r="B231" s="29" t="s">
        <v>6</v>
      </c>
      <c r="C231" s="28"/>
      <c r="D231" s="28" t="str">
        <f>IF(C231="","",IFERROR(_xlfn.XLOOKUP(C231,HELPER!$A$2:$A$81,HELPER!$B$2:$B$81,""),D231))</f>
        <v/>
      </c>
      <c r="E231" s="28" t="str">
        <f>IFERROR(_xlfn.XLOOKUP(D231,HELPER!$B:$B,HELPER!$C:$C,""),"")</f>
        <v/>
      </c>
      <c r="F231" s="27" t="str">
        <f>IFERROR(_xlfn.XLOOKUP(D231,HELPER!$B:$B,HELPER!$D:$D,""),"")</f>
        <v/>
      </c>
      <c r="G231" s="27">
        <v>8</v>
      </c>
      <c r="H231" s="46"/>
      <c r="I231" s="47" t="str">
        <f>IF(AND(H231&lt;&gt;"",IFERROR(_xlfn.XLOOKUP(D231,HELPER!$B:$B,HELPER!$E:$E,""),"")=""),"Missing price",IFERROR(_xlfn.XLOOKUP(D231,HELPER!$B:$B,HELPER!$E:$E,"")," "))</f>
        <v/>
      </c>
      <c r="J231" s="47" t="str">
        <f>IFERROR(H231*(IF(G231=8,I231*HELPER!$G$2,BOM!I231*HELPER!$G$3))," ")</f>
        <v xml:space="preserve"> </v>
      </c>
      <c r="K231" s="6"/>
      <c r="L231" s="14" t="str" cm="1">
        <f t="array" ref="L231">IFERROR(_xlfn.LET(_xlpm.films,Table4[Film],_xlpm.grades,Table4[Grade],_xlpm.pairs,_xlfn._xlws.FILTER(_xlfn.HSTACK(_xlpm.films,_xlpm.grades),(_xlpm.films&lt;&gt;"")*(TRIM(_xlpm.grades)&lt;&gt;"")),_xlpm.uniquePairs,_xlfn.UNIQUE(_xlpm.pairs),_xlpm.sortedPairs,_xlfn._xlws.SORT(_xlpm.uniquePairs,1,1),INDEX(_xlpm.sortedPairs,ROWS($L$2:L231),1)),"")</f>
        <v/>
      </c>
      <c r="M231" s="15" t="str" cm="1">
        <f t="array" ref="M231">IFERROR(_xlfn.LET(_xlpm.films,Table4[Film],_xlpm.grades,Table4[Grade],_xlpm.pairs,_xlfn._xlws.FILTER(_xlfn.HSTACK(_xlpm.films,_xlpm.grades),(_xlpm.films&lt;&gt;"")*(TRIM(_xlpm.grades)&lt;&gt;"")),_xlpm.uniquePairs,_xlfn.UNIQUE(_xlpm.pairs),_xlpm.sortedPairs,_xlfn._xlws.SORT(_xlpm.uniquePairs,1,1),INDEX(_xlpm.sortedPairs,ROWS($M$2:M231),2)),"")</f>
        <v/>
      </c>
      <c r="N231" s="15" t="str" cm="1">
        <f t="array" ref="N231">IF(OR(Table2[[#This Row],[Film]]="",Table2[[#This Row],[Grade]]=""),"",IFERROR(INDEX(Table4[Serial Number],MATCH(1,(Table4[Film]=Table2[[#This Row],[Film]])*(Table4[Grade]=Table2[[#This Row],[Grade]]),0)),""))</f>
        <v/>
      </c>
      <c r="O231" s="51" t="str">
        <f>IF(OR(Table2[[#This Row],[Film]]="",Table2[[#This Row],[Grade]]=""),"",SUMIFS(Table4[Price Calculated(€) Thickness &amp; QTY related],Table4[Film],Table2[[#This Row],[Film]],Table4[Grade],Table2[[#This Row],[Grade]]))</f>
        <v/>
      </c>
      <c r="P231" s="6"/>
      <c r="T231" s="6"/>
    </row>
    <row r="232" spans="1:20" hidden="1">
      <c r="A232" s="29" t="s">
        <v>47</v>
      </c>
      <c r="B232" s="29" t="s">
        <v>7</v>
      </c>
      <c r="C232" s="28" t="s">
        <v>14</v>
      </c>
      <c r="D232" s="28" t="str">
        <f>IF(C232="","",IFERROR(_xlfn.XLOOKUP(C232,HELPER!$A$2:$A$81,HELPER!$B$2:$B$81,""),D232))</f>
        <v>B12</v>
      </c>
      <c r="E232" s="28" t="str">
        <f>IFERROR(_xlfn.XLOOKUP(D232,HELPER!$B:$B,HELPER!$C:$C,""),"")</f>
        <v>RMB12</v>
      </c>
      <c r="F232" s="27" t="str">
        <f>IFERROR(_xlfn.XLOOKUP(D232,HELPER!$B:$B,HELPER!$D:$D,""),"")</f>
        <v>Resin 2A</v>
      </c>
      <c r="G232" s="27">
        <v>8</v>
      </c>
      <c r="H232" s="46">
        <v>0.69</v>
      </c>
      <c r="I232" s="47">
        <f>IF(AND(H232&lt;&gt;"",IFERROR(_xlfn.XLOOKUP(D232,HELPER!$B:$B,HELPER!$E:$E,""),"")=""),"Missing price",IFERROR(_xlfn.XLOOKUP(D232,HELPER!$B:$B,HELPER!$E:$E,"")," "))</f>
        <v>1.81</v>
      </c>
      <c r="J232" s="47">
        <f>IFERROR(H232*(IF(G232=8,I232*HELPER!$G$2,BOM!I232*HELPER!$G$3))," ")</f>
        <v>0.24978</v>
      </c>
      <c r="K232" s="6"/>
      <c r="L232" s="14" t="str" cm="1">
        <f t="array" ref="L232">IFERROR(_xlfn.LET(_xlpm.films,Table4[Film],_xlpm.grades,Table4[Grade],_xlpm.pairs,_xlfn._xlws.FILTER(_xlfn.HSTACK(_xlpm.films,_xlpm.grades),(_xlpm.films&lt;&gt;"")*(TRIM(_xlpm.grades)&lt;&gt;"")),_xlpm.uniquePairs,_xlfn.UNIQUE(_xlpm.pairs),_xlpm.sortedPairs,_xlfn._xlws.SORT(_xlpm.uniquePairs,1,1),INDEX(_xlpm.sortedPairs,ROWS($L$2:L232),1)),"")</f>
        <v/>
      </c>
      <c r="M232" s="15" t="str" cm="1">
        <f t="array" ref="M232">IFERROR(_xlfn.LET(_xlpm.films,Table4[Film],_xlpm.grades,Table4[Grade],_xlpm.pairs,_xlfn._xlws.FILTER(_xlfn.HSTACK(_xlpm.films,_xlpm.grades),(_xlpm.films&lt;&gt;"")*(TRIM(_xlpm.grades)&lt;&gt;"")),_xlpm.uniquePairs,_xlfn.UNIQUE(_xlpm.pairs),_xlpm.sortedPairs,_xlfn._xlws.SORT(_xlpm.uniquePairs,1,1),INDEX(_xlpm.sortedPairs,ROWS($M$2:M232),2)),"")</f>
        <v/>
      </c>
      <c r="N232" s="15" t="str" cm="1">
        <f t="array" ref="N232">IF(OR(Table2[[#This Row],[Film]]="",Table2[[#This Row],[Grade]]=""),"",IFERROR(INDEX(Table4[Serial Number],MATCH(1,(Table4[Film]=Table2[[#This Row],[Film]])*(Table4[Grade]=Table2[[#This Row],[Grade]]),0)),""))</f>
        <v/>
      </c>
      <c r="O232" s="51" t="str">
        <f>IF(OR(Table2[[#This Row],[Film]]="",Table2[[#This Row],[Grade]]=""),"",SUMIFS(Table4[Price Calculated(€) Thickness &amp; QTY related],Table4[Film],Table2[[#This Row],[Film]],Table4[Grade],Table2[[#This Row],[Grade]]))</f>
        <v/>
      </c>
      <c r="P232" s="6"/>
      <c r="T232" s="6"/>
    </row>
    <row r="233" spans="1:20" hidden="1">
      <c r="A233" s="29" t="s">
        <v>47</v>
      </c>
      <c r="B233" s="29" t="s">
        <v>7</v>
      </c>
      <c r="C233" s="28" t="s">
        <v>19</v>
      </c>
      <c r="D233" s="28" t="str">
        <f>IF(C233="","",IFERROR(_xlfn.XLOOKUP(C233,HELPER!$A$2:$A$81,HELPER!$B$2:$B$81,""),D233))</f>
        <v>BVE8049P</v>
      </c>
      <c r="E233" s="28" t="str">
        <f>IFERROR(_xlfn.XLOOKUP(D233,HELPER!$B:$B,HELPER!$C:$C,""),"")</f>
        <v>BVE8049P</v>
      </c>
      <c r="F233" s="27" t="str">
        <f>IFERROR(_xlfn.XLOOKUP(D233,HELPER!$B:$B,HELPER!$D:$D,""),"")</f>
        <v>BVE8049P</v>
      </c>
      <c r="G233" s="27">
        <v>8</v>
      </c>
      <c r="H233" s="46">
        <v>0.28999999999999998</v>
      </c>
      <c r="I233" s="47">
        <f>IF(AND(H233&lt;&gt;"",IFERROR(_xlfn.XLOOKUP(D233,HELPER!$B:$B,HELPER!$E:$E,""),"")=""),"Missing price",IFERROR(_xlfn.XLOOKUP(D233,HELPER!$B:$B,HELPER!$E:$E,"")," "))</f>
        <v>18.5</v>
      </c>
      <c r="J233" s="47">
        <f>IFERROR(H233*(IF(G233=8,I233*HELPER!$G$2,BOM!I233*HELPER!$G$3))," ")</f>
        <v>1.073</v>
      </c>
      <c r="K233" s="6"/>
      <c r="L233" s="14" t="str" cm="1">
        <f t="array" ref="L233">IFERROR(_xlfn.LET(_xlpm.films,Table4[Film],_xlpm.grades,Table4[Grade],_xlpm.pairs,_xlfn._xlws.FILTER(_xlfn.HSTACK(_xlpm.films,_xlpm.grades),(_xlpm.films&lt;&gt;"")*(TRIM(_xlpm.grades)&lt;&gt;"")),_xlpm.uniquePairs,_xlfn.UNIQUE(_xlpm.pairs),_xlpm.sortedPairs,_xlfn._xlws.SORT(_xlpm.uniquePairs,1,1),INDEX(_xlpm.sortedPairs,ROWS($L$2:L233),1)),"")</f>
        <v/>
      </c>
      <c r="M233" s="15" t="str" cm="1">
        <f t="array" ref="M233">IFERROR(_xlfn.LET(_xlpm.films,Table4[Film],_xlpm.grades,Table4[Grade],_xlpm.pairs,_xlfn._xlws.FILTER(_xlfn.HSTACK(_xlpm.films,_xlpm.grades),(_xlpm.films&lt;&gt;"")*(TRIM(_xlpm.grades)&lt;&gt;"")),_xlpm.uniquePairs,_xlfn.UNIQUE(_xlpm.pairs),_xlpm.sortedPairs,_xlfn._xlws.SORT(_xlpm.uniquePairs,1,1),INDEX(_xlpm.sortedPairs,ROWS($M$2:M233),2)),"")</f>
        <v/>
      </c>
      <c r="N233" s="15" t="str" cm="1">
        <f t="array" ref="N233">IF(OR(Table2[[#This Row],[Film]]="",Table2[[#This Row],[Grade]]=""),"",IFERROR(INDEX(Table4[Serial Number],MATCH(1,(Table4[Film]=Table2[[#This Row],[Film]])*(Table4[Grade]=Table2[[#This Row],[Grade]]),0)),""))</f>
        <v/>
      </c>
      <c r="O233" s="51" t="str">
        <f>IF(OR(Table2[[#This Row],[Film]]="",Table2[[#This Row],[Grade]]=""),"",SUMIFS(Table4[Price Calculated(€) Thickness &amp; QTY related],Table4[Film],Table2[[#This Row],[Film]],Table4[Grade],Table2[[#This Row],[Grade]]))</f>
        <v/>
      </c>
      <c r="P233" s="6"/>
      <c r="T233" s="6"/>
    </row>
    <row r="234" spans="1:20" hidden="1">
      <c r="A234" s="29" t="s">
        <v>47</v>
      </c>
      <c r="B234" s="29" t="s">
        <v>7</v>
      </c>
      <c r="C234" s="28" t="s">
        <v>16</v>
      </c>
      <c r="D234" s="28" t="str">
        <f>IF(C234="","",IFERROR(_xlfn.XLOOKUP(C234,HELPER!$A$2:$A$81,HELPER!$B$2:$B$81,""),D234))</f>
        <v>S723</v>
      </c>
      <c r="E234" s="28" t="str">
        <f>IFERROR(_xlfn.XLOOKUP(D234,HELPER!$B:$B,HELPER!$C:$C,""),"")</f>
        <v>RM TA45-08 S723</v>
      </c>
      <c r="F234" s="27" t="str">
        <f>IFERROR(_xlfn.XLOOKUP(D234,HELPER!$B:$B,HELPER!$D:$D,""),"")</f>
        <v>Resin 6</v>
      </c>
      <c r="G234" s="27">
        <v>8</v>
      </c>
      <c r="H234" s="46">
        <v>0.02</v>
      </c>
      <c r="I234" s="47">
        <f>IF(AND(H234&lt;&gt;"",IFERROR(_xlfn.XLOOKUP(D234,HELPER!$B:$B,HELPER!$E:$E,""),"")=""),"Missing price",IFERROR(_xlfn.XLOOKUP(D234,HELPER!$B:$B,HELPER!$E:$E,"")," "))</f>
        <v>16.16</v>
      </c>
      <c r="J234" s="47">
        <f>IFERROR(H234*(IF(G234=8,I234*HELPER!$G$2,BOM!I234*HELPER!$G$3))," ")</f>
        <v>6.4640000000000003E-2</v>
      </c>
      <c r="K234" s="6"/>
      <c r="L234" s="14" t="str" cm="1">
        <f t="array" ref="L234">IFERROR(_xlfn.LET(_xlpm.films,Table4[Film],_xlpm.grades,Table4[Grade],_xlpm.pairs,_xlfn._xlws.FILTER(_xlfn.HSTACK(_xlpm.films,_xlpm.grades),(_xlpm.films&lt;&gt;"")*(TRIM(_xlpm.grades)&lt;&gt;"")),_xlpm.uniquePairs,_xlfn.UNIQUE(_xlpm.pairs),_xlpm.sortedPairs,_xlfn._xlws.SORT(_xlpm.uniquePairs,1,1),INDEX(_xlpm.sortedPairs,ROWS($L$2:L234),1)),"")</f>
        <v/>
      </c>
      <c r="M234" s="15" t="str" cm="1">
        <f t="array" ref="M234">IFERROR(_xlfn.LET(_xlpm.films,Table4[Film],_xlpm.grades,Table4[Grade],_xlpm.pairs,_xlfn._xlws.FILTER(_xlfn.HSTACK(_xlpm.films,_xlpm.grades),(_xlpm.films&lt;&gt;"")*(TRIM(_xlpm.grades)&lt;&gt;"")),_xlpm.uniquePairs,_xlfn.UNIQUE(_xlpm.pairs),_xlpm.sortedPairs,_xlfn._xlws.SORT(_xlpm.uniquePairs,1,1),INDEX(_xlpm.sortedPairs,ROWS($M$2:M234),2)),"")</f>
        <v/>
      </c>
      <c r="N234" s="15" t="str" cm="1">
        <f t="array" ref="N234">IF(OR(Table2[[#This Row],[Film]]="",Table2[[#This Row],[Grade]]=""),"",IFERROR(INDEX(Table4[Serial Number],MATCH(1,(Table4[Film]=Table2[[#This Row],[Film]])*(Table4[Grade]=Table2[[#This Row],[Grade]]),0)),""))</f>
        <v/>
      </c>
      <c r="O234" s="51" t="str">
        <f>IF(OR(Table2[[#This Row],[Film]]="",Table2[[#This Row],[Grade]]=""),"",SUMIFS(Table4[Price Calculated(€) Thickness &amp; QTY related],Table4[Film],Table2[[#This Row],[Film]],Table4[Grade],Table2[[#This Row],[Grade]]))</f>
        <v/>
      </c>
      <c r="P234" s="6"/>
      <c r="T234" s="6"/>
    </row>
    <row r="235" spans="1:20" hidden="1">
      <c r="A235" s="29" t="s">
        <v>47</v>
      </c>
      <c r="B235" s="29" t="s">
        <v>7</v>
      </c>
      <c r="C235" s="28"/>
      <c r="D235" s="28" t="str">
        <f>IF(C235="","",IFERROR(_xlfn.XLOOKUP(C235,HELPER!$A$2:$A$81,HELPER!$B$2:$B$81,""),D235))</f>
        <v/>
      </c>
      <c r="E235" s="28" t="str">
        <f>IFERROR(_xlfn.XLOOKUP(D235,HELPER!$B:$B,HELPER!$C:$C,""),"")</f>
        <v/>
      </c>
      <c r="F235" s="27" t="str">
        <f>IFERROR(_xlfn.XLOOKUP(D235,HELPER!$B:$B,HELPER!$D:$D,""),"")</f>
        <v/>
      </c>
      <c r="G235" s="27">
        <v>8</v>
      </c>
      <c r="H235" s="46"/>
      <c r="I235" s="47" t="str">
        <f>IF(AND(H235&lt;&gt;"",IFERROR(_xlfn.XLOOKUP(D235,HELPER!$B:$B,HELPER!$E:$E,""),"")=""),"Missing price",IFERROR(_xlfn.XLOOKUP(D235,HELPER!$B:$B,HELPER!$E:$E,"")," "))</f>
        <v/>
      </c>
      <c r="J235" s="47" t="str">
        <f>IFERROR(H235*(IF(G235=8,I235*HELPER!$G$2,BOM!I235*HELPER!$G$3))," ")</f>
        <v xml:space="preserve"> </v>
      </c>
      <c r="K235" s="6"/>
      <c r="L235" s="14" t="str" cm="1">
        <f t="array" ref="L235">IFERROR(_xlfn.LET(_xlpm.films,Table4[Film],_xlpm.grades,Table4[Grade],_xlpm.pairs,_xlfn._xlws.FILTER(_xlfn.HSTACK(_xlpm.films,_xlpm.grades),(_xlpm.films&lt;&gt;"")*(TRIM(_xlpm.grades)&lt;&gt;"")),_xlpm.uniquePairs,_xlfn.UNIQUE(_xlpm.pairs),_xlpm.sortedPairs,_xlfn._xlws.SORT(_xlpm.uniquePairs,1,1),INDEX(_xlpm.sortedPairs,ROWS($L$2:L235),1)),"")</f>
        <v/>
      </c>
      <c r="M235" s="15" t="str" cm="1">
        <f t="array" ref="M235">IFERROR(_xlfn.LET(_xlpm.films,Table4[Film],_xlpm.grades,Table4[Grade],_xlpm.pairs,_xlfn._xlws.FILTER(_xlfn.HSTACK(_xlpm.films,_xlpm.grades),(_xlpm.films&lt;&gt;"")*(TRIM(_xlpm.grades)&lt;&gt;"")),_xlpm.uniquePairs,_xlfn.UNIQUE(_xlpm.pairs),_xlpm.sortedPairs,_xlfn._xlws.SORT(_xlpm.uniquePairs,1,1),INDEX(_xlpm.sortedPairs,ROWS($M$2:M235),2)),"")</f>
        <v/>
      </c>
      <c r="N235" s="15" t="str" cm="1">
        <f t="array" ref="N235">IF(OR(Table2[[#This Row],[Film]]="",Table2[[#This Row],[Grade]]=""),"",IFERROR(INDEX(Table4[Serial Number],MATCH(1,(Table4[Film]=Table2[[#This Row],[Film]])*(Table4[Grade]=Table2[[#This Row],[Grade]]),0)),""))</f>
        <v/>
      </c>
      <c r="O235" s="51" t="str">
        <f>IF(OR(Table2[[#This Row],[Film]]="",Table2[[#This Row],[Grade]]=""),"",SUMIFS(Table4[Price Calculated(€) Thickness &amp; QTY related],Table4[Film],Table2[[#This Row],[Film]],Table4[Grade],Table2[[#This Row],[Grade]]))</f>
        <v/>
      </c>
      <c r="P235" s="6"/>
      <c r="T235" s="6"/>
    </row>
    <row r="236" spans="1:20" hidden="1">
      <c r="A236" s="29" t="s">
        <v>47</v>
      </c>
      <c r="B236" s="29" t="s">
        <v>7</v>
      </c>
      <c r="C236" s="28"/>
      <c r="D236" s="28" t="str">
        <f>IF(C236="","",IFERROR(_xlfn.XLOOKUP(C236,HELPER!$A$2:$A$81,HELPER!$B$2:$B$81,""),D236))</f>
        <v/>
      </c>
      <c r="E236" s="28" t="str">
        <f>IFERROR(_xlfn.XLOOKUP(D236,HELPER!$B:$B,HELPER!$C:$C,""),"")</f>
        <v/>
      </c>
      <c r="F236" s="27" t="str">
        <f>IFERROR(_xlfn.XLOOKUP(D236,HELPER!$B:$B,HELPER!$D:$D,""),"")</f>
        <v/>
      </c>
      <c r="G236" s="27">
        <v>8</v>
      </c>
      <c r="H236" s="46"/>
      <c r="I236" s="47" t="str">
        <f>IF(AND(H236&lt;&gt;"",IFERROR(_xlfn.XLOOKUP(D236,HELPER!$B:$B,HELPER!$E:$E,""),"")=""),"Missing price",IFERROR(_xlfn.XLOOKUP(D236,HELPER!$B:$B,HELPER!$E:$E,"")," "))</f>
        <v/>
      </c>
      <c r="J236" s="47" t="str">
        <f>IFERROR(H236*(IF(G236=8,I236*HELPER!$G$2,BOM!I236*HELPER!$G$3))," ")</f>
        <v xml:space="preserve"> </v>
      </c>
      <c r="K236" s="6"/>
      <c r="L236" s="14" t="str" cm="1">
        <f t="array" ref="L236">IFERROR(_xlfn.LET(_xlpm.films,Table4[Film],_xlpm.grades,Table4[Grade],_xlpm.pairs,_xlfn._xlws.FILTER(_xlfn.HSTACK(_xlpm.films,_xlpm.grades),(_xlpm.films&lt;&gt;"")*(TRIM(_xlpm.grades)&lt;&gt;"")),_xlpm.uniquePairs,_xlfn.UNIQUE(_xlpm.pairs),_xlpm.sortedPairs,_xlfn._xlws.SORT(_xlpm.uniquePairs,1,1),INDEX(_xlpm.sortedPairs,ROWS($L$2:L236),1)),"")</f>
        <v/>
      </c>
      <c r="M236" s="15" t="str" cm="1">
        <f t="array" ref="M236">IFERROR(_xlfn.LET(_xlpm.films,Table4[Film],_xlpm.grades,Table4[Grade],_xlpm.pairs,_xlfn._xlws.FILTER(_xlfn.HSTACK(_xlpm.films,_xlpm.grades),(_xlpm.films&lt;&gt;"")*(TRIM(_xlpm.grades)&lt;&gt;"")),_xlpm.uniquePairs,_xlfn.UNIQUE(_xlpm.pairs),_xlpm.sortedPairs,_xlfn._xlws.SORT(_xlpm.uniquePairs,1,1),INDEX(_xlpm.sortedPairs,ROWS($M$2:M236),2)),"")</f>
        <v/>
      </c>
      <c r="N236" s="15" t="str" cm="1">
        <f t="array" ref="N236">IF(OR(Table2[[#This Row],[Film]]="",Table2[[#This Row],[Grade]]=""),"",IFERROR(INDEX(Table4[Serial Number],MATCH(1,(Table4[Film]=Table2[[#This Row],[Film]])*(Table4[Grade]=Table2[[#This Row],[Grade]]),0)),""))</f>
        <v/>
      </c>
      <c r="O236" s="51" t="str">
        <f>IF(OR(Table2[[#This Row],[Film]]="",Table2[[#This Row],[Grade]]=""),"",SUMIFS(Table4[Price Calculated(€) Thickness &amp; QTY related],Table4[Film],Table2[[#This Row],[Film]],Table4[Grade],Table2[[#This Row],[Grade]]))</f>
        <v/>
      </c>
      <c r="P236" s="6"/>
      <c r="T236" s="6"/>
    </row>
    <row r="237" spans="1:20" hidden="1">
      <c r="A237" s="29" t="s">
        <v>47</v>
      </c>
      <c r="B237" s="29" t="s">
        <v>7</v>
      </c>
      <c r="C237" s="28"/>
      <c r="D237" s="28" t="str">
        <f>IF(C237="","",IFERROR(_xlfn.XLOOKUP(C237,HELPER!$A$2:$A$81,HELPER!$B$2:$B$81,""),D237))</f>
        <v/>
      </c>
      <c r="E237" s="28" t="str">
        <f>IFERROR(_xlfn.XLOOKUP(D237,HELPER!$B:$B,HELPER!$C:$C,""),"")</f>
        <v/>
      </c>
      <c r="F237" s="27" t="str">
        <f>IFERROR(_xlfn.XLOOKUP(D237,HELPER!$B:$B,HELPER!$D:$D,""),"")</f>
        <v/>
      </c>
      <c r="G237" s="27">
        <v>8</v>
      </c>
      <c r="H237" s="46"/>
      <c r="I237" s="47" t="str">
        <f>IF(AND(H237&lt;&gt;"",IFERROR(_xlfn.XLOOKUP(D237,HELPER!$B:$B,HELPER!$E:$E,""),"")=""),"Missing price",IFERROR(_xlfn.XLOOKUP(D237,HELPER!$B:$B,HELPER!$E:$E,"")," "))</f>
        <v/>
      </c>
      <c r="J237" s="47" t="str">
        <f>IFERROR(H237*(IF(G237=8,I237*HELPER!$G$2,BOM!I237*HELPER!$G$3))," ")</f>
        <v xml:space="preserve"> </v>
      </c>
      <c r="K237" s="6"/>
      <c r="L237" s="14" t="str" cm="1">
        <f t="array" ref="L237">IFERROR(_xlfn.LET(_xlpm.films,Table4[Film],_xlpm.grades,Table4[Grade],_xlpm.pairs,_xlfn._xlws.FILTER(_xlfn.HSTACK(_xlpm.films,_xlpm.grades),(_xlpm.films&lt;&gt;"")*(TRIM(_xlpm.grades)&lt;&gt;"")),_xlpm.uniquePairs,_xlfn.UNIQUE(_xlpm.pairs),_xlpm.sortedPairs,_xlfn._xlws.SORT(_xlpm.uniquePairs,1,1),INDEX(_xlpm.sortedPairs,ROWS($L$2:L237),1)),"")</f>
        <v/>
      </c>
      <c r="M237" s="15" t="str" cm="1">
        <f t="array" ref="M237">IFERROR(_xlfn.LET(_xlpm.films,Table4[Film],_xlpm.grades,Table4[Grade],_xlpm.pairs,_xlfn._xlws.FILTER(_xlfn.HSTACK(_xlpm.films,_xlpm.grades),(_xlpm.films&lt;&gt;"")*(TRIM(_xlpm.grades)&lt;&gt;"")),_xlpm.uniquePairs,_xlfn.UNIQUE(_xlpm.pairs),_xlpm.sortedPairs,_xlfn._xlws.SORT(_xlpm.uniquePairs,1,1),INDEX(_xlpm.sortedPairs,ROWS($M$2:M237),2)),"")</f>
        <v/>
      </c>
      <c r="N237" s="15" t="str" cm="1">
        <f t="array" ref="N237">IF(OR(Table2[[#This Row],[Film]]="",Table2[[#This Row],[Grade]]=""),"",IFERROR(INDEX(Table4[Serial Number],MATCH(1,(Table4[Film]=Table2[[#This Row],[Film]])*(Table4[Grade]=Table2[[#This Row],[Grade]]),0)),""))</f>
        <v/>
      </c>
      <c r="O237" s="51" t="str">
        <f>IF(OR(Table2[[#This Row],[Film]]="",Table2[[#This Row],[Grade]]=""),"",SUMIFS(Table4[Price Calculated(€) Thickness &amp; QTY related],Table4[Film],Table2[[#This Row],[Film]],Table4[Grade],Table2[[#This Row],[Grade]]))</f>
        <v/>
      </c>
      <c r="P237" s="6"/>
      <c r="T237" s="6"/>
    </row>
    <row r="238" spans="1:20" hidden="1">
      <c r="A238" s="29" t="s">
        <v>47</v>
      </c>
      <c r="B238" s="29" t="s">
        <v>7</v>
      </c>
      <c r="C238" s="28"/>
      <c r="D238" s="28" t="str">
        <f>IF(C238="","",IFERROR(_xlfn.XLOOKUP(C238,HELPER!$A$2:$A$81,HELPER!$B$2:$B$81,""),D238))</f>
        <v/>
      </c>
      <c r="E238" s="28" t="str">
        <f>IFERROR(_xlfn.XLOOKUP(D238,HELPER!$B:$B,HELPER!$C:$C,""),"")</f>
        <v/>
      </c>
      <c r="F238" s="27" t="str">
        <f>IFERROR(_xlfn.XLOOKUP(D238,HELPER!$B:$B,HELPER!$D:$D,""),"")</f>
        <v/>
      </c>
      <c r="G238" s="27">
        <v>8</v>
      </c>
      <c r="H238" s="46"/>
      <c r="I238" s="47" t="str">
        <f>IF(AND(H238&lt;&gt;"",IFERROR(_xlfn.XLOOKUP(D238,HELPER!$B:$B,HELPER!$E:$E,""),"")=""),"Missing price",IFERROR(_xlfn.XLOOKUP(D238,HELPER!$B:$B,HELPER!$E:$E,"")," "))</f>
        <v/>
      </c>
      <c r="J238" s="47" t="str">
        <f>IFERROR(H238*(IF(G238=8,I238*HELPER!$G$2,BOM!I238*HELPER!$G$3))," ")</f>
        <v xml:space="preserve"> </v>
      </c>
      <c r="K238" s="6"/>
      <c r="L238" s="14" t="str" cm="1">
        <f t="array" ref="L238">IFERROR(_xlfn.LET(_xlpm.films,Table4[Film],_xlpm.grades,Table4[Grade],_xlpm.pairs,_xlfn._xlws.FILTER(_xlfn.HSTACK(_xlpm.films,_xlpm.grades),(_xlpm.films&lt;&gt;"")*(TRIM(_xlpm.grades)&lt;&gt;"")),_xlpm.uniquePairs,_xlfn.UNIQUE(_xlpm.pairs),_xlpm.sortedPairs,_xlfn._xlws.SORT(_xlpm.uniquePairs,1,1),INDEX(_xlpm.sortedPairs,ROWS($L$2:L238),1)),"")</f>
        <v/>
      </c>
      <c r="M238" s="15" t="str" cm="1">
        <f t="array" ref="M238">IFERROR(_xlfn.LET(_xlpm.films,Table4[Film],_xlpm.grades,Table4[Grade],_xlpm.pairs,_xlfn._xlws.FILTER(_xlfn.HSTACK(_xlpm.films,_xlpm.grades),(_xlpm.films&lt;&gt;"")*(TRIM(_xlpm.grades)&lt;&gt;"")),_xlpm.uniquePairs,_xlfn.UNIQUE(_xlpm.pairs),_xlpm.sortedPairs,_xlfn._xlws.SORT(_xlpm.uniquePairs,1,1),INDEX(_xlpm.sortedPairs,ROWS($M$2:M238),2)),"")</f>
        <v/>
      </c>
      <c r="N238" s="15" t="str" cm="1">
        <f t="array" ref="N238">IF(OR(Table2[[#This Row],[Film]]="",Table2[[#This Row],[Grade]]=""),"",IFERROR(INDEX(Table4[Serial Number],MATCH(1,(Table4[Film]=Table2[[#This Row],[Film]])*(Table4[Grade]=Table2[[#This Row],[Grade]]),0)),""))</f>
        <v/>
      </c>
      <c r="O238" s="51" t="str">
        <f>IF(OR(Table2[[#This Row],[Film]]="",Table2[[#This Row],[Grade]]=""),"",SUMIFS(Table4[Price Calculated(€) Thickness &amp; QTY related],Table4[Film],Table2[[#This Row],[Film]],Table4[Grade],Table2[[#This Row],[Grade]]))</f>
        <v/>
      </c>
      <c r="P238" s="6"/>
      <c r="T238" s="6"/>
    </row>
    <row r="239" spans="1:20" hidden="1">
      <c r="A239" s="29" t="s">
        <v>47</v>
      </c>
      <c r="B239" s="29" t="s">
        <v>7</v>
      </c>
      <c r="C239" s="28"/>
      <c r="D239" s="28" t="str">
        <f>IF(C239="","",IFERROR(_xlfn.XLOOKUP(C239,HELPER!$A$2:$A$81,HELPER!$B$2:$B$81,""),D239))</f>
        <v/>
      </c>
      <c r="E239" s="28" t="str">
        <f>IFERROR(_xlfn.XLOOKUP(D239,HELPER!$B:$B,HELPER!$C:$C,""),"")</f>
        <v/>
      </c>
      <c r="F239" s="27" t="str">
        <f>IFERROR(_xlfn.XLOOKUP(D239,HELPER!$B:$B,HELPER!$D:$D,""),"")</f>
        <v/>
      </c>
      <c r="G239" s="27">
        <v>8</v>
      </c>
      <c r="H239" s="46"/>
      <c r="I239" s="47" t="str">
        <f>IF(AND(H239&lt;&gt;"",IFERROR(_xlfn.XLOOKUP(D239,HELPER!$B:$B,HELPER!$E:$E,""),"")=""),"Missing price",IFERROR(_xlfn.XLOOKUP(D239,HELPER!$B:$B,HELPER!$E:$E,"")," "))</f>
        <v/>
      </c>
      <c r="J239" s="47" t="str">
        <f>IFERROR(H239*(IF(G239=8,I239*HELPER!$G$2,BOM!I239*HELPER!$G$3))," ")</f>
        <v xml:space="preserve"> </v>
      </c>
      <c r="K239" s="6"/>
      <c r="L239" s="14" t="str" cm="1">
        <f t="array" ref="L239">IFERROR(_xlfn.LET(_xlpm.films,Table4[Film],_xlpm.grades,Table4[Grade],_xlpm.pairs,_xlfn._xlws.FILTER(_xlfn.HSTACK(_xlpm.films,_xlpm.grades),(_xlpm.films&lt;&gt;"")*(TRIM(_xlpm.grades)&lt;&gt;"")),_xlpm.uniquePairs,_xlfn.UNIQUE(_xlpm.pairs),_xlpm.sortedPairs,_xlfn._xlws.SORT(_xlpm.uniquePairs,1,1),INDEX(_xlpm.sortedPairs,ROWS($L$2:L239),1)),"")</f>
        <v/>
      </c>
      <c r="M239" s="15" t="str" cm="1">
        <f t="array" ref="M239">IFERROR(_xlfn.LET(_xlpm.films,Table4[Film],_xlpm.grades,Table4[Grade],_xlpm.pairs,_xlfn._xlws.FILTER(_xlfn.HSTACK(_xlpm.films,_xlpm.grades),(_xlpm.films&lt;&gt;"")*(TRIM(_xlpm.grades)&lt;&gt;"")),_xlpm.uniquePairs,_xlfn.UNIQUE(_xlpm.pairs),_xlpm.sortedPairs,_xlfn._xlws.SORT(_xlpm.uniquePairs,1,1),INDEX(_xlpm.sortedPairs,ROWS($M$2:M239),2)),"")</f>
        <v/>
      </c>
      <c r="N239" s="15" t="str" cm="1">
        <f t="array" ref="N239">IF(OR(Table2[[#This Row],[Film]]="",Table2[[#This Row],[Grade]]=""),"",IFERROR(INDEX(Table4[Serial Number],MATCH(1,(Table4[Film]=Table2[[#This Row],[Film]])*(Table4[Grade]=Table2[[#This Row],[Grade]]),0)),""))</f>
        <v/>
      </c>
      <c r="O239" s="51" t="str">
        <f>IF(OR(Table2[[#This Row],[Film]]="",Table2[[#This Row],[Grade]]=""),"",SUMIFS(Table4[Price Calculated(€) Thickness &amp; QTY related],Table4[Film],Table2[[#This Row],[Film]],Table4[Grade],Table2[[#This Row],[Grade]]))</f>
        <v/>
      </c>
      <c r="P239" s="6"/>
      <c r="T239" s="6"/>
    </row>
    <row r="240" spans="1:20" hidden="1">
      <c r="A240" s="29" t="s">
        <v>47</v>
      </c>
      <c r="B240" s="29" t="s">
        <v>7</v>
      </c>
      <c r="C240" s="28"/>
      <c r="D240" s="28" t="str">
        <f>IF(C240="","",IFERROR(_xlfn.XLOOKUP(C240,HELPER!$A$2:$A$81,HELPER!$B$2:$B$81,""),D240))</f>
        <v/>
      </c>
      <c r="E240" s="28" t="str">
        <f>IFERROR(_xlfn.XLOOKUP(D240,HELPER!$B:$B,HELPER!$C:$C,""),"")</f>
        <v/>
      </c>
      <c r="F240" s="27" t="str">
        <f>IFERROR(_xlfn.XLOOKUP(D240,HELPER!$B:$B,HELPER!$D:$D,""),"")</f>
        <v/>
      </c>
      <c r="G240" s="27">
        <v>8</v>
      </c>
      <c r="H240" s="46"/>
      <c r="I240" s="47" t="str">
        <f>IF(AND(H240&lt;&gt;"",IFERROR(_xlfn.XLOOKUP(D240,HELPER!$B:$B,HELPER!$E:$E,""),"")=""),"Missing price",IFERROR(_xlfn.XLOOKUP(D240,HELPER!$B:$B,HELPER!$E:$E,"")," "))</f>
        <v/>
      </c>
      <c r="J240" s="47" t="str">
        <f>IFERROR(H240*(IF(G240=8,I240*HELPER!$G$2,BOM!I240*HELPER!$G$3))," ")</f>
        <v xml:space="preserve"> </v>
      </c>
      <c r="K240" s="6"/>
      <c r="L240" s="14" t="str" cm="1">
        <f t="array" ref="L240">IFERROR(_xlfn.LET(_xlpm.films,Table4[Film],_xlpm.grades,Table4[Grade],_xlpm.pairs,_xlfn._xlws.FILTER(_xlfn.HSTACK(_xlpm.films,_xlpm.grades),(_xlpm.films&lt;&gt;"")*(TRIM(_xlpm.grades)&lt;&gt;"")),_xlpm.uniquePairs,_xlfn.UNIQUE(_xlpm.pairs),_xlpm.sortedPairs,_xlfn._xlws.SORT(_xlpm.uniquePairs,1,1),INDEX(_xlpm.sortedPairs,ROWS($L$2:L240),1)),"")</f>
        <v/>
      </c>
      <c r="M240" s="15" t="str" cm="1">
        <f t="array" ref="M240">IFERROR(_xlfn.LET(_xlpm.films,Table4[Film],_xlpm.grades,Table4[Grade],_xlpm.pairs,_xlfn._xlws.FILTER(_xlfn.HSTACK(_xlpm.films,_xlpm.grades),(_xlpm.films&lt;&gt;"")*(TRIM(_xlpm.grades)&lt;&gt;"")),_xlpm.uniquePairs,_xlfn.UNIQUE(_xlpm.pairs),_xlpm.sortedPairs,_xlfn._xlws.SORT(_xlpm.uniquePairs,1,1),INDEX(_xlpm.sortedPairs,ROWS($M$2:M240),2)),"")</f>
        <v/>
      </c>
      <c r="N240" s="15" t="str" cm="1">
        <f t="array" ref="N240">IF(OR(Table2[[#This Row],[Film]]="",Table2[[#This Row],[Grade]]=""),"",IFERROR(INDEX(Table4[Serial Number],MATCH(1,(Table4[Film]=Table2[[#This Row],[Film]])*(Table4[Grade]=Table2[[#This Row],[Grade]]),0)),""))</f>
        <v/>
      </c>
      <c r="O240" s="51" t="str">
        <f>IF(OR(Table2[[#This Row],[Film]]="",Table2[[#This Row],[Grade]]=""),"",SUMIFS(Table4[Price Calculated(€) Thickness &amp; QTY related],Table4[Film],Table2[[#This Row],[Film]],Table4[Grade],Table2[[#This Row],[Grade]]))</f>
        <v/>
      </c>
      <c r="P240" s="6"/>
      <c r="T240" s="6"/>
    </row>
    <row r="241" spans="1:20" hidden="1">
      <c r="A241" s="29" t="s">
        <v>47</v>
      </c>
      <c r="B241" s="29" t="s">
        <v>7</v>
      </c>
      <c r="C241" s="28"/>
      <c r="D241" s="28" t="str">
        <f>IF(C241="","",IFERROR(_xlfn.XLOOKUP(C241,HELPER!$A$2:$A$81,HELPER!$B$2:$B$81,""),D241))</f>
        <v/>
      </c>
      <c r="E241" s="28" t="str">
        <f>IFERROR(_xlfn.XLOOKUP(D241,HELPER!$B:$B,HELPER!$C:$C,""),"")</f>
        <v/>
      </c>
      <c r="F241" s="27" t="str">
        <f>IFERROR(_xlfn.XLOOKUP(D241,HELPER!$B:$B,HELPER!$D:$D,""),"")</f>
        <v/>
      </c>
      <c r="G241" s="27">
        <v>8</v>
      </c>
      <c r="H241" s="46"/>
      <c r="I241" s="47" t="str">
        <f>IF(AND(H241&lt;&gt;"",IFERROR(_xlfn.XLOOKUP(D241,HELPER!$B:$B,HELPER!$E:$E,""),"")=""),"Missing price",IFERROR(_xlfn.XLOOKUP(D241,HELPER!$B:$B,HELPER!$E:$E,"")," "))</f>
        <v/>
      </c>
      <c r="J241" s="47" t="str">
        <f>IFERROR(H241*(IF(G241=8,I241*HELPER!$G$2,BOM!I241*HELPER!$G$3))," ")</f>
        <v xml:space="preserve"> </v>
      </c>
      <c r="K241" s="6"/>
      <c r="L241" s="14" t="str" cm="1">
        <f t="array" ref="L241">IFERROR(_xlfn.LET(_xlpm.films,Table4[Film],_xlpm.grades,Table4[Grade],_xlpm.pairs,_xlfn._xlws.FILTER(_xlfn.HSTACK(_xlpm.films,_xlpm.grades),(_xlpm.films&lt;&gt;"")*(TRIM(_xlpm.grades)&lt;&gt;"")),_xlpm.uniquePairs,_xlfn.UNIQUE(_xlpm.pairs),_xlpm.sortedPairs,_xlfn._xlws.SORT(_xlpm.uniquePairs,1,1),INDEX(_xlpm.sortedPairs,ROWS($L$2:L241),1)),"")</f>
        <v/>
      </c>
      <c r="M241" s="15" t="str" cm="1">
        <f t="array" ref="M241">IFERROR(_xlfn.LET(_xlpm.films,Table4[Film],_xlpm.grades,Table4[Grade],_xlpm.pairs,_xlfn._xlws.FILTER(_xlfn.HSTACK(_xlpm.films,_xlpm.grades),(_xlpm.films&lt;&gt;"")*(TRIM(_xlpm.grades)&lt;&gt;"")),_xlpm.uniquePairs,_xlfn.UNIQUE(_xlpm.pairs),_xlpm.sortedPairs,_xlfn._xlws.SORT(_xlpm.uniquePairs,1,1),INDEX(_xlpm.sortedPairs,ROWS($M$2:M241),2)),"")</f>
        <v/>
      </c>
      <c r="N241" s="15" t="str" cm="1">
        <f t="array" ref="N241">IF(OR(Table2[[#This Row],[Film]]="",Table2[[#This Row],[Grade]]=""),"",IFERROR(INDEX(Table4[Serial Number],MATCH(1,(Table4[Film]=Table2[[#This Row],[Film]])*(Table4[Grade]=Table2[[#This Row],[Grade]]),0)),""))</f>
        <v/>
      </c>
      <c r="O241" s="51" t="str">
        <f>IF(OR(Table2[[#This Row],[Film]]="",Table2[[#This Row],[Grade]]=""),"",SUMIFS(Table4[Price Calculated(€) Thickness &amp; QTY related],Table4[Film],Table2[[#This Row],[Film]],Table4[Grade],Table2[[#This Row],[Grade]]))</f>
        <v/>
      </c>
      <c r="P241" s="6"/>
      <c r="T241" s="6"/>
    </row>
    <row r="242" spans="1:20" hidden="1">
      <c r="A242" s="29" t="s">
        <v>48</v>
      </c>
      <c r="B242" s="29" t="s">
        <v>5</v>
      </c>
      <c r="C242" s="28" t="s">
        <v>13</v>
      </c>
      <c r="D242" s="28" t="str">
        <f>IF(C242="","",IFERROR(_xlfn.XLOOKUP(C242,HELPER!$A$2:$A$81,HELPER!$B$2:$B$81,""),D242))</f>
        <v>LX175</v>
      </c>
      <c r="E242" s="28" t="str">
        <f>IFERROR(_xlfn.XLOOKUP(D242,HELPER!$B:$B,HELPER!$C:$C,""),"")</f>
        <v>RMLX175</v>
      </c>
      <c r="F242" s="27" t="str">
        <f>IFERROR(_xlfn.XLOOKUP(D242,HELPER!$B:$B,HELPER!$D:$D,""),"")</f>
        <v>Resin 1A</v>
      </c>
      <c r="G242" s="27">
        <v>24</v>
      </c>
      <c r="H242" s="46">
        <v>0.79</v>
      </c>
      <c r="I242" s="47">
        <f>IF(AND(H242&lt;&gt;"",IFERROR(_xlfn.XLOOKUP(D242,HELPER!$B:$B,HELPER!$E:$E,""),"")=""),"Missing price",IFERROR(_xlfn.XLOOKUP(D242,HELPER!$B:$B,HELPER!$E:$E,"")," "))</f>
        <v>3.17</v>
      </c>
      <c r="J242" s="47">
        <f>IFERROR(H242*(IF(G242=8,I242*HELPER!$G$2,BOM!I242*HELPER!$G$3))," ")</f>
        <v>1.50258</v>
      </c>
      <c r="K242" s="6"/>
      <c r="L242" s="14" t="str" cm="1">
        <f t="array" ref="L242">IFERROR(_xlfn.LET(_xlpm.films,Table4[Film],_xlpm.grades,Table4[Grade],_xlpm.pairs,_xlfn._xlws.FILTER(_xlfn.HSTACK(_xlpm.films,_xlpm.grades),(_xlpm.films&lt;&gt;"")*(TRIM(_xlpm.grades)&lt;&gt;"")),_xlpm.uniquePairs,_xlfn.UNIQUE(_xlpm.pairs),_xlpm.sortedPairs,_xlfn._xlws.SORT(_xlpm.uniquePairs,1,1),INDEX(_xlpm.sortedPairs,ROWS($L$2:L242),1)),"")</f>
        <v/>
      </c>
      <c r="M242" s="15" t="str" cm="1">
        <f t="array" ref="M242">IFERROR(_xlfn.LET(_xlpm.films,Table4[Film],_xlpm.grades,Table4[Grade],_xlpm.pairs,_xlfn._xlws.FILTER(_xlfn.HSTACK(_xlpm.films,_xlpm.grades),(_xlpm.films&lt;&gt;"")*(TRIM(_xlpm.grades)&lt;&gt;"")),_xlpm.uniquePairs,_xlfn.UNIQUE(_xlpm.pairs),_xlpm.sortedPairs,_xlfn._xlws.SORT(_xlpm.uniquePairs,1,1),INDEX(_xlpm.sortedPairs,ROWS($M$2:M242),2)),"")</f>
        <v/>
      </c>
      <c r="N242" s="15" t="str" cm="1">
        <f t="array" ref="N242">IF(OR(Table2[[#This Row],[Film]]="",Table2[[#This Row],[Grade]]=""),"",IFERROR(INDEX(Table4[Serial Number],MATCH(1,(Table4[Film]=Table2[[#This Row],[Film]])*(Table4[Grade]=Table2[[#This Row],[Grade]]),0)),""))</f>
        <v/>
      </c>
      <c r="O242" s="51" t="str">
        <f>IF(OR(Table2[[#This Row],[Film]]="",Table2[[#This Row],[Grade]]=""),"",SUMIFS(Table4[Price Calculated(€) Thickness &amp; QTY related],Table4[Film],Table2[[#This Row],[Film]],Table4[Grade],Table2[[#This Row],[Grade]]))</f>
        <v/>
      </c>
      <c r="P242" s="6"/>
      <c r="T242" s="6"/>
    </row>
    <row r="243" spans="1:20" hidden="1">
      <c r="A243" s="29" t="s">
        <v>48</v>
      </c>
      <c r="B243" s="29" t="s">
        <v>5</v>
      </c>
      <c r="C243" s="28" t="s">
        <v>15</v>
      </c>
      <c r="D243" s="28" t="str">
        <f>IF(C243="","",IFERROR(_xlfn.XLOOKUP(C243,HELPER!$A$2:$A$81,HELPER!$B$2:$B$81,""),D243))</f>
        <v>P65D</v>
      </c>
      <c r="E243" s="28" t="str">
        <f>IFERROR(_xlfn.XLOOKUP(D243,HELPER!$B:$B,HELPER!$C:$C,""),"")</f>
        <v>RMP65D</v>
      </c>
      <c r="F243" s="27" t="str">
        <f>IFERROR(_xlfn.XLOOKUP(D243,HELPER!$B:$B,HELPER!$D:$D,""),"")</f>
        <v>Resin 4A</v>
      </c>
      <c r="G243" s="27">
        <v>24</v>
      </c>
      <c r="H243" s="46">
        <v>0.19</v>
      </c>
      <c r="I243" s="47">
        <f>IF(AND(H243&lt;&gt;"",IFERROR(_xlfn.XLOOKUP(D243,HELPER!$B:$B,HELPER!$E:$E,""),"")=""),"Missing price",IFERROR(_xlfn.XLOOKUP(D243,HELPER!$B:$B,HELPER!$E:$E,"")," "))</f>
        <v>7.3</v>
      </c>
      <c r="J243" s="47">
        <f>IFERROR(H243*(IF(G243=8,I243*HELPER!$G$2,BOM!I243*HELPER!$G$3))," ")</f>
        <v>0.83219999999999994</v>
      </c>
      <c r="K243" s="6"/>
      <c r="L243" s="14" t="str" cm="1">
        <f t="array" ref="L243">IFERROR(_xlfn.LET(_xlpm.films,Table4[Film],_xlpm.grades,Table4[Grade],_xlpm.pairs,_xlfn._xlws.FILTER(_xlfn.HSTACK(_xlpm.films,_xlpm.grades),(_xlpm.films&lt;&gt;"")*(TRIM(_xlpm.grades)&lt;&gt;"")),_xlpm.uniquePairs,_xlfn.UNIQUE(_xlpm.pairs),_xlpm.sortedPairs,_xlfn._xlws.SORT(_xlpm.uniquePairs,1,1),INDEX(_xlpm.sortedPairs,ROWS($L$2:L243),1)),"")</f>
        <v/>
      </c>
      <c r="M243" s="15" t="str" cm="1">
        <f t="array" ref="M243">IFERROR(_xlfn.LET(_xlpm.films,Table4[Film],_xlpm.grades,Table4[Grade],_xlpm.pairs,_xlfn._xlws.FILTER(_xlfn.HSTACK(_xlpm.films,_xlpm.grades),(_xlpm.films&lt;&gt;"")*(TRIM(_xlpm.grades)&lt;&gt;"")),_xlpm.uniquePairs,_xlfn.UNIQUE(_xlpm.pairs),_xlpm.sortedPairs,_xlfn._xlws.SORT(_xlpm.uniquePairs,1,1),INDEX(_xlpm.sortedPairs,ROWS($M$2:M243),2)),"")</f>
        <v/>
      </c>
      <c r="N243" s="15" t="str" cm="1">
        <f t="array" ref="N243">IF(OR(Table2[[#This Row],[Film]]="",Table2[[#This Row],[Grade]]=""),"",IFERROR(INDEX(Table4[Serial Number],MATCH(1,(Table4[Film]=Table2[[#This Row],[Film]])*(Table4[Grade]=Table2[[#This Row],[Grade]]),0)),""))</f>
        <v/>
      </c>
      <c r="O243" s="51" t="str">
        <f>IF(OR(Table2[[#This Row],[Film]]="",Table2[[#This Row],[Grade]]=""),"",SUMIFS(Table4[Price Calculated(€) Thickness &amp; QTY related],Table4[Film],Table2[[#This Row],[Film]],Table4[Grade],Table2[[#This Row],[Grade]]))</f>
        <v/>
      </c>
      <c r="P243" s="6"/>
      <c r="T243" s="6"/>
    </row>
    <row r="244" spans="1:20" hidden="1">
      <c r="A244" s="29" t="s">
        <v>48</v>
      </c>
      <c r="B244" s="29" t="s">
        <v>5</v>
      </c>
      <c r="C244" s="28" t="s">
        <v>16</v>
      </c>
      <c r="D244" s="28" t="str">
        <f>IF(C244="","",IFERROR(_xlfn.XLOOKUP(C244,HELPER!$A$2:$A$81,HELPER!$B$2:$B$81,""),D244))</f>
        <v>S723</v>
      </c>
      <c r="E244" s="28" t="str">
        <f>IFERROR(_xlfn.XLOOKUP(D244,HELPER!$B:$B,HELPER!$C:$C,""),"")</f>
        <v>RM TA45-08 S723</v>
      </c>
      <c r="F244" s="27" t="str">
        <f>IFERROR(_xlfn.XLOOKUP(D244,HELPER!$B:$B,HELPER!$D:$D,""),"")</f>
        <v>Resin 6</v>
      </c>
      <c r="G244" s="27">
        <v>24</v>
      </c>
      <c r="H244" s="46">
        <v>0.02</v>
      </c>
      <c r="I244" s="47">
        <f>IF(AND(H244&lt;&gt;"",IFERROR(_xlfn.XLOOKUP(D244,HELPER!$B:$B,HELPER!$E:$E,""),"")=""),"Missing price",IFERROR(_xlfn.XLOOKUP(D244,HELPER!$B:$B,HELPER!$E:$E,"")," "))</f>
        <v>16.16</v>
      </c>
      <c r="J244" s="47">
        <f>IFERROR(H244*(IF(G244=8,I244*HELPER!$G$2,BOM!I244*HELPER!$G$3))," ")</f>
        <v>0.19392000000000001</v>
      </c>
      <c r="K244" s="6"/>
      <c r="L244" s="14" t="str" cm="1">
        <f t="array" ref="L244">IFERROR(_xlfn.LET(_xlpm.films,Table4[Film],_xlpm.grades,Table4[Grade],_xlpm.pairs,_xlfn._xlws.FILTER(_xlfn.HSTACK(_xlpm.films,_xlpm.grades),(_xlpm.films&lt;&gt;"")*(TRIM(_xlpm.grades)&lt;&gt;"")),_xlpm.uniquePairs,_xlfn.UNIQUE(_xlpm.pairs),_xlpm.sortedPairs,_xlfn._xlws.SORT(_xlpm.uniquePairs,1,1),INDEX(_xlpm.sortedPairs,ROWS($L$2:L244),1)),"")</f>
        <v/>
      </c>
      <c r="M244" s="15" t="str" cm="1">
        <f t="array" ref="M244">IFERROR(_xlfn.LET(_xlpm.films,Table4[Film],_xlpm.grades,Table4[Grade],_xlpm.pairs,_xlfn._xlws.FILTER(_xlfn.HSTACK(_xlpm.films,_xlpm.grades),(_xlpm.films&lt;&gt;"")*(TRIM(_xlpm.grades)&lt;&gt;"")),_xlpm.uniquePairs,_xlfn.UNIQUE(_xlpm.pairs),_xlpm.sortedPairs,_xlfn._xlws.SORT(_xlpm.uniquePairs,1,1),INDEX(_xlpm.sortedPairs,ROWS($M$2:M244),2)),"")</f>
        <v/>
      </c>
      <c r="N244" s="15" t="str" cm="1">
        <f t="array" ref="N244">IF(OR(Table2[[#This Row],[Film]]="",Table2[[#This Row],[Grade]]=""),"",IFERROR(INDEX(Table4[Serial Number],MATCH(1,(Table4[Film]=Table2[[#This Row],[Film]])*(Table4[Grade]=Table2[[#This Row],[Grade]]),0)),""))</f>
        <v/>
      </c>
      <c r="O244" s="51" t="str">
        <f>IF(OR(Table2[[#This Row],[Film]]="",Table2[[#This Row],[Grade]]=""),"",SUMIFS(Table4[Price Calculated(€) Thickness &amp; QTY related],Table4[Film],Table2[[#This Row],[Film]],Table4[Grade],Table2[[#This Row],[Grade]]))</f>
        <v/>
      </c>
      <c r="P244" s="6"/>
      <c r="T244" s="6"/>
    </row>
    <row r="245" spans="1:20" hidden="1">
      <c r="A245" s="29" t="s">
        <v>48</v>
      </c>
      <c r="B245" s="29" t="s">
        <v>5</v>
      </c>
      <c r="C245" s="28"/>
      <c r="D245" s="28" t="str">
        <f>IF(C245="","",IFERROR(_xlfn.XLOOKUP(C245,HELPER!$A$2:$A$81,HELPER!$B$2:$B$81,""),D245))</f>
        <v/>
      </c>
      <c r="E245" s="28" t="str">
        <f>IFERROR(_xlfn.XLOOKUP(D245,HELPER!$B:$B,HELPER!$C:$C,""),"")</f>
        <v/>
      </c>
      <c r="F245" s="27" t="str">
        <f>IFERROR(_xlfn.XLOOKUP(D245,HELPER!$B:$B,HELPER!$D:$D,""),"")</f>
        <v/>
      </c>
      <c r="G245" s="27">
        <v>24</v>
      </c>
      <c r="H245" s="46"/>
      <c r="I245" s="47" t="str">
        <f>IF(AND(H245&lt;&gt;"",IFERROR(_xlfn.XLOOKUP(D245,HELPER!$B:$B,HELPER!$E:$E,""),"")=""),"Missing price",IFERROR(_xlfn.XLOOKUP(D245,HELPER!$B:$B,HELPER!$E:$E,"")," "))</f>
        <v/>
      </c>
      <c r="J245" s="47" t="str">
        <f>IFERROR(H245*(IF(G245=8,I245*HELPER!$G$2,BOM!I245*HELPER!$G$3))," ")</f>
        <v xml:space="preserve"> </v>
      </c>
      <c r="K245" s="6"/>
      <c r="L245" s="14" t="str" cm="1">
        <f t="array" ref="L245">IFERROR(_xlfn.LET(_xlpm.films,Table4[Film],_xlpm.grades,Table4[Grade],_xlpm.pairs,_xlfn._xlws.FILTER(_xlfn.HSTACK(_xlpm.films,_xlpm.grades),(_xlpm.films&lt;&gt;"")*(TRIM(_xlpm.grades)&lt;&gt;"")),_xlpm.uniquePairs,_xlfn.UNIQUE(_xlpm.pairs),_xlpm.sortedPairs,_xlfn._xlws.SORT(_xlpm.uniquePairs,1,1),INDEX(_xlpm.sortedPairs,ROWS($L$2:L245),1)),"")</f>
        <v/>
      </c>
      <c r="M245" s="15" t="str" cm="1">
        <f t="array" ref="M245">IFERROR(_xlfn.LET(_xlpm.films,Table4[Film],_xlpm.grades,Table4[Grade],_xlpm.pairs,_xlfn._xlws.FILTER(_xlfn.HSTACK(_xlpm.films,_xlpm.grades),(_xlpm.films&lt;&gt;"")*(TRIM(_xlpm.grades)&lt;&gt;"")),_xlpm.uniquePairs,_xlfn.UNIQUE(_xlpm.pairs),_xlpm.sortedPairs,_xlfn._xlws.SORT(_xlpm.uniquePairs,1,1),INDEX(_xlpm.sortedPairs,ROWS($M$2:M245),2)),"")</f>
        <v/>
      </c>
      <c r="N245" s="15" t="str" cm="1">
        <f t="array" ref="N245">IF(OR(Table2[[#This Row],[Film]]="",Table2[[#This Row],[Grade]]=""),"",IFERROR(INDEX(Table4[Serial Number],MATCH(1,(Table4[Film]=Table2[[#This Row],[Film]])*(Table4[Grade]=Table2[[#This Row],[Grade]]),0)),""))</f>
        <v/>
      </c>
      <c r="O245" s="51" t="str">
        <f>IF(OR(Table2[[#This Row],[Film]]="",Table2[[#This Row],[Grade]]=""),"",SUMIFS(Table4[Price Calculated(€) Thickness &amp; QTY related],Table4[Film],Table2[[#This Row],[Film]],Table4[Grade],Table2[[#This Row],[Grade]]))</f>
        <v/>
      </c>
      <c r="P245" s="6"/>
      <c r="T245" s="6"/>
    </row>
    <row r="246" spans="1:20" hidden="1">
      <c r="A246" s="29" t="s">
        <v>48</v>
      </c>
      <c r="B246" s="29" t="s">
        <v>5</v>
      </c>
      <c r="C246" s="28"/>
      <c r="D246" s="28" t="str">
        <f>IF(C246="","",IFERROR(_xlfn.XLOOKUP(C246,HELPER!$A$2:$A$81,HELPER!$B$2:$B$81,""),D246))</f>
        <v/>
      </c>
      <c r="E246" s="28" t="str">
        <f>IFERROR(_xlfn.XLOOKUP(D246,HELPER!$B:$B,HELPER!$C:$C,""),"")</f>
        <v/>
      </c>
      <c r="F246" s="27" t="str">
        <f>IFERROR(_xlfn.XLOOKUP(D246,HELPER!$B:$B,HELPER!$D:$D,""),"")</f>
        <v/>
      </c>
      <c r="G246" s="27">
        <v>24</v>
      </c>
      <c r="H246" s="46"/>
      <c r="I246" s="47" t="str">
        <f>IF(AND(H246&lt;&gt;"",IFERROR(_xlfn.XLOOKUP(D246,HELPER!$B:$B,HELPER!$E:$E,""),"")=""),"Missing price",IFERROR(_xlfn.XLOOKUP(D246,HELPER!$B:$B,HELPER!$E:$E,"")," "))</f>
        <v/>
      </c>
      <c r="J246" s="47" t="str">
        <f>IFERROR(H246*(IF(G246=8,I246*HELPER!$G$2,BOM!I246*HELPER!$G$3))," ")</f>
        <v xml:space="preserve"> </v>
      </c>
      <c r="K246" s="6"/>
      <c r="L246" s="14" t="str" cm="1">
        <f t="array" ref="L246">IFERROR(_xlfn.LET(_xlpm.films,Table4[Film],_xlpm.grades,Table4[Grade],_xlpm.pairs,_xlfn._xlws.FILTER(_xlfn.HSTACK(_xlpm.films,_xlpm.grades),(_xlpm.films&lt;&gt;"")*(TRIM(_xlpm.grades)&lt;&gt;"")),_xlpm.uniquePairs,_xlfn.UNIQUE(_xlpm.pairs),_xlpm.sortedPairs,_xlfn._xlws.SORT(_xlpm.uniquePairs,1,1),INDEX(_xlpm.sortedPairs,ROWS($L$2:L246),1)),"")</f>
        <v/>
      </c>
      <c r="M246" s="15" t="str" cm="1">
        <f t="array" ref="M246">IFERROR(_xlfn.LET(_xlpm.films,Table4[Film],_xlpm.grades,Table4[Grade],_xlpm.pairs,_xlfn._xlws.FILTER(_xlfn.HSTACK(_xlpm.films,_xlpm.grades),(_xlpm.films&lt;&gt;"")*(TRIM(_xlpm.grades)&lt;&gt;"")),_xlpm.uniquePairs,_xlfn.UNIQUE(_xlpm.pairs),_xlpm.sortedPairs,_xlfn._xlws.SORT(_xlpm.uniquePairs,1,1),INDEX(_xlpm.sortedPairs,ROWS($M$2:M246),2)),"")</f>
        <v/>
      </c>
      <c r="N246" s="15" t="str" cm="1">
        <f t="array" ref="N246">IF(OR(Table2[[#This Row],[Film]]="",Table2[[#This Row],[Grade]]=""),"",IFERROR(INDEX(Table4[Serial Number],MATCH(1,(Table4[Film]=Table2[[#This Row],[Film]])*(Table4[Grade]=Table2[[#This Row],[Grade]]),0)),""))</f>
        <v/>
      </c>
      <c r="O246" s="51" t="str">
        <f>IF(OR(Table2[[#This Row],[Film]]="",Table2[[#This Row],[Grade]]=""),"",SUMIFS(Table4[Price Calculated(€) Thickness &amp; QTY related],Table4[Film],Table2[[#This Row],[Film]],Table4[Grade],Table2[[#This Row],[Grade]]))</f>
        <v/>
      </c>
      <c r="P246" s="6"/>
      <c r="T246" s="6"/>
    </row>
    <row r="247" spans="1:20" hidden="1">
      <c r="A247" s="29" t="s">
        <v>48</v>
      </c>
      <c r="B247" s="29" t="s">
        <v>5</v>
      </c>
      <c r="C247" s="28"/>
      <c r="D247" s="28" t="str">
        <f>IF(C247="","",IFERROR(_xlfn.XLOOKUP(C247,HELPER!$A$2:$A$81,HELPER!$B$2:$B$81,""),D247))</f>
        <v/>
      </c>
      <c r="E247" s="28" t="str">
        <f>IFERROR(_xlfn.XLOOKUP(D247,HELPER!$B:$B,HELPER!$C:$C,""),"")</f>
        <v/>
      </c>
      <c r="F247" s="27" t="str">
        <f>IFERROR(_xlfn.XLOOKUP(D247,HELPER!$B:$B,HELPER!$D:$D,""),"")</f>
        <v/>
      </c>
      <c r="G247" s="27">
        <v>24</v>
      </c>
      <c r="H247" s="46"/>
      <c r="I247" s="47" t="str">
        <f>IF(AND(H247&lt;&gt;"",IFERROR(_xlfn.XLOOKUP(D247,HELPER!$B:$B,HELPER!$E:$E,""),"")=""),"Missing price",IFERROR(_xlfn.XLOOKUP(D247,HELPER!$B:$B,HELPER!$E:$E,"")," "))</f>
        <v/>
      </c>
      <c r="J247" s="47" t="str">
        <f>IFERROR(H247*(IF(G247=8,I247*HELPER!$G$2,BOM!I247*HELPER!$G$3))," ")</f>
        <v xml:space="preserve"> </v>
      </c>
      <c r="K247" s="6"/>
      <c r="L247" s="14" t="str" cm="1">
        <f t="array" ref="L247">IFERROR(_xlfn.LET(_xlpm.films,Table4[Film],_xlpm.grades,Table4[Grade],_xlpm.pairs,_xlfn._xlws.FILTER(_xlfn.HSTACK(_xlpm.films,_xlpm.grades),(_xlpm.films&lt;&gt;"")*(TRIM(_xlpm.grades)&lt;&gt;"")),_xlpm.uniquePairs,_xlfn.UNIQUE(_xlpm.pairs),_xlpm.sortedPairs,_xlfn._xlws.SORT(_xlpm.uniquePairs,1,1),INDEX(_xlpm.sortedPairs,ROWS($L$2:L247),1)),"")</f>
        <v/>
      </c>
      <c r="M247" s="15" t="str" cm="1">
        <f t="array" ref="M247">IFERROR(_xlfn.LET(_xlpm.films,Table4[Film],_xlpm.grades,Table4[Grade],_xlpm.pairs,_xlfn._xlws.FILTER(_xlfn.HSTACK(_xlpm.films,_xlpm.grades),(_xlpm.films&lt;&gt;"")*(TRIM(_xlpm.grades)&lt;&gt;"")),_xlpm.uniquePairs,_xlfn.UNIQUE(_xlpm.pairs),_xlpm.sortedPairs,_xlfn._xlws.SORT(_xlpm.uniquePairs,1,1),INDEX(_xlpm.sortedPairs,ROWS($M$2:M247),2)),"")</f>
        <v/>
      </c>
      <c r="N247" s="15" t="str" cm="1">
        <f t="array" ref="N247">IF(OR(Table2[[#This Row],[Film]]="",Table2[[#This Row],[Grade]]=""),"",IFERROR(INDEX(Table4[Serial Number],MATCH(1,(Table4[Film]=Table2[[#This Row],[Film]])*(Table4[Grade]=Table2[[#This Row],[Grade]]),0)),""))</f>
        <v/>
      </c>
      <c r="O247" s="51" t="str">
        <f>IF(OR(Table2[[#This Row],[Film]]="",Table2[[#This Row],[Grade]]=""),"",SUMIFS(Table4[Price Calculated(€) Thickness &amp; QTY related],Table4[Film],Table2[[#This Row],[Film]],Table4[Grade],Table2[[#This Row],[Grade]]))</f>
        <v/>
      </c>
      <c r="P247" s="6"/>
      <c r="T247" s="6"/>
    </row>
    <row r="248" spans="1:20" hidden="1">
      <c r="A248" s="29" t="s">
        <v>48</v>
      </c>
      <c r="B248" s="29" t="s">
        <v>5</v>
      </c>
      <c r="C248" s="28"/>
      <c r="D248" s="28" t="str">
        <f>IF(C248="","",IFERROR(_xlfn.XLOOKUP(C248,HELPER!$A$2:$A$81,HELPER!$B$2:$B$81,""),D248))</f>
        <v/>
      </c>
      <c r="E248" s="28" t="str">
        <f>IFERROR(_xlfn.XLOOKUP(D248,HELPER!$B:$B,HELPER!$C:$C,""),"")</f>
        <v/>
      </c>
      <c r="F248" s="27" t="str">
        <f>IFERROR(_xlfn.XLOOKUP(D248,HELPER!$B:$B,HELPER!$D:$D,""),"")</f>
        <v/>
      </c>
      <c r="G248" s="27">
        <v>24</v>
      </c>
      <c r="H248" s="46"/>
      <c r="I248" s="47" t="str">
        <f>IF(AND(H248&lt;&gt;"",IFERROR(_xlfn.XLOOKUP(D248,HELPER!$B:$B,HELPER!$E:$E,""),"")=""),"Missing price",IFERROR(_xlfn.XLOOKUP(D248,HELPER!$B:$B,HELPER!$E:$E,"")," "))</f>
        <v/>
      </c>
      <c r="J248" s="47" t="str">
        <f>IFERROR(H248*(IF(G248=8,I248*HELPER!$G$2,BOM!I248*HELPER!$G$3))," ")</f>
        <v xml:space="preserve"> </v>
      </c>
      <c r="K248" s="6"/>
      <c r="L248" s="14" t="str" cm="1">
        <f t="array" ref="L248">IFERROR(_xlfn.LET(_xlpm.films,Table4[Film],_xlpm.grades,Table4[Grade],_xlpm.pairs,_xlfn._xlws.FILTER(_xlfn.HSTACK(_xlpm.films,_xlpm.grades),(_xlpm.films&lt;&gt;"")*(TRIM(_xlpm.grades)&lt;&gt;"")),_xlpm.uniquePairs,_xlfn.UNIQUE(_xlpm.pairs),_xlpm.sortedPairs,_xlfn._xlws.SORT(_xlpm.uniquePairs,1,1),INDEX(_xlpm.sortedPairs,ROWS($L$2:L248),1)),"")</f>
        <v/>
      </c>
      <c r="M248" s="15" t="str" cm="1">
        <f t="array" ref="M248">IFERROR(_xlfn.LET(_xlpm.films,Table4[Film],_xlpm.grades,Table4[Grade],_xlpm.pairs,_xlfn._xlws.FILTER(_xlfn.HSTACK(_xlpm.films,_xlpm.grades),(_xlpm.films&lt;&gt;"")*(TRIM(_xlpm.grades)&lt;&gt;"")),_xlpm.uniquePairs,_xlfn.UNIQUE(_xlpm.pairs),_xlpm.sortedPairs,_xlfn._xlws.SORT(_xlpm.uniquePairs,1,1),INDEX(_xlpm.sortedPairs,ROWS($M$2:M248),2)),"")</f>
        <v/>
      </c>
      <c r="N248" s="15" t="str" cm="1">
        <f t="array" ref="N248">IF(OR(Table2[[#This Row],[Film]]="",Table2[[#This Row],[Grade]]=""),"",IFERROR(INDEX(Table4[Serial Number],MATCH(1,(Table4[Film]=Table2[[#This Row],[Film]])*(Table4[Grade]=Table2[[#This Row],[Grade]]),0)),""))</f>
        <v/>
      </c>
      <c r="O248" s="51" t="str">
        <f>IF(OR(Table2[[#This Row],[Film]]="",Table2[[#This Row],[Grade]]=""),"",SUMIFS(Table4[Price Calculated(€) Thickness &amp; QTY related],Table4[Film],Table2[[#This Row],[Film]],Table4[Grade],Table2[[#This Row],[Grade]]))</f>
        <v/>
      </c>
      <c r="P248" s="6"/>
      <c r="T248" s="6"/>
    </row>
    <row r="249" spans="1:20" hidden="1">
      <c r="A249" s="29" t="s">
        <v>48</v>
      </c>
      <c r="B249" s="29" t="s">
        <v>5</v>
      </c>
      <c r="C249" s="28"/>
      <c r="D249" s="28" t="str">
        <f>IF(C249="","",IFERROR(_xlfn.XLOOKUP(C249,HELPER!$A$2:$A$81,HELPER!$B$2:$B$81,""),D249))</f>
        <v/>
      </c>
      <c r="E249" s="28" t="str">
        <f>IFERROR(_xlfn.XLOOKUP(D249,HELPER!$B:$B,HELPER!$C:$C,""),"")</f>
        <v/>
      </c>
      <c r="F249" s="27" t="str">
        <f>IFERROR(_xlfn.XLOOKUP(D249,HELPER!$B:$B,HELPER!$D:$D,""),"")</f>
        <v/>
      </c>
      <c r="G249" s="27">
        <v>24</v>
      </c>
      <c r="H249" s="46"/>
      <c r="I249" s="47" t="str">
        <f>IF(AND(H249&lt;&gt;"",IFERROR(_xlfn.XLOOKUP(D249,HELPER!$B:$B,HELPER!$E:$E,""),"")=""),"Missing price",IFERROR(_xlfn.XLOOKUP(D249,HELPER!$B:$B,HELPER!$E:$E,"")," "))</f>
        <v/>
      </c>
      <c r="J249" s="47" t="str">
        <f>IFERROR(H249*(IF(G249=8,I249*HELPER!$G$2,BOM!I249*HELPER!$G$3))," ")</f>
        <v xml:space="preserve"> </v>
      </c>
      <c r="K249" s="6"/>
      <c r="L249" s="14" t="str" cm="1">
        <f t="array" ref="L249">IFERROR(_xlfn.LET(_xlpm.films,Table4[Film],_xlpm.grades,Table4[Grade],_xlpm.pairs,_xlfn._xlws.FILTER(_xlfn.HSTACK(_xlpm.films,_xlpm.grades),(_xlpm.films&lt;&gt;"")*(TRIM(_xlpm.grades)&lt;&gt;"")),_xlpm.uniquePairs,_xlfn.UNIQUE(_xlpm.pairs),_xlpm.sortedPairs,_xlfn._xlws.SORT(_xlpm.uniquePairs,1,1),INDEX(_xlpm.sortedPairs,ROWS($L$2:L249),1)),"")</f>
        <v/>
      </c>
      <c r="M249" s="15" t="str" cm="1">
        <f t="array" ref="M249">IFERROR(_xlfn.LET(_xlpm.films,Table4[Film],_xlpm.grades,Table4[Grade],_xlpm.pairs,_xlfn._xlws.FILTER(_xlfn.HSTACK(_xlpm.films,_xlpm.grades),(_xlpm.films&lt;&gt;"")*(TRIM(_xlpm.grades)&lt;&gt;"")),_xlpm.uniquePairs,_xlfn.UNIQUE(_xlpm.pairs),_xlpm.sortedPairs,_xlfn._xlws.SORT(_xlpm.uniquePairs,1,1),INDEX(_xlpm.sortedPairs,ROWS($M$2:M249),2)),"")</f>
        <v/>
      </c>
      <c r="N249" s="15" t="str" cm="1">
        <f t="array" ref="N249">IF(OR(Table2[[#This Row],[Film]]="",Table2[[#This Row],[Grade]]=""),"",IFERROR(INDEX(Table4[Serial Number],MATCH(1,(Table4[Film]=Table2[[#This Row],[Film]])*(Table4[Grade]=Table2[[#This Row],[Grade]]),0)),""))</f>
        <v/>
      </c>
      <c r="O249" s="51" t="str">
        <f>IF(OR(Table2[[#This Row],[Film]]="",Table2[[#This Row],[Grade]]=""),"",SUMIFS(Table4[Price Calculated(€) Thickness &amp; QTY related],Table4[Film],Table2[[#This Row],[Film]],Table4[Grade],Table2[[#This Row],[Grade]]))</f>
        <v/>
      </c>
      <c r="P249" s="6"/>
      <c r="T249" s="6"/>
    </row>
    <row r="250" spans="1:20" hidden="1">
      <c r="A250" s="29" t="s">
        <v>48</v>
      </c>
      <c r="B250" s="29" t="s">
        <v>5</v>
      </c>
      <c r="C250" s="28"/>
      <c r="D250" s="28" t="str">
        <f>IF(C250="","",IFERROR(_xlfn.XLOOKUP(C250,HELPER!$A$2:$A$81,HELPER!$B$2:$B$81,""),D250))</f>
        <v/>
      </c>
      <c r="E250" s="28" t="str">
        <f>IFERROR(_xlfn.XLOOKUP(D250,HELPER!$B:$B,HELPER!$C:$C,""),"")</f>
        <v/>
      </c>
      <c r="F250" s="27" t="str">
        <f>IFERROR(_xlfn.XLOOKUP(D250,HELPER!$B:$B,HELPER!$D:$D,""),"")</f>
        <v/>
      </c>
      <c r="G250" s="27">
        <v>24</v>
      </c>
      <c r="H250" s="46"/>
      <c r="I250" s="47" t="str">
        <f>IF(AND(H250&lt;&gt;"",IFERROR(_xlfn.XLOOKUP(D250,HELPER!$B:$B,HELPER!$E:$E,""),"")=""),"Missing price",IFERROR(_xlfn.XLOOKUP(D250,HELPER!$B:$B,HELPER!$E:$E,"")," "))</f>
        <v/>
      </c>
      <c r="J250" s="47" t="str">
        <f>IFERROR(H250*(IF(G250=8,I250*HELPER!$G$2,BOM!I250*HELPER!$G$3))," ")</f>
        <v xml:space="preserve"> </v>
      </c>
      <c r="K250" s="6"/>
      <c r="L250" s="14" t="str" cm="1">
        <f t="array" ref="L250">IFERROR(_xlfn.LET(_xlpm.films,Table4[Film],_xlpm.grades,Table4[Grade],_xlpm.pairs,_xlfn._xlws.FILTER(_xlfn.HSTACK(_xlpm.films,_xlpm.grades),(_xlpm.films&lt;&gt;"")*(TRIM(_xlpm.grades)&lt;&gt;"")),_xlpm.uniquePairs,_xlfn.UNIQUE(_xlpm.pairs),_xlpm.sortedPairs,_xlfn._xlws.SORT(_xlpm.uniquePairs,1,1),INDEX(_xlpm.sortedPairs,ROWS($L$2:L250),1)),"")</f>
        <v/>
      </c>
      <c r="M250" s="15" t="str" cm="1">
        <f t="array" ref="M250">IFERROR(_xlfn.LET(_xlpm.films,Table4[Film],_xlpm.grades,Table4[Grade],_xlpm.pairs,_xlfn._xlws.FILTER(_xlfn.HSTACK(_xlpm.films,_xlpm.grades),(_xlpm.films&lt;&gt;"")*(TRIM(_xlpm.grades)&lt;&gt;"")),_xlpm.uniquePairs,_xlfn.UNIQUE(_xlpm.pairs),_xlpm.sortedPairs,_xlfn._xlws.SORT(_xlpm.uniquePairs,1,1),INDEX(_xlpm.sortedPairs,ROWS($M$2:M250),2)),"")</f>
        <v/>
      </c>
      <c r="N250" s="15" t="str" cm="1">
        <f t="array" ref="N250">IF(OR(Table2[[#This Row],[Film]]="",Table2[[#This Row],[Grade]]=""),"",IFERROR(INDEX(Table4[Serial Number],MATCH(1,(Table4[Film]=Table2[[#This Row],[Film]])*(Table4[Grade]=Table2[[#This Row],[Grade]]),0)),""))</f>
        <v/>
      </c>
      <c r="O250" s="51" t="str">
        <f>IF(OR(Table2[[#This Row],[Film]]="",Table2[[#This Row],[Grade]]=""),"",SUMIFS(Table4[Price Calculated(€) Thickness &amp; QTY related],Table4[Film],Table2[[#This Row],[Film]],Table4[Grade],Table2[[#This Row],[Grade]]))</f>
        <v/>
      </c>
      <c r="P250" s="6"/>
      <c r="T250" s="6"/>
    </row>
    <row r="251" spans="1:20" hidden="1">
      <c r="A251" s="29" t="s">
        <v>48</v>
      </c>
      <c r="B251" s="29" t="s">
        <v>5</v>
      </c>
      <c r="C251" s="28"/>
      <c r="D251" s="28" t="str">
        <f>IF(C251="","",IFERROR(_xlfn.XLOOKUP(C251,HELPER!$A$2:$A$81,HELPER!$B$2:$B$81,""),D251))</f>
        <v/>
      </c>
      <c r="E251" s="28" t="str">
        <f>IFERROR(_xlfn.XLOOKUP(D251,HELPER!$B:$B,HELPER!$C:$C,""),"")</f>
        <v/>
      </c>
      <c r="F251" s="27" t="str">
        <f>IFERROR(_xlfn.XLOOKUP(D251,HELPER!$B:$B,HELPER!$D:$D,""),"")</f>
        <v/>
      </c>
      <c r="G251" s="27">
        <v>24</v>
      </c>
      <c r="H251" s="46"/>
      <c r="I251" s="47" t="str">
        <f>IF(AND(H251&lt;&gt;"",IFERROR(_xlfn.XLOOKUP(D251,HELPER!$B:$B,HELPER!$E:$E,""),"")=""),"Missing price",IFERROR(_xlfn.XLOOKUP(D251,HELPER!$B:$B,HELPER!$E:$E,"")," "))</f>
        <v/>
      </c>
      <c r="J251" s="47" t="str">
        <f>IFERROR(H251*(IF(G251=8,I251*HELPER!$G$2,BOM!I251*HELPER!$G$3))," ")</f>
        <v xml:space="preserve"> </v>
      </c>
      <c r="K251" s="6"/>
      <c r="L251" s="14" t="str" cm="1">
        <f t="array" ref="L251">IFERROR(_xlfn.LET(_xlpm.films,Table4[Film],_xlpm.grades,Table4[Grade],_xlpm.pairs,_xlfn._xlws.FILTER(_xlfn.HSTACK(_xlpm.films,_xlpm.grades),(_xlpm.films&lt;&gt;"")*(TRIM(_xlpm.grades)&lt;&gt;"")),_xlpm.uniquePairs,_xlfn.UNIQUE(_xlpm.pairs),_xlpm.sortedPairs,_xlfn._xlws.SORT(_xlpm.uniquePairs,1,1),INDEX(_xlpm.sortedPairs,ROWS($L$2:L251),1)),"")</f>
        <v/>
      </c>
      <c r="M251" s="15" t="str" cm="1">
        <f t="array" ref="M251">IFERROR(_xlfn.LET(_xlpm.films,Table4[Film],_xlpm.grades,Table4[Grade],_xlpm.pairs,_xlfn._xlws.FILTER(_xlfn.HSTACK(_xlpm.films,_xlpm.grades),(_xlpm.films&lt;&gt;"")*(TRIM(_xlpm.grades)&lt;&gt;"")),_xlpm.uniquePairs,_xlfn.UNIQUE(_xlpm.pairs),_xlpm.sortedPairs,_xlfn._xlws.SORT(_xlpm.uniquePairs,1,1),INDEX(_xlpm.sortedPairs,ROWS($M$2:M251),2)),"")</f>
        <v/>
      </c>
      <c r="N251" s="15" t="str" cm="1">
        <f t="array" ref="N251">IF(OR(Table2[[#This Row],[Film]]="",Table2[[#This Row],[Grade]]=""),"",IFERROR(INDEX(Table4[Serial Number],MATCH(1,(Table4[Film]=Table2[[#This Row],[Film]])*(Table4[Grade]=Table2[[#This Row],[Grade]]),0)),""))</f>
        <v/>
      </c>
      <c r="O251" s="51" t="str">
        <f>IF(OR(Table2[[#This Row],[Film]]="",Table2[[#This Row],[Grade]]=""),"",SUMIFS(Table4[Price Calculated(€) Thickness &amp; QTY related],Table4[Film],Table2[[#This Row],[Film]],Table4[Grade],Table2[[#This Row],[Grade]]))</f>
        <v/>
      </c>
      <c r="P251" s="6"/>
      <c r="T251" s="6"/>
    </row>
    <row r="252" spans="1:20" hidden="1">
      <c r="A252" s="29" t="s">
        <v>48</v>
      </c>
      <c r="B252" s="29" t="s">
        <v>6</v>
      </c>
      <c r="C252" s="28" t="s">
        <v>19</v>
      </c>
      <c r="D252" s="28" t="str">
        <f>IF(C252="","",IFERROR(_xlfn.XLOOKUP(C252,HELPER!$A$2:$A$81,HELPER!$B$2:$B$81,""),D252))</f>
        <v>BVE8049P</v>
      </c>
      <c r="E252" s="28" t="str">
        <f>IFERROR(_xlfn.XLOOKUP(D252,HELPER!$B:$B,HELPER!$C:$C,""),"")</f>
        <v>BVE8049P</v>
      </c>
      <c r="F252" s="48" t="str">
        <f>IFERROR(_xlfn.XLOOKUP(D252,HELPER!$B:$B,HELPER!$D:$D,""),"")</f>
        <v>BVE8049P</v>
      </c>
      <c r="G252" s="27">
        <v>8</v>
      </c>
      <c r="H252" s="46">
        <v>0.98</v>
      </c>
      <c r="I252" s="47">
        <f>IF(AND(H252&lt;&gt;"",IFERROR(_xlfn.XLOOKUP(D252,HELPER!$B:$B,HELPER!$E:$E,""),"")=""),"Missing price",IFERROR(_xlfn.XLOOKUP(D252,HELPER!$B:$B,HELPER!$E:$E,"")," "))</f>
        <v>18.5</v>
      </c>
      <c r="J252" s="47">
        <f>IFERROR(H252*(IF(G252=8,I252*HELPER!$G$2,BOM!I252*HELPER!$G$3))," ")</f>
        <v>3.6259999999999999</v>
      </c>
      <c r="K252" s="6"/>
      <c r="L252" s="14" t="str" cm="1">
        <f t="array" ref="L252">IFERROR(_xlfn.LET(_xlpm.films,Table4[Film],_xlpm.grades,Table4[Grade],_xlpm.pairs,_xlfn._xlws.FILTER(_xlfn.HSTACK(_xlpm.films,_xlpm.grades),(_xlpm.films&lt;&gt;"")*(TRIM(_xlpm.grades)&lt;&gt;"")),_xlpm.uniquePairs,_xlfn.UNIQUE(_xlpm.pairs),_xlpm.sortedPairs,_xlfn._xlws.SORT(_xlpm.uniquePairs,1,1),INDEX(_xlpm.sortedPairs,ROWS($L$2:L252),1)),"")</f>
        <v/>
      </c>
      <c r="M252" s="15" t="str" cm="1">
        <f t="array" ref="M252">IFERROR(_xlfn.LET(_xlpm.films,Table4[Film],_xlpm.grades,Table4[Grade],_xlpm.pairs,_xlfn._xlws.FILTER(_xlfn.HSTACK(_xlpm.films,_xlpm.grades),(_xlpm.films&lt;&gt;"")*(TRIM(_xlpm.grades)&lt;&gt;"")),_xlpm.uniquePairs,_xlfn.UNIQUE(_xlpm.pairs),_xlpm.sortedPairs,_xlfn._xlws.SORT(_xlpm.uniquePairs,1,1),INDEX(_xlpm.sortedPairs,ROWS($M$2:M252),2)),"")</f>
        <v/>
      </c>
      <c r="N252" s="15" t="str" cm="1">
        <f t="array" ref="N252">IF(OR(Table2[[#This Row],[Film]]="",Table2[[#This Row],[Grade]]=""),"",IFERROR(INDEX(Table4[Serial Number],MATCH(1,(Table4[Film]=Table2[[#This Row],[Film]])*(Table4[Grade]=Table2[[#This Row],[Grade]]),0)),""))</f>
        <v/>
      </c>
      <c r="O252" s="51" t="str">
        <f>IF(OR(Table2[[#This Row],[Film]]="",Table2[[#This Row],[Grade]]=""),"",SUMIFS(Table4[Price Calculated(€) Thickness &amp; QTY related],Table4[Film],Table2[[#This Row],[Film]],Table4[Grade],Table2[[#This Row],[Grade]]))</f>
        <v/>
      </c>
      <c r="P252" s="6"/>
      <c r="T252" s="6"/>
    </row>
    <row r="253" spans="1:20" hidden="1">
      <c r="A253" s="29" t="s">
        <v>48</v>
      </c>
      <c r="B253" s="29" t="s">
        <v>6</v>
      </c>
      <c r="C253" s="28" t="s">
        <v>16</v>
      </c>
      <c r="D253" s="28" t="str">
        <f>IF(C253="","",IFERROR(_xlfn.XLOOKUP(C253,HELPER!$A$2:$A$81,HELPER!$B$2:$B$81,""),D253))</f>
        <v>S723</v>
      </c>
      <c r="E253" s="28" t="str">
        <f>IFERROR(_xlfn.XLOOKUP(D253,HELPER!$B:$B,HELPER!$C:$C,""),"")</f>
        <v>RM TA45-08 S723</v>
      </c>
      <c r="F253" s="27" t="str">
        <f>IFERROR(_xlfn.XLOOKUP(D253,HELPER!$B:$B,HELPER!$D:$D,""),"")</f>
        <v>Resin 6</v>
      </c>
      <c r="G253" s="27">
        <v>8</v>
      </c>
      <c r="H253" s="46">
        <v>0.02</v>
      </c>
      <c r="I253" s="47">
        <f>IF(AND(H253&lt;&gt;"",IFERROR(_xlfn.XLOOKUP(D253,HELPER!$B:$B,HELPER!$E:$E,""),"")=""),"Missing price",IFERROR(_xlfn.XLOOKUP(D253,HELPER!$B:$B,HELPER!$E:$E,"")," "))</f>
        <v>16.16</v>
      </c>
      <c r="J253" s="47">
        <f>IFERROR(H253*(IF(G253=8,I253*HELPER!$G$2,BOM!I253*HELPER!$G$3))," ")</f>
        <v>6.4640000000000003E-2</v>
      </c>
      <c r="K253" s="6"/>
      <c r="L253" s="14" t="str" cm="1">
        <f t="array" ref="L253">IFERROR(_xlfn.LET(_xlpm.films,Table4[Film],_xlpm.grades,Table4[Grade],_xlpm.pairs,_xlfn._xlws.FILTER(_xlfn.HSTACK(_xlpm.films,_xlpm.grades),(_xlpm.films&lt;&gt;"")*(TRIM(_xlpm.grades)&lt;&gt;"")),_xlpm.uniquePairs,_xlfn.UNIQUE(_xlpm.pairs),_xlpm.sortedPairs,_xlfn._xlws.SORT(_xlpm.uniquePairs,1,1),INDEX(_xlpm.sortedPairs,ROWS($L$2:L253),1)),"")</f>
        <v/>
      </c>
      <c r="M253" s="15" t="str" cm="1">
        <f t="array" ref="M253">IFERROR(_xlfn.LET(_xlpm.films,Table4[Film],_xlpm.grades,Table4[Grade],_xlpm.pairs,_xlfn._xlws.FILTER(_xlfn.HSTACK(_xlpm.films,_xlpm.grades),(_xlpm.films&lt;&gt;"")*(TRIM(_xlpm.grades)&lt;&gt;"")),_xlpm.uniquePairs,_xlfn.UNIQUE(_xlpm.pairs),_xlpm.sortedPairs,_xlfn._xlws.SORT(_xlpm.uniquePairs,1,1),INDEX(_xlpm.sortedPairs,ROWS($M$2:M253),2)),"")</f>
        <v/>
      </c>
      <c r="N253" s="15" t="str" cm="1">
        <f t="array" ref="N253">IF(OR(Table2[[#This Row],[Film]]="",Table2[[#This Row],[Grade]]=""),"",IFERROR(INDEX(Table4[Serial Number],MATCH(1,(Table4[Film]=Table2[[#This Row],[Film]])*(Table4[Grade]=Table2[[#This Row],[Grade]]),0)),""))</f>
        <v/>
      </c>
      <c r="O253" s="51" t="str">
        <f>IF(OR(Table2[[#This Row],[Film]]="",Table2[[#This Row],[Grade]]=""),"",SUMIFS(Table4[Price Calculated(€) Thickness &amp; QTY related],Table4[Film],Table2[[#This Row],[Film]],Table4[Grade],Table2[[#This Row],[Grade]]))</f>
        <v/>
      </c>
      <c r="P253" s="6"/>
      <c r="T253" s="6"/>
    </row>
    <row r="254" spans="1:20" hidden="1">
      <c r="A254" s="29" t="s">
        <v>48</v>
      </c>
      <c r="B254" s="29" t="s">
        <v>6</v>
      </c>
      <c r="C254" s="28"/>
      <c r="D254" s="28" t="str">
        <f>IF(C254="","",IFERROR(_xlfn.XLOOKUP(C254,HELPER!$A$2:$A$81,HELPER!$B$2:$B$81,""),D254))</f>
        <v/>
      </c>
      <c r="E254" s="28" t="str">
        <f>IFERROR(_xlfn.XLOOKUP(D254,HELPER!$B:$B,HELPER!$C:$C,""),"")</f>
        <v/>
      </c>
      <c r="F254" s="27" t="str">
        <f>IFERROR(_xlfn.XLOOKUP(D254,HELPER!$B:$B,HELPER!$D:$D,""),"")</f>
        <v/>
      </c>
      <c r="G254" s="27">
        <v>8</v>
      </c>
      <c r="H254" s="46"/>
      <c r="I254" s="47" t="str">
        <f>IF(AND(H254&lt;&gt;"",IFERROR(_xlfn.XLOOKUP(D254,HELPER!$B:$B,HELPER!$E:$E,""),"")=""),"Missing price",IFERROR(_xlfn.XLOOKUP(D254,HELPER!$B:$B,HELPER!$E:$E,"")," "))</f>
        <v/>
      </c>
      <c r="J254" s="47" t="str">
        <f>IFERROR(H254*(IF(G254=8,I254*HELPER!$G$2,BOM!I254*HELPER!$G$3))," ")</f>
        <v xml:space="preserve"> </v>
      </c>
      <c r="K254" s="6"/>
      <c r="L254" s="14" t="str" cm="1">
        <f t="array" ref="L254">IFERROR(_xlfn.LET(_xlpm.films,Table4[Film],_xlpm.grades,Table4[Grade],_xlpm.pairs,_xlfn._xlws.FILTER(_xlfn.HSTACK(_xlpm.films,_xlpm.grades),(_xlpm.films&lt;&gt;"")*(TRIM(_xlpm.grades)&lt;&gt;"")),_xlpm.uniquePairs,_xlfn.UNIQUE(_xlpm.pairs),_xlpm.sortedPairs,_xlfn._xlws.SORT(_xlpm.uniquePairs,1,1),INDEX(_xlpm.sortedPairs,ROWS($L$2:L254),1)),"")</f>
        <v/>
      </c>
      <c r="M254" s="15" t="str" cm="1">
        <f t="array" ref="M254">IFERROR(_xlfn.LET(_xlpm.films,Table4[Film],_xlpm.grades,Table4[Grade],_xlpm.pairs,_xlfn._xlws.FILTER(_xlfn.HSTACK(_xlpm.films,_xlpm.grades),(_xlpm.films&lt;&gt;"")*(TRIM(_xlpm.grades)&lt;&gt;"")),_xlpm.uniquePairs,_xlfn.UNIQUE(_xlpm.pairs),_xlpm.sortedPairs,_xlfn._xlws.SORT(_xlpm.uniquePairs,1,1),INDEX(_xlpm.sortedPairs,ROWS($M$2:M254),2)),"")</f>
        <v/>
      </c>
      <c r="N254" s="15" t="str" cm="1">
        <f t="array" ref="N254">IF(OR(Table2[[#This Row],[Film]]="",Table2[[#This Row],[Grade]]=""),"",IFERROR(INDEX(Table4[Serial Number],MATCH(1,(Table4[Film]=Table2[[#This Row],[Film]])*(Table4[Grade]=Table2[[#This Row],[Grade]]),0)),""))</f>
        <v/>
      </c>
      <c r="O254" s="51" t="str">
        <f>IF(OR(Table2[[#This Row],[Film]]="",Table2[[#This Row],[Grade]]=""),"",SUMIFS(Table4[Price Calculated(€) Thickness &amp; QTY related],Table4[Film],Table2[[#This Row],[Film]],Table4[Grade],Table2[[#This Row],[Grade]]))</f>
        <v/>
      </c>
      <c r="P254" s="6"/>
      <c r="T254" s="6"/>
    </row>
    <row r="255" spans="1:20" hidden="1">
      <c r="A255" s="29" t="s">
        <v>48</v>
      </c>
      <c r="B255" s="29" t="s">
        <v>6</v>
      </c>
      <c r="C255" s="28"/>
      <c r="D255" s="28" t="str">
        <f>IF(C255="","",IFERROR(_xlfn.XLOOKUP(C255,HELPER!$A$2:$A$81,HELPER!$B$2:$B$81,""),D255))</f>
        <v/>
      </c>
      <c r="E255" s="28" t="str">
        <f>IFERROR(_xlfn.XLOOKUP(D255,HELPER!$B:$B,HELPER!$C:$C,""),"")</f>
        <v/>
      </c>
      <c r="F255" s="27" t="str">
        <f>IFERROR(_xlfn.XLOOKUP(D255,HELPER!$B:$B,HELPER!$D:$D,""),"")</f>
        <v/>
      </c>
      <c r="G255" s="27">
        <v>8</v>
      </c>
      <c r="H255" s="46"/>
      <c r="I255" s="47" t="str">
        <f>IF(AND(H255&lt;&gt;"",IFERROR(_xlfn.XLOOKUP(D255,HELPER!$B:$B,HELPER!$E:$E,""),"")=""),"Missing price",IFERROR(_xlfn.XLOOKUP(D255,HELPER!$B:$B,HELPER!$E:$E,"")," "))</f>
        <v/>
      </c>
      <c r="J255" s="47" t="str">
        <f>IFERROR(H255*(IF(G255=8,I255*HELPER!$G$2,BOM!I255*HELPER!$G$3))," ")</f>
        <v xml:space="preserve"> </v>
      </c>
      <c r="K255" s="6"/>
      <c r="L255" s="14" t="str" cm="1">
        <f t="array" ref="L255">IFERROR(_xlfn.LET(_xlpm.films,Table4[Film],_xlpm.grades,Table4[Grade],_xlpm.pairs,_xlfn._xlws.FILTER(_xlfn.HSTACK(_xlpm.films,_xlpm.grades),(_xlpm.films&lt;&gt;"")*(TRIM(_xlpm.grades)&lt;&gt;"")),_xlpm.uniquePairs,_xlfn.UNIQUE(_xlpm.pairs),_xlpm.sortedPairs,_xlfn._xlws.SORT(_xlpm.uniquePairs,1,1),INDEX(_xlpm.sortedPairs,ROWS($L$2:L255),1)),"")</f>
        <v/>
      </c>
      <c r="M255" s="15" t="str" cm="1">
        <f t="array" ref="M255">IFERROR(_xlfn.LET(_xlpm.films,Table4[Film],_xlpm.grades,Table4[Grade],_xlpm.pairs,_xlfn._xlws.FILTER(_xlfn.HSTACK(_xlpm.films,_xlpm.grades),(_xlpm.films&lt;&gt;"")*(TRIM(_xlpm.grades)&lt;&gt;"")),_xlpm.uniquePairs,_xlfn.UNIQUE(_xlpm.pairs),_xlpm.sortedPairs,_xlfn._xlws.SORT(_xlpm.uniquePairs,1,1),INDEX(_xlpm.sortedPairs,ROWS($M$2:M255),2)),"")</f>
        <v/>
      </c>
      <c r="N255" s="15" t="str" cm="1">
        <f t="array" ref="N255">IF(OR(Table2[[#This Row],[Film]]="",Table2[[#This Row],[Grade]]=""),"",IFERROR(INDEX(Table4[Serial Number],MATCH(1,(Table4[Film]=Table2[[#This Row],[Film]])*(Table4[Grade]=Table2[[#This Row],[Grade]]),0)),""))</f>
        <v/>
      </c>
      <c r="O255" s="51" t="str">
        <f>IF(OR(Table2[[#This Row],[Film]]="",Table2[[#This Row],[Grade]]=""),"",SUMIFS(Table4[Price Calculated(€) Thickness &amp; QTY related],Table4[Film],Table2[[#This Row],[Film]],Table4[Grade],Table2[[#This Row],[Grade]]))</f>
        <v/>
      </c>
      <c r="P255" s="6"/>
      <c r="T255" s="6"/>
    </row>
    <row r="256" spans="1:20" hidden="1">
      <c r="A256" s="29" t="s">
        <v>48</v>
      </c>
      <c r="B256" s="29" t="s">
        <v>6</v>
      </c>
      <c r="C256" s="28"/>
      <c r="D256" s="28" t="str">
        <f>IF(C256="","",IFERROR(_xlfn.XLOOKUP(C256,HELPER!$A$2:$A$81,HELPER!$B$2:$B$81,""),D256))</f>
        <v/>
      </c>
      <c r="E256" s="28" t="str">
        <f>IFERROR(_xlfn.XLOOKUP(D256,HELPER!$B:$B,HELPER!$C:$C,""),"")</f>
        <v/>
      </c>
      <c r="F256" s="27" t="str">
        <f>IFERROR(_xlfn.XLOOKUP(D256,HELPER!$B:$B,HELPER!$D:$D,""),"")</f>
        <v/>
      </c>
      <c r="G256" s="27">
        <v>8</v>
      </c>
      <c r="H256" s="46"/>
      <c r="I256" s="47" t="str">
        <f>IF(AND(H256&lt;&gt;"",IFERROR(_xlfn.XLOOKUP(D256,HELPER!$B:$B,HELPER!$E:$E,""),"")=""),"Missing price",IFERROR(_xlfn.XLOOKUP(D256,HELPER!$B:$B,HELPER!$E:$E,"")," "))</f>
        <v/>
      </c>
      <c r="J256" s="47" t="str">
        <f>IFERROR(H256*(IF(G256=8,I256*HELPER!$G$2,BOM!I256*HELPER!$G$3))," ")</f>
        <v xml:space="preserve"> </v>
      </c>
      <c r="K256" s="6"/>
      <c r="L256" s="14" t="str" cm="1">
        <f t="array" ref="L256">IFERROR(_xlfn.LET(_xlpm.films,Table4[Film],_xlpm.grades,Table4[Grade],_xlpm.pairs,_xlfn._xlws.FILTER(_xlfn.HSTACK(_xlpm.films,_xlpm.grades),(_xlpm.films&lt;&gt;"")*(TRIM(_xlpm.grades)&lt;&gt;"")),_xlpm.uniquePairs,_xlfn.UNIQUE(_xlpm.pairs),_xlpm.sortedPairs,_xlfn._xlws.SORT(_xlpm.uniquePairs,1,1),INDEX(_xlpm.sortedPairs,ROWS($L$2:L256),1)),"")</f>
        <v/>
      </c>
      <c r="M256" s="15" t="str" cm="1">
        <f t="array" ref="M256">IFERROR(_xlfn.LET(_xlpm.films,Table4[Film],_xlpm.grades,Table4[Grade],_xlpm.pairs,_xlfn._xlws.FILTER(_xlfn.HSTACK(_xlpm.films,_xlpm.grades),(_xlpm.films&lt;&gt;"")*(TRIM(_xlpm.grades)&lt;&gt;"")),_xlpm.uniquePairs,_xlfn.UNIQUE(_xlpm.pairs),_xlpm.sortedPairs,_xlfn._xlws.SORT(_xlpm.uniquePairs,1,1),INDEX(_xlpm.sortedPairs,ROWS($M$2:M256),2)),"")</f>
        <v/>
      </c>
      <c r="N256" s="15" t="str" cm="1">
        <f t="array" ref="N256">IF(OR(Table2[[#This Row],[Film]]="",Table2[[#This Row],[Grade]]=""),"",IFERROR(INDEX(Table4[Serial Number],MATCH(1,(Table4[Film]=Table2[[#This Row],[Film]])*(Table4[Grade]=Table2[[#This Row],[Grade]]),0)),""))</f>
        <v/>
      </c>
      <c r="O256" s="51" t="str">
        <f>IF(OR(Table2[[#This Row],[Film]]="",Table2[[#This Row],[Grade]]=""),"",SUMIFS(Table4[Price Calculated(€) Thickness &amp; QTY related],Table4[Film],Table2[[#This Row],[Film]],Table4[Grade],Table2[[#This Row],[Grade]]))</f>
        <v/>
      </c>
      <c r="P256" s="6"/>
      <c r="T256" s="6"/>
    </row>
    <row r="257" spans="1:20" hidden="1">
      <c r="A257" s="29" t="s">
        <v>48</v>
      </c>
      <c r="B257" s="29" t="s">
        <v>6</v>
      </c>
      <c r="C257" s="28"/>
      <c r="D257" s="28" t="str">
        <f>IF(C257="","",IFERROR(_xlfn.XLOOKUP(C257,HELPER!$A$2:$A$81,HELPER!$B$2:$B$81,""),D257))</f>
        <v/>
      </c>
      <c r="E257" s="28" t="str">
        <f>IFERROR(_xlfn.XLOOKUP(D257,HELPER!$B:$B,HELPER!$C:$C,""),"")</f>
        <v/>
      </c>
      <c r="F257" s="27" t="str">
        <f>IFERROR(_xlfn.XLOOKUP(D257,HELPER!$B:$B,HELPER!$D:$D,""),"")</f>
        <v/>
      </c>
      <c r="G257" s="27">
        <v>8</v>
      </c>
      <c r="H257" s="46"/>
      <c r="I257" s="47" t="str">
        <f>IF(AND(H257&lt;&gt;"",IFERROR(_xlfn.XLOOKUP(D257,HELPER!$B:$B,HELPER!$E:$E,""),"")=""),"Missing price",IFERROR(_xlfn.XLOOKUP(D257,HELPER!$B:$B,HELPER!$E:$E,"")," "))</f>
        <v/>
      </c>
      <c r="J257" s="47" t="str">
        <f>IFERROR(H257*(IF(G257=8,I257*HELPER!$G$2,BOM!I257*HELPER!$G$3))," ")</f>
        <v xml:space="preserve"> </v>
      </c>
      <c r="K257" s="6"/>
      <c r="L257" s="14" t="str" cm="1">
        <f t="array" ref="L257">IFERROR(_xlfn.LET(_xlpm.films,Table4[Film],_xlpm.grades,Table4[Grade],_xlpm.pairs,_xlfn._xlws.FILTER(_xlfn.HSTACK(_xlpm.films,_xlpm.grades),(_xlpm.films&lt;&gt;"")*(TRIM(_xlpm.grades)&lt;&gt;"")),_xlpm.uniquePairs,_xlfn.UNIQUE(_xlpm.pairs),_xlpm.sortedPairs,_xlfn._xlws.SORT(_xlpm.uniquePairs,1,1),INDEX(_xlpm.sortedPairs,ROWS($L$2:L257),1)),"")</f>
        <v/>
      </c>
      <c r="M257" s="15" t="str" cm="1">
        <f t="array" ref="M257">IFERROR(_xlfn.LET(_xlpm.films,Table4[Film],_xlpm.grades,Table4[Grade],_xlpm.pairs,_xlfn._xlws.FILTER(_xlfn.HSTACK(_xlpm.films,_xlpm.grades),(_xlpm.films&lt;&gt;"")*(TRIM(_xlpm.grades)&lt;&gt;"")),_xlpm.uniquePairs,_xlfn.UNIQUE(_xlpm.pairs),_xlpm.sortedPairs,_xlfn._xlws.SORT(_xlpm.uniquePairs,1,1),INDEX(_xlpm.sortedPairs,ROWS($M$2:M257),2)),"")</f>
        <v/>
      </c>
      <c r="N257" s="15" t="str" cm="1">
        <f t="array" ref="N257">IF(OR(Table2[[#This Row],[Film]]="",Table2[[#This Row],[Grade]]=""),"",IFERROR(INDEX(Table4[Serial Number],MATCH(1,(Table4[Film]=Table2[[#This Row],[Film]])*(Table4[Grade]=Table2[[#This Row],[Grade]]),0)),""))</f>
        <v/>
      </c>
      <c r="O257" s="51" t="str">
        <f>IF(OR(Table2[[#This Row],[Film]]="",Table2[[#This Row],[Grade]]=""),"",SUMIFS(Table4[Price Calculated(€) Thickness &amp; QTY related],Table4[Film],Table2[[#This Row],[Film]],Table4[Grade],Table2[[#This Row],[Grade]]))</f>
        <v/>
      </c>
      <c r="P257" s="6"/>
      <c r="T257" s="6"/>
    </row>
    <row r="258" spans="1:20" hidden="1">
      <c r="A258" s="29" t="s">
        <v>48</v>
      </c>
      <c r="B258" s="29" t="s">
        <v>6</v>
      </c>
      <c r="C258" s="28"/>
      <c r="D258" s="28" t="str">
        <f>IF(C258="","",IFERROR(_xlfn.XLOOKUP(C258,HELPER!$A$2:$A$81,HELPER!$B$2:$B$81,""),D258))</f>
        <v/>
      </c>
      <c r="E258" s="28" t="str">
        <f>IFERROR(_xlfn.XLOOKUP(D258,HELPER!$B:$B,HELPER!$C:$C,""),"")</f>
        <v/>
      </c>
      <c r="F258" s="27" t="str">
        <f>IFERROR(_xlfn.XLOOKUP(D258,HELPER!$B:$B,HELPER!$D:$D,""),"")</f>
        <v/>
      </c>
      <c r="G258" s="27">
        <v>8</v>
      </c>
      <c r="H258" s="46"/>
      <c r="I258" s="47" t="str">
        <f>IF(AND(H258&lt;&gt;"",IFERROR(_xlfn.XLOOKUP(D258,HELPER!$B:$B,HELPER!$E:$E,""),"")=""),"Missing price",IFERROR(_xlfn.XLOOKUP(D258,HELPER!$B:$B,HELPER!$E:$E,"")," "))</f>
        <v/>
      </c>
      <c r="J258" s="47" t="str">
        <f>IFERROR(H258*(IF(G258=8,I258*HELPER!$G$2,BOM!I258*HELPER!$G$3))," ")</f>
        <v xml:space="preserve"> </v>
      </c>
      <c r="K258" s="6"/>
      <c r="L258" s="14" t="str" cm="1">
        <f t="array" ref="L258">IFERROR(_xlfn.LET(_xlpm.films,Table4[Film],_xlpm.grades,Table4[Grade],_xlpm.pairs,_xlfn._xlws.FILTER(_xlfn.HSTACK(_xlpm.films,_xlpm.grades),(_xlpm.films&lt;&gt;"")*(TRIM(_xlpm.grades)&lt;&gt;"")),_xlpm.uniquePairs,_xlfn.UNIQUE(_xlpm.pairs),_xlpm.sortedPairs,_xlfn._xlws.SORT(_xlpm.uniquePairs,1,1),INDEX(_xlpm.sortedPairs,ROWS($L$2:L258),1)),"")</f>
        <v/>
      </c>
      <c r="M258" s="15" t="str" cm="1">
        <f t="array" ref="M258">IFERROR(_xlfn.LET(_xlpm.films,Table4[Film],_xlpm.grades,Table4[Grade],_xlpm.pairs,_xlfn._xlws.FILTER(_xlfn.HSTACK(_xlpm.films,_xlpm.grades),(_xlpm.films&lt;&gt;"")*(TRIM(_xlpm.grades)&lt;&gt;"")),_xlpm.uniquePairs,_xlfn.UNIQUE(_xlpm.pairs),_xlpm.sortedPairs,_xlfn._xlws.SORT(_xlpm.uniquePairs,1,1),INDEX(_xlpm.sortedPairs,ROWS($M$2:M258),2)),"")</f>
        <v/>
      </c>
      <c r="N258" s="15" t="str" cm="1">
        <f t="array" ref="N258">IF(OR(Table2[[#This Row],[Film]]="",Table2[[#This Row],[Grade]]=""),"",IFERROR(INDEX(Table4[Serial Number],MATCH(1,(Table4[Film]=Table2[[#This Row],[Film]])*(Table4[Grade]=Table2[[#This Row],[Grade]]),0)),""))</f>
        <v/>
      </c>
      <c r="O258" s="51" t="str">
        <f>IF(OR(Table2[[#This Row],[Film]]="",Table2[[#This Row],[Grade]]=""),"",SUMIFS(Table4[Price Calculated(€) Thickness &amp; QTY related],Table4[Film],Table2[[#This Row],[Film]],Table4[Grade],Table2[[#This Row],[Grade]]))</f>
        <v/>
      </c>
      <c r="P258" s="6"/>
      <c r="T258" s="6"/>
    </row>
    <row r="259" spans="1:20" hidden="1">
      <c r="A259" s="29" t="s">
        <v>48</v>
      </c>
      <c r="B259" s="29" t="s">
        <v>6</v>
      </c>
      <c r="C259" s="28"/>
      <c r="D259" s="28" t="str">
        <f>IF(C259="","",IFERROR(_xlfn.XLOOKUP(C259,HELPER!$A$2:$A$81,HELPER!$B$2:$B$81,""),D259))</f>
        <v/>
      </c>
      <c r="E259" s="28" t="str">
        <f>IFERROR(_xlfn.XLOOKUP(D259,HELPER!$B:$B,HELPER!$C:$C,""),"")</f>
        <v/>
      </c>
      <c r="F259" s="27" t="str">
        <f>IFERROR(_xlfn.XLOOKUP(D259,HELPER!$B:$B,HELPER!$D:$D,""),"")</f>
        <v/>
      </c>
      <c r="G259" s="27">
        <v>8</v>
      </c>
      <c r="H259" s="46"/>
      <c r="I259" s="47" t="str">
        <f>IF(AND(H259&lt;&gt;"",IFERROR(_xlfn.XLOOKUP(D259,HELPER!$B:$B,HELPER!$E:$E,""),"")=""),"Missing price",IFERROR(_xlfn.XLOOKUP(D259,HELPER!$B:$B,HELPER!$E:$E,"")," "))</f>
        <v/>
      </c>
      <c r="J259" s="47" t="str">
        <f>IFERROR(H259*(IF(G259=8,I259*HELPER!$G$2,BOM!I259*HELPER!$G$3))," ")</f>
        <v xml:space="preserve"> </v>
      </c>
      <c r="K259" s="6"/>
      <c r="L259" s="14" t="str" cm="1">
        <f t="array" ref="L259">IFERROR(_xlfn.LET(_xlpm.films,Table4[Film],_xlpm.grades,Table4[Grade],_xlpm.pairs,_xlfn._xlws.FILTER(_xlfn.HSTACK(_xlpm.films,_xlpm.grades),(_xlpm.films&lt;&gt;"")*(TRIM(_xlpm.grades)&lt;&gt;"")),_xlpm.uniquePairs,_xlfn.UNIQUE(_xlpm.pairs),_xlpm.sortedPairs,_xlfn._xlws.SORT(_xlpm.uniquePairs,1,1),INDEX(_xlpm.sortedPairs,ROWS($L$2:L259),1)),"")</f>
        <v/>
      </c>
      <c r="M259" s="15" t="str" cm="1">
        <f t="array" ref="M259">IFERROR(_xlfn.LET(_xlpm.films,Table4[Film],_xlpm.grades,Table4[Grade],_xlpm.pairs,_xlfn._xlws.FILTER(_xlfn.HSTACK(_xlpm.films,_xlpm.grades),(_xlpm.films&lt;&gt;"")*(TRIM(_xlpm.grades)&lt;&gt;"")),_xlpm.uniquePairs,_xlfn.UNIQUE(_xlpm.pairs),_xlpm.sortedPairs,_xlfn._xlws.SORT(_xlpm.uniquePairs,1,1),INDEX(_xlpm.sortedPairs,ROWS($M$2:M259),2)),"")</f>
        <v/>
      </c>
      <c r="N259" s="15" t="str" cm="1">
        <f t="array" ref="N259">IF(OR(Table2[[#This Row],[Film]]="",Table2[[#This Row],[Grade]]=""),"",IFERROR(INDEX(Table4[Serial Number],MATCH(1,(Table4[Film]=Table2[[#This Row],[Film]])*(Table4[Grade]=Table2[[#This Row],[Grade]]),0)),""))</f>
        <v/>
      </c>
      <c r="O259" s="51" t="str">
        <f>IF(OR(Table2[[#This Row],[Film]]="",Table2[[#This Row],[Grade]]=""),"",SUMIFS(Table4[Price Calculated(€) Thickness &amp; QTY related],Table4[Film],Table2[[#This Row],[Film]],Table4[Grade],Table2[[#This Row],[Grade]]))</f>
        <v/>
      </c>
      <c r="P259" s="6"/>
      <c r="T259" s="6"/>
    </row>
    <row r="260" spans="1:20" hidden="1">
      <c r="A260" s="29" t="s">
        <v>48</v>
      </c>
      <c r="B260" s="29" t="s">
        <v>6</v>
      </c>
      <c r="C260" s="28"/>
      <c r="D260" s="28" t="str">
        <f>IF(C260="","",IFERROR(_xlfn.XLOOKUP(C260,HELPER!$A$2:$A$81,HELPER!$B$2:$B$81,""),D260))</f>
        <v/>
      </c>
      <c r="E260" s="28" t="str">
        <f>IFERROR(_xlfn.XLOOKUP(D260,HELPER!$B:$B,HELPER!$C:$C,""),"")</f>
        <v/>
      </c>
      <c r="F260" s="27" t="str">
        <f>IFERROR(_xlfn.XLOOKUP(D260,HELPER!$B:$B,HELPER!$D:$D,""),"")</f>
        <v/>
      </c>
      <c r="G260" s="27">
        <v>8</v>
      </c>
      <c r="H260" s="46"/>
      <c r="I260" s="47" t="str">
        <f>IF(AND(H260&lt;&gt;"",IFERROR(_xlfn.XLOOKUP(D260,HELPER!$B:$B,HELPER!$E:$E,""),"")=""),"Missing price",IFERROR(_xlfn.XLOOKUP(D260,HELPER!$B:$B,HELPER!$E:$E,"")," "))</f>
        <v/>
      </c>
      <c r="J260" s="47" t="str">
        <f>IFERROR(H260*(IF(G260=8,I260*HELPER!$G$2,BOM!I260*HELPER!$G$3))," ")</f>
        <v xml:space="preserve"> </v>
      </c>
      <c r="K260" s="6"/>
      <c r="L260" s="14" t="str" cm="1">
        <f t="array" ref="L260">IFERROR(_xlfn.LET(_xlpm.films,Table4[Film],_xlpm.grades,Table4[Grade],_xlpm.pairs,_xlfn._xlws.FILTER(_xlfn.HSTACK(_xlpm.films,_xlpm.grades),(_xlpm.films&lt;&gt;"")*(TRIM(_xlpm.grades)&lt;&gt;"")),_xlpm.uniquePairs,_xlfn.UNIQUE(_xlpm.pairs),_xlpm.sortedPairs,_xlfn._xlws.SORT(_xlpm.uniquePairs,1,1),INDEX(_xlpm.sortedPairs,ROWS($L$2:L260),1)),"")</f>
        <v/>
      </c>
      <c r="M260" s="15" t="str" cm="1">
        <f t="array" ref="M260">IFERROR(_xlfn.LET(_xlpm.films,Table4[Film],_xlpm.grades,Table4[Grade],_xlpm.pairs,_xlfn._xlws.FILTER(_xlfn.HSTACK(_xlpm.films,_xlpm.grades),(_xlpm.films&lt;&gt;"")*(TRIM(_xlpm.grades)&lt;&gt;"")),_xlpm.uniquePairs,_xlfn.UNIQUE(_xlpm.pairs),_xlpm.sortedPairs,_xlfn._xlws.SORT(_xlpm.uniquePairs,1,1),INDEX(_xlpm.sortedPairs,ROWS($M$2:M260),2)),"")</f>
        <v/>
      </c>
      <c r="N260" s="15" t="str" cm="1">
        <f t="array" ref="N260">IF(OR(Table2[[#This Row],[Film]]="",Table2[[#This Row],[Grade]]=""),"",IFERROR(INDEX(Table4[Serial Number],MATCH(1,(Table4[Film]=Table2[[#This Row],[Film]])*(Table4[Grade]=Table2[[#This Row],[Grade]]),0)),""))</f>
        <v/>
      </c>
      <c r="O260" s="51" t="str">
        <f>IF(OR(Table2[[#This Row],[Film]]="",Table2[[#This Row],[Grade]]=""),"",SUMIFS(Table4[Price Calculated(€) Thickness &amp; QTY related],Table4[Film],Table2[[#This Row],[Film]],Table4[Grade],Table2[[#This Row],[Grade]]))</f>
        <v/>
      </c>
      <c r="P260" s="6"/>
      <c r="T260" s="6"/>
    </row>
    <row r="261" spans="1:20" hidden="1">
      <c r="A261" s="29" t="s">
        <v>48</v>
      </c>
      <c r="B261" s="29" t="s">
        <v>6</v>
      </c>
      <c r="C261" s="28"/>
      <c r="D261" s="28" t="str">
        <f>IF(C261="","",IFERROR(_xlfn.XLOOKUP(C261,HELPER!$A$2:$A$81,HELPER!$B$2:$B$81,""),D261))</f>
        <v/>
      </c>
      <c r="E261" s="28" t="str">
        <f>IFERROR(_xlfn.XLOOKUP(D261,HELPER!$B:$B,HELPER!$C:$C,""),"")</f>
        <v/>
      </c>
      <c r="F261" s="27" t="str">
        <f>IFERROR(_xlfn.XLOOKUP(D261,HELPER!$B:$B,HELPER!$D:$D,""),"")</f>
        <v/>
      </c>
      <c r="G261" s="27">
        <v>8</v>
      </c>
      <c r="H261" s="46"/>
      <c r="I261" s="47" t="str">
        <f>IF(AND(H261&lt;&gt;"",IFERROR(_xlfn.XLOOKUP(D261,HELPER!$B:$B,HELPER!$E:$E,""),"")=""),"Missing price",IFERROR(_xlfn.XLOOKUP(D261,HELPER!$B:$B,HELPER!$E:$E,"")," "))</f>
        <v/>
      </c>
      <c r="J261" s="47" t="str">
        <f>IFERROR(H261*(IF(G261=8,I261*HELPER!$G$2,BOM!I261*HELPER!$G$3))," ")</f>
        <v xml:space="preserve"> </v>
      </c>
      <c r="K261" s="6"/>
      <c r="L261" s="14" t="str" cm="1">
        <f t="array" ref="L261">IFERROR(_xlfn.LET(_xlpm.films,Table4[Film],_xlpm.grades,Table4[Grade],_xlpm.pairs,_xlfn._xlws.FILTER(_xlfn.HSTACK(_xlpm.films,_xlpm.grades),(_xlpm.films&lt;&gt;"")*(TRIM(_xlpm.grades)&lt;&gt;"")),_xlpm.uniquePairs,_xlfn.UNIQUE(_xlpm.pairs),_xlpm.sortedPairs,_xlfn._xlws.SORT(_xlpm.uniquePairs,1,1),INDEX(_xlpm.sortedPairs,ROWS($L$2:L261),1)),"")</f>
        <v/>
      </c>
      <c r="M261" s="15" t="str" cm="1">
        <f t="array" ref="M261">IFERROR(_xlfn.LET(_xlpm.films,Table4[Film],_xlpm.grades,Table4[Grade],_xlpm.pairs,_xlfn._xlws.FILTER(_xlfn.HSTACK(_xlpm.films,_xlpm.grades),(_xlpm.films&lt;&gt;"")*(TRIM(_xlpm.grades)&lt;&gt;"")),_xlpm.uniquePairs,_xlfn.UNIQUE(_xlpm.pairs),_xlpm.sortedPairs,_xlfn._xlws.SORT(_xlpm.uniquePairs,1,1),INDEX(_xlpm.sortedPairs,ROWS($M$2:M261),2)),"")</f>
        <v/>
      </c>
      <c r="N261" s="15" t="str" cm="1">
        <f t="array" ref="N261">IF(OR(Table2[[#This Row],[Film]]="",Table2[[#This Row],[Grade]]=""),"",IFERROR(INDEX(Table4[Serial Number],MATCH(1,(Table4[Film]=Table2[[#This Row],[Film]])*(Table4[Grade]=Table2[[#This Row],[Grade]]),0)),""))</f>
        <v/>
      </c>
      <c r="O261" s="51" t="str">
        <f>IF(OR(Table2[[#This Row],[Film]]="",Table2[[#This Row],[Grade]]=""),"",SUMIFS(Table4[Price Calculated(€) Thickness &amp; QTY related],Table4[Film],Table2[[#This Row],[Film]],Table4[Grade],Table2[[#This Row],[Grade]]))</f>
        <v/>
      </c>
      <c r="P261" s="6"/>
      <c r="T261" s="6"/>
    </row>
    <row r="262" spans="1:20" hidden="1">
      <c r="A262" s="29" t="s">
        <v>48</v>
      </c>
      <c r="B262" s="29" t="s">
        <v>7</v>
      </c>
      <c r="C262" s="28" t="s">
        <v>14</v>
      </c>
      <c r="D262" s="28" t="str">
        <f>IF(C262="","",IFERROR(_xlfn.XLOOKUP(C262,HELPER!$A$2:$A$81,HELPER!$B$2:$B$81,""),D262))</f>
        <v>B12</v>
      </c>
      <c r="E262" s="28" t="str">
        <f>IFERROR(_xlfn.XLOOKUP(D262,HELPER!$B:$B,HELPER!$C:$C,""),"")</f>
        <v>RMB12</v>
      </c>
      <c r="F262" s="27" t="str">
        <f>IFERROR(_xlfn.XLOOKUP(D262,HELPER!$B:$B,HELPER!$D:$D,""),"")</f>
        <v>Resin 2A</v>
      </c>
      <c r="G262" s="27">
        <v>8</v>
      </c>
      <c r="H262" s="46">
        <v>0.98</v>
      </c>
      <c r="I262" s="47">
        <f>IF(AND(H262&lt;&gt;"",IFERROR(_xlfn.XLOOKUP(D262,HELPER!$B:$B,HELPER!$E:$E,""),"")=""),"Missing price",IFERROR(_xlfn.XLOOKUP(D262,HELPER!$B:$B,HELPER!$E:$E,"")," "))</f>
        <v>1.81</v>
      </c>
      <c r="J262" s="47">
        <f>IFERROR(H262*(IF(G262=8,I262*HELPER!$G$2,BOM!I262*HELPER!$G$3))," ")</f>
        <v>0.35476000000000002</v>
      </c>
      <c r="K262" s="6"/>
      <c r="L262" s="14" t="str" cm="1">
        <f t="array" ref="L262">IFERROR(_xlfn.LET(_xlpm.films,Table4[Film],_xlpm.grades,Table4[Grade],_xlpm.pairs,_xlfn._xlws.FILTER(_xlfn.HSTACK(_xlpm.films,_xlpm.grades),(_xlpm.films&lt;&gt;"")*(TRIM(_xlpm.grades)&lt;&gt;"")),_xlpm.uniquePairs,_xlfn.UNIQUE(_xlpm.pairs),_xlpm.sortedPairs,_xlfn._xlws.SORT(_xlpm.uniquePairs,1,1),INDEX(_xlpm.sortedPairs,ROWS($L$2:L262),1)),"")</f>
        <v/>
      </c>
      <c r="M262" s="15" t="str" cm="1">
        <f t="array" ref="M262">IFERROR(_xlfn.LET(_xlpm.films,Table4[Film],_xlpm.grades,Table4[Grade],_xlpm.pairs,_xlfn._xlws.FILTER(_xlfn.HSTACK(_xlpm.films,_xlpm.grades),(_xlpm.films&lt;&gt;"")*(TRIM(_xlpm.grades)&lt;&gt;"")),_xlpm.uniquePairs,_xlfn.UNIQUE(_xlpm.pairs),_xlpm.sortedPairs,_xlfn._xlws.SORT(_xlpm.uniquePairs,1,1),INDEX(_xlpm.sortedPairs,ROWS($M$2:M262),2)),"")</f>
        <v/>
      </c>
      <c r="N262" s="15" t="str" cm="1">
        <f t="array" ref="N262">IF(OR(Table2[[#This Row],[Film]]="",Table2[[#This Row],[Grade]]=""),"",IFERROR(INDEX(Table4[Serial Number],MATCH(1,(Table4[Film]=Table2[[#This Row],[Film]])*(Table4[Grade]=Table2[[#This Row],[Grade]]),0)),""))</f>
        <v/>
      </c>
      <c r="O262" s="51" t="str">
        <f>IF(OR(Table2[[#This Row],[Film]]="",Table2[[#This Row],[Grade]]=""),"",SUMIFS(Table4[Price Calculated(€) Thickness &amp; QTY related],Table4[Film],Table2[[#This Row],[Film]],Table4[Grade],Table2[[#This Row],[Grade]]))</f>
        <v/>
      </c>
      <c r="P262" s="6"/>
      <c r="T262" s="6"/>
    </row>
    <row r="263" spans="1:20" hidden="1">
      <c r="A263" s="29" t="s">
        <v>48</v>
      </c>
      <c r="B263" s="29" t="s">
        <v>7</v>
      </c>
      <c r="C263" s="28" t="s">
        <v>16</v>
      </c>
      <c r="D263" s="28" t="str">
        <f>IF(C263="","",IFERROR(_xlfn.XLOOKUP(C263,HELPER!$A$2:$A$81,HELPER!$B$2:$B$81,""),D263))</f>
        <v>S723</v>
      </c>
      <c r="E263" s="28" t="str">
        <f>IFERROR(_xlfn.XLOOKUP(D263,HELPER!$B:$B,HELPER!$C:$C,""),"")</f>
        <v>RM TA45-08 S723</v>
      </c>
      <c r="F263" s="27" t="str">
        <f>IFERROR(_xlfn.XLOOKUP(D263,HELPER!$B:$B,HELPER!$D:$D,""),"")</f>
        <v>Resin 6</v>
      </c>
      <c r="G263" s="27">
        <v>8</v>
      </c>
      <c r="H263" s="46">
        <v>0.02</v>
      </c>
      <c r="I263" s="47">
        <f>IF(AND(H263&lt;&gt;"",IFERROR(_xlfn.XLOOKUP(D263,HELPER!$B:$B,HELPER!$E:$E,""),"")=""),"Missing price",IFERROR(_xlfn.XLOOKUP(D263,HELPER!$B:$B,HELPER!$E:$E,"")," "))</f>
        <v>16.16</v>
      </c>
      <c r="J263" s="47">
        <f>IFERROR(H263*(IF(G263=8,I263*HELPER!$G$2,BOM!I263*HELPER!$G$3))," ")</f>
        <v>6.4640000000000003E-2</v>
      </c>
      <c r="K263" s="6"/>
      <c r="L263" s="14" t="str" cm="1">
        <f t="array" ref="L263">IFERROR(_xlfn.LET(_xlpm.films,Table4[Film],_xlpm.grades,Table4[Grade],_xlpm.pairs,_xlfn._xlws.FILTER(_xlfn.HSTACK(_xlpm.films,_xlpm.grades),(_xlpm.films&lt;&gt;"")*(TRIM(_xlpm.grades)&lt;&gt;"")),_xlpm.uniquePairs,_xlfn.UNIQUE(_xlpm.pairs),_xlpm.sortedPairs,_xlfn._xlws.SORT(_xlpm.uniquePairs,1,1),INDEX(_xlpm.sortedPairs,ROWS($L$2:L263),1)),"")</f>
        <v/>
      </c>
      <c r="M263" s="15" t="str" cm="1">
        <f t="array" ref="M263">IFERROR(_xlfn.LET(_xlpm.films,Table4[Film],_xlpm.grades,Table4[Grade],_xlpm.pairs,_xlfn._xlws.FILTER(_xlfn.HSTACK(_xlpm.films,_xlpm.grades),(_xlpm.films&lt;&gt;"")*(TRIM(_xlpm.grades)&lt;&gt;"")),_xlpm.uniquePairs,_xlfn.UNIQUE(_xlpm.pairs),_xlpm.sortedPairs,_xlfn._xlws.SORT(_xlpm.uniquePairs,1,1),INDEX(_xlpm.sortedPairs,ROWS($M$2:M263),2)),"")</f>
        <v/>
      </c>
      <c r="N263" s="15" t="str" cm="1">
        <f t="array" ref="N263">IF(OR(Table2[[#This Row],[Film]]="",Table2[[#This Row],[Grade]]=""),"",IFERROR(INDEX(Table4[Serial Number],MATCH(1,(Table4[Film]=Table2[[#This Row],[Film]])*(Table4[Grade]=Table2[[#This Row],[Grade]]),0)),""))</f>
        <v/>
      </c>
      <c r="O263" s="51" t="str">
        <f>IF(OR(Table2[[#This Row],[Film]]="",Table2[[#This Row],[Grade]]=""),"",SUMIFS(Table4[Price Calculated(€) Thickness &amp; QTY related],Table4[Film],Table2[[#This Row],[Film]],Table4[Grade],Table2[[#This Row],[Grade]]))</f>
        <v/>
      </c>
      <c r="P263" s="6"/>
      <c r="T263" s="6"/>
    </row>
    <row r="264" spans="1:20" hidden="1">
      <c r="A264" s="29" t="s">
        <v>48</v>
      </c>
      <c r="B264" s="29" t="s">
        <v>7</v>
      </c>
      <c r="C264" s="28"/>
      <c r="D264" s="28" t="str">
        <f>IF(C264="","",IFERROR(_xlfn.XLOOKUP(C264,HELPER!$A$2:$A$81,HELPER!$B$2:$B$81,""),D264))</f>
        <v/>
      </c>
      <c r="E264" s="28" t="str">
        <f>IFERROR(_xlfn.XLOOKUP(D264,HELPER!$B:$B,HELPER!$C:$C,""),"")</f>
        <v/>
      </c>
      <c r="F264" s="27" t="str">
        <f>IFERROR(_xlfn.XLOOKUP(D264,HELPER!$B:$B,HELPER!$D:$D,""),"")</f>
        <v/>
      </c>
      <c r="G264" s="27">
        <v>8</v>
      </c>
      <c r="H264" s="46"/>
      <c r="I264" s="47" t="str">
        <f>IF(AND(H264&lt;&gt;"",IFERROR(_xlfn.XLOOKUP(D264,HELPER!$B:$B,HELPER!$E:$E,""),"")=""),"Missing price",IFERROR(_xlfn.XLOOKUP(D264,HELPER!$B:$B,HELPER!$E:$E,"")," "))</f>
        <v/>
      </c>
      <c r="J264" s="47" t="str">
        <f>IFERROR(H264*(IF(G264=8,I264*HELPER!$G$2,BOM!I264*HELPER!$G$3))," ")</f>
        <v xml:space="preserve"> </v>
      </c>
      <c r="K264" s="6"/>
      <c r="L264" s="14" t="str" cm="1">
        <f t="array" ref="L264">IFERROR(_xlfn.LET(_xlpm.films,Table4[Film],_xlpm.grades,Table4[Grade],_xlpm.pairs,_xlfn._xlws.FILTER(_xlfn.HSTACK(_xlpm.films,_xlpm.grades),(_xlpm.films&lt;&gt;"")*(TRIM(_xlpm.grades)&lt;&gt;"")),_xlpm.uniquePairs,_xlfn.UNIQUE(_xlpm.pairs),_xlpm.sortedPairs,_xlfn._xlws.SORT(_xlpm.uniquePairs,1,1),INDEX(_xlpm.sortedPairs,ROWS($L$2:L264),1)),"")</f>
        <v/>
      </c>
      <c r="M264" s="15" t="str" cm="1">
        <f t="array" ref="M264">IFERROR(_xlfn.LET(_xlpm.films,Table4[Film],_xlpm.grades,Table4[Grade],_xlpm.pairs,_xlfn._xlws.FILTER(_xlfn.HSTACK(_xlpm.films,_xlpm.grades),(_xlpm.films&lt;&gt;"")*(TRIM(_xlpm.grades)&lt;&gt;"")),_xlpm.uniquePairs,_xlfn.UNIQUE(_xlpm.pairs),_xlpm.sortedPairs,_xlfn._xlws.SORT(_xlpm.uniquePairs,1,1),INDEX(_xlpm.sortedPairs,ROWS($M$2:M264),2)),"")</f>
        <v/>
      </c>
      <c r="N264" s="15" t="str" cm="1">
        <f t="array" ref="N264">IF(OR(Table2[[#This Row],[Film]]="",Table2[[#This Row],[Grade]]=""),"",IFERROR(INDEX(Table4[Serial Number],MATCH(1,(Table4[Film]=Table2[[#This Row],[Film]])*(Table4[Grade]=Table2[[#This Row],[Grade]]),0)),""))</f>
        <v/>
      </c>
      <c r="O264" s="51" t="str">
        <f>IF(OR(Table2[[#This Row],[Film]]="",Table2[[#This Row],[Grade]]=""),"",SUMIFS(Table4[Price Calculated(€) Thickness &amp; QTY related],Table4[Film],Table2[[#This Row],[Film]],Table4[Grade],Table2[[#This Row],[Grade]]))</f>
        <v/>
      </c>
      <c r="P264" s="6"/>
      <c r="T264" s="6"/>
    </row>
    <row r="265" spans="1:20" hidden="1">
      <c r="A265" s="29" t="s">
        <v>48</v>
      </c>
      <c r="B265" s="29" t="s">
        <v>7</v>
      </c>
      <c r="C265" s="28"/>
      <c r="D265" s="28" t="str">
        <f>IF(C265="","",IFERROR(_xlfn.XLOOKUP(C265,HELPER!$A$2:$A$81,HELPER!$B$2:$B$81,""),D265))</f>
        <v/>
      </c>
      <c r="E265" s="28" t="str">
        <f>IFERROR(_xlfn.XLOOKUP(D265,HELPER!$B:$B,HELPER!$C:$C,""),"")</f>
        <v/>
      </c>
      <c r="F265" s="27" t="str">
        <f>IFERROR(_xlfn.XLOOKUP(D265,HELPER!$B:$B,HELPER!$D:$D,""),"")</f>
        <v/>
      </c>
      <c r="G265" s="27">
        <v>8</v>
      </c>
      <c r="H265" s="46"/>
      <c r="I265" s="47" t="str">
        <f>IF(AND(H265&lt;&gt;"",IFERROR(_xlfn.XLOOKUP(D265,HELPER!$B:$B,HELPER!$E:$E,""),"")=""),"Missing price",IFERROR(_xlfn.XLOOKUP(D265,HELPER!$B:$B,HELPER!$E:$E,"")," "))</f>
        <v/>
      </c>
      <c r="J265" s="47" t="str">
        <f>IFERROR(H265*(IF(G265=8,I265*HELPER!$G$2,BOM!I265*HELPER!$G$3))," ")</f>
        <v xml:space="preserve"> </v>
      </c>
      <c r="K265" s="6"/>
      <c r="L265" s="14" t="str" cm="1">
        <f t="array" ref="L265">IFERROR(_xlfn.LET(_xlpm.films,Table4[Film],_xlpm.grades,Table4[Grade],_xlpm.pairs,_xlfn._xlws.FILTER(_xlfn.HSTACK(_xlpm.films,_xlpm.grades),(_xlpm.films&lt;&gt;"")*(TRIM(_xlpm.grades)&lt;&gt;"")),_xlpm.uniquePairs,_xlfn.UNIQUE(_xlpm.pairs),_xlpm.sortedPairs,_xlfn._xlws.SORT(_xlpm.uniquePairs,1,1),INDEX(_xlpm.sortedPairs,ROWS($L$2:L265),1)),"")</f>
        <v/>
      </c>
      <c r="M265" s="15" t="str" cm="1">
        <f t="array" ref="M265">IFERROR(_xlfn.LET(_xlpm.films,Table4[Film],_xlpm.grades,Table4[Grade],_xlpm.pairs,_xlfn._xlws.FILTER(_xlfn.HSTACK(_xlpm.films,_xlpm.grades),(_xlpm.films&lt;&gt;"")*(TRIM(_xlpm.grades)&lt;&gt;"")),_xlpm.uniquePairs,_xlfn.UNIQUE(_xlpm.pairs),_xlpm.sortedPairs,_xlfn._xlws.SORT(_xlpm.uniquePairs,1,1),INDEX(_xlpm.sortedPairs,ROWS($M$2:M265),2)),"")</f>
        <v/>
      </c>
      <c r="N265" s="15" t="str" cm="1">
        <f t="array" ref="N265">IF(OR(Table2[[#This Row],[Film]]="",Table2[[#This Row],[Grade]]=""),"",IFERROR(INDEX(Table4[Serial Number],MATCH(1,(Table4[Film]=Table2[[#This Row],[Film]])*(Table4[Grade]=Table2[[#This Row],[Grade]]),0)),""))</f>
        <v/>
      </c>
      <c r="O265" s="51" t="str">
        <f>IF(OR(Table2[[#This Row],[Film]]="",Table2[[#This Row],[Grade]]=""),"",SUMIFS(Table4[Price Calculated(€) Thickness &amp; QTY related],Table4[Film],Table2[[#This Row],[Film]],Table4[Grade],Table2[[#This Row],[Grade]]))</f>
        <v/>
      </c>
      <c r="P265" s="6"/>
      <c r="T265" s="6"/>
    </row>
    <row r="266" spans="1:20" hidden="1">
      <c r="A266" s="29" t="s">
        <v>48</v>
      </c>
      <c r="B266" s="29" t="s">
        <v>7</v>
      </c>
      <c r="C266" s="28"/>
      <c r="D266" s="28" t="str">
        <f>IF(C266="","",IFERROR(_xlfn.XLOOKUP(C266,HELPER!$A$2:$A$81,HELPER!$B$2:$B$81,""),D266))</f>
        <v/>
      </c>
      <c r="E266" s="28" t="str">
        <f>IFERROR(_xlfn.XLOOKUP(D266,HELPER!$B:$B,HELPER!$C:$C,""),"")</f>
        <v/>
      </c>
      <c r="F266" s="27" t="str">
        <f>IFERROR(_xlfn.XLOOKUP(D266,HELPER!$B:$B,HELPER!$D:$D,""),"")</f>
        <v/>
      </c>
      <c r="G266" s="27">
        <v>8</v>
      </c>
      <c r="H266" s="46"/>
      <c r="I266" s="47" t="str">
        <f>IF(AND(H266&lt;&gt;"",IFERROR(_xlfn.XLOOKUP(D266,HELPER!$B:$B,HELPER!$E:$E,""),"")=""),"Missing price",IFERROR(_xlfn.XLOOKUP(D266,HELPER!$B:$B,HELPER!$E:$E,"")," "))</f>
        <v/>
      </c>
      <c r="J266" s="47" t="str">
        <f>IFERROR(H266*(IF(G266=8,I266*HELPER!$G$2,BOM!I266*HELPER!$G$3))," ")</f>
        <v xml:space="preserve"> </v>
      </c>
      <c r="K266" s="6"/>
      <c r="L266" s="14" t="str" cm="1">
        <f t="array" ref="L266">IFERROR(_xlfn.LET(_xlpm.films,Table4[Film],_xlpm.grades,Table4[Grade],_xlpm.pairs,_xlfn._xlws.FILTER(_xlfn.HSTACK(_xlpm.films,_xlpm.grades),(_xlpm.films&lt;&gt;"")*(TRIM(_xlpm.grades)&lt;&gt;"")),_xlpm.uniquePairs,_xlfn.UNIQUE(_xlpm.pairs),_xlpm.sortedPairs,_xlfn._xlws.SORT(_xlpm.uniquePairs,1,1),INDEX(_xlpm.sortedPairs,ROWS($L$2:L266),1)),"")</f>
        <v/>
      </c>
      <c r="M266" s="15" t="str" cm="1">
        <f t="array" ref="M266">IFERROR(_xlfn.LET(_xlpm.films,Table4[Film],_xlpm.grades,Table4[Grade],_xlpm.pairs,_xlfn._xlws.FILTER(_xlfn.HSTACK(_xlpm.films,_xlpm.grades),(_xlpm.films&lt;&gt;"")*(TRIM(_xlpm.grades)&lt;&gt;"")),_xlpm.uniquePairs,_xlfn.UNIQUE(_xlpm.pairs),_xlpm.sortedPairs,_xlfn._xlws.SORT(_xlpm.uniquePairs,1,1),INDEX(_xlpm.sortedPairs,ROWS($M$2:M266),2)),"")</f>
        <v/>
      </c>
      <c r="N266" s="15" t="str" cm="1">
        <f t="array" ref="N266">IF(OR(Table2[[#This Row],[Film]]="",Table2[[#This Row],[Grade]]=""),"",IFERROR(INDEX(Table4[Serial Number],MATCH(1,(Table4[Film]=Table2[[#This Row],[Film]])*(Table4[Grade]=Table2[[#This Row],[Grade]]),0)),""))</f>
        <v/>
      </c>
      <c r="O266" s="51" t="str">
        <f>IF(OR(Table2[[#This Row],[Film]]="",Table2[[#This Row],[Grade]]=""),"",SUMIFS(Table4[Price Calculated(€) Thickness &amp; QTY related],Table4[Film],Table2[[#This Row],[Film]],Table4[Grade],Table2[[#This Row],[Grade]]))</f>
        <v/>
      </c>
      <c r="P266" s="6"/>
      <c r="T266" s="6"/>
    </row>
    <row r="267" spans="1:20" hidden="1">
      <c r="A267" s="29" t="s">
        <v>48</v>
      </c>
      <c r="B267" s="29" t="s">
        <v>7</v>
      </c>
      <c r="C267" s="28"/>
      <c r="D267" s="28" t="str">
        <f>IF(C267="","",IFERROR(_xlfn.XLOOKUP(C267,HELPER!$A$2:$A$81,HELPER!$B$2:$B$81,""),D267))</f>
        <v/>
      </c>
      <c r="E267" s="28" t="str">
        <f>IFERROR(_xlfn.XLOOKUP(D267,HELPER!$B:$B,HELPER!$C:$C,""),"")</f>
        <v/>
      </c>
      <c r="F267" s="27" t="str">
        <f>IFERROR(_xlfn.XLOOKUP(D267,HELPER!$B:$B,HELPER!$D:$D,""),"")</f>
        <v/>
      </c>
      <c r="G267" s="27">
        <v>8</v>
      </c>
      <c r="H267" s="46"/>
      <c r="I267" s="47" t="str">
        <f>IF(AND(H267&lt;&gt;"",IFERROR(_xlfn.XLOOKUP(D267,HELPER!$B:$B,HELPER!$E:$E,""),"")=""),"Missing price",IFERROR(_xlfn.XLOOKUP(D267,HELPER!$B:$B,HELPER!$E:$E,"")," "))</f>
        <v/>
      </c>
      <c r="J267" s="47" t="str">
        <f>IFERROR(H267*(IF(G267=8,I267*HELPER!$G$2,BOM!I267*HELPER!$G$3))," ")</f>
        <v xml:space="preserve"> </v>
      </c>
      <c r="K267" s="6"/>
      <c r="L267" s="14" t="str" cm="1">
        <f t="array" ref="L267">IFERROR(_xlfn.LET(_xlpm.films,Table4[Film],_xlpm.grades,Table4[Grade],_xlpm.pairs,_xlfn._xlws.FILTER(_xlfn.HSTACK(_xlpm.films,_xlpm.grades),(_xlpm.films&lt;&gt;"")*(TRIM(_xlpm.grades)&lt;&gt;"")),_xlpm.uniquePairs,_xlfn.UNIQUE(_xlpm.pairs),_xlpm.sortedPairs,_xlfn._xlws.SORT(_xlpm.uniquePairs,1,1),INDEX(_xlpm.sortedPairs,ROWS($L$2:L267),1)),"")</f>
        <v/>
      </c>
      <c r="M267" s="15" t="str" cm="1">
        <f t="array" ref="M267">IFERROR(_xlfn.LET(_xlpm.films,Table4[Film],_xlpm.grades,Table4[Grade],_xlpm.pairs,_xlfn._xlws.FILTER(_xlfn.HSTACK(_xlpm.films,_xlpm.grades),(_xlpm.films&lt;&gt;"")*(TRIM(_xlpm.grades)&lt;&gt;"")),_xlpm.uniquePairs,_xlfn.UNIQUE(_xlpm.pairs),_xlpm.sortedPairs,_xlfn._xlws.SORT(_xlpm.uniquePairs,1,1),INDEX(_xlpm.sortedPairs,ROWS($M$2:M267),2)),"")</f>
        <v/>
      </c>
      <c r="N267" s="15" t="str" cm="1">
        <f t="array" ref="N267">IF(OR(Table2[[#This Row],[Film]]="",Table2[[#This Row],[Grade]]=""),"",IFERROR(INDEX(Table4[Serial Number],MATCH(1,(Table4[Film]=Table2[[#This Row],[Film]])*(Table4[Grade]=Table2[[#This Row],[Grade]]),0)),""))</f>
        <v/>
      </c>
      <c r="O267" s="51" t="str">
        <f>IF(OR(Table2[[#This Row],[Film]]="",Table2[[#This Row],[Grade]]=""),"",SUMIFS(Table4[Price Calculated(€) Thickness &amp; QTY related],Table4[Film],Table2[[#This Row],[Film]],Table4[Grade],Table2[[#This Row],[Grade]]))</f>
        <v/>
      </c>
      <c r="P267" s="6"/>
      <c r="T267" s="6"/>
    </row>
    <row r="268" spans="1:20" hidden="1">
      <c r="A268" s="29" t="s">
        <v>48</v>
      </c>
      <c r="B268" s="29" t="s">
        <v>7</v>
      </c>
      <c r="C268" s="28"/>
      <c r="D268" s="28" t="str">
        <f>IF(C268="","",IFERROR(_xlfn.XLOOKUP(C268,HELPER!$A$2:$A$81,HELPER!$B$2:$B$81,""),D268))</f>
        <v/>
      </c>
      <c r="E268" s="28" t="str">
        <f>IFERROR(_xlfn.XLOOKUP(D268,HELPER!$B:$B,HELPER!$C:$C,""),"")</f>
        <v/>
      </c>
      <c r="F268" s="27" t="str">
        <f>IFERROR(_xlfn.XLOOKUP(D268,HELPER!$B:$B,HELPER!$D:$D,""),"")</f>
        <v/>
      </c>
      <c r="G268" s="27">
        <v>8</v>
      </c>
      <c r="H268" s="46"/>
      <c r="I268" s="47" t="str">
        <f>IF(AND(H268&lt;&gt;"",IFERROR(_xlfn.XLOOKUP(D268,HELPER!$B:$B,HELPER!$E:$E,""),"")=""),"Missing price",IFERROR(_xlfn.XLOOKUP(D268,HELPER!$B:$B,HELPER!$E:$E,"")," "))</f>
        <v/>
      </c>
      <c r="J268" s="47" t="str">
        <f>IFERROR(H268*(IF(G268=8,I268*HELPER!$G$2,BOM!I268*HELPER!$G$3))," ")</f>
        <v xml:space="preserve"> </v>
      </c>
      <c r="K268" s="6"/>
      <c r="L268" s="14" t="str" cm="1">
        <f t="array" ref="L268">IFERROR(_xlfn.LET(_xlpm.films,Table4[Film],_xlpm.grades,Table4[Grade],_xlpm.pairs,_xlfn._xlws.FILTER(_xlfn.HSTACK(_xlpm.films,_xlpm.grades),(_xlpm.films&lt;&gt;"")*(TRIM(_xlpm.grades)&lt;&gt;"")),_xlpm.uniquePairs,_xlfn.UNIQUE(_xlpm.pairs),_xlpm.sortedPairs,_xlfn._xlws.SORT(_xlpm.uniquePairs,1,1),INDEX(_xlpm.sortedPairs,ROWS($L$2:L268),1)),"")</f>
        <v/>
      </c>
      <c r="M268" s="15" t="str" cm="1">
        <f t="array" ref="M268">IFERROR(_xlfn.LET(_xlpm.films,Table4[Film],_xlpm.grades,Table4[Grade],_xlpm.pairs,_xlfn._xlws.FILTER(_xlfn.HSTACK(_xlpm.films,_xlpm.grades),(_xlpm.films&lt;&gt;"")*(TRIM(_xlpm.grades)&lt;&gt;"")),_xlpm.uniquePairs,_xlfn.UNIQUE(_xlpm.pairs),_xlpm.sortedPairs,_xlfn._xlws.SORT(_xlpm.uniquePairs,1,1),INDEX(_xlpm.sortedPairs,ROWS($M$2:M268),2)),"")</f>
        <v/>
      </c>
      <c r="N268" s="15" t="str" cm="1">
        <f t="array" ref="N268">IF(OR(Table2[[#This Row],[Film]]="",Table2[[#This Row],[Grade]]=""),"",IFERROR(INDEX(Table4[Serial Number],MATCH(1,(Table4[Film]=Table2[[#This Row],[Film]])*(Table4[Grade]=Table2[[#This Row],[Grade]]),0)),""))</f>
        <v/>
      </c>
      <c r="O268" s="51" t="str">
        <f>IF(OR(Table2[[#This Row],[Film]]="",Table2[[#This Row],[Grade]]=""),"",SUMIFS(Table4[Price Calculated(€) Thickness &amp; QTY related],Table4[Film],Table2[[#This Row],[Film]],Table4[Grade],Table2[[#This Row],[Grade]]))</f>
        <v/>
      </c>
      <c r="P268" s="6"/>
      <c r="T268" s="6"/>
    </row>
    <row r="269" spans="1:20" hidden="1">
      <c r="A269" s="29" t="s">
        <v>48</v>
      </c>
      <c r="B269" s="29" t="s">
        <v>7</v>
      </c>
      <c r="C269" s="28"/>
      <c r="D269" s="28" t="str">
        <f>IF(C269="","",IFERROR(_xlfn.XLOOKUP(C269,HELPER!$A$2:$A$81,HELPER!$B$2:$B$81,""),D269))</f>
        <v/>
      </c>
      <c r="E269" s="28" t="str">
        <f>IFERROR(_xlfn.XLOOKUP(D269,HELPER!$B:$B,HELPER!$C:$C,""),"")</f>
        <v/>
      </c>
      <c r="F269" s="27" t="str">
        <f>IFERROR(_xlfn.XLOOKUP(D269,HELPER!$B:$B,HELPER!$D:$D,""),"")</f>
        <v/>
      </c>
      <c r="G269" s="27">
        <v>8</v>
      </c>
      <c r="H269" s="46"/>
      <c r="I269" s="47" t="str">
        <f>IF(AND(H269&lt;&gt;"",IFERROR(_xlfn.XLOOKUP(D269,HELPER!$B:$B,HELPER!$E:$E,""),"")=""),"Missing price",IFERROR(_xlfn.XLOOKUP(D269,HELPER!$B:$B,HELPER!$E:$E,"")," "))</f>
        <v/>
      </c>
      <c r="J269" s="47" t="str">
        <f>IFERROR(H269*(IF(G269=8,I269*HELPER!$G$2,BOM!I269*HELPER!$G$3))," ")</f>
        <v xml:space="preserve"> </v>
      </c>
      <c r="K269" s="6"/>
      <c r="L269" s="14" t="str" cm="1">
        <f t="array" ref="L269">IFERROR(_xlfn.LET(_xlpm.films,Table4[Film],_xlpm.grades,Table4[Grade],_xlpm.pairs,_xlfn._xlws.FILTER(_xlfn.HSTACK(_xlpm.films,_xlpm.grades),(_xlpm.films&lt;&gt;"")*(TRIM(_xlpm.grades)&lt;&gt;"")),_xlpm.uniquePairs,_xlfn.UNIQUE(_xlpm.pairs),_xlpm.sortedPairs,_xlfn._xlws.SORT(_xlpm.uniquePairs,1,1),INDEX(_xlpm.sortedPairs,ROWS($L$2:L269),1)),"")</f>
        <v/>
      </c>
      <c r="M269" s="15" t="str" cm="1">
        <f t="array" ref="M269">IFERROR(_xlfn.LET(_xlpm.films,Table4[Film],_xlpm.grades,Table4[Grade],_xlpm.pairs,_xlfn._xlws.FILTER(_xlfn.HSTACK(_xlpm.films,_xlpm.grades),(_xlpm.films&lt;&gt;"")*(TRIM(_xlpm.grades)&lt;&gt;"")),_xlpm.uniquePairs,_xlfn.UNIQUE(_xlpm.pairs),_xlpm.sortedPairs,_xlfn._xlws.SORT(_xlpm.uniquePairs,1,1),INDEX(_xlpm.sortedPairs,ROWS($M$2:M269),2)),"")</f>
        <v/>
      </c>
      <c r="N269" s="15" t="str" cm="1">
        <f t="array" ref="N269">IF(OR(Table2[[#This Row],[Film]]="",Table2[[#This Row],[Grade]]=""),"",IFERROR(INDEX(Table4[Serial Number],MATCH(1,(Table4[Film]=Table2[[#This Row],[Film]])*(Table4[Grade]=Table2[[#This Row],[Grade]]),0)),""))</f>
        <v/>
      </c>
      <c r="O269" s="51" t="str">
        <f>IF(OR(Table2[[#This Row],[Film]]="",Table2[[#This Row],[Grade]]=""),"",SUMIFS(Table4[Price Calculated(€) Thickness &amp; QTY related],Table4[Film],Table2[[#This Row],[Film]],Table4[Grade],Table2[[#This Row],[Grade]]))</f>
        <v/>
      </c>
      <c r="P269" s="6"/>
      <c r="T269" s="6"/>
    </row>
    <row r="270" spans="1:20" hidden="1">
      <c r="A270" s="29" t="s">
        <v>48</v>
      </c>
      <c r="B270" s="29" t="s">
        <v>7</v>
      </c>
      <c r="C270" s="28"/>
      <c r="D270" s="28" t="str">
        <f>IF(C270="","",IFERROR(_xlfn.XLOOKUP(C270,HELPER!$A$2:$A$81,HELPER!$B$2:$B$81,""),D270))</f>
        <v/>
      </c>
      <c r="E270" s="28" t="str">
        <f>IFERROR(_xlfn.XLOOKUP(D270,HELPER!$B:$B,HELPER!$C:$C,""),"")</f>
        <v/>
      </c>
      <c r="F270" s="27" t="str">
        <f>IFERROR(_xlfn.XLOOKUP(D270,HELPER!$B:$B,HELPER!$D:$D,""),"")</f>
        <v/>
      </c>
      <c r="G270" s="27">
        <v>8</v>
      </c>
      <c r="H270" s="46"/>
      <c r="I270" s="47" t="str">
        <f>IF(AND(H270&lt;&gt;"",IFERROR(_xlfn.XLOOKUP(D270,HELPER!$B:$B,HELPER!$E:$E,""),"")=""),"Missing price",IFERROR(_xlfn.XLOOKUP(D270,HELPER!$B:$B,HELPER!$E:$E,"")," "))</f>
        <v/>
      </c>
      <c r="J270" s="47" t="str">
        <f>IFERROR(H270*(IF(G270=8,I270*HELPER!$G$2,BOM!I270*HELPER!$G$3))," ")</f>
        <v xml:space="preserve"> </v>
      </c>
      <c r="K270" s="6"/>
      <c r="L270" s="14" t="str" cm="1">
        <f t="array" ref="L270">IFERROR(_xlfn.LET(_xlpm.films,Table4[Film],_xlpm.grades,Table4[Grade],_xlpm.pairs,_xlfn._xlws.FILTER(_xlfn.HSTACK(_xlpm.films,_xlpm.grades),(_xlpm.films&lt;&gt;"")*(TRIM(_xlpm.grades)&lt;&gt;"")),_xlpm.uniquePairs,_xlfn.UNIQUE(_xlpm.pairs),_xlpm.sortedPairs,_xlfn._xlws.SORT(_xlpm.uniquePairs,1,1),INDEX(_xlpm.sortedPairs,ROWS($L$2:L270),1)),"")</f>
        <v/>
      </c>
      <c r="M270" s="15" t="str" cm="1">
        <f t="array" ref="M270">IFERROR(_xlfn.LET(_xlpm.films,Table4[Film],_xlpm.grades,Table4[Grade],_xlpm.pairs,_xlfn._xlws.FILTER(_xlfn.HSTACK(_xlpm.films,_xlpm.grades),(_xlpm.films&lt;&gt;"")*(TRIM(_xlpm.grades)&lt;&gt;"")),_xlpm.uniquePairs,_xlfn.UNIQUE(_xlpm.pairs),_xlpm.sortedPairs,_xlfn._xlws.SORT(_xlpm.uniquePairs,1,1),INDEX(_xlpm.sortedPairs,ROWS($M$2:M270),2)),"")</f>
        <v/>
      </c>
      <c r="N270" s="15" t="str" cm="1">
        <f t="array" ref="N270">IF(OR(Table2[[#This Row],[Film]]="",Table2[[#This Row],[Grade]]=""),"",IFERROR(INDEX(Table4[Serial Number],MATCH(1,(Table4[Film]=Table2[[#This Row],[Film]])*(Table4[Grade]=Table2[[#This Row],[Grade]]),0)),""))</f>
        <v/>
      </c>
      <c r="O270" s="51" t="str">
        <f>IF(OR(Table2[[#This Row],[Film]]="",Table2[[#This Row],[Grade]]=""),"",SUMIFS(Table4[Price Calculated(€) Thickness &amp; QTY related],Table4[Film],Table2[[#This Row],[Film]],Table4[Grade],Table2[[#This Row],[Grade]]))</f>
        <v/>
      </c>
      <c r="P270" s="6"/>
      <c r="T270" s="6"/>
    </row>
    <row r="271" spans="1:20" hidden="1">
      <c r="A271" s="29" t="s">
        <v>48</v>
      </c>
      <c r="B271" s="29" t="s">
        <v>7</v>
      </c>
      <c r="C271" s="28"/>
      <c r="D271" s="28" t="str">
        <f>IF(C271="","",IFERROR(_xlfn.XLOOKUP(C271,HELPER!$A$2:$A$81,HELPER!$B$2:$B$81,""),D271))</f>
        <v/>
      </c>
      <c r="E271" s="28" t="str">
        <f>IFERROR(_xlfn.XLOOKUP(D271,HELPER!$B:$B,HELPER!$C:$C,""),"")</f>
        <v/>
      </c>
      <c r="F271" s="27" t="str">
        <f>IFERROR(_xlfn.XLOOKUP(D271,HELPER!$B:$B,HELPER!$D:$D,""),"")</f>
        <v/>
      </c>
      <c r="G271" s="27">
        <v>8</v>
      </c>
      <c r="H271" s="46"/>
      <c r="I271" s="47" t="str">
        <f>IF(AND(H271&lt;&gt;"",IFERROR(_xlfn.XLOOKUP(D271,HELPER!$B:$B,HELPER!$E:$E,""),"")=""),"Missing price",IFERROR(_xlfn.XLOOKUP(D271,HELPER!$B:$B,HELPER!$E:$E,"")," "))</f>
        <v/>
      </c>
      <c r="J271" s="47" t="str">
        <f>IFERROR(H271*(IF(G271=8,I271*HELPER!$G$2,BOM!I271*HELPER!$G$3))," ")</f>
        <v xml:space="preserve"> </v>
      </c>
      <c r="K271" s="6"/>
      <c r="L271" s="14" t="str" cm="1">
        <f t="array" ref="L271">IFERROR(_xlfn.LET(_xlpm.films,Table4[Film],_xlpm.grades,Table4[Grade],_xlpm.pairs,_xlfn._xlws.FILTER(_xlfn.HSTACK(_xlpm.films,_xlpm.grades),(_xlpm.films&lt;&gt;"")*(TRIM(_xlpm.grades)&lt;&gt;"")),_xlpm.uniquePairs,_xlfn.UNIQUE(_xlpm.pairs),_xlpm.sortedPairs,_xlfn._xlws.SORT(_xlpm.uniquePairs,1,1),INDEX(_xlpm.sortedPairs,ROWS($L$2:L271),1)),"")</f>
        <v/>
      </c>
      <c r="M271" s="15" t="str" cm="1">
        <f t="array" ref="M271">IFERROR(_xlfn.LET(_xlpm.films,Table4[Film],_xlpm.grades,Table4[Grade],_xlpm.pairs,_xlfn._xlws.FILTER(_xlfn.HSTACK(_xlpm.films,_xlpm.grades),(_xlpm.films&lt;&gt;"")*(TRIM(_xlpm.grades)&lt;&gt;"")),_xlpm.uniquePairs,_xlfn.UNIQUE(_xlpm.pairs),_xlpm.sortedPairs,_xlfn._xlws.SORT(_xlpm.uniquePairs,1,1),INDEX(_xlpm.sortedPairs,ROWS($M$2:M271),2)),"")</f>
        <v/>
      </c>
      <c r="N271" s="15" t="str" cm="1">
        <f t="array" ref="N271">IF(OR(Table2[[#This Row],[Film]]="",Table2[[#This Row],[Grade]]=""),"",IFERROR(INDEX(Table4[Serial Number],MATCH(1,(Table4[Film]=Table2[[#This Row],[Film]])*(Table4[Grade]=Table2[[#This Row],[Grade]]),0)),""))</f>
        <v/>
      </c>
      <c r="O271" s="51" t="str">
        <f>IF(OR(Table2[[#This Row],[Film]]="",Table2[[#This Row],[Grade]]=""),"",SUMIFS(Table4[Price Calculated(€) Thickness &amp; QTY related],Table4[Film],Table2[[#This Row],[Film]],Table4[Grade],Table2[[#This Row],[Grade]]))</f>
        <v/>
      </c>
      <c r="P271" s="6"/>
      <c r="T271" s="6"/>
    </row>
    <row r="272" spans="1:20" hidden="1">
      <c r="A272" s="55" t="s">
        <v>2337</v>
      </c>
      <c r="B272" s="29" t="s">
        <v>5</v>
      </c>
      <c r="C272" s="28" t="s">
        <v>12</v>
      </c>
      <c r="D272" s="28" t="str">
        <f>IF(C272="","",IFERROR(_xlfn.XLOOKUP(C272,HELPER!$A$2:$A$81,HELPER!$B$2:$B$81,""),D272))</f>
        <v>FD92PM</v>
      </c>
      <c r="E272" s="28" t="str">
        <f>IFERROR(_xlfn.XLOOKUP(D272,HELPER!$B:$B,HELPER!$C:$C,""),"")</f>
        <v>RMPM2</v>
      </c>
      <c r="F272" s="27" t="str">
        <f>IFERROR(_xlfn.XLOOKUP(D272,HELPER!$B:$B,HELPER!$D:$D,""),"")</f>
        <v>Resin 9C</v>
      </c>
      <c r="G272" s="27">
        <v>2</v>
      </c>
      <c r="H272" s="46">
        <v>0.78400000000000003</v>
      </c>
      <c r="I272" s="47">
        <f>IF(AND(H272&lt;&gt;"",IFERROR(_xlfn.XLOOKUP(D272,HELPER!$B:$B,HELPER!$E:$E,""),"")=""),"Missing price",IFERROR(_xlfn.XLOOKUP(D272,HELPER!$B:$B,HELPER!$E:$E,"")," "))</f>
        <v>6.75</v>
      </c>
      <c r="J272" s="47">
        <f>IFERROR(H272*(IF(G272=8,I272*HELPER!$G$2,BOM!I272*HELPER!$G$3))," ")</f>
        <v>3.1751999999999998</v>
      </c>
      <c r="K272" s="6"/>
      <c r="L272" s="14" t="str" cm="1">
        <f t="array" ref="L272">IFERROR(_xlfn.LET(_xlpm.films,Table4[Film],_xlpm.grades,Table4[Grade],_xlpm.pairs,_xlfn._xlws.FILTER(_xlfn.HSTACK(_xlpm.films,_xlpm.grades),(_xlpm.films&lt;&gt;"")*(TRIM(_xlpm.grades)&lt;&gt;"")),_xlpm.uniquePairs,_xlfn.UNIQUE(_xlpm.pairs),_xlpm.sortedPairs,_xlfn._xlws.SORT(_xlpm.uniquePairs,1,1),INDEX(_xlpm.sortedPairs,ROWS($L$2:L272),1)),"")</f>
        <v/>
      </c>
      <c r="M272" s="15" t="str" cm="1">
        <f t="array" ref="M272">IFERROR(_xlfn.LET(_xlpm.films,Table4[Film],_xlpm.grades,Table4[Grade],_xlpm.pairs,_xlfn._xlws.FILTER(_xlfn.HSTACK(_xlpm.films,_xlpm.grades),(_xlpm.films&lt;&gt;"")*(TRIM(_xlpm.grades)&lt;&gt;"")),_xlpm.uniquePairs,_xlfn.UNIQUE(_xlpm.pairs),_xlpm.sortedPairs,_xlfn._xlws.SORT(_xlpm.uniquePairs,1,1),INDEX(_xlpm.sortedPairs,ROWS($M$2:M272),2)),"")</f>
        <v/>
      </c>
      <c r="N272" s="15" t="str" cm="1">
        <f t="array" ref="N272">IF(OR(Table2[[#This Row],[Film]]="",Table2[[#This Row],[Grade]]=""),"",IFERROR(INDEX(Table4[Serial Number],MATCH(1,(Table4[Film]=Table2[[#This Row],[Film]])*(Table4[Grade]=Table2[[#This Row],[Grade]]),0)),""))</f>
        <v/>
      </c>
      <c r="O272" s="51" t="str">
        <f>IF(OR(Table2[[#This Row],[Film]]="",Table2[[#This Row],[Grade]]=""),"",SUMIFS(Table4[Price Calculated(€) Thickness &amp; QTY related],Table4[Film],Table2[[#This Row],[Film]],Table4[Grade],Table2[[#This Row],[Grade]]))</f>
        <v/>
      </c>
      <c r="P272" s="6"/>
      <c r="T272" s="6"/>
    </row>
    <row r="273" spans="1:20" hidden="1">
      <c r="A273" s="55" t="s">
        <v>2337</v>
      </c>
      <c r="B273" s="29" t="s">
        <v>5</v>
      </c>
      <c r="C273" s="28" t="s">
        <v>13</v>
      </c>
      <c r="D273" s="28" t="str">
        <f>IF(C273="","",IFERROR(_xlfn.XLOOKUP(C273,HELPER!$A$2:$A$81,HELPER!$B$2:$B$81,""),D273))</f>
        <v>LX175</v>
      </c>
      <c r="E273" s="28" t="str">
        <f>IFERROR(_xlfn.XLOOKUP(D273,HELPER!$B:$B,HELPER!$C:$C,""),"")</f>
        <v>RMLX175</v>
      </c>
      <c r="F273" s="27" t="str">
        <f>IFERROR(_xlfn.XLOOKUP(D273,HELPER!$B:$B,HELPER!$D:$D,""),"")</f>
        <v>Resin 1A</v>
      </c>
      <c r="G273" s="27">
        <v>2</v>
      </c>
      <c r="H273" s="46">
        <v>0.13800000000000001</v>
      </c>
      <c r="I273" s="47">
        <f>IF(AND(H273&lt;&gt;"",IFERROR(_xlfn.XLOOKUP(D273,HELPER!$B:$B,HELPER!$E:$E,""),"")=""),"Missing price",IFERROR(_xlfn.XLOOKUP(D273,HELPER!$B:$B,HELPER!$E:$E,"")," "))</f>
        <v>3.17</v>
      </c>
      <c r="J273" s="47">
        <f>IFERROR(H273*(IF(G273=8,I273*HELPER!$G$2,BOM!I273*HELPER!$G$3))," ")</f>
        <v>0.26247599999999999</v>
      </c>
      <c r="K273" s="6"/>
      <c r="L273" s="14" t="str" cm="1">
        <f t="array" ref="L273">IFERROR(_xlfn.LET(_xlpm.films,Table4[Film],_xlpm.grades,Table4[Grade],_xlpm.pairs,_xlfn._xlws.FILTER(_xlfn.HSTACK(_xlpm.films,_xlpm.grades),(_xlpm.films&lt;&gt;"")*(TRIM(_xlpm.grades)&lt;&gt;"")),_xlpm.uniquePairs,_xlfn.UNIQUE(_xlpm.pairs),_xlpm.sortedPairs,_xlfn._xlws.SORT(_xlpm.uniquePairs,1,1),INDEX(_xlpm.sortedPairs,ROWS($L$2:L273),1)),"")</f>
        <v/>
      </c>
      <c r="M273" s="15" t="str" cm="1">
        <f t="array" ref="M273">IFERROR(_xlfn.LET(_xlpm.films,Table4[Film],_xlpm.grades,Table4[Grade],_xlpm.pairs,_xlfn._xlws.FILTER(_xlfn.HSTACK(_xlpm.films,_xlpm.grades),(_xlpm.films&lt;&gt;"")*(TRIM(_xlpm.grades)&lt;&gt;"")),_xlpm.uniquePairs,_xlfn.UNIQUE(_xlpm.pairs),_xlpm.sortedPairs,_xlfn._xlws.SORT(_xlpm.uniquePairs,1,1),INDEX(_xlpm.sortedPairs,ROWS($M$2:M273),2)),"")</f>
        <v/>
      </c>
      <c r="N273" s="15" t="str" cm="1">
        <f t="array" ref="N273">IF(OR(Table2[[#This Row],[Film]]="",Table2[[#This Row],[Grade]]=""),"",IFERROR(INDEX(Table4[Serial Number],MATCH(1,(Table4[Film]=Table2[[#This Row],[Film]])*(Table4[Grade]=Table2[[#This Row],[Grade]]),0)),""))</f>
        <v/>
      </c>
      <c r="O273" s="51" t="str">
        <f>IF(OR(Table2[[#This Row],[Film]]="",Table2[[#This Row],[Grade]]=""),"",SUMIFS(Table4[Price Calculated(€) Thickness &amp; QTY related],Table4[Film],Table2[[#This Row],[Film]],Table4[Grade],Table2[[#This Row],[Grade]]))</f>
        <v/>
      </c>
      <c r="P273" s="6"/>
      <c r="T273" s="6"/>
    </row>
    <row r="274" spans="1:20" hidden="1">
      <c r="A274" s="55" t="s">
        <v>2337</v>
      </c>
      <c r="B274" s="29" t="s">
        <v>5</v>
      </c>
      <c r="C274" s="28" t="s">
        <v>18</v>
      </c>
      <c r="D274" s="28" t="str">
        <f>IF(C274="","",IFERROR(_xlfn.XLOOKUP(C274,HELPER!$A$2:$A$81,HELPER!$B$2:$B$81,""),D274))</f>
        <v>KAB59A</v>
      </c>
      <c r="E274" s="28" t="str">
        <f>IFERROR(_xlfn.XLOOKUP(D274,HELPER!$B:$B,HELPER!$C:$C,""),"")</f>
        <v>RM A KAB59A</v>
      </c>
      <c r="F274" s="27" t="str">
        <f>IFERROR(_xlfn.XLOOKUP(D274,HELPER!$B:$B,HELPER!$D:$D,""),"")</f>
        <v>Resin 8</v>
      </c>
      <c r="G274" s="27">
        <v>2</v>
      </c>
      <c r="H274" s="46">
        <v>0.02</v>
      </c>
      <c r="I274" s="47">
        <f>IF(AND(H274&lt;&gt;"",IFERROR(_xlfn.XLOOKUP(D274,HELPER!$B:$B,HELPER!$E:$E,""),"")=""),"Missing price",IFERROR(_xlfn.XLOOKUP(D274,HELPER!$B:$B,HELPER!$E:$E,"")," "))</f>
        <v>7.55</v>
      </c>
      <c r="J274" s="47">
        <f>IFERROR(H274*(IF(G274=8,I274*HELPER!$G$2,BOM!I274*HELPER!$G$3))," ")</f>
        <v>9.0599999999999986E-2</v>
      </c>
      <c r="K274" s="6"/>
      <c r="L274" s="14" t="str" cm="1">
        <f t="array" ref="L274">IFERROR(_xlfn.LET(_xlpm.films,Table4[Film],_xlpm.grades,Table4[Grade],_xlpm.pairs,_xlfn._xlws.FILTER(_xlfn.HSTACK(_xlpm.films,_xlpm.grades),(_xlpm.films&lt;&gt;"")*(TRIM(_xlpm.grades)&lt;&gt;"")),_xlpm.uniquePairs,_xlfn.UNIQUE(_xlpm.pairs),_xlpm.sortedPairs,_xlfn._xlws.SORT(_xlpm.uniquePairs,1,1),INDEX(_xlpm.sortedPairs,ROWS($L$2:L274),1)),"")</f>
        <v/>
      </c>
      <c r="M274" s="15" t="str" cm="1">
        <f t="array" ref="M274">IFERROR(_xlfn.LET(_xlpm.films,Table4[Film],_xlpm.grades,Table4[Grade],_xlpm.pairs,_xlfn._xlws.FILTER(_xlfn.HSTACK(_xlpm.films,_xlpm.grades),(_xlpm.films&lt;&gt;"")*(TRIM(_xlpm.grades)&lt;&gt;"")),_xlpm.uniquePairs,_xlfn.UNIQUE(_xlpm.pairs),_xlpm.sortedPairs,_xlfn._xlws.SORT(_xlpm.uniquePairs,1,1),INDEX(_xlpm.sortedPairs,ROWS($M$2:M274),2)),"")</f>
        <v/>
      </c>
      <c r="N274" s="15" t="str" cm="1">
        <f t="array" ref="N274">IF(OR(Table2[[#This Row],[Film]]="",Table2[[#This Row],[Grade]]=""),"",IFERROR(INDEX(Table4[Serial Number],MATCH(1,(Table4[Film]=Table2[[#This Row],[Film]])*(Table4[Grade]=Table2[[#This Row],[Grade]]),0)),""))</f>
        <v/>
      </c>
      <c r="O274" s="51" t="str">
        <f>IF(OR(Table2[[#This Row],[Film]]="",Table2[[#This Row],[Grade]]=""),"",SUMIFS(Table4[Price Calculated(€) Thickness &amp; QTY related],Table4[Film],Table2[[#This Row],[Film]],Table4[Grade],Table2[[#This Row],[Grade]]))</f>
        <v/>
      </c>
      <c r="P274" s="6"/>
      <c r="T274" s="6"/>
    </row>
    <row r="275" spans="1:20" hidden="1">
      <c r="A275" s="55" t="s">
        <v>2337</v>
      </c>
      <c r="B275" s="29" t="s">
        <v>5</v>
      </c>
      <c r="C275" s="28" t="s">
        <v>16</v>
      </c>
      <c r="D275" s="28" t="str">
        <f>IF(C275="","",IFERROR(_xlfn.XLOOKUP(C275,HELPER!$A$2:$A$81,HELPER!$B$2:$B$81,""),D275))</f>
        <v>S723</v>
      </c>
      <c r="E275" s="28" t="str">
        <f>IFERROR(_xlfn.XLOOKUP(D275,HELPER!$B:$B,HELPER!$C:$C,""),"")</f>
        <v>RM TA45-08 S723</v>
      </c>
      <c r="F275" s="27" t="str">
        <f>IFERROR(_xlfn.XLOOKUP(D275,HELPER!$B:$B,HELPER!$D:$D,""),"")</f>
        <v>Resin 6</v>
      </c>
      <c r="G275" s="27">
        <v>2</v>
      </c>
      <c r="H275" s="46">
        <v>1.4999999999999999E-2</v>
      </c>
      <c r="I275" s="47">
        <f>IF(AND(H275&lt;&gt;"",IFERROR(_xlfn.XLOOKUP(D275,HELPER!$B:$B,HELPER!$E:$E,""),"")=""),"Missing price",IFERROR(_xlfn.XLOOKUP(D275,HELPER!$B:$B,HELPER!$E:$E,"")," "))</f>
        <v>16.16</v>
      </c>
      <c r="J275" s="47">
        <f>IFERROR(H275*(IF(G275=8,I275*HELPER!$G$2,BOM!I275*HELPER!$G$3))," ")</f>
        <v>0.14543999999999999</v>
      </c>
      <c r="K275" s="6"/>
      <c r="L275" s="14" t="str" cm="1">
        <f t="array" ref="L275">IFERROR(_xlfn.LET(_xlpm.films,Table4[Film],_xlpm.grades,Table4[Grade],_xlpm.pairs,_xlfn._xlws.FILTER(_xlfn.HSTACK(_xlpm.films,_xlpm.grades),(_xlpm.films&lt;&gt;"")*(TRIM(_xlpm.grades)&lt;&gt;"")),_xlpm.uniquePairs,_xlfn.UNIQUE(_xlpm.pairs),_xlpm.sortedPairs,_xlfn._xlws.SORT(_xlpm.uniquePairs,1,1),INDEX(_xlpm.sortedPairs,ROWS($L$2:L275),1)),"")</f>
        <v/>
      </c>
      <c r="M275" s="15" t="str" cm="1">
        <f t="array" ref="M275">IFERROR(_xlfn.LET(_xlpm.films,Table4[Film],_xlpm.grades,Table4[Grade],_xlpm.pairs,_xlfn._xlws.FILTER(_xlfn.HSTACK(_xlpm.films,_xlpm.grades),(_xlpm.films&lt;&gt;"")*(TRIM(_xlpm.grades)&lt;&gt;"")),_xlpm.uniquePairs,_xlfn.UNIQUE(_xlpm.pairs),_xlpm.sortedPairs,_xlfn._xlws.SORT(_xlpm.uniquePairs,1,1),INDEX(_xlpm.sortedPairs,ROWS($M$2:M275),2)),"")</f>
        <v/>
      </c>
      <c r="N275" s="15" t="str" cm="1">
        <f t="array" ref="N275">IF(OR(Table2[[#This Row],[Film]]="",Table2[[#This Row],[Grade]]=""),"",IFERROR(INDEX(Table4[Serial Number],MATCH(1,(Table4[Film]=Table2[[#This Row],[Film]])*(Table4[Grade]=Table2[[#This Row],[Grade]]),0)),""))</f>
        <v/>
      </c>
      <c r="O275" s="51" t="str">
        <f>IF(OR(Table2[[#This Row],[Film]]="",Table2[[#This Row],[Grade]]=""),"",SUMIFS(Table4[Price Calculated(€) Thickness &amp; QTY related],Table4[Film],Table2[[#This Row],[Film]],Table4[Grade],Table2[[#This Row],[Grade]]))</f>
        <v/>
      </c>
      <c r="P275" s="6"/>
      <c r="T275" s="6"/>
    </row>
    <row r="276" spans="1:20" hidden="1">
      <c r="A276" s="55" t="s">
        <v>2337</v>
      </c>
      <c r="B276" s="29" t="s">
        <v>5</v>
      </c>
      <c r="C276" s="28" t="s">
        <v>17</v>
      </c>
      <c r="D276" s="28" t="str">
        <f>IF(C276="","",IFERROR(_xlfn.XLOOKUP(C276,HELPER!$A$2:$A$81,HELPER!$B$2:$B$81,""),D276))</f>
        <v>S724</v>
      </c>
      <c r="E276" s="28" t="str">
        <f>IFERROR(_xlfn.XLOOKUP(D276,HELPER!$B:$B,HELPER!$C:$C,""),"")</f>
        <v>RM TA45-08 S724</v>
      </c>
      <c r="F276" s="27" t="str">
        <f>IFERROR(_xlfn.XLOOKUP(D276,HELPER!$B:$B,HELPER!$D:$D,""),"")</f>
        <v>Resin 7</v>
      </c>
      <c r="G276" s="27">
        <v>2</v>
      </c>
      <c r="H276" s="46">
        <v>4.2999999999999997E-2</v>
      </c>
      <c r="I276" s="47">
        <f>IF(AND(H276&lt;&gt;"",IFERROR(_xlfn.XLOOKUP(D276,HELPER!$B:$B,HELPER!$E:$E,""),"")=""),"Missing price",IFERROR(_xlfn.XLOOKUP(D276,HELPER!$B:$B,HELPER!$E:$E,"")," "))</f>
        <v>14.7</v>
      </c>
      <c r="J276" s="47">
        <f>IFERROR(H276*(IF(G276=8,I276*HELPER!$G$2,BOM!I276*HELPER!$G$3))," ")</f>
        <v>0.37925999999999993</v>
      </c>
      <c r="K276" s="6"/>
      <c r="L276" s="14" t="str" cm="1">
        <f t="array" ref="L276">IFERROR(_xlfn.LET(_xlpm.films,Table4[Film],_xlpm.grades,Table4[Grade],_xlpm.pairs,_xlfn._xlws.FILTER(_xlfn.HSTACK(_xlpm.films,_xlpm.grades),(_xlpm.films&lt;&gt;"")*(TRIM(_xlpm.grades)&lt;&gt;"")),_xlpm.uniquePairs,_xlfn.UNIQUE(_xlpm.pairs),_xlpm.sortedPairs,_xlfn._xlws.SORT(_xlpm.uniquePairs,1,1),INDEX(_xlpm.sortedPairs,ROWS($L$2:L276),1)),"")</f>
        <v/>
      </c>
      <c r="M276" s="15" t="str" cm="1">
        <f t="array" ref="M276">IFERROR(_xlfn.LET(_xlpm.films,Table4[Film],_xlpm.grades,Table4[Grade],_xlpm.pairs,_xlfn._xlws.FILTER(_xlfn.HSTACK(_xlpm.films,_xlpm.grades),(_xlpm.films&lt;&gt;"")*(TRIM(_xlpm.grades)&lt;&gt;"")),_xlpm.uniquePairs,_xlfn.UNIQUE(_xlpm.pairs),_xlpm.sortedPairs,_xlfn._xlws.SORT(_xlpm.uniquePairs,1,1),INDEX(_xlpm.sortedPairs,ROWS($M$2:M276),2)),"")</f>
        <v/>
      </c>
      <c r="N276" s="15" t="str" cm="1">
        <f t="array" ref="N276">IF(OR(Table2[[#This Row],[Film]]="",Table2[[#This Row],[Grade]]=""),"",IFERROR(INDEX(Table4[Serial Number],MATCH(1,(Table4[Film]=Table2[[#This Row],[Film]])*(Table4[Grade]=Table2[[#This Row],[Grade]]),0)),""))</f>
        <v/>
      </c>
      <c r="O276" s="51" t="str">
        <f>IF(OR(Table2[[#This Row],[Film]]="",Table2[[#This Row],[Grade]]=""),"",SUMIFS(Table4[Price Calculated(€) Thickness &amp; QTY related],Table4[Film],Table2[[#This Row],[Film]],Table4[Grade],Table2[[#This Row],[Grade]]))</f>
        <v/>
      </c>
      <c r="P276" s="6"/>
      <c r="T276" s="6"/>
    </row>
    <row r="277" spans="1:20" hidden="1">
      <c r="A277" s="55" t="s">
        <v>2337</v>
      </c>
      <c r="B277" s="29" t="s">
        <v>5</v>
      </c>
      <c r="C277" s="28"/>
      <c r="D277" s="28" t="str">
        <f>IF(C277="","",IFERROR(_xlfn.XLOOKUP(C277,HELPER!$A$2:$A$81,HELPER!$B$2:$B$81,""),D277))</f>
        <v/>
      </c>
      <c r="E277" s="28" t="str">
        <f>IFERROR(_xlfn.XLOOKUP(D277,HELPER!$B:$B,HELPER!$C:$C,""),"")</f>
        <v/>
      </c>
      <c r="F277" s="27" t="str">
        <f>IFERROR(_xlfn.XLOOKUP(D277,HELPER!$B:$B,HELPER!$D:$D,""),"")</f>
        <v/>
      </c>
      <c r="G277" s="27">
        <v>2</v>
      </c>
      <c r="H277" s="46"/>
      <c r="I277" s="47" t="str">
        <f>IF(AND(H277&lt;&gt;"",IFERROR(_xlfn.XLOOKUP(D277,HELPER!$B:$B,HELPER!$E:$E,""),"")=""),"Missing price",IFERROR(_xlfn.XLOOKUP(D277,HELPER!$B:$B,HELPER!$E:$E,"")," "))</f>
        <v/>
      </c>
      <c r="J277" s="47" t="str">
        <f>IFERROR(H277*(IF(G277=8,I277*HELPER!$G$2,BOM!I277*HELPER!$G$3))," ")</f>
        <v xml:space="preserve"> </v>
      </c>
      <c r="K277" s="6"/>
      <c r="L277" s="14" t="str" cm="1">
        <f t="array" ref="L277">IFERROR(_xlfn.LET(_xlpm.films,Table4[Film],_xlpm.grades,Table4[Grade],_xlpm.pairs,_xlfn._xlws.FILTER(_xlfn.HSTACK(_xlpm.films,_xlpm.grades),(_xlpm.films&lt;&gt;"")*(TRIM(_xlpm.grades)&lt;&gt;"")),_xlpm.uniquePairs,_xlfn.UNIQUE(_xlpm.pairs),_xlpm.sortedPairs,_xlfn._xlws.SORT(_xlpm.uniquePairs,1,1),INDEX(_xlpm.sortedPairs,ROWS($L$2:L277),1)),"")</f>
        <v/>
      </c>
      <c r="M277" s="15" t="str" cm="1">
        <f t="array" ref="M277">IFERROR(_xlfn.LET(_xlpm.films,Table4[Film],_xlpm.grades,Table4[Grade],_xlpm.pairs,_xlfn._xlws.FILTER(_xlfn.HSTACK(_xlpm.films,_xlpm.grades),(_xlpm.films&lt;&gt;"")*(TRIM(_xlpm.grades)&lt;&gt;"")),_xlpm.uniquePairs,_xlfn.UNIQUE(_xlpm.pairs),_xlpm.sortedPairs,_xlfn._xlws.SORT(_xlpm.uniquePairs,1,1),INDEX(_xlpm.sortedPairs,ROWS($M$2:M277),2)),"")</f>
        <v/>
      </c>
      <c r="N277" s="15" t="str" cm="1">
        <f t="array" ref="N277">IF(OR(Table2[[#This Row],[Film]]="",Table2[[#This Row],[Grade]]=""),"",IFERROR(INDEX(Table4[Serial Number],MATCH(1,(Table4[Film]=Table2[[#This Row],[Film]])*(Table4[Grade]=Table2[[#This Row],[Grade]]),0)),""))</f>
        <v/>
      </c>
      <c r="O277" s="51" t="str">
        <f>IF(OR(Table2[[#This Row],[Film]]="",Table2[[#This Row],[Grade]]=""),"",SUMIFS(Table4[Price Calculated(€) Thickness &amp; QTY related],Table4[Film],Table2[[#This Row],[Film]],Table4[Grade],Table2[[#This Row],[Grade]]))</f>
        <v/>
      </c>
      <c r="P277" s="6"/>
      <c r="T277" s="6"/>
    </row>
    <row r="278" spans="1:20" hidden="1">
      <c r="A278" s="55" t="s">
        <v>2337</v>
      </c>
      <c r="B278" s="29" t="s">
        <v>5</v>
      </c>
      <c r="C278" s="28"/>
      <c r="D278" s="28" t="str">
        <f>IF(C278="","",IFERROR(_xlfn.XLOOKUP(C278,HELPER!$A$2:$A$81,HELPER!$B$2:$B$81,""),D278))</f>
        <v/>
      </c>
      <c r="E278" s="28" t="str">
        <f>IFERROR(_xlfn.XLOOKUP(D278,HELPER!$B:$B,HELPER!$C:$C,""),"")</f>
        <v/>
      </c>
      <c r="F278" s="27" t="str">
        <f>IFERROR(_xlfn.XLOOKUP(D278,HELPER!$B:$B,HELPER!$D:$D,""),"")</f>
        <v/>
      </c>
      <c r="G278" s="27">
        <v>2</v>
      </c>
      <c r="H278" s="46"/>
      <c r="I278" s="47" t="str">
        <f>IF(AND(H278&lt;&gt;"",IFERROR(_xlfn.XLOOKUP(D278,HELPER!$B:$B,HELPER!$E:$E,""),"")=""),"Missing price",IFERROR(_xlfn.XLOOKUP(D278,HELPER!$B:$B,HELPER!$E:$E,"")," "))</f>
        <v/>
      </c>
      <c r="J278" s="47" t="str">
        <f>IFERROR(H278*(IF(G278=8,I278*HELPER!$G$2,BOM!I278*HELPER!$G$3))," ")</f>
        <v xml:space="preserve"> </v>
      </c>
      <c r="K278" s="6"/>
      <c r="L278" s="14" t="str" cm="1">
        <f t="array" ref="L278">IFERROR(_xlfn.LET(_xlpm.films,Table4[Film],_xlpm.grades,Table4[Grade],_xlpm.pairs,_xlfn._xlws.FILTER(_xlfn.HSTACK(_xlpm.films,_xlpm.grades),(_xlpm.films&lt;&gt;"")*(TRIM(_xlpm.grades)&lt;&gt;"")),_xlpm.uniquePairs,_xlfn.UNIQUE(_xlpm.pairs),_xlpm.sortedPairs,_xlfn._xlws.SORT(_xlpm.uniquePairs,1,1),INDEX(_xlpm.sortedPairs,ROWS($L$2:L278),1)),"")</f>
        <v/>
      </c>
      <c r="M278" s="15" t="str" cm="1">
        <f t="array" ref="M278">IFERROR(_xlfn.LET(_xlpm.films,Table4[Film],_xlpm.grades,Table4[Grade],_xlpm.pairs,_xlfn._xlws.FILTER(_xlfn.HSTACK(_xlpm.films,_xlpm.grades),(_xlpm.films&lt;&gt;"")*(TRIM(_xlpm.grades)&lt;&gt;"")),_xlpm.uniquePairs,_xlfn.UNIQUE(_xlpm.pairs),_xlpm.sortedPairs,_xlfn._xlws.SORT(_xlpm.uniquePairs,1,1),INDEX(_xlpm.sortedPairs,ROWS($M$2:M278),2)),"")</f>
        <v/>
      </c>
      <c r="N278" s="15" t="str" cm="1">
        <f t="array" ref="N278">IF(OR(Table2[[#This Row],[Film]]="",Table2[[#This Row],[Grade]]=""),"",IFERROR(INDEX(Table4[Serial Number],MATCH(1,(Table4[Film]=Table2[[#This Row],[Film]])*(Table4[Grade]=Table2[[#This Row],[Grade]]),0)),""))</f>
        <v/>
      </c>
      <c r="O278" s="51" t="str">
        <f>IF(OR(Table2[[#This Row],[Film]]="",Table2[[#This Row],[Grade]]=""),"",SUMIFS(Table4[Price Calculated(€) Thickness &amp; QTY related],Table4[Film],Table2[[#This Row],[Film]],Table4[Grade],Table2[[#This Row],[Grade]]))</f>
        <v/>
      </c>
      <c r="P278" s="6"/>
      <c r="T278" s="6"/>
    </row>
    <row r="279" spans="1:20" hidden="1">
      <c r="A279" s="55" t="s">
        <v>2337</v>
      </c>
      <c r="B279" s="29" t="s">
        <v>5</v>
      </c>
      <c r="C279" s="28"/>
      <c r="D279" s="28" t="str">
        <f>IF(C279="","",IFERROR(_xlfn.XLOOKUP(C279,HELPER!$A$2:$A$81,HELPER!$B$2:$B$81,""),D279))</f>
        <v/>
      </c>
      <c r="E279" s="28" t="str">
        <f>IFERROR(_xlfn.XLOOKUP(D279,HELPER!$B:$B,HELPER!$C:$C,""),"")</f>
        <v/>
      </c>
      <c r="F279" s="27" t="str">
        <f>IFERROR(_xlfn.XLOOKUP(D279,HELPER!$B:$B,HELPER!$D:$D,""),"")</f>
        <v/>
      </c>
      <c r="G279" s="27">
        <v>2</v>
      </c>
      <c r="H279" s="46"/>
      <c r="I279" s="47" t="str">
        <f>IF(AND(H279&lt;&gt;"",IFERROR(_xlfn.XLOOKUP(D279,HELPER!$B:$B,HELPER!$E:$E,""),"")=""),"Missing price",IFERROR(_xlfn.XLOOKUP(D279,HELPER!$B:$B,HELPER!$E:$E,"")," "))</f>
        <v/>
      </c>
      <c r="J279" s="47" t="str">
        <f>IFERROR(H279*(IF(G279=8,I279*HELPER!$G$2,BOM!I279*HELPER!$G$3))," ")</f>
        <v xml:space="preserve"> </v>
      </c>
      <c r="K279" s="6"/>
      <c r="L279" s="14" t="str" cm="1">
        <f t="array" ref="L279">IFERROR(_xlfn.LET(_xlpm.films,Table4[Film],_xlpm.grades,Table4[Grade],_xlpm.pairs,_xlfn._xlws.FILTER(_xlfn.HSTACK(_xlpm.films,_xlpm.grades),(_xlpm.films&lt;&gt;"")*(TRIM(_xlpm.grades)&lt;&gt;"")),_xlpm.uniquePairs,_xlfn.UNIQUE(_xlpm.pairs),_xlpm.sortedPairs,_xlfn._xlws.SORT(_xlpm.uniquePairs,1,1),INDEX(_xlpm.sortedPairs,ROWS($L$2:L279),1)),"")</f>
        <v/>
      </c>
      <c r="M279" s="15" t="str" cm="1">
        <f t="array" ref="M279">IFERROR(_xlfn.LET(_xlpm.films,Table4[Film],_xlpm.grades,Table4[Grade],_xlpm.pairs,_xlfn._xlws.FILTER(_xlfn.HSTACK(_xlpm.films,_xlpm.grades),(_xlpm.films&lt;&gt;"")*(TRIM(_xlpm.grades)&lt;&gt;"")),_xlpm.uniquePairs,_xlfn.UNIQUE(_xlpm.pairs),_xlpm.sortedPairs,_xlfn._xlws.SORT(_xlpm.uniquePairs,1,1),INDEX(_xlpm.sortedPairs,ROWS($M$2:M279),2)),"")</f>
        <v/>
      </c>
      <c r="N279" s="15" t="str" cm="1">
        <f t="array" ref="N279">IF(OR(Table2[[#This Row],[Film]]="",Table2[[#This Row],[Grade]]=""),"",IFERROR(INDEX(Table4[Serial Number],MATCH(1,(Table4[Film]=Table2[[#This Row],[Film]])*(Table4[Grade]=Table2[[#This Row],[Grade]]),0)),""))</f>
        <v/>
      </c>
      <c r="O279" s="51" t="str">
        <f>IF(OR(Table2[[#This Row],[Film]]="",Table2[[#This Row],[Grade]]=""),"",SUMIFS(Table4[Price Calculated(€) Thickness &amp; QTY related],Table4[Film],Table2[[#This Row],[Film]],Table4[Grade],Table2[[#This Row],[Grade]]))</f>
        <v/>
      </c>
      <c r="P279" s="6"/>
      <c r="T279" s="6"/>
    </row>
    <row r="280" spans="1:20" hidden="1">
      <c r="A280" s="55" t="s">
        <v>2337</v>
      </c>
      <c r="B280" s="29" t="s">
        <v>5</v>
      </c>
      <c r="C280" s="28"/>
      <c r="D280" s="28" t="str">
        <f>IF(C280="","",IFERROR(_xlfn.XLOOKUP(C280,HELPER!$A$2:$A$81,HELPER!$B$2:$B$81,""),D280))</f>
        <v/>
      </c>
      <c r="E280" s="28" t="str">
        <f>IFERROR(_xlfn.XLOOKUP(D280,HELPER!$B:$B,HELPER!$C:$C,""),"")</f>
        <v/>
      </c>
      <c r="F280" s="27" t="str">
        <f>IFERROR(_xlfn.XLOOKUP(D280,HELPER!$B:$B,HELPER!$D:$D,""),"")</f>
        <v/>
      </c>
      <c r="G280" s="27">
        <v>2</v>
      </c>
      <c r="H280" s="46"/>
      <c r="I280" s="47" t="str">
        <f>IF(AND(H280&lt;&gt;"",IFERROR(_xlfn.XLOOKUP(D280,HELPER!$B:$B,HELPER!$E:$E,""),"")=""),"Missing price",IFERROR(_xlfn.XLOOKUP(D280,HELPER!$B:$B,HELPER!$E:$E,"")," "))</f>
        <v/>
      </c>
      <c r="J280" s="47" t="str">
        <f>IFERROR(H280*(IF(G280=8,I280*HELPER!$G$2,BOM!I280*HELPER!$G$3))," ")</f>
        <v xml:space="preserve"> </v>
      </c>
      <c r="K280" s="6"/>
      <c r="L280" s="14" t="str" cm="1">
        <f t="array" ref="L280">IFERROR(_xlfn.LET(_xlpm.films,Table4[Film],_xlpm.grades,Table4[Grade],_xlpm.pairs,_xlfn._xlws.FILTER(_xlfn.HSTACK(_xlpm.films,_xlpm.grades),(_xlpm.films&lt;&gt;"")*(TRIM(_xlpm.grades)&lt;&gt;"")),_xlpm.uniquePairs,_xlfn.UNIQUE(_xlpm.pairs),_xlpm.sortedPairs,_xlfn._xlws.SORT(_xlpm.uniquePairs,1,1),INDEX(_xlpm.sortedPairs,ROWS($L$2:L280),1)),"")</f>
        <v/>
      </c>
      <c r="M280" s="15" t="str" cm="1">
        <f t="array" ref="M280">IFERROR(_xlfn.LET(_xlpm.films,Table4[Film],_xlpm.grades,Table4[Grade],_xlpm.pairs,_xlfn._xlws.FILTER(_xlfn.HSTACK(_xlpm.films,_xlpm.grades),(_xlpm.films&lt;&gt;"")*(TRIM(_xlpm.grades)&lt;&gt;"")),_xlpm.uniquePairs,_xlfn.UNIQUE(_xlpm.pairs),_xlpm.sortedPairs,_xlfn._xlws.SORT(_xlpm.uniquePairs,1,1),INDEX(_xlpm.sortedPairs,ROWS($M$2:M280),2)),"")</f>
        <v/>
      </c>
      <c r="N280" s="15" t="str" cm="1">
        <f t="array" ref="N280">IF(OR(Table2[[#This Row],[Film]]="",Table2[[#This Row],[Grade]]=""),"",IFERROR(INDEX(Table4[Serial Number],MATCH(1,(Table4[Film]=Table2[[#This Row],[Film]])*(Table4[Grade]=Table2[[#This Row],[Grade]]),0)),""))</f>
        <v/>
      </c>
      <c r="O280" s="51" t="str">
        <f>IF(OR(Table2[[#This Row],[Film]]="",Table2[[#This Row],[Grade]]=""),"",SUMIFS(Table4[Price Calculated(€) Thickness &amp; QTY related],Table4[Film],Table2[[#This Row],[Film]],Table4[Grade],Table2[[#This Row],[Grade]]))</f>
        <v/>
      </c>
      <c r="P280" s="6"/>
      <c r="T280" s="6"/>
    </row>
    <row r="281" spans="1:20" hidden="1">
      <c r="A281" s="55" t="s">
        <v>2337</v>
      </c>
      <c r="B281" s="29" t="s">
        <v>5</v>
      </c>
      <c r="C281" s="28"/>
      <c r="D281" s="28" t="str">
        <f>IF(C281="","",IFERROR(_xlfn.XLOOKUP(C281,HELPER!$A$2:$A$81,HELPER!$B$2:$B$81,""),D281))</f>
        <v/>
      </c>
      <c r="E281" s="28" t="str">
        <f>IFERROR(_xlfn.XLOOKUP(D281,HELPER!$B:$B,HELPER!$C:$C,""),"")</f>
        <v/>
      </c>
      <c r="F281" s="27" t="str">
        <f>IFERROR(_xlfn.XLOOKUP(D281,HELPER!$B:$B,HELPER!$D:$D,""),"")</f>
        <v/>
      </c>
      <c r="G281" s="27">
        <v>2</v>
      </c>
      <c r="H281" s="46"/>
      <c r="I281" s="47" t="str">
        <f>IF(AND(H281&lt;&gt;"",IFERROR(_xlfn.XLOOKUP(D281,HELPER!$B:$B,HELPER!$E:$E,""),"")=""),"Missing price",IFERROR(_xlfn.XLOOKUP(D281,HELPER!$B:$B,HELPER!$E:$E,"")," "))</f>
        <v/>
      </c>
      <c r="J281" s="47" t="str">
        <f>IFERROR(H281*(IF(G281=8,I281*HELPER!$G$2,BOM!I281*HELPER!$G$3))," ")</f>
        <v xml:space="preserve"> </v>
      </c>
      <c r="K281" s="6"/>
      <c r="L281" s="14" t="str" cm="1">
        <f t="array" ref="L281">IFERROR(_xlfn.LET(_xlpm.films,Table4[Film],_xlpm.grades,Table4[Grade],_xlpm.pairs,_xlfn._xlws.FILTER(_xlfn.HSTACK(_xlpm.films,_xlpm.grades),(_xlpm.films&lt;&gt;"")*(TRIM(_xlpm.grades)&lt;&gt;"")),_xlpm.uniquePairs,_xlfn.UNIQUE(_xlpm.pairs),_xlpm.sortedPairs,_xlfn._xlws.SORT(_xlpm.uniquePairs,1,1),INDEX(_xlpm.sortedPairs,ROWS($L$2:L281),1)),"")</f>
        <v/>
      </c>
      <c r="M281" s="15" t="str" cm="1">
        <f t="array" ref="M281">IFERROR(_xlfn.LET(_xlpm.films,Table4[Film],_xlpm.grades,Table4[Grade],_xlpm.pairs,_xlfn._xlws.FILTER(_xlfn.HSTACK(_xlpm.films,_xlpm.grades),(_xlpm.films&lt;&gt;"")*(TRIM(_xlpm.grades)&lt;&gt;"")),_xlpm.uniquePairs,_xlfn.UNIQUE(_xlpm.pairs),_xlpm.sortedPairs,_xlfn._xlws.SORT(_xlpm.uniquePairs,1,1),INDEX(_xlpm.sortedPairs,ROWS($M$2:M281),2)),"")</f>
        <v/>
      </c>
      <c r="N281" s="15" t="str" cm="1">
        <f t="array" ref="N281">IF(OR(Table2[[#This Row],[Film]]="",Table2[[#This Row],[Grade]]=""),"",IFERROR(INDEX(Table4[Serial Number],MATCH(1,(Table4[Film]=Table2[[#This Row],[Film]])*(Table4[Grade]=Table2[[#This Row],[Grade]]),0)),""))</f>
        <v/>
      </c>
      <c r="O281" s="51" t="str">
        <f>IF(OR(Table2[[#This Row],[Film]]="",Table2[[#This Row],[Grade]]=""),"",SUMIFS(Table4[Price Calculated(€) Thickness &amp; QTY related],Table4[Film],Table2[[#This Row],[Film]],Table4[Grade],Table2[[#This Row],[Grade]]))</f>
        <v/>
      </c>
      <c r="P281" s="6"/>
      <c r="T281" s="6"/>
    </row>
    <row r="282" spans="1:20" hidden="1">
      <c r="A282" s="55" t="s">
        <v>2337</v>
      </c>
      <c r="B282" s="29" t="s">
        <v>6</v>
      </c>
      <c r="C282" s="28" t="s">
        <v>14</v>
      </c>
      <c r="D282" s="28" t="str">
        <f>IF(C282="","",IFERROR(_xlfn.XLOOKUP(C282,HELPER!$A$2:$A$81,HELPER!$B$2:$B$81,""),D282))</f>
        <v>B12</v>
      </c>
      <c r="E282" s="28" t="str">
        <f>IFERROR(_xlfn.XLOOKUP(D282,HELPER!$B:$B,HELPER!$C:$C,""),"")</f>
        <v>RMB12</v>
      </c>
      <c r="F282" s="27" t="str">
        <f>IFERROR(_xlfn.XLOOKUP(D282,HELPER!$B:$B,HELPER!$D:$D,""),"")</f>
        <v>Resin 2A</v>
      </c>
      <c r="G282" s="27">
        <v>4</v>
      </c>
      <c r="H282" s="46">
        <v>0.98499999999999999</v>
      </c>
      <c r="I282" s="47">
        <f>IF(AND(H282&lt;&gt;"",IFERROR(_xlfn.XLOOKUP(D282,HELPER!$B:$B,HELPER!$E:$E,""),"")=""),"Missing price",IFERROR(_xlfn.XLOOKUP(D282,HELPER!$B:$B,HELPER!$E:$E,"")," "))</f>
        <v>1.81</v>
      </c>
      <c r="J282" s="47">
        <f>IFERROR(H282*(IF(G282=8,I282*HELPER!$G$2,BOM!I282*HELPER!$G$3))," ")</f>
        <v>1.0697100000000002</v>
      </c>
      <c r="K282" s="6"/>
      <c r="L282" s="14" t="str" cm="1">
        <f t="array" ref="L282">IFERROR(_xlfn.LET(_xlpm.films,Table4[Film],_xlpm.grades,Table4[Grade],_xlpm.pairs,_xlfn._xlws.FILTER(_xlfn.HSTACK(_xlpm.films,_xlpm.grades),(_xlpm.films&lt;&gt;"")*(TRIM(_xlpm.grades)&lt;&gt;"")),_xlpm.uniquePairs,_xlfn.UNIQUE(_xlpm.pairs),_xlpm.sortedPairs,_xlfn._xlws.SORT(_xlpm.uniquePairs,1,1),INDEX(_xlpm.sortedPairs,ROWS($L$2:L282),1)),"")</f>
        <v/>
      </c>
      <c r="M282" s="15" t="str" cm="1">
        <f t="array" ref="M282">IFERROR(_xlfn.LET(_xlpm.films,Table4[Film],_xlpm.grades,Table4[Grade],_xlpm.pairs,_xlfn._xlws.FILTER(_xlfn.HSTACK(_xlpm.films,_xlpm.grades),(_xlpm.films&lt;&gt;"")*(TRIM(_xlpm.grades)&lt;&gt;"")),_xlpm.uniquePairs,_xlfn.UNIQUE(_xlpm.pairs),_xlpm.sortedPairs,_xlfn._xlws.SORT(_xlpm.uniquePairs,1,1),INDEX(_xlpm.sortedPairs,ROWS($M$2:M282),2)),"")</f>
        <v/>
      </c>
      <c r="N282" s="15" t="str" cm="1">
        <f t="array" ref="N282">IF(OR(Table2[[#This Row],[Film]]="",Table2[[#This Row],[Grade]]=""),"",IFERROR(INDEX(Table4[Serial Number],MATCH(1,(Table4[Film]=Table2[[#This Row],[Film]])*(Table4[Grade]=Table2[[#This Row],[Grade]]),0)),""))</f>
        <v/>
      </c>
      <c r="O282" s="51" t="str">
        <f>IF(OR(Table2[[#This Row],[Film]]="",Table2[[#This Row],[Grade]]=""),"",SUMIFS(Table4[Price Calculated(€) Thickness &amp; QTY related],Table4[Film],Table2[[#This Row],[Film]],Table4[Grade],Table2[[#This Row],[Grade]]))</f>
        <v/>
      </c>
      <c r="P282" s="6"/>
      <c r="T282" s="6"/>
    </row>
    <row r="283" spans="1:20" hidden="1">
      <c r="A283" s="55" t="s">
        <v>2337</v>
      </c>
      <c r="B283" s="29" t="s">
        <v>6</v>
      </c>
      <c r="C283" s="28" t="s">
        <v>16</v>
      </c>
      <c r="D283" s="28" t="str">
        <f>IF(C283="","",IFERROR(_xlfn.XLOOKUP(C283,HELPER!$A$2:$A$81,HELPER!$B$2:$B$81,""),D283))</f>
        <v>S723</v>
      </c>
      <c r="E283" s="28" t="str">
        <f>IFERROR(_xlfn.XLOOKUP(D283,HELPER!$B:$B,HELPER!$C:$C,""),"")</f>
        <v>RM TA45-08 S723</v>
      </c>
      <c r="F283" s="27" t="str">
        <f>IFERROR(_xlfn.XLOOKUP(D283,HELPER!$B:$B,HELPER!$D:$D,""),"")</f>
        <v>Resin 6</v>
      </c>
      <c r="G283" s="27">
        <v>4</v>
      </c>
      <c r="H283" s="46">
        <v>1.4999999999999999E-2</v>
      </c>
      <c r="I283" s="47">
        <f>IF(AND(H283&lt;&gt;"",IFERROR(_xlfn.XLOOKUP(D283,HELPER!$B:$B,HELPER!$E:$E,""),"")=""),"Missing price",IFERROR(_xlfn.XLOOKUP(D283,HELPER!$B:$B,HELPER!$E:$E,"")," "))</f>
        <v>16.16</v>
      </c>
      <c r="J283" s="47">
        <f>IFERROR(H283*(IF(G283=8,I283*HELPER!$G$2,BOM!I283*HELPER!$G$3))," ")</f>
        <v>0.14543999999999999</v>
      </c>
      <c r="K283" s="6"/>
      <c r="L283" s="14" t="str" cm="1">
        <f t="array" ref="L283">IFERROR(_xlfn.LET(_xlpm.films,Table4[Film],_xlpm.grades,Table4[Grade],_xlpm.pairs,_xlfn._xlws.FILTER(_xlfn.HSTACK(_xlpm.films,_xlpm.grades),(_xlpm.films&lt;&gt;"")*(TRIM(_xlpm.grades)&lt;&gt;"")),_xlpm.uniquePairs,_xlfn.UNIQUE(_xlpm.pairs),_xlpm.sortedPairs,_xlfn._xlws.SORT(_xlpm.uniquePairs,1,1),INDEX(_xlpm.sortedPairs,ROWS($L$2:L283),1)),"")</f>
        <v/>
      </c>
      <c r="M283" s="15" t="str" cm="1">
        <f t="array" ref="M283">IFERROR(_xlfn.LET(_xlpm.films,Table4[Film],_xlpm.grades,Table4[Grade],_xlpm.pairs,_xlfn._xlws.FILTER(_xlfn.HSTACK(_xlpm.films,_xlpm.grades),(_xlpm.films&lt;&gt;"")*(TRIM(_xlpm.grades)&lt;&gt;"")),_xlpm.uniquePairs,_xlfn.UNIQUE(_xlpm.pairs),_xlpm.sortedPairs,_xlfn._xlws.SORT(_xlpm.uniquePairs,1,1),INDEX(_xlpm.sortedPairs,ROWS($M$2:M283),2)),"")</f>
        <v/>
      </c>
      <c r="N283" s="15" t="str" cm="1">
        <f t="array" ref="N283">IF(OR(Table2[[#This Row],[Film]]="",Table2[[#This Row],[Grade]]=""),"",IFERROR(INDEX(Table4[Serial Number],MATCH(1,(Table4[Film]=Table2[[#This Row],[Film]])*(Table4[Grade]=Table2[[#This Row],[Grade]]),0)),""))</f>
        <v/>
      </c>
      <c r="O283" s="51" t="str">
        <f>IF(OR(Table2[[#This Row],[Film]]="",Table2[[#This Row],[Grade]]=""),"",SUMIFS(Table4[Price Calculated(€) Thickness &amp; QTY related],Table4[Film],Table2[[#This Row],[Film]],Table4[Grade],Table2[[#This Row],[Grade]]))</f>
        <v/>
      </c>
      <c r="P283" s="6"/>
      <c r="T283" s="6"/>
    </row>
    <row r="284" spans="1:20" hidden="1">
      <c r="A284" s="55" t="s">
        <v>2337</v>
      </c>
      <c r="B284" s="29" t="s">
        <v>6</v>
      </c>
      <c r="C284" s="28"/>
      <c r="D284" s="28" t="str">
        <f>IF(C284="","",IFERROR(_xlfn.XLOOKUP(C284,HELPER!$A$2:$A$81,HELPER!$B$2:$B$81,""),D284))</f>
        <v/>
      </c>
      <c r="E284" s="28" t="str">
        <f>IFERROR(_xlfn.XLOOKUP(D284,HELPER!$B:$B,HELPER!$C:$C,""),"")</f>
        <v/>
      </c>
      <c r="F284" s="27" t="str">
        <f>IFERROR(_xlfn.XLOOKUP(D284,HELPER!$B:$B,HELPER!$D:$D,""),"")</f>
        <v/>
      </c>
      <c r="G284" s="27">
        <v>4</v>
      </c>
      <c r="H284" s="46"/>
      <c r="I284" s="47" t="str">
        <f>IF(AND(H284&lt;&gt;"",IFERROR(_xlfn.XLOOKUP(D284,HELPER!$B:$B,HELPER!$E:$E,""),"")=""),"Missing price",IFERROR(_xlfn.XLOOKUP(D284,HELPER!$B:$B,HELPER!$E:$E,"")," "))</f>
        <v/>
      </c>
      <c r="J284" s="47" t="str">
        <f>IFERROR(H284*(IF(G284=8,I284*HELPER!$G$2,BOM!I284*HELPER!$G$3))," ")</f>
        <v xml:space="preserve"> </v>
      </c>
      <c r="K284" s="6"/>
      <c r="L284" s="14" t="str" cm="1">
        <f t="array" ref="L284">IFERROR(_xlfn.LET(_xlpm.films,Table4[Film],_xlpm.grades,Table4[Grade],_xlpm.pairs,_xlfn._xlws.FILTER(_xlfn.HSTACK(_xlpm.films,_xlpm.grades),(_xlpm.films&lt;&gt;"")*(TRIM(_xlpm.grades)&lt;&gt;"")),_xlpm.uniquePairs,_xlfn.UNIQUE(_xlpm.pairs),_xlpm.sortedPairs,_xlfn._xlws.SORT(_xlpm.uniquePairs,1,1),INDEX(_xlpm.sortedPairs,ROWS($L$2:L284),1)),"")</f>
        <v/>
      </c>
      <c r="M284" s="15" t="str" cm="1">
        <f t="array" ref="M284">IFERROR(_xlfn.LET(_xlpm.films,Table4[Film],_xlpm.grades,Table4[Grade],_xlpm.pairs,_xlfn._xlws.FILTER(_xlfn.HSTACK(_xlpm.films,_xlpm.grades),(_xlpm.films&lt;&gt;"")*(TRIM(_xlpm.grades)&lt;&gt;"")),_xlpm.uniquePairs,_xlfn.UNIQUE(_xlpm.pairs),_xlpm.sortedPairs,_xlfn._xlws.SORT(_xlpm.uniquePairs,1,1),INDEX(_xlpm.sortedPairs,ROWS($M$2:M284),2)),"")</f>
        <v/>
      </c>
      <c r="N284" s="15" t="str" cm="1">
        <f t="array" ref="N284">IF(OR(Table2[[#This Row],[Film]]="",Table2[[#This Row],[Grade]]=""),"",IFERROR(INDEX(Table4[Serial Number],MATCH(1,(Table4[Film]=Table2[[#This Row],[Film]])*(Table4[Grade]=Table2[[#This Row],[Grade]]),0)),""))</f>
        <v/>
      </c>
      <c r="O284" s="51" t="str">
        <f>IF(OR(Table2[[#This Row],[Film]]="",Table2[[#This Row],[Grade]]=""),"",SUMIFS(Table4[Price Calculated(€) Thickness &amp; QTY related],Table4[Film],Table2[[#This Row],[Film]],Table4[Grade],Table2[[#This Row],[Grade]]))</f>
        <v/>
      </c>
      <c r="P284" s="6"/>
      <c r="T284" s="6"/>
    </row>
    <row r="285" spans="1:20" hidden="1">
      <c r="A285" s="55" t="s">
        <v>2337</v>
      </c>
      <c r="B285" s="29" t="s">
        <v>6</v>
      </c>
      <c r="C285" s="28"/>
      <c r="D285" s="28" t="str">
        <f>IF(C285="","",IFERROR(_xlfn.XLOOKUP(C285,HELPER!$A$2:$A$81,HELPER!$B$2:$B$81,""),D285))</f>
        <v/>
      </c>
      <c r="E285" s="28" t="str">
        <f>IFERROR(_xlfn.XLOOKUP(D285,HELPER!$B:$B,HELPER!$C:$C,""),"")</f>
        <v/>
      </c>
      <c r="F285" s="27" t="str">
        <f>IFERROR(_xlfn.XLOOKUP(D285,HELPER!$B:$B,HELPER!$D:$D,""),"")</f>
        <v/>
      </c>
      <c r="G285" s="27">
        <v>4</v>
      </c>
      <c r="H285" s="46"/>
      <c r="I285" s="47" t="str">
        <f>IF(AND(H285&lt;&gt;"",IFERROR(_xlfn.XLOOKUP(D285,HELPER!$B:$B,HELPER!$E:$E,""),"")=""),"Missing price",IFERROR(_xlfn.XLOOKUP(D285,HELPER!$B:$B,HELPER!$E:$E,"")," "))</f>
        <v/>
      </c>
      <c r="J285" s="47" t="str">
        <f>IFERROR(H285*(IF(G285=8,I285*HELPER!$G$2,BOM!I285*HELPER!$G$3))," ")</f>
        <v xml:space="preserve"> </v>
      </c>
      <c r="K285" s="6"/>
      <c r="L285" s="14" t="str" cm="1">
        <f t="array" ref="L285">IFERROR(_xlfn.LET(_xlpm.films,Table4[Film],_xlpm.grades,Table4[Grade],_xlpm.pairs,_xlfn._xlws.FILTER(_xlfn.HSTACK(_xlpm.films,_xlpm.grades),(_xlpm.films&lt;&gt;"")*(TRIM(_xlpm.grades)&lt;&gt;"")),_xlpm.uniquePairs,_xlfn.UNIQUE(_xlpm.pairs),_xlpm.sortedPairs,_xlfn._xlws.SORT(_xlpm.uniquePairs,1,1),INDEX(_xlpm.sortedPairs,ROWS($L$2:L285),1)),"")</f>
        <v/>
      </c>
      <c r="M285" s="15" t="str" cm="1">
        <f t="array" ref="M285">IFERROR(_xlfn.LET(_xlpm.films,Table4[Film],_xlpm.grades,Table4[Grade],_xlpm.pairs,_xlfn._xlws.FILTER(_xlfn.HSTACK(_xlpm.films,_xlpm.grades),(_xlpm.films&lt;&gt;"")*(TRIM(_xlpm.grades)&lt;&gt;"")),_xlpm.uniquePairs,_xlfn.UNIQUE(_xlpm.pairs),_xlpm.sortedPairs,_xlfn._xlws.SORT(_xlpm.uniquePairs,1,1),INDEX(_xlpm.sortedPairs,ROWS($M$2:M285),2)),"")</f>
        <v/>
      </c>
      <c r="N285" s="15" t="str" cm="1">
        <f t="array" ref="N285">IF(OR(Table2[[#This Row],[Film]]="",Table2[[#This Row],[Grade]]=""),"",IFERROR(INDEX(Table4[Serial Number],MATCH(1,(Table4[Film]=Table2[[#This Row],[Film]])*(Table4[Grade]=Table2[[#This Row],[Grade]]),0)),""))</f>
        <v/>
      </c>
      <c r="O285" s="51" t="str">
        <f>IF(OR(Table2[[#This Row],[Film]]="",Table2[[#This Row],[Grade]]=""),"",SUMIFS(Table4[Price Calculated(€) Thickness &amp; QTY related],Table4[Film],Table2[[#This Row],[Film]],Table4[Grade],Table2[[#This Row],[Grade]]))</f>
        <v/>
      </c>
      <c r="P285" s="6"/>
      <c r="T285" s="6"/>
    </row>
    <row r="286" spans="1:20" hidden="1">
      <c r="A286" s="55" t="s">
        <v>2337</v>
      </c>
      <c r="B286" s="29" t="s">
        <v>6</v>
      </c>
      <c r="C286" s="28"/>
      <c r="D286" s="28" t="str">
        <f>IF(C286="","",IFERROR(_xlfn.XLOOKUP(C286,HELPER!$A$2:$A$81,HELPER!$B$2:$B$81,""),D286))</f>
        <v/>
      </c>
      <c r="E286" s="28" t="str">
        <f>IFERROR(_xlfn.XLOOKUP(D286,HELPER!$B:$B,HELPER!$C:$C,""),"")</f>
        <v/>
      </c>
      <c r="F286" s="27" t="str">
        <f>IFERROR(_xlfn.XLOOKUP(D286,HELPER!$B:$B,HELPER!$D:$D,""),"")</f>
        <v/>
      </c>
      <c r="G286" s="27">
        <v>4</v>
      </c>
      <c r="H286" s="46"/>
      <c r="I286" s="47" t="str">
        <f>IF(AND(H286&lt;&gt;"",IFERROR(_xlfn.XLOOKUP(D286,HELPER!$B:$B,HELPER!$E:$E,""),"")=""),"Missing price",IFERROR(_xlfn.XLOOKUP(D286,HELPER!$B:$B,HELPER!$E:$E,"")," "))</f>
        <v/>
      </c>
      <c r="J286" s="47" t="str">
        <f>IFERROR(H286*(IF(G286=8,I286*HELPER!$G$2,BOM!I286*HELPER!$G$3))," ")</f>
        <v xml:space="preserve"> </v>
      </c>
      <c r="K286" s="6"/>
      <c r="L286" s="14" t="str" cm="1">
        <f t="array" ref="L286">IFERROR(_xlfn.LET(_xlpm.films,Table4[Film],_xlpm.grades,Table4[Grade],_xlpm.pairs,_xlfn._xlws.FILTER(_xlfn.HSTACK(_xlpm.films,_xlpm.grades),(_xlpm.films&lt;&gt;"")*(TRIM(_xlpm.grades)&lt;&gt;"")),_xlpm.uniquePairs,_xlfn.UNIQUE(_xlpm.pairs),_xlpm.sortedPairs,_xlfn._xlws.SORT(_xlpm.uniquePairs,1,1),INDEX(_xlpm.sortedPairs,ROWS($L$2:L286),1)),"")</f>
        <v/>
      </c>
      <c r="M286" s="15" t="str" cm="1">
        <f t="array" ref="M286">IFERROR(_xlfn.LET(_xlpm.films,Table4[Film],_xlpm.grades,Table4[Grade],_xlpm.pairs,_xlfn._xlws.FILTER(_xlfn.HSTACK(_xlpm.films,_xlpm.grades),(_xlpm.films&lt;&gt;"")*(TRIM(_xlpm.grades)&lt;&gt;"")),_xlpm.uniquePairs,_xlfn.UNIQUE(_xlpm.pairs),_xlpm.sortedPairs,_xlfn._xlws.SORT(_xlpm.uniquePairs,1,1),INDEX(_xlpm.sortedPairs,ROWS($M$2:M286),2)),"")</f>
        <v/>
      </c>
      <c r="N286" s="15" t="str" cm="1">
        <f t="array" ref="N286">IF(OR(Table2[[#This Row],[Film]]="",Table2[[#This Row],[Grade]]=""),"",IFERROR(INDEX(Table4[Serial Number],MATCH(1,(Table4[Film]=Table2[[#This Row],[Film]])*(Table4[Grade]=Table2[[#This Row],[Grade]]),0)),""))</f>
        <v/>
      </c>
      <c r="O286" s="51" t="str">
        <f>IF(OR(Table2[[#This Row],[Film]]="",Table2[[#This Row],[Grade]]=""),"",SUMIFS(Table4[Price Calculated(€) Thickness &amp; QTY related],Table4[Film],Table2[[#This Row],[Film]],Table4[Grade],Table2[[#This Row],[Grade]]))</f>
        <v/>
      </c>
      <c r="P286" s="6"/>
      <c r="T286" s="6"/>
    </row>
    <row r="287" spans="1:20" hidden="1">
      <c r="A287" s="55" t="s">
        <v>2337</v>
      </c>
      <c r="B287" s="29" t="s">
        <v>6</v>
      </c>
      <c r="C287" s="28"/>
      <c r="D287" s="28" t="str">
        <f>IF(C287="","",IFERROR(_xlfn.XLOOKUP(C287,HELPER!$A$2:$A$81,HELPER!$B$2:$B$81,""),D287))</f>
        <v/>
      </c>
      <c r="E287" s="28" t="str">
        <f>IFERROR(_xlfn.XLOOKUP(D287,HELPER!$B:$B,HELPER!$C:$C,""),"")</f>
        <v/>
      </c>
      <c r="F287" s="27" t="str">
        <f>IFERROR(_xlfn.XLOOKUP(D287,HELPER!$B:$B,HELPER!$D:$D,""),"")</f>
        <v/>
      </c>
      <c r="G287" s="27">
        <v>4</v>
      </c>
      <c r="H287" s="46"/>
      <c r="I287" s="47" t="str">
        <f>IF(AND(H287&lt;&gt;"",IFERROR(_xlfn.XLOOKUP(D287,HELPER!$B:$B,HELPER!$E:$E,""),"")=""),"Missing price",IFERROR(_xlfn.XLOOKUP(D287,HELPER!$B:$B,HELPER!$E:$E,"")," "))</f>
        <v/>
      </c>
      <c r="J287" s="47" t="str">
        <f>IFERROR(H287*(IF(G287=8,I287*HELPER!$G$2,BOM!I287*HELPER!$G$3))," ")</f>
        <v xml:space="preserve"> </v>
      </c>
      <c r="K287" s="6"/>
      <c r="L287" s="14" t="str" cm="1">
        <f t="array" ref="L287">IFERROR(_xlfn.LET(_xlpm.films,Table4[Film],_xlpm.grades,Table4[Grade],_xlpm.pairs,_xlfn._xlws.FILTER(_xlfn.HSTACK(_xlpm.films,_xlpm.grades),(_xlpm.films&lt;&gt;"")*(TRIM(_xlpm.grades)&lt;&gt;"")),_xlpm.uniquePairs,_xlfn.UNIQUE(_xlpm.pairs),_xlpm.sortedPairs,_xlfn._xlws.SORT(_xlpm.uniquePairs,1,1),INDEX(_xlpm.sortedPairs,ROWS($L$2:L287),1)),"")</f>
        <v/>
      </c>
      <c r="M287" s="15" t="str" cm="1">
        <f t="array" ref="M287">IFERROR(_xlfn.LET(_xlpm.films,Table4[Film],_xlpm.grades,Table4[Grade],_xlpm.pairs,_xlfn._xlws.FILTER(_xlfn.HSTACK(_xlpm.films,_xlpm.grades),(_xlpm.films&lt;&gt;"")*(TRIM(_xlpm.grades)&lt;&gt;"")),_xlpm.uniquePairs,_xlfn.UNIQUE(_xlpm.pairs),_xlpm.sortedPairs,_xlfn._xlws.SORT(_xlpm.uniquePairs,1,1),INDEX(_xlpm.sortedPairs,ROWS($M$2:M287),2)),"")</f>
        <v/>
      </c>
      <c r="N287" s="15" t="str" cm="1">
        <f t="array" ref="N287">IF(OR(Table2[[#This Row],[Film]]="",Table2[[#This Row],[Grade]]=""),"",IFERROR(INDEX(Table4[Serial Number],MATCH(1,(Table4[Film]=Table2[[#This Row],[Film]])*(Table4[Grade]=Table2[[#This Row],[Grade]]),0)),""))</f>
        <v/>
      </c>
      <c r="O287" s="51" t="str">
        <f>IF(OR(Table2[[#This Row],[Film]]="",Table2[[#This Row],[Grade]]=""),"",SUMIFS(Table4[Price Calculated(€) Thickness &amp; QTY related],Table4[Film],Table2[[#This Row],[Film]],Table4[Grade],Table2[[#This Row],[Grade]]))</f>
        <v/>
      </c>
      <c r="P287" s="6"/>
      <c r="T287" s="6"/>
    </row>
    <row r="288" spans="1:20" hidden="1">
      <c r="A288" s="55" t="s">
        <v>2337</v>
      </c>
      <c r="B288" s="29" t="s">
        <v>6</v>
      </c>
      <c r="C288" s="28"/>
      <c r="D288" s="28" t="str">
        <f>IF(C288="","",IFERROR(_xlfn.XLOOKUP(C288,HELPER!$A$2:$A$81,HELPER!$B$2:$B$81,""),D288))</f>
        <v/>
      </c>
      <c r="E288" s="28" t="str">
        <f>IFERROR(_xlfn.XLOOKUP(D288,HELPER!$B:$B,HELPER!$C:$C,""),"")</f>
        <v/>
      </c>
      <c r="F288" s="27" t="str">
        <f>IFERROR(_xlfn.XLOOKUP(D288,HELPER!$B:$B,HELPER!$D:$D,""),"")</f>
        <v/>
      </c>
      <c r="G288" s="27">
        <v>4</v>
      </c>
      <c r="H288" s="46"/>
      <c r="I288" s="47" t="str">
        <f>IF(AND(H288&lt;&gt;"",IFERROR(_xlfn.XLOOKUP(D288,HELPER!$B:$B,HELPER!$E:$E,""),"")=""),"Missing price",IFERROR(_xlfn.XLOOKUP(D288,HELPER!$B:$B,HELPER!$E:$E,"")," "))</f>
        <v/>
      </c>
      <c r="J288" s="47" t="str">
        <f>IFERROR(H288*(IF(G288=8,I288*HELPER!$G$2,BOM!I288*HELPER!$G$3))," ")</f>
        <v xml:space="preserve"> </v>
      </c>
      <c r="K288" s="6"/>
      <c r="L288" s="14" t="str" cm="1">
        <f t="array" ref="L288">IFERROR(_xlfn.LET(_xlpm.films,Table4[Film],_xlpm.grades,Table4[Grade],_xlpm.pairs,_xlfn._xlws.FILTER(_xlfn.HSTACK(_xlpm.films,_xlpm.grades),(_xlpm.films&lt;&gt;"")*(TRIM(_xlpm.grades)&lt;&gt;"")),_xlpm.uniquePairs,_xlfn.UNIQUE(_xlpm.pairs),_xlpm.sortedPairs,_xlfn._xlws.SORT(_xlpm.uniquePairs,1,1),INDEX(_xlpm.sortedPairs,ROWS($L$2:L288),1)),"")</f>
        <v/>
      </c>
      <c r="M288" s="15" t="str" cm="1">
        <f t="array" ref="M288">IFERROR(_xlfn.LET(_xlpm.films,Table4[Film],_xlpm.grades,Table4[Grade],_xlpm.pairs,_xlfn._xlws.FILTER(_xlfn.HSTACK(_xlpm.films,_xlpm.grades),(_xlpm.films&lt;&gt;"")*(TRIM(_xlpm.grades)&lt;&gt;"")),_xlpm.uniquePairs,_xlfn.UNIQUE(_xlpm.pairs),_xlpm.sortedPairs,_xlfn._xlws.SORT(_xlpm.uniquePairs,1,1),INDEX(_xlpm.sortedPairs,ROWS($M$2:M288),2)),"")</f>
        <v/>
      </c>
      <c r="N288" s="15" t="str" cm="1">
        <f t="array" ref="N288">IF(OR(Table2[[#This Row],[Film]]="",Table2[[#This Row],[Grade]]=""),"",IFERROR(INDEX(Table4[Serial Number],MATCH(1,(Table4[Film]=Table2[[#This Row],[Film]])*(Table4[Grade]=Table2[[#This Row],[Grade]]),0)),""))</f>
        <v/>
      </c>
      <c r="O288" s="51" t="str">
        <f>IF(OR(Table2[[#This Row],[Film]]="",Table2[[#This Row],[Grade]]=""),"",SUMIFS(Table4[Price Calculated(€) Thickness &amp; QTY related],Table4[Film],Table2[[#This Row],[Film]],Table4[Grade],Table2[[#This Row],[Grade]]))</f>
        <v/>
      </c>
      <c r="P288" s="6"/>
      <c r="T288" s="6"/>
    </row>
    <row r="289" spans="1:20" hidden="1">
      <c r="A289" s="55" t="s">
        <v>2337</v>
      </c>
      <c r="B289" s="29" t="s">
        <v>6</v>
      </c>
      <c r="C289" s="28"/>
      <c r="D289" s="28" t="str">
        <f>IF(C289="","",IFERROR(_xlfn.XLOOKUP(C289,HELPER!$A$2:$A$81,HELPER!$B$2:$B$81,""),D289))</f>
        <v/>
      </c>
      <c r="E289" s="28" t="str">
        <f>IFERROR(_xlfn.XLOOKUP(D289,HELPER!$B:$B,HELPER!$C:$C,""),"")</f>
        <v/>
      </c>
      <c r="F289" s="27" t="str">
        <f>IFERROR(_xlfn.XLOOKUP(D289,HELPER!$B:$B,HELPER!$D:$D,""),"")</f>
        <v/>
      </c>
      <c r="G289" s="27">
        <v>4</v>
      </c>
      <c r="H289" s="46"/>
      <c r="I289" s="47" t="str">
        <f>IF(AND(H289&lt;&gt;"",IFERROR(_xlfn.XLOOKUP(D289,HELPER!$B:$B,HELPER!$E:$E,""),"")=""),"Missing price",IFERROR(_xlfn.XLOOKUP(D289,HELPER!$B:$B,HELPER!$E:$E,"")," "))</f>
        <v/>
      </c>
      <c r="J289" s="47" t="str">
        <f>IFERROR(H289*(IF(G289=8,I289*HELPER!$G$2,BOM!I289*HELPER!$G$3))," ")</f>
        <v xml:space="preserve"> </v>
      </c>
      <c r="K289" s="6"/>
      <c r="L289" s="14" t="str" cm="1">
        <f t="array" ref="L289">IFERROR(_xlfn.LET(_xlpm.films,Table4[Film],_xlpm.grades,Table4[Grade],_xlpm.pairs,_xlfn._xlws.FILTER(_xlfn.HSTACK(_xlpm.films,_xlpm.grades),(_xlpm.films&lt;&gt;"")*(TRIM(_xlpm.grades)&lt;&gt;"")),_xlpm.uniquePairs,_xlfn.UNIQUE(_xlpm.pairs),_xlpm.sortedPairs,_xlfn._xlws.SORT(_xlpm.uniquePairs,1,1),INDEX(_xlpm.sortedPairs,ROWS($L$2:L289),1)),"")</f>
        <v/>
      </c>
      <c r="M289" s="15" t="str" cm="1">
        <f t="array" ref="M289">IFERROR(_xlfn.LET(_xlpm.films,Table4[Film],_xlpm.grades,Table4[Grade],_xlpm.pairs,_xlfn._xlws.FILTER(_xlfn.HSTACK(_xlpm.films,_xlpm.grades),(_xlpm.films&lt;&gt;"")*(TRIM(_xlpm.grades)&lt;&gt;"")),_xlpm.uniquePairs,_xlfn.UNIQUE(_xlpm.pairs),_xlpm.sortedPairs,_xlfn._xlws.SORT(_xlpm.uniquePairs,1,1),INDEX(_xlpm.sortedPairs,ROWS($M$2:M289),2)),"")</f>
        <v/>
      </c>
      <c r="N289" s="15" t="str" cm="1">
        <f t="array" ref="N289">IF(OR(Table2[[#This Row],[Film]]="",Table2[[#This Row],[Grade]]=""),"",IFERROR(INDEX(Table4[Serial Number],MATCH(1,(Table4[Film]=Table2[[#This Row],[Film]])*(Table4[Grade]=Table2[[#This Row],[Grade]]),0)),""))</f>
        <v/>
      </c>
      <c r="O289" s="51" t="str">
        <f>IF(OR(Table2[[#This Row],[Film]]="",Table2[[#This Row],[Grade]]=""),"",SUMIFS(Table4[Price Calculated(€) Thickness &amp; QTY related],Table4[Film],Table2[[#This Row],[Film]],Table4[Grade],Table2[[#This Row],[Grade]]))</f>
        <v/>
      </c>
      <c r="P289" s="6"/>
      <c r="T289" s="6"/>
    </row>
    <row r="290" spans="1:20" hidden="1">
      <c r="A290" s="55" t="s">
        <v>2337</v>
      </c>
      <c r="B290" s="29" t="s">
        <v>6</v>
      </c>
      <c r="C290" s="28"/>
      <c r="D290" s="28" t="str">
        <f>IF(C290="","",IFERROR(_xlfn.XLOOKUP(C290,HELPER!$A$2:$A$81,HELPER!$B$2:$B$81,""),D290))</f>
        <v/>
      </c>
      <c r="E290" s="28" t="str">
        <f>IFERROR(_xlfn.XLOOKUP(D290,HELPER!$B:$B,HELPER!$C:$C,""),"")</f>
        <v/>
      </c>
      <c r="F290" s="27" t="str">
        <f>IFERROR(_xlfn.XLOOKUP(D290,HELPER!$B:$B,HELPER!$D:$D,""),"")</f>
        <v/>
      </c>
      <c r="G290" s="27">
        <v>4</v>
      </c>
      <c r="H290" s="46"/>
      <c r="I290" s="47" t="str">
        <f>IF(AND(H290&lt;&gt;"",IFERROR(_xlfn.XLOOKUP(D290,HELPER!$B:$B,HELPER!$E:$E,""),"")=""),"Missing price",IFERROR(_xlfn.XLOOKUP(D290,HELPER!$B:$B,HELPER!$E:$E,"")," "))</f>
        <v/>
      </c>
      <c r="J290" s="47" t="str">
        <f>IFERROR(H290*(IF(G290=8,I290*HELPER!$G$2,BOM!I290*HELPER!$G$3))," ")</f>
        <v xml:space="preserve"> </v>
      </c>
      <c r="K290" s="6"/>
      <c r="L290" s="14" t="str" cm="1">
        <f t="array" ref="L290">IFERROR(_xlfn.LET(_xlpm.films,Table4[Film],_xlpm.grades,Table4[Grade],_xlpm.pairs,_xlfn._xlws.FILTER(_xlfn.HSTACK(_xlpm.films,_xlpm.grades),(_xlpm.films&lt;&gt;"")*(TRIM(_xlpm.grades)&lt;&gt;"")),_xlpm.uniquePairs,_xlfn.UNIQUE(_xlpm.pairs),_xlpm.sortedPairs,_xlfn._xlws.SORT(_xlpm.uniquePairs,1,1),INDEX(_xlpm.sortedPairs,ROWS($L$2:L290),1)),"")</f>
        <v/>
      </c>
      <c r="M290" s="15" t="str" cm="1">
        <f t="array" ref="M290">IFERROR(_xlfn.LET(_xlpm.films,Table4[Film],_xlpm.grades,Table4[Grade],_xlpm.pairs,_xlfn._xlws.FILTER(_xlfn.HSTACK(_xlpm.films,_xlpm.grades),(_xlpm.films&lt;&gt;"")*(TRIM(_xlpm.grades)&lt;&gt;"")),_xlpm.uniquePairs,_xlfn.UNIQUE(_xlpm.pairs),_xlpm.sortedPairs,_xlfn._xlws.SORT(_xlpm.uniquePairs,1,1),INDEX(_xlpm.sortedPairs,ROWS($M$2:M290),2)),"")</f>
        <v/>
      </c>
      <c r="N290" s="15" t="str" cm="1">
        <f t="array" ref="N290">IF(OR(Table2[[#This Row],[Film]]="",Table2[[#This Row],[Grade]]=""),"",IFERROR(INDEX(Table4[Serial Number],MATCH(1,(Table4[Film]=Table2[[#This Row],[Film]])*(Table4[Grade]=Table2[[#This Row],[Grade]]),0)),""))</f>
        <v/>
      </c>
      <c r="O290" s="51" t="str">
        <f>IF(OR(Table2[[#This Row],[Film]]="",Table2[[#This Row],[Grade]]=""),"",SUMIFS(Table4[Price Calculated(€) Thickness &amp; QTY related],Table4[Film],Table2[[#This Row],[Film]],Table4[Grade],Table2[[#This Row],[Grade]]))</f>
        <v/>
      </c>
      <c r="P290" s="6"/>
      <c r="T290" s="6"/>
    </row>
    <row r="291" spans="1:20" hidden="1">
      <c r="A291" s="55" t="s">
        <v>2337</v>
      </c>
      <c r="B291" s="29" t="s">
        <v>6</v>
      </c>
      <c r="C291" s="28"/>
      <c r="D291" s="28" t="str">
        <f>IF(C291="","",IFERROR(_xlfn.XLOOKUP(C291,HELPER!$A$2:$A$81,HELPER!$B$2:$B$81,""),D291))</f>
        <v/>
      </c>
      <c r="E291" s="28" t="str">
        <f>IFERROR(_xlfn.XLOOKUP(D291,HELPER!$B:$B,HELPER!$C:$C,""),"")</f>
        <v/>
      </c>
      <c r="F291" s="27" t="str">
        <f>IFERROR(_xlfn.XLOOKUP(D291,HELPER!$B:$B,HELPER!$D:$D,""),"")</f>
        <v/>
      </c>
      <c r="G291" s="27">
        <v>4</v>
      </c>
      <c r="H291" s="46"/>
      <c r="I291" s="47" t="str">
        <f>IF(AND(H291&lt;&gt;"",IFERROR(_xlfn.XLOOKUP(D291,HELPER!$B:$B,HELPER!$E:$E,""),"")=""),"Missing price",IFERROR(_xlfn.XLOOKUP(D291,HELPER!$B:$B,HELPER!$E:$E,"")," "))</f>
        <v/>
      </c>
      <c r="J291" s="47" t="str">
        <f>IFERROR(H291*(IF(G291=8,I291*HELPER!$G$2,BOM!I291*HELPER!$G$3))," ")</f>
        <v xml:space="preserve"> </v>
      </c>
      <c r="K291" s="6"/>
      <c r="L291" s="14" t="str" cm="1">
        <f t="array" ref="L291">IFERROR(_xlfn.LET(_xlpm.films,Table4[Film],_xlpm.grades,Table4[Grade],_xlpm.pairs,_xlfn._xlws.FILTER(_xlfn.HSTACK(_xlpm.films,_xlpm.grades),(_xlpm.films&lt;&gt;"")*(TRIM(_xlpm.grades)&lt;&gt;"")),_xlpm.uniquePairs,_xlfn.UNIQUE(_xlpm.pairs),_xlpm.sortedPairs,_xlfn._xlws.SORT(_xlpm.uniquePairs,1,1),INDEX(_xlpm.sortedPairs,ROWS($L$2:L291),1)),"")</f>
        <v/>
      </c>
      <c r="M291" s="15" t="str" cm="1">
        <f t="array" ref="M291">IFERROR(_xlfn.LET(_xlpm.films,Table4[Film],_xlpm.grades,Table4[Grade],_xlpm.pairs,_xlfn._xlws.FILTER(_xlfn.HSTACK(_xlpm.films,_xlpm.grades),(_xlpm.films&lt;&gt;"")*(TRIM(_xlpm.grades)&lt;&gt;"")),_xlpm.uniquePairs,_xlfn.UNIQUE(_xlpm.pairs),_xlpm.sortedPairs,_xlfn._xlws.SORT(_xlpm.uniquePairs,1,1),INDEX(_xlpm.sortedPairs,ROWS($M$2:M291),2)),"")</f>
        <v/>
      </c>
      <c r="N291" s="15" t="str" cm="1">
        <f t="array" ref="N291">IF(OR(Table2[[#This Row],[Film]]="",Table2[[#This Row],[Grade]]=""),"",IFERROR(INDEX(Table4[Serial Number],MATCH(1,(Table4[Film]=Table2[[#This Row],[Film]])*(Table4[Grade]=Table2[[#This Row],[Grade]]),0)),""))</f>
        <v/>
      </c>
      <c r="O291" s="51" t="str">
        <f>IF(OR(Table2[[#This Row],[Film]]="",Table2[[#This Row],[Grade]]=""),"",SUMIFS(Table4[Price Calculated(€) Thickness &amp; QTY related],Table4[Film],Table2[[#This Row],[Film]],Table4[Grade],Table2[[#This Row],[Grade]]))</f>
        <v/>
      </c>
      <c r="P291" s="6"/>
      <c r="T291" s="6"/>
    </row>
    <row r="292" spans="1:20" hidden="1">
      <c r="A292" s="55" t="s">
        <v>2337</v>
      </c>
      <c r="B292" s="29" t="s">
        <v>7</v>
      </c>
      <c r="C292" s="28" t="s">
        <v>14</v>
      </c>
      <c r="D292" s="28" t="str">
        <f>IF(C292="","",IFERROR(_xlfn.XLOOKUP(C292,HELPER!$A$2:$A$81,HELPER!$B$2:$B$81,""),D292))</f>
        <v>B12</v>
      </c>
      <c r="E292" s="28" t="str">
        <f>IFERROR(_xlfn.XLOOKUP(D292,HELPER!$B:$B,HELPER!$C:$C,""),"")</f>
        <v>RMB12</v>
      </c>
      <c r="F292" s="27" t="str">
        <f>IFERROR(_xlfn.XLOOKUP(D292,HELPER!$B:$B,HELPER!$D:$D,""),"")</f>
        <v>Resin 2A</v>
      </c>
      <c r="G292" s="27">
        <v>9</v>
      </c>
      <c r="H292" s="46">
        <v>0.98499999999999999</v>
      </c>
      <c r="I292" s="47">
        <f>IF(AND(H292&lt;&gt;"",IFERROR(_xlfn.XLOOKUP(D292,HELPER!$B:$B,HELPER!$E:$E,""),"")=""),"Missing price",IFERROR(_xlfn.XLOOKUP(D292,HELPER!$B:$B,HELPER!$E:$E,"")," "))</f>
        <v>1.81</v>
      </c>
      <c r="J292" s="47">
        <f>IFERROR(H292*(IF(G292=8,I292*HELPER!$G$2,BOM!I292*HELPER!$G$3))," ")</f>
        <v>1.0697100000000002</v>
      </c>
      <c r="K292" s="6"/>
      <c r="L292" s="14" t="str" cm="1">
        <f t="array" ref="L292">IFERROR(_xlfn.LET(_xlpm.films,Table4[Film],_xlpm.grades,Table4[Grade],_xlpm.pairs,_xlfn._xlws.FILTER(_xlfn.HSTACK(_xlpm.films,_xlpm.grades),(_xlpm.films&lt;&gt;"")*(TRIM(_xlpm.grades)&lt;&gt;"")),_xlpm.uniquePairs,_xlfn.UNIQUE(_xlpm.pairs),_xlpm.sortedPairs,_xlfn._xlws.SORT(_xlpm.uniquePairs,1,1),INDEX(_xlpm.sortedPairs,ROWS($L$2:L292),1)),"")</f>
        <v/>
      </c>
      <c r="M292" s="15" t="str" cm="1">
        <f t="array" ref="M292">IFERROR(_xlfn.LET(_xlpm.films,Table4[Film],_xlpm.grades,Table4[Grade],_xlpm.pairs,_xlfn._xlws.FILTER(_xlfn.HSTACK(_xlpm.films,_xlpm.grades),(_xlpm.films&lt;&gt;"")*(TRIM(_xlpm.grades)&lt;&gt;"")),_xlpm.uniquePairs,_xlfn.UNIQUE(_xlpm.pairs),_xlpm.sortedPairs,_xlfn._xlws.SORT(_xlpm.uniquePairs,1,1),INDEX(_xlpm.sortedPairs,ROWS($M$2:M292),2)),"")</f>
        <v/>
      </c>
      <c r="N292" s="15" t="str" cm="1">
        <f t="array" ref="N292">IF(OR(Table2[[#This Row],[Film]]="",Table2[[#This Row],[Grade]]=""),"",IFERROR(INDEX(Table4[Serial Number],MATCH(1,(Table4[Film]=Table2[[#This Row],[Film]])*(Table4[Grade]=Table2[[#This Row],[Grade]]),0)),""))</f>
        <v/>
      </c>
      <c r="O292" s="51" t="str">
        <f>IF(OR(Table2[[#This Row],[Film]]="",Table2[[#This Row],[Grade]]=""),"",SUMIFS(Table4[Price Calculated(€) Thickness &amp; QTY related],Table4[Film],Table2[[#This Row],[Film]],Table4[Grade],Table2[[#This Row],[Grade]]))</f>
        <v/>
      </c>
      <c r="P292" s="6"/>
      <c r="T292" s="6"/>
    </row>
    <row r="293" spans="1:20" hidden="1">
      <c r="A293" s="55" t="s">
        <v>2337</v>
      </c>
      <c r="B293" s="29" t="s">
        <v>7</v>
      </c>
      <c r="C293" s="28" t="s">
        <v>16</v>
      </c>
      <c r="D293" s="28" t="str">
        <f>IF(C293="","",IFERROR(_xlfn.XLOOKUP(C293,HELPER!$A$2:$A$81,HELPER!$B$2:$B$81,""),D293))</f>
        <v>S723</v>
      </c>
      <c r="E293" s="28" t="str">
        <f>IFERROR(_xlfn.XLOOKUP(D293,HELPER!$B:$B,HELPER!$C:$C,""),"")</f>
        <v>RM TA45-08 S723</v>
      </c>
      <c r="F293" s="27" t="str">
        <f>IFERROR(_xlfn.XLOOKUP(D293,HELPER!$B:$B,HELPER!$D:$D,""),"")</f>
        <v>Resin 6</v>
      </c>
      <c r="G293" s="27">
        <v>9</v>
      </c>
      <c r="H293" s="46">
        <v>1.4999999999999999E-2</v>
      </c>
      <c r="I293" s="47">
        <f>IF(AND(H293&lt;&gt;"",IFERROR(_xlfn.XLOOKUP(D293,HELPER!$B:$B,HELPER!$E:$E,""),"")=""),"Missing price",IFERROR(_xlfn.XLOOKUP(D293,HELPER!$B:$B,HELPER!$E:$E,"")," "))</f>
        <v>16.16</v>
      </c>
      <c r="J293" s="47">
        <f>IFERROR(H293*(IF(G293=8,I293*HELPER!$G$2,BOM!I293*HELPER!$G$3))," ")</f>
        <v>0.14543999999999999</v>
      </c>
      <c r="K293" s="6"/>
      <c r="L293" s="14" t="str" cm="1">
        <f t="array" ref="L293">IFERROR(_xlfn.LET(_xlpm.films,Table4[Film],_xlpm.grades,Table4[Grade],_xlpm.pairs,_xlfn._xlws.FILTER(_xlfn.HSTACK(_xlpm.films,_xlpm.grades),(_xlpm.films&lt;&gt;"")*(TRIM(_xlpm.grades)&lt;&gt;"")),_xlpm.uniquePairs,_xlfn.UNIQUE(_xlpm.pairs),_xlpm.sortedPairs,_xlfn._xlws.SORT(_xlpm.uniquePairs,1,1),INDEX(_xlpm.sortedPairs,ROWS($L$2:L293),1)),"")</f>
        <v/>
      </c>
      <c r="M293" s="15" t="str" cm="1">
        <f t="array" ref="M293">IFERROR(_xlfn.LET(_xlpm.films,Table4[Film],_xlpm.grades,Table4[Grade],_xlpm.pairs,_xlfn._xlws.FILTER(_xlfn.HSTACK(_xlpm.films,_xlpm.grades),(_xlpm.films&lt;&gt;"")*(TRIM(_xlpm.grades)&lt;&gt;"")),_xlpm.uniquePairs,_xlfn.UNIQUE(_xlpm.pairs),_xlpm.sortedPairs,_xlfn._xlws.SORT(_xlpm.uniquePairs,1,1),INDEX(_xlpm.sortedPairs,ROWS($M$2:M293),2)),"")</f>
        <v/>
      </c>
      <c r="N293" s="15" t="str" cm="1">
        <f t="array" ref="N293">IF(OR(Table2[[#This Row],[Film]]="",Table2[[#This Row],[Grade]]=""),"",IFERROR(INDEX(Table4[Serial Number],MATCH(1,(Table4[Film]=Table2[[#This Row],[Film]])*(Table4[Grade]=Table2[[#This Row],[Grade]]),0)),""))</f>
        <v/>
      </c>
      <c r="O293" s="51" t="str">
        <f>IF(OR(Table2[[#This Row],[Film]]="",Table2[[#This Row],[Grade]]=""),"",SUMIFS(Table4[Price Calculated(€) Thickness &amp; QTY related],Table4[Film],Table2[[#This Row],[Film]],Table4[Grade],Table2[[#This Row],[Grade]]))</f>
        <v/>
      </c>
      <c r="P293" s="6"/>
      <c r="T293" s="6"/>
    </row>
    <row r="294" spans="1:20" hidden="1">
      <c r="A294" s="55" t="s">
        <v>2337</v>
      </c>
      <c r="B294" s="29" t="s">
        <v>7</v>
      </c>
      <c r="C294" s="28"/>
      <c r="D294" s="28" t="str">
        <f>IF(C294="","",IFERROR(_xlfn.XLOOKUP(C294,HELPER!$A$2:$A$81,HELPER!$B$2:$B$81,""),D294))</f>
        <v/>
      </c>
      <c r="E294" s="28" t="str">
        <f>IFERROR(_xlfn.XLOOKUP(D294,HELPER!$B:$B,HELPER!$C:$C,""),"")</f>
        <v/>
      </c>
      <c r="F294" s="27" t="str">
        <f>IFERROR(_xlfn.XLOOKUP(D294,HELPER!$B:$B,HELPER!$D:$D,""),"")</f>
        <v/>
      </c>
      <c r="G294" s="27">
        <v>9</v>
      </c>
      <c r="H294" s="46"/>
      <c r="I294" s="47" t="str">
        <f>IF(AND(H294&lt;&gt;"",IFERROR(_xlfn.XLOOKUP(D294,HELPER!$B:$B,HELPER!$E:$E,""),"")=""),"Missing price",IFERROR(_xlfn.XLOOKUP(D294,HELPER!$B:$B,HELPER!$E:$E,"")," "))</f>
        <v/>
      </c>
      <c r="J294" s="47" t="str">
        <f>IFERROR(H294*(IF(G294=8,I294*HELPER!$G$2,BOM!I294*HELPER!$G$3))," ")</f>
        <v xml:space="preserve"> </v>
      </c>
      <c r="K294" s="6"/>
      <c r="L294" s="14" t="str" cm="1">
        <f t="array" ref="L294">IFERROR(_xlfn.LET(_xlpm.films,Table4[Film],_xlpm.grades,Table4[Grade],_xlpm.pairs,_xlfn._xlws.FILTER(_xlfn.HSTACK(_xlpm.films,_xlpm.grades),(_xlpm.films&lt;&gt;"")*(TRIM(_xlpm.grades)&lt;&gt;"")),_xlpm.uniquePairs,_xlfn.UNIQUE(_xlpm.pairs),_xlpm.sortedPairs,_xlfn._xlws.SORT(_xlpm.uniquePairs,1,1),INDEX(_xlpm.sortedPairs,ROWS($L$2:L294),1)),"")</f>
        <v/>
      </c>
      <c r="M294" s="15" t="str" cm="1">
        <f t="array" ref="M294">IFERROR(_xlfn.LET(_xlpm.films,Table4[Film],_xlpm.grades,Table4[Grade],_xlpm.pairs,_xlfn._xlws.FILTER(_xlfn.HSTACK(_xlpm.films,_xlpm.grades),(_xlpm.films&lt;&gt;"")*(TRIM(_xlpm.grades)&lt;&gt;"")),_xlpm.uniquePairs,_xlfn.UNIQUE(_xlpm.pairs),_xlpm.sortedPairs,_xlfn._xlws.SORT(_xlpm.uniquePairs,1,1),INDEX(_xlpm.sortedPairs,ROWS($M$2:M294),2)),"")</f>
        <v/>
      </c>
      <c r="N294" s="15" t="str" cm="1">
        <f t="array" ref="N294">IF(OR(Table2[[#This Row],[Film]]="",Table2[[#This Row],[Grade]]=""),"",IFERROR(INDEX(Table4[Serial Number],MATCH(1,(Table4[Film]=Table2[[#This Row],[Film]])*(Table4[Grade]=Table2[[#This Row],[Grade]]),0)),""))</f>
        <v/>
      </c>
      <c r="O294" s="51" t="str">
        <f>IF(OR(Table2[[#This Row],[Film]]="",Table2[[#This Row],[Grade]]=""),"",SUMIFS(Table4[Price Calculated(€) Thickness &amp; QTY related],Table4[Film],Table2[[#This Row],[Film]],Table4[Grade],Table2[[#This Row],[Grade]]))</f>
        <v/>
      </c>
      <c r="P294" s="6"/>
      <c r="T294" s="6"/>
    </row>
    <row r="295" spans="1:20" hidden="1">
      <c r="A295" s="55" t="s">
        <v>2337</v>
      </c>
      <c r="B295" s="29" t="s">
        <v>7</v>
      </c>
      <c r="C295" s="28"/>
      <c r="D295" s="28" t="str">
        <f>IF(C295="","",IFERROR(_xlfn.XLOOKUP(C295,HELPER!$A$2:$A$81,HELPER!$B$2:$B$81,""),D295))</f>
        <v/>
      </c>
      <c r="E295" s="28" t="str">
        <f>IFERROR(_xlfn.XLOOKUP(D295,HELPER!$B:$B,HELPER!$C:$C,""),"")</f>
        <v/>
      </c>
      <c r="F295" s="27" t="str">
        <f>IFERROR(_xlfn.XLOOKUP(D295,HELPER!$B:$B,HELPER!$D:$D,""),"")</f>
        <v/>
      </c>
      <c r="G295" s="27">
        <v>9</v>
      </c>
      <c r="H295" s="46"/>
      <c r="I295" s="47" t="str">
        <f>IF(AND(H295&lt;&gt;"",IFERROR(_xlfn.XLOOKUP(D295,HELPER!$B:$B,HELPER!$E:$E,""),"")=""),"Missing price",IFERROR(_xlfn.XLOOKUP(D295,HELPER!$B:$B,HELPER!$E:$E,"")," "))</f>
        <v/>
      </c>
      <c r="J295" s="47" t="str">
        <f>IFERROR(H295*(IF(G295=8,I295*HELPER!$G$2,BOM!I295*HELPER!$G$3))," ")</f>
        <v xml:space="preserve"> </v>
      </c>
      <c r="K295" s="6"/>
      <c r="L295" s="14" t="str" cm="1">
        <f t="array" ref="L295">IFERROR(_xlfn.LET(_xlpm.films,Table4[Film],_xlpm.grades,Table4[Grade],_xlpm.pairs,_xlfn._xlws.FILTER(_xlfn.HSTACK(_xlpm.films,_xlpm.grades),(_xlpm.films&lt;&gt;"")*(TRIM(_xlpm.grades)&lt;&gt;"")),_xlpm.uniquePairs,_xlfn.UNIQUE(_xlpm.pairs),_xlpm.sortedPairs,_xlfn._xlws.SORT(_xlpm.uniquePairs,1,1),INDEX(_xlpm.sortedPairs,ROWS($L$2:L295),1)),"")</f>
        <v/>
      </c>
      <c r="M295" s="15" t="str" cm="1">
        <f t="array" ref="M295">IFERROR(_xlfn.LET(_xlpm.films,Table4[Film],_xlpm.grades,Table4[Grade],_xlpm.pairs,_xlfn._xlws.FILTER(_xlfn.HSTACK(_xlpm.films,_xlpm.grades),(_xlpm.films&lt;&gt;"")*(TRIM(_xlpm.grades)&lt;&gt;"")),_xlpm.uniquePairs,_xlfn.UNIQUE(_xlpm.pairs),_xlpm.sortedPairs,_xlfn._xlws.SORT(_xlpm.uniquePairs,1,1),INDEX(_xlpm.sortedPairs,ROWS($M$2:M295),2)),"")</f>
        <v/>
      </c>
      <c r="N295" s="15" t="str" cm="1">
        <f t="array" ref="N295">IF(OR(Table2[[#This Row],[Film]]="",Table2[[#This Row],[Grade]]=""),"",IFERROR(INDEX(Table4[Serial Number],MATCH(1,(Table4[Film]=Table2[[#This Row],[Film]])*(Table4[Grade]=Table2[[#This Row],[Grade]]),0)),""))</f>
        <v/>
      </c>
      <c r="O295" s="51" t="str">
        <f>IF(OR(Table2[[#This Row],[Film]]="",Table2[[#This Row],[Grade]]=""),"",SUMIFS(Table4[Price Calculated(€) Thickness &amp; QTY related],Table4[Film],Table2[[#This Row],[Film]],Table4[Grade],Table2[[#This Row],[Grade]]))</f>
        <v/>
      </c>
      <c r="P295" s="6"/>
      <c r="T295" s="6"/>
    </row>
    <row r="296" spans="1:20" hidden="1">
      <c r="A296" s="55" t="s">
        <v>2337</v>
      </c>
      <c r="B296" s="29" t="s">
        <v>7</v>
      </c>
      <c r="C296" s="28"/>
      <c r="D296" s="28" t="str">
        <f>IF(C296="","",IFERROR(_xlfn.XLOOKUP(C296,HELPER!$A$2:$A$81,HELPER!$B$2:$B$81,""),D296))</f>
        <v/>
      </c>
      <c r="E296" s="28" t="str">
        <f>IFERROR(_xlfn.XLOOKUP(D296,HELPER!$B:$B,HELPER!$C:$C,""),"")</f>
        <v/>
      </c>
      <c r="F296" s="27" t="str">
        <f>IFERROR(_xlfn.XLOOKUP(D296,HELPER!$B:$B,HELPER!$D:$D,""),"")</f>
        <v/>
      </c>
      <c r="G296" s="27">
        <v>9</v>
      </c>
      <c r="H296" s="46"/>
      <c r="I296" s="47" t="str">
        <f>IF(AND(H296&lt;&gt;"",IFERROR(_xlfn.XLOOKUP(D296,HELPER!$B:$B,HELPER!$E:$E,""),"")=""),"Missing price",IFERROR(_xlfn.XLOOKUP(D296,HELPER!$B:$B,HELPER!$E:$E,"")," "))</f>
        <v/>
      </c>
      <c r="J296" s="47" t="str">
        <f>IFERROR(H296*(IF(G296=8,I296*HELPER!$G$2,BOM!I296*HELPER!$G$3))," ")</f>
        <v xml:space="preserve"> </v>
      </c>
      <c r="K296" s="6"/>
      <c r="L296" s="14" t="str" cm="1">
        <f t="array" ref="L296">IFERROR(_xlfn.LET(_xlpm.films,Table4[Film],_xlpm.grades,Table4[Grade],_xlpm.pairs,_xlfn._xlws.FILTER(_xlfn.HSTACK(_xlpm.films,_xlpm.grades),(_xlpm.films&lt;&gt;"")*(TRIM(_xlpm.grades)&lt;&gt;"")),_xlpm.uniquePairs,_xlfn.UNIQUE(_xlpm.pairs),_xlpm.sortedPairs,_xlfn._xlws.SORT(_xlpm.uniquePairs,1,1),INDEX(_xlpm.sortedPairs,ROWS($L$2:L296),1)),"")</f>
        <v/>
      </c>
      <c r="M296" s="15" t="str" cm="1">
        <f t="array" ref="M296">IFERROR(_xlfn.LET(_xlpm.films,Table4[Film],_xlpm.grades,Table4[Grade],_xlpm.pairs,_xlfn._xlws.FILTER(_xlfn.HSTACK(_xlpm.films,_xlpm.grades),(_xlpm.films&lt;&gt;"")*(TRIM(_xlpm.grades)&lt;&gt;"")),_xlpm.uniquePairs,_xlfn.UNIQUE(_xlpm.pairs),_xlpm.sortedPairs,_xlfn._xlws.SORT(_xlpm.uniquePairs,1,1),INDEX(_xlpm.sortedPairs,ROWS($M$2:M296),2)),"")</f>
        <v/>
      </c>
      <c r="N296" s="15" t="str" cm="1">
        <f t="array" ref="N296">IF(OR(Table2[[#This Row],[Film]]="",Table2[[#This Row],[Grade]]=""),"",IFERROR(INDEX(Table4[Serial Number],MATCH(1,(Table4[Film]=Table2[[#This Row],[Film]])*(Table4[Grade]=Table2[[#This Row],[Grade]]),0)),""))</f>
        <v/>
      </c>
      <c r="O296" s="51" t="str">
        <f>IF(OR(Table2[[#This Row],[Film]]="",Table2[[#This Row],[Grade]]=""),"",SUMIFS(Table4[Price Calculated(€) Thickness &amp; QTY related],Table4[Film],Table2[[#This Row],[Film]],Table4[Grade],Table2[[#This Row],[Grade]]))</f>
        <v/>
      </c>
      <c r="P296" s="6"/>
      <c r="T296" s="6"/>
    </row>
    <row r="297" spans="1:20" hidden="1">
      <c r="A297" s="55" t="s">
        <v>2337</v>
      </c>
      <c r="B297" s="29" t="s">
        <v>7</v>
      </c>
      <c r="C297" s="28"/>
      <c r="D297" s="28" t="str">
        <f>IF(C297="","",IFERROR(_xlfn.XLOOKUP(C297,HELPER!$A$2:$A$81,HELPER!$B$2:$B$81,""),D297))</f>
        <v/>
      </c>
      <c r="E297" s="28" t="str">
        <f>IFERROR(_xlfn.XLOOKUP(D297,HELPER!$B:$B,HELPER!$C:$C,""),"")</f>
        <v/>
      </c>
      <c r="F297" s="27" t="str">
        <f>IFERROR(_xlfn.XLOOKUP(D297,HELPER!$B:$B,HELPER!$D:$D,""),"")</f>
        <v/>
      </c>
      <c r="G297" s="27">
        <v>9</v>
      </c>
      <c r="H297" s="46"/>
      <c r="I297" s="47" t="str">
        <f>IF(AND(H297&lt;&gt;"",IFERROR(_xlfn.XLOOKUP(D297,HELPER!$B:$B,HELPER!$E:$E,""),"")=""),"Missing price",IFERROR(_xlfn.XLOOKUP(D297,HELPER!$B:$B,HELPER!$E:$E,"")," "))</f>
        <v/>
      </c>
      <c r="J297" s="47" t="str">
        <f>IFERROR(H297*(IF(G297=8,I297*HELPER!$G$2,BOM!I297*HELPER!$G$3))," ")</f>
        <v xml:space="preserve"> </v>
      </c>
      <c r="K297" s="6"/>
      <c r="L297" s="14" t="str" cm="1">
        <f t="array" ref="L297">IFERROR(_xlfn.LET(_xlpm.films,Table4[Film],_xlpm.grades,Table4[Grade],_xlpm.pairs,_xlfn._xlws.FILTER(_xlfn.HSTACK(_xlpm.films,_xlpm.grades),(_xlpm.films&lt;&gt;"")*(TRIM(_xlpm.grades)&lt;&gt;"")),_xlpm.uniquePairs,_xlfn.UNIQUE(_xlpm.pairs),_xlpm.sortedPairs,_xlfn._xlws.SORT(_xlpm.uniquePairs,1,1),INDEX(_xlpm.sortedPairs,ROWS($L$2:L297),1)),"")</f>
        <v/>
      </c>
      <c r="M297" s="15" t="str" cm="1">
        <f t="array" ref="M297">IFERROR(_xlfn.LET(_xlpm.films,Table4[Film],_xlpm.grades,Table4[Grade],_xlpm.pairs,_xlfn._xlws.FILTER(_xlfn.HSTACK(_xlpm.films,_xlpm.grades),(_xlpm.films&lt;&gt;"")*(TRIM(_xlpm.grades)&lt;&gt;"")),_xlpm.uniquePairs,_xlfn.UNIQUE(_xlpm.pairs),_xlpm.sortedPairs,_xlfn._xlws.SORT(_xlpm.uniquePairs,1,1),INDEX(_xlpm.sortedPairs,ROWS($M$2:M297),2)),"")</f>
        <v/>
      </c>
      <c r="N297" s="15" t="str" cm="1">
        <f t="array" ref="N297">IF(OR(Table2[[#This Row],[Film]]="",Table2[[#This Row],[Grade]]=""),"",IFERROR(INDEX(Table4[Serial Number],MATCH(1,(Table4[Film]=Table2[[#This Row],[Film]])*(Table4[Grade]=Table2[[#This Row],[Grade]]),0)),""))</f>
        <v/>
      </c>
      <c r="O297" s="51" t="str">
        <f>IF(OR(Table2[[#This Row],[Film]]="",Table2[[#This Row],[Grade]]=""),"",SUMIFS(Table4[Price Calculated(€) Thickness &amp; QTY related],Table4[Film],Table2[[#This Row],[Film]],Table4[Grade],Table2[[#This Row],[Grade]]))</f>
        <v/>
      </c>
      <c r="P297" s="6"/>
      <c r="T297" s="6"/>
    </row>
    <row r="298" spans="1:20" hidden="1">
      <c r="A298" s="55" t="s">
        <v>2337</v>
      </c>
      <c r="B298" s="29" t="s">
        <v>7</v>
      </c>
      <c r="C298" s="28"/>
      <c r="D298" s="28" t="str">
        <f>IF(C298="","",IFERROR(_xlfn.XLOOKUP(C298,HELPER!$A$2:$A$81,HELPER!$B$2:$B$81,""),D298))</f>
        <v/>
      </c>
      <c r="E298" s="28" t="str">
        <f>IFERROR(_xlfn.XLOOKUP(D298,HELPER!$B:$B,HELPER!$C:$C,""),"")</f>
        <v/>
      </c>
      <c r="F298" s="27" t="str">
        <f>IFERROR(_xlfn.XLOOKUP(D298,HELPER!$B:$B,HELPER!$D:$D,""),"")</f>
        <v/>
      </c>
      <c r="G298" s="27">
        <v>9</v>
      </c>
      <c r="H298" s="46"/>
      <c r="I298" s="47" t="str">
        <f>IF(AND(H298&lt;&gt;"",IFERROR(_xlfn.XLOOKUP(D298,HELPER!$B:$B,HELPER!$E:$E,""),"")=""),"Missing price",IFERROR(_xlfn.XLOOKUP(D298,HELPER!$B:$B,HELPER!$E:$E,"")," "))</f>
        <v/>
      </c>
      <c r="J298" s="47" t="str">
        <f>IFERROR(H298*(IF(G298=8,I298*HELPER!$G$2,BOM!I298*HELPER!$G$3))," ")</f>
        <v xml:space="preserve"> </v>
      </c>
      <c r="K298" s="6"/>
      <c r="L298" s="14" t="str" cm="1">
        <f t="array" ref="L298">IFERROR(_xlfn.LET(_xlpm.films,Table4[Film],_xlpm.grades,Table4[Grade],_xlpm.pairs,_xlfn._xlws.FILTER(_xlfn.HSTACK(_xlpm.films,_xlpm.grades),(_xlpm.films&lt;&gt;"")*(TRIM(_xlpm.grades)&lt;&gt;"")),_xlpm.uniquePairs,_xlfn.UNIQUE(_xlpm.pairs),_xlpm.sortedPairs,_xlfn._xlws.SORT(_xlpm.uniquePairs,1,1),INDEX(_xlpm.sortedPairs,ROWS($L$2:L298),1)),"")</f>
        <v/>
      </c>
      <c r="M298" s="15" t="str" cm="1">
        <f t="array" ref="M298">IFERROR(_xlfn.LET(_xlpm.films,Table4[Film],_xlpm.grades,Table4[Grade],_xlpm.pairs,_xlfn._xlws.FILTER(_xlfn.HSTACK(_xlpm.films,_xlpm.grades),(_xlpm.films&lt;&gt;"")*(TRIM(_xlpm.grades)&lt;&gt;"")),_xlpm.uniquePairs,_xlfn.UNIQUE(_xlpm.pairs),_xlpm.sortedPairs,_xlfn._xlws.SORT(_xlpm.uniquePairs,1,1),INDEX(_xlpm.sortedPairs,ROWS($M$2:M298),2)),"")</f>
        <v/>
      </c>
      <c r="N298" s="15" t="str" cm="1">
        <f t="array" ref="N298">IF(OR(Table2[[#This Row],[Film]]="",Table2[[#This Row],[Grade]]=""),"",IFERROR(INDEX(Table4[Serial Number],MATCH(1,(Table4[Film]=Table2[[#This Row],[Film]])*(Table4[Grade]=Table2[[#This Row],[Grade]]),0)),""))</f>
        <v/>
      </c>
      <c r="O298" s="51" t="str">
        <f>IF(OR(Table2[[#This Row],[Film]]="",Table2[[#This Row],[Grade]]=""),"",SUMIFS(Table4[Price Calculated(€) Thickness &amp; QTY related],Table4[Film],Table2[[#This Row],[Film]],Table4[Grade],Table2[[#This Row],[Grade]]))</f>
        <v/>
      </c>
      <c r="P298" s="6"/>
      <c r="T298" s="6"/>
    </row>
    <row r="299" spans="1:20" hidden="1">
      <c r="A299" s="55" t="s">
        <v>2337</v>
      </c>
      <c r="B299" s="29" t="s">
        <v>7</v>
      </c>
      <c r="C299" s="28"/>
      <c r="D299" s="28" t="str">
        <f>IF(C299="","",IFERROR(_xlfn.XLOOKUP(C299,HELPER!$A$2:$A$81,HELPER!$B$2:$B$81,""),D299))</f>
        <v/>
      </c>
      <c r="E299" s="28" t="str">
        <f>IFERROR(_xlfn.XLOOKUP(D299,HELPER!$B:$B,HELPER!$C:$C,""),"")</f>
        <v/>
      </c>
      <c r="F299" s="27" t="str">
        <f>IFERROR(_xlfn.XLOOKUP(D299,HELPER!$B:$B,HELPER!$D:$D,""),"")</f>
        <v/>
      </c>
      <c r="G299" s="27">
        <v>9</v>
      </c>
      <c r="H299" s="46"/>
      <c r="I299" s="47" t="str">
        <f>IF(AND(H299&lt;&gt;"",IFERROR(_xlfn.XLOOKUP(D299,HELPER!$B:$B,HELPER!$E:$E,""),"")=""),"Missing price",IFERROR(_xlfn.XLOOKUP(D299,HELPER!$B:$B,HELPER!$E:$E,"")," "))</f>
        <v/>
      </c>
      <c r="J299" s="47" t="str">
        <f>IFERROR(H299*(IF(G299=8,I299*HELPER!$G$2,BOM!I299*HELPER!$G$3))," ")</f>
        <v xml:space="preserve"> </v>
      </c>
      <c r="K299" s="6"/>
      <c r="L299" s="14" t="str" cm="1">
        <f t="array" ref="L299">IFERROR(_xlfn.LET(_xlpm.films,Table4[Film],_xlpm.grades,Table4[Grade],_xlpm.pairs,_xlfn._xlws.FILTER(_xlfn.HSTACK(_xlpm.films,_xlpm.grades),(_xlpm.films&lt;&gt;"")*(TRIM(_xlpm.grades)&lt;&gt;"")),_xlpm.uniquePairs,_xlfn.UNIQUE(_xlpm.pairs),_xlpm.sortedPairs,_xlfn._xlws.SORT(_xlpm.uniquePairs,1,1),INDEX(_xlpm.sortedPairs,ROWS($L$2:L299),1)),"")</f>
        <v/>
      </c>
      <c r="M299" s="15" t="str" cm="1">
        <f t="array" ref="M299">IFERROR(_xlfn.LET(_xlpm.films,Table4[Film],_xlpm.grades,Table4[Grade],_xlpm.pairs,_xlfn._xlws.FILTER(_xlfn.HSTACK(_xlpm.films,_xlpm.grades),(_xlpm.films&lt;&gt;"")*(TRIM(_xlpm.grades)&lt;&gt;"")),_xlpm.uniquePairs,_xlfn.UNIQUE(_xlpm.pairs),_xlpm.sortedPairs,_xlfn._xlws.SORT(_xlpm.uniquePairs,1,1),INDEX(_xlpm.sortedPairs,ROWS($M$2:M299),2)),"")</f>
        <v/>
      </c>
      <c r="N299" s="15" t="str" cm="1">
        <f t="array" ref="N299">IF(OR(Table2[[#This Row],[Film]]="",Table2[[#This Row],[Grade]]=""),"",IFERROR(INDEX(Table4[Serial Number],MATCH(1,(Table4[Film]=Table2[[#This Row],[Film]])*(Table4[Grade]=Table2[[#This Row],[Grade]]),0)),""))</f>
        <v/>
      </c>
      <c r="O299" s="51" t="str">
        <f>IF(OR(Table2[[#This Row],[Film]]="",Table2[[#This Row],[Grade]]=""),"",SUMIFS(Table4[Price Calculated(€) Thickness &amp; QTY related],Table4[Film],Table2[[#This Row],[Film]],Table4[Grade],Table2[[#This Row],[Grade]]))</f>
        <v/>
      </c>
      <c r="P299" s="6"/>
      <c r="T299" s="6"/>
    </row>
    <row r="300" spans="1:20" hidden="1">
      <c r="A300" s="55" t="s">
        <v>2337</v>
      </c>
      <c r="B300" s="29" t="s">
        <v>7</v>
      </c>
      <c r="C300" s="28"/>
      <c r="D300" s="28" t="str">
        <f>IF(C300="","",IFERROR(_xlfn.XLOOKUP(C300,HELPER!$A$2:$A$81,HELPER!$B$2:$B$81,""),D300))</f>
        <v/>
      </c>
      <c r="E300" s="28" t="str">
        <f>IFERROR(_xlfn.XLOOKUP(D300,HELPER!$B:$B,HELPER!$C:$C,""),"")</f>
        <v/>
      </c>
      <c r="F300" s="27" t="str">
        <f>IFERROR(_xlfn.XLOOKUP(D300,HELPER!$B:$B,HELPER!$D:$D,""),"")</f>
        <v/>
      </c>
      <c r="G300" s="27">
        <v>9</v>
      </c>
      <c r="H300" s="46"/>
      <c r="I300" s="47" t="str">
        <f>IF(AND(H300&lt;&gt;"",IFERROR(_xlfn.XLOOKUP(D300,HELPER!$B:$B,HELPER!$E:$E,""),"")=""),"Missing price",IFERROR(_xlfn.XLOOKUP(D300,HELPER!$B:$B,HELPER!$E:$E,"")," "))</f>
        <v/>
      </c>
      <c r="J300" s="47" t="str">
        <f>IFERROR(H300*(IF(G300=8,I300*HELPER!$G$2,BOM!I300*HELPER!$G$3))," ")</f>
        <v xml:space="preserve"> </v>
      </c>
      <c r="K300" s="6"/>
      <c r="L300" s="14" t="str" cm="1">
        <f t="array" ref="L300">IFERROR(_xlfn.LET(_xlpm.films,Table4[Film],_xlpm.grades,Table4[Grade],_xlpm.pairs,_xlfn._xlws.FILTER(_xlfn.HSTACK(_xlpm.films,_xlpm.grades),(_xlpm.films&lt;&gt;"")*(TRIM(_xlpm.grades)&lt;&gt;"")),_xlpm.uniquePairs,_xlfn.UNIQUE(_xlpm.pairs),_xlpm.sortedPairs,_xlfn._xlws.SORT(_xlpm.uniquePairs,1,1),INDEX(_xlpm.sortedPairs,ROWS($L$2:L300),1)),"")</f>
        <v/>
      </c>
      <c r="M300" s="15" t="str" cm="1">
        <f t="array" ref="M300">IFERROR(_xlfn.LET(_xlpm.films,Table4[Film],_xlpm.grades,Table4[Grade],_xlpm.pairs,_xlfn._xlws.FILTER(_xlfn.HSTACK(_xlpm.films,_xlpm.grades),(_xlpm.films&lt;&gt;"")*(TRIM(_xlpm.grades)&lt;&gt;"")),_xlpm.uniquePairs,_xlfn.UNIQUE(_xlpm.pairs),_xlpm.sortedPairs,_xlfn._xlws.SORT(_xlpm.uniquePairs,1,1),INDEX(_xlpm.sortedPairs,ROWS($M$2:M300),2)),"")</f>
        <v/>
      </c>
      <c r="N300" s="15" t="str" cm="1">
        <f t="array" ref="N300">IF(OR(Table2[[#This Row],[Film]]="",Table2[[#This Row],[Grade]]=""),"",IFERROR(INDEX(Table4[Serial Number],MATCH(1,(Table4[Film]=Table2[[#This Row],[Film]])*(Table4[Grade]=Table2[[#This Row],[Grade]]),0)),""))</f>
        <v/>
      </c>
      <c r="O300" s="51" t="str">
        <f>IF(OR(Table2[[#This Row],[Film]]="",Table2[[#This Row],[Grade]]=""),"",SUMIFS(Table4[Price Calculated(€) Thickness &amp; QTY related],Table4[Film],Table2[[#This Row],[Film]],Table4[Grade],Table2[[#This Row],[Grade]]))</f>
        <v/>
      </c>
      <c r="P300" s="6"/>
      <c r="T300" s="6"/>
    </row>
    <row r="301" spans="1:20" hidden="1">
      <c r="A301" s="55" t="s">
        <v>2337</v>
      </c>
      <c r="B301" s="29" t="s">
        <v>7</v>
      </c>
      <c r="C301" s="28"/>
      <c r="D301" s="28" t="str">
        <f>IF(C301="","",IFERROR(_xlfn.XLOOKUP(C301,HELPER!$A$2:$A$81,HELPER!$B$2:$B$81,""),D301))</f>
        <v/>
      </c>
      <c r="E301" s="28" t="str">
        <f>IFERROR(_xlfn.XLOOKUP(D301,HELPER!$B:$B,HELPER!$C:$C,""),"")</f>
        <v/>
      </c>
      <c r="F301" s="27" t="str">
        <f>IFERROR(_xlfn.XLOOKUP(D301,HELPER!$B:$B,HELPER!$D:$D,""),"")</f>
        <v/>
      </c>
      <c r="G301" s="27">
        <v>9</v>
      </c>
      <c r="H301" s="46"/>
      <c r="I301" s="47" t="str">
        <f>IF(AND(H301&lt;&gt;"",IFERROR(_xlfn.XLOOKUP(D301,HELPER!$B:$B,HELPER!$E:$E,""),"")=""),"Missing price",IFERROR(_xlfn.XLOOKUP(D301,HELPER!$B:$B,HELPER!$E:$E,"")," "))</f>
        <v/>
      </c>
      <c r="J301" s="47" t="str">
        <f>IFERROR(H301*(IF(G301=8,I301*HELPER!$G$2,BOM!I301*HELPER!$G$3))," ")</f>
        <v xml:space="preserve"> </v>
      </c>
      <c r="K301" s="6"/>
      <c r="L301" s="14" t="str" cm="1">
        <f t="array" ref="L301">IFERROR(_xlfn.LET(_xlpm.films,Table4[Film],_xlpm.grades,Table4[Grade],_xlpm.pairs,_xlfn._xlws.FILTER(_xlfn.HSTACK(_xlpm.films,_xlpm.grades),(_xlpm.films&lt;&gt;"")*(TRIM(_xlpm.grades)&lt;&gt;"")),_xlpm.uniquePairs,_xlfn.UNIQUE(_xlpm.pairs),_xlpm.sortedPairs,_xlfn._xlws.SORT(_xlpm.uniquePairs,1,1),INDEX(_xlpm.sortedPairs,ROWS($L$2:L301),1)),"")</f>
        <v/>
      </c>
      <c r="M301" s="15" t="str" cm="1">
        <f t="array" ref="M301">IFERROR(_xlfn.LET(_xlpm.films,Table4[Film],_xlpm.grades,Table4[Grade],_xlpm.pairs,_xlfn._xlws.FILTER(_xlfn.HSTACK(_xlpm.films,_xlpm.grades),(_xlpm.films&lt;&gt;"")*(TRIM(_xlpm.grades)&lt;&gt;"")),_xlpm.uniquePairs,_xlfn.UNIQUE(_xlpm.pairs),_xlpm.sortedPairs,_xlfn._xlws.SORT(_xlpm.uniquePairs,1,1),INDEX(_xlpm.sortedPairs,ROWS($M$2:M301),2)),"")</f>
        <v/>
      </c>
      <c r="N301" s="15" t="str" cm="1">
        <f t="array" ref="N301">IF(OR(Table2[[#This Row],[Film]]="",Table2[[#This Row],[Grade]]=""),"",IFERROR(INDEX(Table4[Serial Number],MATCH(1,(Table4[Film]=Table2[[#This Row],[Film]])*(Table4[Grade]=Table2[[#This Row],[Grade]]),0)),""))</f>
        <v/>
      </c>
      <c r="O301" s="51" t="str">
        <f>IF(OR(Table2[[#This Row],[Film]]="",Table2[[#This Row],[Grade]]=""),"",SUMIFS(Table4[Price Calculated(€) Thickness &amp; QTY related],Table4[Film],Table2[[#This Row],[Film]],Table4[Grade],Table2[[#This Row],[Grade]]))</f>
        <v/>
      </c>
      <c r="P301" s="6"/>
      <c r="T301" s="6"/>
    </row>
    <row r="302" spans="1:20" hidden="1">
      <c r="A302" s="55" t="s">
        <v>2337</v>
      </c>
      <c r="B302" s="29" t="s">
        <v>2338</v>
      </c>
      <c r="C302" s="28" t="s">
        <v>13</v>
      </c>
      <c r="D302" s="28" t="str">
        <f>IF(C302="","",IFERROR(_xlfn.XLOOKUP(C302,HELPER!$A$2:$A$81,HELPER!$B$2:$B$81,""),D302))</f>
        <v>LX175</v>
      </c>
      <c r="E302" s="28" t="str">
        <f>IFERROR(_xlfn.XLOOKUP(D302,HELPER!$B:$B,HELPER!$C:$C,""),"")</f>
        <v>RMLX175</v>
      </c>
      <c r="F302" s="27" t="str">
        <f>IFERROR(_xlfn.XLOOKUP(D302,HELPER!$B:$B,HELPER!$D:$D,""),"")</f>
        <v>Resin 1A</v>
      </c>
      <c r="G302" s="27">
        <v>8</v>
      </c>
      <c r="H302" s="46">
        <v>0.79500000000000004</v>
      </c>
      <c r="I302" s="47">
        <f>IF(AND(H302&lt;&gt;"",IFERROR(_xlfn.XLOOKUP(D302,HELPER!$B:$B,HELPER!$E:$E,""),"")=""),"Missing price",IFERROR(_xlfn.XLOOKUP(D302,HELPER!$B:$B,HELPER!$E:$E,"")," "))</f>
        <v>3.17</v>
      </c>
      <c r="J302" s="47">
        <f>IFERROR(H302*(IF(G302=8,I302*HELPER!$G$2,BOM!I302*HELPER!$G$3))," ")</f>
        <v>0.50402999999999998</v>
      </c>
      <c r="K302" s="6"/>
      <c r="L302" s="14" t="str" cm="1">
        <f t="array" ref="L302">IFERROR(_xlfn.LET(_xlpm.films,Table4[Film],_xlpm.grades,Table4[Grade],_xlpm.pairs,_xlfn._xlws.FILTER(_xlfn.HSTACK(_xlpm.films,_xlpm.grades),(_xlpm.films&lt;&gt;"")*(TRIM(_xlpm.grades)&lt;&gt;"")),_xlpm.uniquePairs,_xlfn.UNIQUE(_xlpm.pairs),_xlpm.sortedPairs,_xlfn._xlws.SORT(_xlpm.uniquePairs,1,1),INDEX(_xlpm.sortedPairs,ROWS($L$2:L302),1)),"")</f>
        <v/>
      </c>
      <c r="M302" s="15" t="str" cm="1">
        <f t="array" ref="M302">IFERROR(_xlfn.LET(_xlpm.films,Table4[Film],_xlpm.grades,Table4[Grade],_xlpm.pairs,_xlfn._xlws.FILTER(_xlfn.HSTACK(_xlpm.films,_xlpm.grades),(_xlpm.films&lt;&gt;"")*(TRIM(_xlpm.grades)&lt;&gt;"")),_xlpm.uniquePairs,_xlfn.UNIQUE(_xlpm.pairs),_xlpm.sortedPairs,_xlfn._xlws.SORT(_xlpm.uniquePairs,1,1),INDEX(_xlpm.sortedPairs,ROWS($M$2:M302),2)),"")</f>
        <v/>
      </c>
      <c r="N302" s="15" t="str" cm="1">
        <f t="array" ref="N302">IF(OR(Table2[[#This Row],[Film]]="",Table2[[#This Row],[Grade]]=""),"",IFERROR(INDEX(Table4[Serial Number],MATCH(1,(Table4[Film]=Table2[[#This Row],[Film]])*(Table4[Grade]=Table2[[#This Row],[Grade]]),0)),""))</f>
        <v/>
      </c>
      <c r="O302" s="51" t="str">
        <f>IF(OR(Table2[[#This Row],[Film]]="",Table2[[#This Row],[Grade]]=""),"",SUMIFS(Table4[Price Calculated(€) Thickness &amp; QTY related],Table4[Film],Table2[[#This Row],[Film]],Table4[Grade],Table2[[#This Row],[Grade]]))</f>
        <v/>
      </c>
      <c r="P302" s="6"/>
      <c r="T302" s="6"/>
    </row>
    <row r="303" spans="1:20" hidden="1">
      <c r="A303" s="55" t="s">
        <v>2337</v>
      </c>
      <c r="B303" s="29" t="s">
        <v>2338</v>
      </c>
      <c r="C303" s="28" t="s">
        <v>15</v>
      </c>
      <c r="D303" s="28" t="str">
        <f>IF(C303="","",IFERROR(_xlfn.XLOOKUP(C303,HELPER!$A$2:$A$81,HELPER!$B$2:$B$81,""),D303))</f>
        <v>P65D</v>
      </c>
      <c r="E303" s="28" t="str">
        <f>IFERROR(_xlfn.XLOOKUP(D303,HELPER!$B:$B,HELPER!$C:$C,""),"")</f>
        <v>RMP65D</v>
      </c>
      <c r="F303" s="27" t="str">
        <f>IFERROR(_xlfn.XLOOKUP(D303,HELPER!$B:$B,HELPER!$D:$D,""),"")</f>
        <v>Resin 4A</v>
      </c>
      <c r="G303" s="27">
        <v>3</v>
      </c>
      <c r="H303" s="46">
        <v>0.19</v>
      </c>
      <c r="I303" s="47">
        <f>IF(AND(H303&lt;&gt;"",IFERROR(_xlfn.XLOOKUP(D303,HELPER!$B:$B,HELPER!$E:$E,""),"")=""),"Missing price",IFERROR(_xlfn.XLOOKUP(D303,HELPER!$B:$B,HELPER!$E:$E,"")," "))</f>
        <v>7.3</v>
      </c>
      <c r="J303" s="47">
        <f>IFERROR(H303*(IF(G303=8,I303*HELPER!$G$2,BOM!I303*HELPER!$G$3))," ")</f>
        <v>0.83219999999999994</v>
      </c>
      <c r="K303" s="6"/>
      <c r="L303" s="14" t="str" cm="1">
        <f t="array" ref="L303">IFERROR(_xlfn.LET(_xlpm.films,Table4[Film],_xlpm.grades,Table4[Grade],_xlpm.pairs,_xlfn._xlws.FILTER(_xlfn.HSTACK(_xlpm.films,_xlpm.grades),(_xlpm.films&lt;&gt;"")*(TRIM(_xlpm.grades)&lt;&gt;"")),_xlpm.uniquePairs,_xlfn.UNIQUE(_xlpm.pairs),_xlpm.sortedPairs,_xlfn._xlws.SORT(_xlpm.uniquePairs,1,1),INDEX(_xlpm.sortedPairs,ROWS($L$2:L303),1)),"")</f>
        <v/>
      </c>
      <c r="M303" s="15" t="str" cm="1">
        <f t="array" ref="M303">IFERROR(_xlfn.LET(_xlpm.films,Table4[Film],_xlpm.grades,Table4[Grade],_xlpm.pairs,_xlfn._xlws.FILTER(_xlfn.HSTACK(_xlpm.films,_xlpm.grades),(_xlpm.films&lt;&gt;"")*(TRIM(_xlpm.grades)&lt;&gt;"")),_xlpm.uniquePairs,_xlfn.UNIQUE(_xlpm.pairs),_xlpm.sortedPairs,_xlfn._xlws.SORT(_xlpm.uniquePairs,1,1),INDEX(_xlpm.sortedPairs,ROWS($M$2:M303),2)),"")</f>
        <v/>
      </c>
      <c r="N303" s="15" t="str" cm="1">
        <f t="array" ref="N303">IF(OR(Table2[[#This Row],[Film]]="",Table2[[#This Row],[Grade]]=""),"",IFERROR(INDEX(Table4[Serial Number],MATCH(1,(Table4[Film]=Table2[[#This Row],[Film]])*(Table4[Grade]=Table2[[#This Row],[Grade]]),0)),""))</f>
        <v/>
      </c>
      <c r="O303" s="51" t="str">
        <f>IF(OR(Table2[[#This Row],[Film]]="",Table2[[#This Row],[Grade]]=""),"",SUMIFS(Table4[Price Calculated(€) Thickness &amp; QTY related],Table4[Film],Table2[[#This Row],[Film]],Table4[Grade],Table2[[#This Row],[Grade]]))</f>
        <v/>
      </c>
      <c r="P303" s="6"/>
      <c r="T303" s="6"/>
    </row>
    <row r="304" spans="1:20" hidden="1">
      <c r="A304" s="55" t="s">
        <v>2337</v>
      </c>
      <c r="B304" s="29" t="s">
        <v>2338</v>
      </c>
      <c r="C304" s="28" t="s">
        <v>16</v>
      </c>
      <c r="D304" s="28" t="str">
        <f>IF(C304="","",IFERROR(_xlfn.XLOOKUP(C304,HELPER!$A$2:$A$81,HELPER!$B$2:$B$81,""),D304))</f>
        <v>S723</v>
      </c>
      <c r="E304" s="28" t="str">
        <f>IFERROR(_xlfn.XLOOKUP(D304,HELPER!$B:$B,HELPER!$C:$C,""),"")</f>
        <v>RM TA45-08 S723</v>
      </c>
      <c r="F304" s="27" t="str">
        <f>IFERROR(_xlfn.XLOOKUP(D304,HELPER!$B:$B,HELPER!$D:$D,""),"")</f>
        <v>Resin 6</v>
      </c>
      <c r="G304" s="27">
        <v>3</v>
      </c>
      <c r="H304" s="46">
        <v>1.4999999999999999E-2</v>
      </c>
      <c r="I304" s="47">
        <f>IF(AND(H304&lt;&gt;"",IFERROR(_xlfn.XLOOKUP(D304,HELPER!$B:$B,HELPER!$E:$E,""),"")=""),"Missing price",IFERROR(_xlfn.XLOOKUP(D304,HELPER!$B:$B,HELPER!$E:$E,"")," "))</f>
        <v>16.16</v>
      </c>
      <c r="J304" s="47">
        <f>IFERROR(H304*(IF(G304=8,I304*HELPER!$G$2,BOM!I304*HELPER!$G$3))," ")</f>
        <v>0.14543999999999999</v>
      </c>
      <c r="K304" s="6"/>
      <c r="L304" s="14" t="str" cm="1">
        <f t="array" ref="L304">IFERROR(_xlfn.LET(_xlpm.films,Table4[Film],_xlpm.grades,Table4[Grade],_xlpm.pairs,_xlfn._xlws.FILTER(_xlfn.HSTACK(_xlpm.films,_xlpm.grades),(_xlpm.films&lt;&gt;"")*(TRIM(_xlpm.grades)&lt;&gt;"")),_xlpm.uniquePairs,_xlfn.UNIQUE(_xlpm.pairs),_xlpm.sortedPairs,_xlfn._xlws.SORT(_xlpm.uniquePairs,1,1),INDEX(_xlpm.sortedPairs,ROWS($L$2:L304),1)),"")</f>
        <v/>
      </c>
      <c r="M304" s="15" t="str" cm="1">
        <f t="array" ref="M304">IFERROR(_xlfn.LET(_xlpm.films,Table4[Film],_xlpm.grades,Table4[Grade],_xlpm.pairs,_xlfn._xlws.FILTER(_xlfn.HSTACK(_xlpm.films,_xlpm.grades),(_xlpm.films&lt;&gt;"")*(TRIM(_xlpm.grades)&lt;&gt;"")),_xlpm.uniquePairs,_xlfn.UNIQUE(_xlpm.pairs),_xlpm.sortedPairs,_xlfn._xlws.SORT(_xlpm.uniquePairs,1,1),INDEX(_xlpm.sortedPairs,ROWS($M$2:M304),2)),"")</f>
        <v/>
      </c>
      <c r="N304" s="15" t="str" cm="1">
        <f t="array" ref="N304">IF(OR(Table2[[#This Row],[Film]]="",Table2[[#This Row],[Grade]]=""),"",IFERROR(INDEX(Table4[Serial Number],MATCH(1,(Table4[Film]=Table2[[#This Row],[Film]])*(Table4[Grade]=Table2[[#This Row],[Grade]]),0)),""))</f>
        <v/>
      </c>
      <c r="O304" s="51" t="str">
        <f>IF(OR(Table2[[#This Row],[Film]]="",Table2[[#This Row],[Grade]]=""),"",SUMIFS(Table4[Price Calculated(€) Thickness &amp; QTY related],Table4[Film],Table2[[#This Row],[Film]],Table4[Grade],Table2[[#This Row],[Grade]]))</f>
        <v/>
      </c>
      <c r="P304" s="6"/>
      <c r="T304" s="6"/>
    </row>
    <row r="305" spans="1:20" hidden="1">
      <c r="A305" s="55" t="s">
        <v>2337</v>
      </c>
      <c r="B305" s="29" t="s">
        <v>2338</v>
      </c>
      <c r="C305" s="28"/>
      <c r="D305" s="28" t="str">
        <f>IF(C305="","",IFERROR(_xlfn.XLOOKUP(C305,HELPER!$A$2:$A$81,HELPER!$B$2:$B$81,""),D305))</f>
        <v/>
      </c>
      <c r="E305" s="28" t="str">
        <f>IFERROR(_xlfn.XLOOKUP(D305,HELPER!$B:$B,HELPER!$C:$C,""),"")</f>
        <v/>
      </c>
      <c r="F305" s="27" t="str">
        <f>IFERROR(_xlfn.XLOOKUP(D305,HELPER!$B:$B,HELPER!$D:$D,""),"")</f>
        <v/>
      </c>
      <c r="G305" s="27">
        <v>3</v>
      </c>
      <c r="H305" s="46"/>
      <c r="I305" s="47" t="str">
        <f>IF(AND(H305&lt;&gt;"",IFERROR(_xlfn.XLOOKUP(D305,HELPER!$B:$B,HELPER!$E:$E,""),"")=""),"Missing price",IFERROR(_xlfn.XLOOKUP(D305,HELPER!$B:$B,HELPER!$E:$E,"")," "))</f>
        <v/>
      </c>
      <c r="J305" s="47" t="str">
        <f>IFERROR(H305*(IF(G305=8,I305*HELPER!$G$2,BOM!I305*HELPER!$G$3))," ")</f>
        <v xml:space="preserve"> </v>
      </c>
      <c r="K305" s="6"/>
      <c r="L305" s="14" t="str" cm="1">
        <f t="array" ref="L305">IFERROR(_xlfn.LET(_xlpm.films,Table4[Film],_xlpm.grades,Table4[Grade],_xlpm.pairs,_xlfn._xlws.FILTER(_xlfn.HSTACK(_xlpm.films,_xlpm.grades),(_xlpm.films&lt;&gt;"")*(TRIM(_xlpm.grades)&lt;&gt;"")),_xlpm.uniquePairs,_xlfn.UNIQUE(_xlpm.pairs),_xlpm.sortedPairs,_xlfn._xlws.SORT(_xlpm.uniquePairs,1,1),INDEX(_xlpm.sortedPairs,ROWS($L$2:L305),1)),"")</f>
        <v/>
      </c>
      <c r="M305" s="15" t="str" cm="1">
        <f t="array" ref="M305">IFERROR(_xlfn.LET(_xlpm.films,Table4[Film],_xlpm.grades,Table4[Grade],_xlpm.pairs,_xlfn._xlws.FILTER(_xlfn.HSTACK(_xlpm.films,_xlpm.grades),(_xlpm.films&lt;&gt;"")*(TRIM(_xlpm.grades)&lt;&gt;"")),_xlpm.uniquePairs,_xlfn.UNIQUE(_xlpm.pairs),_xlpm.sortedPairs,_xlfn._xlws.SORT(_xlpm.uniquePairs,1,1),INDEX(_xlpm.sortedPairs,ROWS($M$2:M305),2)),"")</f>
        <v/>
      </c>
      <c r="N305" s="15" t="str" cm="1">
        <f t="array" ref="N305">IF(OR(Table2[[#This Row],[Film]]="",Table2[[#This Row],[Grade]]=""),"",IFERROR(INDEX(Table4[Serial Number],MATCH(1,(Table4[Film]=Table2[[#This Row],[Film]])*(Table4[Grade]=Table2[[#This Row],[Grade]]),0)),""))</f>
        <v/>
      </c>
      <c r="O305" s="51" t="str">
        <f>IF(OR(Table2[[#This Row],[Film]]="",Table2[[#This Row],[Grade]]=""),"",SUMIFS(Table4[Price Calculated(€) Thickness &amp; QTY related],Table4[Film],Table2[[#This Row],[Film]],Table4[Grade],Table2[[#This Row],[Grade]]))</f>
        <v/>
      </c>
      <c r="P305" s="6"/>
      <c r="T305" s="6"/>
    </row>
    <row r="306" spans="1:20" hidden="1">
      <c r="A306" s="55" t="s">
        <v>2337</v>
      </c>
      <c r="B306" s="29" t="s">
        <v>2338</v>
      </c>
      <c r="C306" s="28"/>
      <c r="D306" s="28" t="str">
        <f>IF(C306="","",IFERROR(_xlfn.XLOOKUP(C306,HELPER!$A$2:$A$81,HELPER!$B$2:$B$81,""),D306))</f>
        <v/>
      </c>
      <c r="E306" s="28" t="str">
        <f>IFERROR(_xlfn.XLOOKUP(D306,HELPER!$B:$B,HELPER!$C:$C,""),"")</f>
        <v/>
      </c>
      <c r="F306" s="27" t="str">
        <f>IFERROR(_xlfn.XLOOKUP(D306,HELPER!$B:$B,HELPER!$D:$D,""),"")</f>
        <v/>
      </c>
      <c r="G306" s="27">
        <v>3</v>
      </c>
      <c r="H306" s="46"/>
      <c r="I306" s="47" t="str">
        <f>IF(AND(H306&lt;&gt;"",IFERROR(_xlfn.XLOOKUP(D306,HELPER!$B:$B,HELPER!$E:$E,""),"")=""),"Missing price",IFERROR(_xlfn.XLOOKUP(D306,HELPER!$B:$B,HELPER!$E:$E,"")," "))</f>
        <v/>
      </c>
      <c r="J306" s="47" t="str">
        <f>IFERROR(H306*(IF(G306=8,I306*HELPER!$G$2,BOM!I306*HELPER!$G$3))," ")</f>
        <v xml:space="preserve"> </v>
      </c>
      <c r="K306" s="6"/>
      <c r="L306" s="14" t="str" cm="1">
        <f t="array" ref="L306">IFERROR(_xlfn.LET(_xlpm.films,Table4[Film],_xlpm.grades,Table4[Grade],_xlpm.pairs,_xlfn._xlws.FILTER(_xlfn.HSTACK(_xlpm.films,_xlpm.grades),(_xlpm.films&lt;&gt;"")*(TRIM(_xlpm.grades)&lt;&gt;"")),_xlpm.uniquePairs,_xlfn.UNIQUE(_xlpm.pairs),_xlpm.sortedPairs,_xlfn._xlws.SORT(_xlpm.uniquePairs,1,1),INDEX(_xlpm.sortedPairs,ROWS($L$2:L306),1)),"")</f>
        <v/>
      </c>
      <c r="M306" s="15" t="str" cm="1">
        <f t="array" ref="M306">IFERROR(_xlfn.LET(_xlpm.films,Table4[Film],_xlpm.grades,Table4[Grade],_xlpm.pairs,_xlfn._xlws.FILTER(_xlfn.HSTACK(_xlpm.films,_xlpm.grades),(_xlpm.films&lt;&gt;"")*(TRIM(_xlpm.grades)&lt;&gt;"")),_xlpm.uniquePairs,_xlfn.UNIQUE(_xlpm.pairs),_xlpm.sortedPairs,_xlfn._xlws.SORT(_xlpm.uniquePairs,1,1),INDEX(_xlpm.sortedPairs,ROWS($M$2:M306),2)),"")</f>
        <v/>
      </c>
      <c r="N306" s="15" t="str" cm="1">
        <f t="array" ref="N306">IF(OR(Table2[[#This Row],[Film]]="",Table2[[#This Row],[Grade]]=""),"",IFERROR(INDEX(Table4[Serial Number],MATCH(1,(Table4[Film]=Table2[[#This Row],[Film]])*(Table4[Grade]=Table2[[#This Row],[Grade]]),0)),""))</f>
        <v/>
      </c>
      <c r="O306" s="51" t="str">
        <f>IF(OR(Table2[[#This Row],[Film]]="",Table2[[#This Row],[Grade]]=""),"",SUMIFS(Table4[Price Calculated(€) Thickness &amp; QTY related],Table4[Film],Table2[[#This Row],[Film]],Table4[Grade],Table2[[#This Row],[Grade]]))</f>
        <v/>
      </c>
      <c r="P306" s="6"/>
      <c r="T306" s="6"/>
    </row>
    <row r="307" spans="1:20" hidden="1">
      <c r="A307" s="55" t="s">
        <v>2337</v>
      </c>
      <c r="B307" s="29" t="s">
        <v>2338</v>
      </c>
      <c r="C307" s="28"/>
      <c r="D307" s="28" t="str">
        <f>IF(C307="","",IFERROR(_xlfn.XLOOKUP(C307,HELPER!$A$2:$A$81,HELPER!$B$2:$B$81,""),D307))</f>
        <v/>
      </c>
      <c r="E307" s="28" t="str">
        <f>IFERROR(_xlfn.XLOOKUP(D307,HELPER!$B:$B,HELPER!$C:$C,""),"")</f>
        <v/>
      </c>
      <c r="F307" s="27" t="str">
        <f>IFERROR(_xlfn.XLOOKUP(D307,HELPER!$B:$B,HELPER!$D:$D,""),"")</f>
        <v/>
      </c>
      <c r="G307" s="27">
        <v>3</v>
      </c>
      <c r="H307" s="46"/>
      <c r="I307" s="47" t="str">
        <f>IF(AND(H307&lt;&gt;"",IFERROR(_xlfn.XLOOKUP(D307,HELPER!$B:$B,HELPER!$E:$E,""),"")=""),"Missing price",IFERROR(_xlfn.XLOOKUP(D307,HELPER!$B:$B,HELPER!$E:$E,"")," "))</f>
        <v/>
      </c>
      <c r="J307" s="47" t="str">
        <f>IFERROR(H307*(IF(G307=8,I307*HELPER!$G$2,BOM!I307*HELPER!$G$3))," ")</f>
        <v xml:space="preserve"> </v>
      </c>
      <c r="K307" s="6"/>
      <c r="L307" s="14" t="str" cm="1">
        <f t="array" ref="L307">IFERROR(_xlfn.LET(_xlpm.films,Table4[Film],_xlpm.grades,Table4[Grade],_xlpm.pairs,_xlfn._xlws.FILTER(_xlfn.HSTACK(_xlpm.films,_xlpm.grades),(_xlpm.films&lt;&gt;"")*(TRIM(_xlpm.grades)&lt;&gt;"")),_xlpm.uniquePairs,_xlfn.UNIQUE(_xlpm.pairs),_xlpm.sortedPairs,_xlfn._xlws.SORT(_xlpm.uniquePairs,1,1),INDEX(_xlpm.sortedPairs,ROWS($L$2:L307),1)),"")</f>
        <v/>
      </c>
      <c r="M307" s="15" t="str" cm="1">
        <f t="array" ref="M307">IFERROR(_xlfn.LET(_xlpm.films,Table4[Film],_xlpm.grades,Table4[Grade],_xlpm.pairs,_xlfn._xlws.FILTER(_xlfn.HSTACK(_xlpm.films,_xlpm.grades),(_xlpm.films&lt;&gt;"")*(TRIM(_xlpm.grades)&lt;&gt;"")),_xlpm.uniquePairs,_xlfn.UNIQUE(_xlpm.pairs),_xlpm.sortedPairs,_xlfn._xlws.SORT(_xlpm.uniquePairs,1,1),INDEX(_xlpm.sortedPairs,ROWS($M$2:M307),2)),"")</f>
        <v/>
      </c>
      <c r="N307" s="15" t="str" cm="1">
        <f t="array" ref="N307">IF(OR(Table2[[#This Row],[Film]]="",Table2[[#This Row],[Grade]]=""),"",IFERROR(INDEX(Table4[Serial Number],MATCH(1,(Table4[Film]=Table2[[#This Row],[Film]])*(Table4[Grade]=Table2[[#This Row],[Grade]]),0)),""))</f>
        <v/>
      </c>
      <c r="O307" s="51" t="str">
        <f>IF(OR(Table2[[#This Row],[Film]]="",Table2[[#This Row],[Grade]]=""),"",SUMIFS(Table4[Price Calculated(€) Thickness &amp; QTY related],Table4[Film],Table2[[#This Row],[Film]],Table4[Grade],Table2[[#This Row],[Grade]]))</f>
        <v/>
      </c>
      <c r="P307" s="6"/>
      <c r="T307" s="6"/>
    </row>
    <row r="308" spans="1:20" hidden="1">
      <c r="A308" s="55" t="s">
        <v>2337</v>
      </c>
      <c r="B308" s="29" t="s">
        <v>2338</v>
      </c>
      <c r="C308" s="28"/>
      <c r="D308" s="28" t="str">
        <f>IF(C308="","",IFERROR(_xlfn.XLOOKUP(C308,HELPER!$A$2:$A$81,HELPER!$B$2:$B$81,""),D308))</f>
        <v/>
      </c>
      <c r="E308" s="28" t="str">
        <f>IFERROR(_xlfn.XLOOKUP(D308,HELPER!$B:$B,HELPER!$C:$C,""),"")</f>
        <v/>
      </c>
      <c r="F308" s="27" t="str">
        <f>IFERROR(_xlfn.XLOOKUP(D308,HELPER!$B:$B,HELPER!$D:$D,""),"")</f>
        <v/>
      </c>
      <c r="G308" s="27">
        <v>3</v>
      </c>
      <c r="H308" s="46"/>
      <c r="I308" s="47" t="str">
        <f>IF(AND(H308&lt;&gt;"",IFERROR(_xlfn.XLOOKUP(D308,HELPER!$B:$B,HELPER!$E:$E,""),"")=""),"Missing price",IFERROR(_xlfn.XLOOKUP(D308,HELPER!$B:$B,HELPER!$E:$E,"")," "))</f>
        <v/>
      </c>
      <c r="J308" s="47" t="str">
        <f>IFERROR(H308*(IF(G308=8,I308*HELPER!$G$2,BOM!I308*HELPER!$G$3))," ")</f>
        <v xml:space="preserve"> </v>
      </c>
      <c r="K308" s="6"/>
      <c r="L308" s="14" t="str" cm="1">
        <f t="array" ref="L308">IFERROR(_xlfn.LET(_xlpm.films,Table4[Film],_xlpm.grades,Table4[Grade],_xlpm.pairs,_xlfn._xlws.FILTER(_xlfn.HSTACK(_xlpm.films,_xlpm.grades),(_xlpm.films&lt;&gt;"")*(TRIM(_xlpm.grades)&lt;&gt;"")),_xlpm.uniquePairs,_xlfn.UNIQUE(_xlpm.pairs),_xlpm.sortedPairs,_xlfn._xlws.SORT(_xlpm.uniquePairs,1,1),INDEX(_xlpm.sortedPairs,ROWS($L$2:L308),1)),"")</f>
        <v/>
      </c>
      <c r="M308" s="15" t="str" cm="1">
        <f t="array" ref="M308">IFERROR(_xlfn.LET(_xlpm.films,Table4[Film],_xlpm.grades,Table4[Grade],_xlpm.pairs,_xlfn._xlws.FILTER(_xlfn.HSTACK(_xlpm.films,_xlpm.grades),(_xlpm.films&lt;&gt;"")*(TRIM(_xlpm.grades)&lt;&gt;"")),_xlpm.uniquePairs,_xlfn.UNIQUE(_xlpm.pairs),_xlpm.sortedPairs,_xlfn._xlws.SORT(_xlpm.uniquePairs,1,1),INDEX(_xlpm.sortedPairs,ROWS($M$2:M308),2)),"")</f>
        <v/>
      </c>
      <c r="N308" s="15" t="str" cm="1">
        <f t="array" ref="N308">IF(OR(Table2[[#This Row],[Film]]="",Table2[[#This Row],[Grade]]=""),"",IFERROR(INDEX(Table4[Serial Number],MATCH(1,(Table4[Film]=Table2[[#This Row],[Film]])*(Table4[Grade]=Table2[[#This Row],[Grade]]),0)),""))</f>
        <v/>
      </c>
      <c r="O308" s="51" t="str">
        <f>IF(OR(Table2[[#This Row],[Film]]="",Table2[[#This Row],[Grade]]=""),"",SUMIFS(Table4[Price Calculated(€) Thickness &amp; QTY related],Table4[Film],Table2[[#This Row],[Film]],Table4[Grade],Table2[[#This Row],[Grade]]))</f>
        <v/>
      </c>
      <c r="P308" s="6"/>
      <c r="T308" s="6"/>
    </row>
    <row r="309" spans="1:20" hidden="1">
      <c r="A309" s="55" t="s">
        <v>2337</v>
      </c>
      <c r="B309" s="29" t="s">
        <v>2338</v>
      </c>
      <c r="C309" s="28"/>
      <c r="D309" s="28" t="str">
        <f>IF(C309="","",IFERROR(_xlfn.XLOOKUP(C309,HELPER!$A$2:$A$81,HELPER!$B$2:$B$81,""),D309))</f>
        <v/>
      </c>
      <c r="E309" s="28" t="str">
        <f>IFERROR(_xlfn.XLOOKUP(D309,HELPER!$B:$B,HELPER!$C:$C,""),"")</f>
        <v/>
      </c>
      <c r="F309" s="27" t="str">
        <f>IFERROR(_xlfn.XLOOKUP(D309,HELPER!$B:$B,HELPER!$D:$D,""),"")</f>
        <v/>
      </c>
      <c r="G309" s="27">
        <v>3</v>
      </c>
      <c r="H309" s="46"/>
      <c r="I309" s="47" t="str">
        <f>IF(AND(H309&lt;&gt;"",IFERROR(_xlfn.XLOOKUP(D309,HELPER!$B:$B,HELPER!$E:$E,""),"")=""),"Missing price",IFERROR(_xlfn.XLOOKUP(D309,HELPER!$B:$B,HELPER!$E:$E,"")," "))</f>
        <v/>
      </c>
      <c r="J309" s="47" t="str">
        <f>IFERROR(H309*(IF(G309=8,I309*HELPER!$G$2,BOM!I309*HELPER!$G$3))," ")</f>
        <v xml:space="preserve"> </v>
      </c>
      <c r="K309" s="6"/>
      <c r="L309" s="14" t="str" cm="1">
        <f t="array" ref="L309">IFERROR(_xlfn.LET(_xlpm.films,Table4[Film],_xlpm.grades,Table4[Grade],_xlpm.pairs,_xlfn._xlws.FILTER(_xlfn.HSTACK(_xlpm.films,_xlpm.grades),(_xlpm.films&lt;&gt;"")*(TRIM(_xlpm.grades)&lt;&gt;"")),_xlpm.uniquePairs,_xlfn.UNIQUE(_xlpm.pairs),_xlpm.sortedPairs,_xlfn._xlws.SORT(_xlpm.uniquePairs,1,1),INDEX(_xlpm.sortedPairs,ROWS($L$2:L309),1)),"")</f>
        <v/>
      </c>
      <c r="M309" s="15" t="str" cm="1">
        <f t="array" ref="M309">IFERROR(_xlfn.LET(_xlpm.films,Table4[Film],_xlpm.grades,Table4[Grade],_xlpm.pairs,_xlfn._xlws.FILTER(_xlfn.HSTACK(_xlpm.films,_xlpm.grades),(_xlpm.films&lt;&gt;"")*(TRIM(_xlpm.grades)&lt;&gt;"")),_xlpm.uniquePairs,_xlfn.UNIQUE(_xlpm.pairs),_xlpm.sortedPairs,_xlfn._xlws.SORT(_xlpm.uniquePairs,1,1),INDEX(_xlpm.sortedPairs,ROWS($M$2:M309),2)),"")</f>
        <v/>
      </c>
      <c r="N309" s="15" t="str" cm="1">
        <f t="array" ref="N309">IF(OR(Table2[[#This Row],[Film]]="",Table2[[#This Row],[Grade]]=""),"",IFERROR(INDEX(Table4[Serial Number],MATCH(1,(Table4[Film]=Table2[[#This Row],[Film]])*(Table4[Grade]=Table2[[#This Row],[Grade]]),0)),""))</f>
        <v/>
      </c>
      <c r="O309" s="51" t="str">
        <f>IF(OR(Table2[[#This Row],[Film]]="",Table2[[#This Row],[Grade]]=""),"",SUMIFS(Table4[Price Calculated(€) Thickness &amp; QTY related],Table4[Film],Table2[[#This Row],[Film]],Table4[Grade],Table2[[#This Row],[Grade]]))</f>
        <v/>
      </c>
      <c r="P309" s="6"/>
      <c r="T309" s="6"/>
    </row>
    <row r="310" spans="1:20" hidden="1">
      <c r="A310" s="55" t="s">
        <v>2337</v>
      </c>
      <c r="B310" s="29" t="s">
        <v>2338</v>
      </c>
      <c r="C310" s="28"/>
      <c r="D310" s="28" t="str">
        <f>IF(C310="","",IFERROR(_xlfn.XLOOKUP(C310,HELPER!$A$2:$A$81,HELPER!$B$2:$B$81,""),D310))</f>
        <v/>
      </c>
      <c r="E310" s="28" t="str">
        <f>IFERROR(_xlfn.XLOOKUP(D310,HELPER!$B:$B,HELPER!$C:$C,""),"")</f>
        <v/>
      </c>
      <c r="F310" s="27" t="str">
        <f>IFERROR(_xlfn.XLOOKUP(D310,HELPER!$B:$B,HELPER!$D:$D,""),"")</f>
        <v/>
      </c>
      <c r="G310" s="27">
        <v>3</v>
      </c>
      <c r="H310" s="46"/>
      <c r="I310" s="47" t="str">
        <f>IF(AND(H310&lt;&gt;"",IFERROR(_xlfn.XLOOKUP(D310,HELPER!$B:$B,HELPER!$E:$E,""),"")=""),"Missing price",IFERROR(_xlfn.XLOOKUP(D310,HELPER!$B:$B,HELPER!$E:$E,"")," "))</f>
        <v/>
      </c>
      <c r="J310" s="47" t="str">
        <f>IFERROR(H310*(IF(G310=8,I310*HELPER!$G$2,BOM!I310*HELPER!$G$3))," ")</f>
        <v xml:space="preserve"> </v>
      </c>
      <c r="K310" s="6"/>
      <c r="L310" s="14" t="str" cm="1">
        <f t="array" ref="L310">IFERROR(_xlfn.LET(_xlpm.films,Table4[Film],_xlpm.grades,Table4[Grade],_xlpm.pairs,_xlfn._xlws.FILTER(_xlfn.HSTACK(_xlpm.films,_xlpm.grades),(_xlpm.films&lt;&gt;"")*(TRIM(_xlpm.grades)&lt;&gt;"")),_xlpm.uniquePairs,_xlfn.UNIQUE(_xlpm.pairs),_xlpm.sortedPairs,_xlfn._xlws.SORT(_xlpm.uniquePairs,1,1),INDEX(_xlpm.sortedPairs,ROWS($L$2:L310),1)),"")</f>
        <v/>
      </c>
      <c r="M310" s="15" t="str" cm="1">
        <f t="array" ref="M310">IFERROR(_xlfn.LET(_xlpm.films,Table4[Film],_xlpm.grades,Table4[Grade],_xlpm.pairs,_xlfn._xlws.FILTER(_xlfn.HSTACK(_xlpm.films,_xlpm.grades),(_xlpm.films&lt;&gt;"")*(TRIM(_xlpm.grades)&lt;&gt;"")),_xlpm.uniquePairs,_xlfn.UNIQUE(_xlpm.pairs),_xlpm.sortedPairs,_xlfn._xlws.SORT(_xlpm.uniquePairs,1,1),INDEX(_xlpm.sortedPairs,ROWS($M$2:M310),2)),"")</f>
        <v/>
      </c>
      <c r="N310" s="15" t="str" cm="1">
        <f t="array" ref="N310">IF(OR(Table2[[#This Row],[Film]]="",Table2[[#This Row],[Grade]]=""),"",IFERROR(INDEX(Table4[Serial Number],MATCH(1,(Table4[Film]=Table2[[#This Row],[Film]])*(Table4[Grade]=Table2[[#This Row],[Grade]]),0)),""))</f>
        <v/>
      </c>
      <c r="O310" s="51" t="str">
        <f>IF(OR(Table2[[#This Row],[Film]]="",Table2[[#This Row],[Grade]]=""),"",SUMIFS(Table4[Price Calculated(€) Thickness &amp; QTY related],Table4[Film],Table2[[#This Row],[Film]],Table4[Grade],Table2[[#This Row],[Grade]]))</f>
        <v/>
      </c>
      <c r="P310" s="6"/>
      <c r="T310" s="6"/>
    </row>
    <row r="311" spans="1:20" hidden="1">
      <c r="A311" s="55" t="s">
        <v>2337</v>
      </c>
      <c r="B311" s="29" t="s">
        <v>2338</v>
      </c>
      <c r="C311" s="28"/>
      <c r="D311" s="28" t="str">
        <f>IF(C311="","",IFERROR(_xlfn.XLOOKUP(C311,HELPER!$A$2:$A$81,HELPER!$B$2:$B$81,""),D311))</f>
        <v/>
      </c>
      <c r="E311" s="28" t="str">
        <f>IFERROR(_xlfn.XLOOKUP(D311,HELPER!$B:$B,HELPER!$C:$C,""),"")</f>
        <v/>
      </c>
      <c r="F311" s="27" t="str">
        <f>IFERROR(_xlfn.XLOOKUP(D311,HELPER!$B:$B,HELPER!$D:$D,""),"")</f>
        <v/>
      </c>
      <c r="G311" s="27">
        <v>3</v>
      </c>
      <c r="H311" s="46"/>
      <c r="I311" s="47" t="str">
        <f>IF(AND(H311&lt;&gt;"",IFERROR(_xlfn.XLOOKUP(D311,HELPER!$B:$B,HELPER!$E:$E,""),"")=""),"Missing price",IFERROR(_xlfn.XLOOKUP(D311,HELPER!$B:$B,HELPER!$E:$E,"")," "))</f>
        <v/>
      </c>
      <c r="J311" s="47" t="str">
        <f>IFERROR(H311*(IF(G311=8,I311*HELPER!$G$2,BOM!I311*HELPER!$G$3))," ")</f>
        <v xml:space="preserve"> </v>
      </c>
      <c r="K311" s="6"/>
      <c r="L311" s="14" t="str" cm="1">
        <f t="array" ref="L311">IFERROR(_xlfn.LET(_xlpm.films,Table4[Film],_xlpm.grades,Table4[Grade],_xlpm.pairs,_xlfn._xlws.FILTER(_xlfn.HSTACK(_xlpm.films,_xlpm.grades),(_xlpm.films&lt;&gt;"")*(TRIM(_xlpm.grades)&lt;&gt;"")),_xlpm.uniquePairs,_xlfn.UNIQUE(_xlpm.pairs),_xlpm.sortedPairs,_xlfn._xlws.SORT(_xlpm.uniquePairs,1,1),INDEX(_xlpm.sortedPairs,ROWS($L$2:L311),1)),"")</f>
        <v/>
      </c>
      <c r="M311" s="15" t="str" cm="1">
        <f t="array" ref="M311">IFERROR(_xlfn.LET(_xlpm.films,Table4[Film],_xlpm.grades,Table4[Grade],_xlpm.pairs,_xlfn._xlws.FILTER(_xlfn.HSTACK(_xlpm.films,_xlpm.grades),(_xlpm.films&lt;&gt;"")*(TRIM(_xlpm.grades)&lt;&gt;"")),_xlpm.uniquePairs,_xlfn.UNIQUE(_xlpm.pairs),_xlpm.sortedPairs,_xlfn._xlws.SORT(_xlpm.uniquePairs,1,1),INDEX(_xlpm.sortedPairs,ROWS($M$2:M311),2)),"")</f>
        <v/>
      </c>
      <c r="N311" s="15" t="str" cm="1">
        <f t="array" ref="N311">IF(OR(Table2[[#This Row],[Film]]="",Table2[[#This Row],[Grade]]=""),"",IFERROR(INDEX(Table4[Serial Number],MATCH(1,(Table4[Film]=Table2[[#This Row],[Film]])*(Table4[Grade]=Table2[[#This Row],[Grade]]),0)),""))</f>
        <v/>
      </c>
      <c r="O311" s="51" t="str">
        <f>IF(OR(Table2[[#This Row],[Film]]="",Table2[[#This Row],[Grade]]=""),"",SUMIFS(Table4[Price Calculated(€) Thickness &amp; QTY related],Table4[Film],Table2[[#This Row],[Film]],Table4[Grade],Table2[[#This Row],[Grade]]))</f>
        <v/>
      </c>
      <c r="P311" s="6"/>
      <c r="T311" s="6"/>
    </row>
    <row r="312" spans="1:20" hidden="1">
      <c r="A312" s="55" t="s">
        <v>2337</v>
      </c>
      <c r="B312" s="29" t="s">
        <v>2339</v>
      </c>
      <c r="C312" s="28" t="s">
        <v>12</v>
      </c>
      <c r="D312" s="28" t="str">
        <f>IF(C312="","",IFERROR(_xlfn.XLOOKUP(C312,HELPER!$A$2:$A$81,HELPER!$B$2:$B$81,""),D312))</f>
        <v>FD92PM</v>
      </c>
      <c r="E312" s="28" t="str">
        <f>IFERROR(_xlfn.XLOOKUP(D312,HELPER!$B:$B,HELPER!$C:$C,""),"")</f>
        <v>RMPM2</v>
      </c>
      <c r="F312" s="27" t="str">
        <f>IFERROR(_xlfn.XLOOKUP(D312,HELPER!$B:$B,HELPER!$D:$D,""),"")</f>
        <v>Resin 9C</v>
      </c>
      <c r="G312" s="27">
        <v>2</v>
      </c>
      <c r="H312" s="46">
        <v>0.79200000000000004</v>
      </c>
      <c r="I312" s="47">
        <f>IF(AND(H312&lt;&gt;"",IFERROR(_xlfn.XLOOKUP(D312,HELPER!$B:$B,HELPER!$E:$E,""),"")=""),"Missing price",IFERROR(_xlfn.XLOOKUP(D312,HELPER!$B:$B,HELPER!$E:$E,"")," "))</f>
        <v>6.75</v>
      </c>
      <c r="J312" s="47">
        <f>IFERROR(H312*(IF(G312=8,I312*HELPER!$G$2,BOM!I312*HELPER!$G$3))," ")</f>
        <v>3.2076000000000002</v>
      </c>
      <c r="K312" s="6"/>
      <c r="L312" s="14" t="str" cm="1">
        <f t="array" ref="L312">IFERROR(_xlfn.LET(_xlpm.films,Table4[Film],_xlpm.grades,Table4[Grade],_xlpm.pairs,_xlfn._xlws.FILTER(_xlfn.HSTACK(_xlpm.films,_xlpm.grades),(_xlpm.films&lt;&gt;"")*(TRIM(_xlpm.grades)&lt;&gt;"")),_xlpm.uniquePairs,_xlfn.UNIQUE(_xlpm.pairs),_xlpm.sortedPairs,_xlfn._xlws.SORT(_xlpm.uniquePairs,1,1),INDEX(_xlpm.sortedPairs,ROWS($L$2:L312),1)),"")</f>
        <v/>
      </c>
      <c r="M312" s="15" t="str" cm="1">
        <f t="array" ref="M312">IFERROR(_xlfn.LET(_xlpm.films,Table4[Film],_xlpm.grades,Table4[Grade],_xlpm.pairs,_xlfn._xlws.FILTER(_xlfn.HSTACK(_xlpm.films,_xlpm.grades),(_xlpm.films&lt;&gt;"")*(TRIM(_xlpm.grades)&lt;&gt;"")),_xlpm.uniquePairs,_xlfn.UNIQUE(_xlpm.pairs),_xlpm.sortedPairs,_xlfn._xlws.SORT(_xlpm.uniquePairs,1,1),INDEX(_xlpm.sortedPairs,ROWS($M$2:M312),2)),"")</f>
        <v/>
      </c>
      <c r="N312" s="15" t="str" cm="1">
        <f t="array" ref="N312">IF(OR(Table2[[#This Row],[Film]]="",Table2[[#This Row],[Grade]]=""),"",IFERROR(INDEX(Table4[Serial Number],MATCH(1,(Table4[Film]=Table2[[#This Row],[Film]])*(Table4[Grade]=Table2[[#This Row],[Grade]]),0)),""))</f>
        <v/>
      </c>
      <c r="O312" s="51" t="str">
        <f>IF(OR(Table2[[#This Row],[Film]]="",Table2[[#This Row],[Grade]]=""),"",SUMIFS(Table4[Price Calculated(€) Thickness &amp; QTY related],Table4[Film],Table2[[#This Row],[Film]],Table4[Grade],Table2[[#This Row],[Grade]]))</f>
        <v/>
      </c>
      <c r="P312" s="6"/>
      <c r="T312" s="6"/>
    </row>
    <row r="313" spans="1:20" hidden="1">
      <c r="A313" s="55" t="s">
        <v>2337</v>
      </c>
      <c r="B313" s="29" t="s">
        <v>2339</v>
      </c>
      <c r="C313" s="28" t="s">
        <v>13</v>
      </c>
      <c r="D313" s="28" t="str">
        <f>IF(C313="","",IFERROR(_xlfn.XLOOKUP(C313,HELPER!$A$2:$A$81,HELPER!$B$2:$B$81,""),D313))</f>
        <v>LX175</v>
      </c>
      <c r="E313" s="28" t="str">
        <f>IFERROR(_xlfn.XLOOKUP(D313,HELPER!$B:$B,HELPER!$C:$C,""),"")</f>
        <v>RMLX175</v>
      </c>
      <c r="F313" s="27" t="str">
        <f>IFERROR(_xlfn.XLOOKUP(D313,HELPER!$B:$B,HELPER!$D:$D,""),"")</f>
        <v>Resin 1A</v>
      </c>
      <c r="G313" s="27">
        <v>2</v>
      </c>
      <c r="H313" s="46">
        <v>0.14000000000000001</v>
      </c>
      <c r="I313" s="47">
        <f>IF(AND(H313&lt;&gt;"",IFERROR(_xlfn.XLOOKUP(D313,HELPER!$B:$B,HELPER!$E:$E,""),"")=""),"Missing price",IFERROR(_xlfn.XLOOKUP(D313,HELPER!$B:$B,HELPER!$E:$E,"")," "))</f>
        <v>3.17</v>
      </c>
      <c r="J313" s="47">
        <f>IFERROR(H313*(IF(G313=8,I313*HELPER!$G$2,BOM!I313*HELPER!$G$3))," ")</f>
        <v>0.26628000000000002</v>
      </c>
      <c r="K313" s="6"/>
      <c r="L313" s="14" t="str" cm="1">
        <f t="array" ref="L313">IFERROR(_xlfn.LET(_xlpm.films,Table4[Film],_xlpm.grades,Table4[Grade],_xlpm.pairs,_xlfn._xlws.FILTER(_xlfn.HSTACK(_xlpm.films,_xlpm.grades),(_xlpm.films&lt;&gt;"")*(TRIM(_xlpm.grades)&lt;&gt;"")),_xlpm.uniquePairs,_xlfn.UNIQUE(_xlpm.pairs),_xlpm.sortedPairs,_xlfn._xlws.SORT(_xlpm.uniquePairs,1,1),INDEX(_xlpm.sortedPairs,ROWS($L$2:L313),1)),"")</f>
        <v/>
      </c>
      <c r="M313" s="15" t="str" cm="1">
        <f t="array" ref="M313">IFERROR(_xlfn.LET(_xlpm.films,Table4[Film],_xlpm.grades,Table4[Grade],_xlpm.pairs,_xlfn._xlws.FILTER(_xlfn.HSTACK(_xlpm.films,_xlpm.grades),(_xlpm.films&lt;&gt;"")*(TRIM(_xlpm.grades)&lt;&gt;"")),_xlpm.uniquePairs,_xlfn.UNIQUE(_xlpm.pairs),_xlpm.sortedPairs,_xlfn._xlws.SORT(_xlpm.uniquePairs,1,1),INDEX(_xlpm.sortedPairs,ROWS($M$2:M313),2)),"")</f>
        <v/>
      </c>
      <c r="N313" s="15" t="str" cm="1">
        <f t="array" ref="N313">IF(OR(Table2[[#This Row],[Film]]="",Table2[[#This Row],[Grade]]=""),"",IFERROR(INDEX(Table4[Serial Number],MATCH(1,(Table4[Film]=Table2[[#This Row],[Film]])*(Table4[Grade]=Table2[[#This Row],[Grade]]),0)),""))</f>
        <v/>
      </c>
      <c r="O313" s="51" t="str">
        <f>IF(OR(Table2[[#This Row],[Film]]="",Table2[[#This Row],[Grade]]=""),"",SUMIFS(Table4[Price Calculated(€) Thickness &amp; QTY related],Table4[Film],Table2[[#This Row],[Film]],Table4[Grade],Table2[[#This Row],[Grade]]))</f>
        <v/>
      </c>
      <c r="P313" s="6"/>
      <c r="T313" s="6"/>
    </row>
    <row r="314" spans="1:20" hidden="1">
      <c r="A314" s="55" t="s">
        <v>2337</v>
      </c>
      <c r="B314" s="29" t="s">
        <v>2339</v>
      </c>
      <c r="C314" s="28" t="s">
        <v>18</v>
      </c>
      <c r="D314" s="28" t="str">
        <f>IF(C314="","",IFERROR(_xlfn.XLOOKUP(C314,HELPER!$A$2:$A$81,HELPER!$B$2:$B$81,""),D314))</f>
        <v>KAB59A</v>
      </c>
      <c r="E314" s="28" t="str">
        <f>IFERROR(_xlfn.XLOOKUP(D314,HELPER!$B:$B,HELPER!$C:$C,""),"")</f>
        <v>RM A KAB59A</v>
      </c>
      <c r="F314" s="27" t="str">
        <f>IFERROR(_xlfn.XLOOKUP(D314,HELPER!$B:$B,HELPER!$D:$D,""),"")</f>
        <v>Resin 8</v>
      </c>
      <c r="G314" s="27">
        <v>2</v>
      </c>
      <c r="H314" s="46">
        <v>0.01</v>
      </c>
      <c r="I314" s="47">
        <f>IF(AND(H314&lt;&gt;"",IFERROR(_xlfn.XLOOKUP(D314,HELPER!$B:$B,HELPER!$E:$E,""),"")=""),"Missing price",IFERROR(_xlfn.XLOOKUP(D314,HELPER!$B:$B,HELPER!$E:$E,"")," "))</f>
        <v>7.55</v>
      </c>
      <c r="J314" s="47">
        <f>IFERROR(H314*(IF(G314=8,I314*HELPER!$G$2,BOM!I314*HELPER!$G$3))," ")</f>
        <v>4.5299999999999993E-2</v>
      </c>
      <c r="K314" s="6"/>
      <c r="L314" s="14" t="str" cm="1">
        <f t="array" ref="L314">IFERROR(_xlfn.LET(_xlpm.films,Table4[Film],_xlpm.grades,Table4[Grade],_xlpm.pairs,_xlfn._xlws.FILTER(_xlfn.HSTACK(_xlpm.films,_xlpm.grades),(_xlpm.films&lt;&gt;"")*(TRIM(_xlpm.grades)&lt;&gt;"")),_xlpm.uniquePairs,_xlfn.UNIQUE(_xlpm.pairs),_xlpm.sortedPairs,_xlfn._xlws.SORT(_xlpm.uniquePairs,1,1),INDEX(_xlpm.sortedPairs,ROWS($L$2:L314),1)),"")</f>
        <v/>
      </c>
      <c r="M314" s="15" t="str" cm="1">
        <f t="array" ref="M314">IFERROR(_xlfn.LET(_xlpm.films,Table4[Film],_xlpm.grades,Table4[Grade],_xlpm.pairs,_xlfn._xlws.FILTER(_xlfn.HSTACK(_xlpm.films,_xlpm.grades),(_xlpm.films&lt;&gt;"")*(TRIM(_xlpm.grades)&lt;&gt;"")),_xlpm.uniquePairs,_xlfn.UNIQUE(_xlpm.pairs),_xlpm.sortedPairs,_xlfn._xlws.SORT(_xlpm.uniquePairs,1,1),INDEX(_xlpm.sortedPairs,ROWS($M$2:M314),2)),"")</f>
        <v/>
      </c>
      <c r="N314" s="15" t="str" cm="1">
        <f t="array" ref="N314">IF(OR(Table2[[#This Row],[Film]]="",Table2[[#This Row],[Grade]]=""),"",IFERROR(INDEX(Table4[Serial Number],MATCH(1,(Table4[Film]=Table2[[#This Row],[Film]])*(Table4[Grade]=Table2[[#This Row],[Grade]]),0)),""))</f>
        <v/>
      </c>
      <c r="O314" s="51" t="str">
        <f>IF(OR(Table2[[#This Row],[Film]]="",Table2[[#This Row],[Grade]]=""),"",SUMIFS(Table4[Price Calculated(€) Thickness &amp; QTY related],Table4[Film],Table2[[#This Row],[Film]],Table4[Grade],Table2[[#This Row],[Grade]]))</f>
        <v/>
      </c>
      <c r="P314" s="6"/>
      <c r="T314" s="6"/>
    </row>
    <row r="315" spans="1:20" hidden="1">
      <c r="A315" s="55" t="s">
        <v>2337</v>
      </c>
      <c r="B315" s="29" t="s">
        <v>2339</v>
      </c>
      <c r="C315" s="28" t="s">
        <v>16</v>
      </c>
      <c r="D315" s="28" t="str">
        <f>IF(C315="","",IFERROR(_xlfn.XLOOKUP(C315,HELPER!$A$2:$A$81,HELPER!$B$2:$B$81,""),D315))</f>
        <v>S723</v>
      </c>
      <c r="E315" s="28" t="str">
        <f>IFERROR(_xlfn.XLOOKUP(D315,HELPER!$B:$B,HELPER!$C:$C,""),"")</f>
        <v>RM TA45-08 S723</v>
      </c>
      <c r="F315" s="27" t="str">
        <f>IFERROR(_xlfn.XLOOKUP(D315,HELPER!$B:$B,HELPER!$D:$D,""),"")</f>
        <v>Resin 6</v>
      </c>
      <c r="G315" s="27">
        <v>2</v>
      </c>
      <c r="H315" s="46">
        <v>1.4999999999999999E-2</v>
      </c>
      <c r="I315" s="47">
        <f>IF(AND(H315&lt;&gt;"",IFERROR(_xlfn.XLOOKUP(D315,HELPER!$B:$B,HELPER!$E:$E,""),"")=""),"Missing price",IFERROR(_xlfn.XLOOKUP(D315,HELPER!$B:$B,HELPER!$E:$E,"")," "))</f>
        <v>16.16</v>
      </c>
      <c r="J315" s="47">
        <f>IFERROR(H315*(IF(G315=8,I315*HELPER!$G$2,BOM!I315*HELPER!$G$3))," ")</f>
        <v>0.14543999999999999</v>
      </c>
      <c r="K315" s="6"/>
      <c r="L315" s="14" t="str" cm="1">
        <f t="array" ref="L315">IFERROR(_xlfn.LET(_xlpm.films,Table4[Film],_xlpm.grades,Table4[Grade],_xlpm.pairs,_xlfn._xlws.FILTER(_xlfn.HSTACK(_xlpm.films,_xlpm.grades),(_xlpm.films&lt;&gt;"")*(TRIM(_xlpm.grades)&lt;&gt;"")),_xlpm.uniquePairs,_xlfn.UNIQUE(_xlpm.pairs),_xlpm.sortedPairs,_xlfn._xlws.SORT(_xlpm.uniquePairs,1,1),INDEX(_xlpm.sortedPairs,ROWS($L$2:L315),1)),"")</f>
        <v/>
      </c>
      <c r="M315" s="15" t="str" cm="1">
        <f t="array" ref="M315">IFERROR(_xlfn.LET(_xlpm.films,Table4[Film],_xlpm.grades,Table4[Grade],_xlpm.pairs,_xlfn._xlws.FILTER(_xlfn.HSTACK(_xlpm.films,_xlpm.grades),(_xlpm.films&lt;&gt;"")*(TRIM(_xlpm.grades)&lt;&gt;"")),_xlpm.uniquePairs,_xlfn.UNIQUE(_xlpm.pairs),_xlpm.sortedPairs,_xlfn._xlws.SORT(_xlpm.uniquePairs,1,1),INDEX(_xlpm.sortedPairs,ROWS($M$2:M315),2)),"")</f>
        <v/>
      </c>
      <c r="N315" s="15" t="str" cm="1">
        <f t="array" ref="N315">IF(OR(Table2[[#This Row],[Film]]="",Table2[[#This Row],[Grade]]=""),"",IFERROR(INDEX(Table4[Serial Number],MATCH(1,(Table4[Film]=Table2[[#This Row],[Film]])*(Table4[Grade]=Table2[[#This Row],[Grade]]),0)),""))</f>
        <v/>
      </c>
      <c r="O315" s="51" t="str">
        <f>IF(OR(Table2[[#This Row],[Film]]="",Table2[[#This Row],[Grade]]=""),"",SUMIFS(Table4[Price Calculated(€) Thickness &amp; QTY related],Table4[Film],Table2[[#This Row],[Film]],Table4[Grade],Table2[[#This Row],[Grade]]))</f>
        <v/>
      </c>
      <c r="P315" s="6"/>
      <c r="T315" s="6"/>
    </row>
    <row r="316" spans="1:20" hidden="1">
      <c r="A316" s="55" t="s">
        <v>2337</v>
      </c>
      <c r="B316" s="29" t="s">
        <v>2339</v>
      </c>
      <c r="C316" s="28" t="s">
        <v>17</v>
      </c>
      <c r="D316" s="28" t="str">
        <f>IF(C316="","",IFERROR(_xlfn.XLOOKUP(C316,HELPER!$A$2:$A$81,HELPER!$B$2:$B$81,""),D316))</f>
        <v>S724</v>
      </c>
      <c r="E316" s="28" t="str">
        <f>IFERROR(_xlfn.XLOOKUP(D316,HELPER!$B:$B,HELPER!$C:$C,""),"")</f>
        <v>RM TA45-08 S724</v>
      </c>
      <c r="F316" s="27" t="str">
        <f>IFERROR(_xlfn.XLOOKUP(D316,HELPER!$B:$B,HELPER!$D:$D,""),"")</f>
        <v>Resin 7</v>
      </c>
      <c r="G316" s="27">
        <v>2</v>
      </c>
      <c r="H316" s="46">
        <v>4.2999999999999997E-2</v>
      </c>
      <c r="I316" s="47">
        <f>IF(AND(H316&lt;&gt;"",IFERROR(_xlfn.XLOOKUP(D316,HELPER!$B:$B,HELPER!$E:$E,""),"")=""),"Missing price",IFERROR(_xlfn.XLOOKUP(D316,HELPER!$B:$B,HELPER!$E:$E,"")," "))</f>
        <v>14.7</v>
      </c>
      <c r="J316" s="47">
        <f>IFERROR(H316*(IF(G316=8,I316*HELPER!$G$2,BOM!I316*HELPER!$G$3))," ")</f>
        <v>0.37925999999999993</v>
      </c>
      <c r="K316" s="6"/>
      <c r="L316" s="14" t="str" cm="1">
        <f t="array" ref="L316">IFERROR(_xlfn.LET(_xlpm.films,Table4[Film],_xlpm.grades,Table4[Grade],_xlpm.pairs,_xlfn._xlws.FILTER(_xlfn.HSTACK(_xlpm.films,_xlpm.grades),(_xlpm.films&lt;&gt;"")*(TRIM(_xlpm.grades)&lt;&gt;"")),_xlpm.uniquePairs,_xlfn.UNIQUE(_xlpm.pairs),_xlpm.sortedPairs,_xlfn._xlws.SORT(_xlpm.uniquePairs,1,1),INDEX(_xlpm.sortedPairs,ROWS($L$2:L316),1)),"")</f>
        <v/>
      </c>
      <c r="M316" s="15" t="str" cm="1">
        <f t="array" ref="M316">IFERROR(_xlfn.LET(_xlpm.films,Table4[Film],_xlpm.grades,Table4[Grade],_xlpm.pairs,_xlfn._xlws.FILTER(_xlfn.HSTACK(_xlpm.films,_xlpm.grades),(_xlpm.films&lt;&gt;"")*(TRIM(_xlpm.grades)&lt;&gt;"")),_xlpm.uniquePairs,_xlfn.UNIQUE(_xlpm.pairs),_xlpm.sortedPairs,_xlfn._xlws.SORT(_xlpm.uniquePairs,1,1),INDEX(_xlpm.sortedPairs,ROWS($M$2:M316),2)),"")</f>
        <v/>
      </c>
      <c r="N316" s="15" t="str" cm="1">
        <f t="array" ref="N316">IF(OR(Table2[[#This Row],[Film]]="",Table2[[#This Row],[Grade]]=""),"",IFERROR(INDEX(Table4[Serial Number],MATCH(1,(Table4[Film]=Table2[[#This Row],[Film]])*(Table4[Grade]=Table2[[#This Row],[Grade]]),0)),""))</f>
        <v/>
      </c>
      <c r="O316" s="51" t="str">
        <f>IF(OR(Table2[[#This Row],[Film]]="",Table2[[#This Row],[Grade]]=""),"",SUMIFS(Table4[Price Calculated(€) Thickness &amp; QTY related],Table4[Film],Table2[[#This Row],[Film]],Table4[Grade],Table2[[#This Row],[Grade]]))</f>
        <v/>
      </c>
      <c r="P316" s="6"/>
      <c r="T316" s="6"/>
    </row>
    <row r="317" spans="1:20" hidden="1">
      <c r="A317" s="55" t="s">
        <v>2337</v>
      </c>
      <c r="B317" s="29" t="s">
        <v>2339</v>
      </c>
      <c r="C317" s="28"/>
      <c r="D317" s="28" t="str">
        <f>IF(C317="","",IFERROR(_xlfn.XLOOKUP(C317,HELPER!$A$2:$A$81,HELPER!$B$2:$B$81,""),D317))</f>
        <v/>
      </c>
      <c r="E317" s="28" t="str">
        <f>IFERROR(_xlfn.XLOOKUP(D317,HELPER!$B:$B,HELPER!$C:$C,""),"")</f>
        <v/>
      </c>
      <c r="F317" s="27" t="str">
        <f>IFERROR(_xlfn.XLOOKUP(D317,HELPER!$B:$B,HELPER!$D:$D,""),"")</f>
        <v/>
      </c>
      <c r="G317" s="27">
        <v>2</v>
      </c>
      <c r="H317" s="46"/>
      <c r="I317" s="47" t="str">
        <f>IF(AND(H317&lt;&gt;"",IFERROR(_xlfn.XLOOKUP(D317,HELPER!$B:$B,HELPER!$E:$E,""),"")=""),"Missing price",IFERROR(_xlfn.XLOOKUP(D317,HELPER!$B:$B,HELPER!$E:$E,"")," "))</f>
        <v/>
      </c>
      <c r="J317" s="47" t="str">
        <f>IFERROR(H317*(IF(G317=8,I317*HELPER!$G$2,BOM!I317*HELPER!$G$3))," ")</f>
        <v xml:space="preserve"> </v>
      </c>
      <c r="K317" s="6"/>
      <c r="L317" s="14" t="str" cm="1">
        <f t="array" ref="L317">IFERROR(_xlfn.LET(_xlpm.films,Table4[Film],_xlpm.grades,Table4[Grade],_xlpm.pairs,_xlfn._xlws.FILTER(_xlfn.HSTACK(_xlpm.films,_xlpm.grades),(_xlpm.films&lt;&gt;"")*(TRIM(_xlpm.grades)&lt;&gt;"")),_xlpm.uniquePairs,_xlfn.UNIQUE(_xlpm.pairs),_xlpm.sortedPairs,_xlfn._xlws.SORT(_xlpm.uniquePairs,1,1),INDEX(_xlpm.sortedPairs,ROWS($L$2:L317),1)),"")</f>
        <v/>
      </c>
      <c r="M317" s="15" t="str" cm="1">
        <f t="array" ref="M317">IFERROR(_xlfn.LET(_xlpm.films,Table4[Film],_xlpm.grades,Table4[Grade],_xlpm.pairs,_xlfn._xlws.FILTER(_xlfn.HSTACK(_xlpm.films,_xlpm.grades),(_xlpm.films&lt;&gt;"")*(TRIM(_xlpm.grades)&lt;&gt;"")),_xlpm.uniquePairs,_xlfn.UNIQUE(_xlpm.pairs),_xlpm.sortedPairs,_xlfn._xlws.SORT(_xlpm.uniquePairs,1,1),INDEX(_xlpm.sortedPairs,ROWS($M$2:M317),2)),"")</f>
        <v/>
      </c>
      <c r="N317" s="15" t="str" cm="1">
        <f t="array" ref="N317">IF(OR(Table2[[#This Row],[Film]]="",Table2[[#This Row],[Grade]]=""),"",IFERROR(INDEX(Table4[Serial Number],MATCH(1,(Table4[Film]=Table2[[#This Row],[Film]])*(Table4[Grade]=Table2[[#This Row],[Grade]]),0)),""))</f>
        <v/>
      </c>
      <c r="O317" s="51" t="str">
        <f>IF(OR(Table2[[#This Row],[Film]]="",Table2[[#This Row],[Grade]]=""),"",SUMIFS(Table4[Price Calculated(€) Thickness &amp; QTY related],Table4[Film],Table2[[#This Row],[Film]],Table4[Grade],Table2[[#This Row],[Grade]]))</f>
        <v/>
      </c>
      <c r="P317" s="6"/>
      <c r="T317" s="6"/>
    </row>
    <row r="318" spans="1:20" hidden="1">
      <c r="A318" s="55" t="s">
        <v>2337</v>
      </c>
      <c r="B318" s="29" t="s">
        <v>2339</v>
      </c>
      <c r="C318" s="28"/>
      <c r="D318" s="28" t="str">
        <f>IF(C318="","",IFERROR(_xlfn.XLOOKUP(C318,HELPER!$A$2:$A$81,HELPER!$B$2:$B$81,""),D318))</f>
        <v/>
      </c>
      <c r="E318" s="28" t="str">
        <f>IFERROR(_xlfn.XLOOKUP(D318,HELPER!$B:$B,HELPER!$C:$C,""),"")</f>
        <v/>
      </c>
      <c r="F318" s="27" t="str">
        <f>IFERROR(_xlfn.XLOOKUP(D318,HELPER!$B:$B,HELPER!$D:$D,""),"")</f>
        <v/>
      </c>
      <c r="G318" s="27">
        <v>2</v>
      </c>
      <c r="H318" s="46"/>
      <c r="I318" s="47" t="str">
        <f>IF(AND(H318&lt;&gt;"",IFERROR(_xlfn.XLOOKUP(D318,HELPER!$B:$B,HELPER!$E:$E,""),"")=""),"Missing price",IFERROR(_xlfn.XLOOKUP(D318,HELPER!$B:$B,HELPER!$E:$E,"")," "))</f>
        <v/>
      </c>
      <c r="J318" s="47" t="str">
        <f>IFERROR(H318*(IF(G318=8,I318*HELPER!$G$2,BOM!I318*HELPER!$G$3))," ")</f>
        <v xml:space="preserve"> </v>
      </c>
      <c r="K318" s="6"/>
      <c r="L318" s="14" t="str" cm="1">
        <f t="array" ref="L318">IFERROR(_xlfn.LET(_xlpm.films,Table4[Film],_xlpm.grades,Table4[Grade],_xlpm.pairs,_xlfn._xlws.FILTER(_xlfn.HSTACK(_xlpm.films,_xlpm.grades),(_xlpm.films&lt;&gt;"")*(TRIM(_xlpm.grades)&lt;&gt;"")),_xlpm.uniquePairs,_xlfn.UNIQUE(_xlpm.pairs),_xlpm.sortedPairs,_xlfn._xlws.SORT(_xlpm.uniquePairs,1,1),INDEX(_xlpm.sortedPairs,ROWS($L$2:L318),1)),"")</f>
        <v/>
      </c>
      <c r="M318" s="15" t="str" cm="1">
        <f t="array" ref="M318">IFERROR(_xlfn.LET(_xlpm.films,Table4[Film],_xlpm.grades,Table4[Grade],_xlpm.pairs,_xlfn._xlws.FILTER(_xlfn.HSTACK(_xlpm.films,_xlpm.grades),(_xlpm.films&lt;&gt;"")*(TRIM(_xlpm.grades)&lt;&gt;"")),_xlpm.uniquePairs,_xlfn.UNIQUE(_xlpm.pairs),_xlpm.sortedPairs,_xlfn._xlws.SORT(_xlpm.uniquePairs,1,1),INDEX(_xlpm.sortedPairs,ROWS($M$2:M318),2)),"")</f>
        <v/>
      </c>
      <c r="N318" s="15" t="str" cm="1">
        <f t="array" ref="N318">IF(OR(Table2[[#This Row],[Film]]="",Table2[[#This Row],[Grade]]=""),"",IFERROR(INDEX(Table4[Serial Number],MATCH(1,(Table4[Film]=Table2[[#This Row],[Film]])*(Table4[Grade]=Table2[[#This Row],[Grade]]),0)),""))</f>
        <v/>
      </c>
      <c r="O318" s="51" t="str">
        <f>IF(OR(Table2[[#This Row],[Film]]="",Table2[[#This Row],[Grade]]=""),"",SUMIFS(Table4[Price Calculated(€) Thickness &amp; QTY related],Table4[Film],Table2[[#This Row],[Film]],Table4[Grade],Table2[[#This Row],[Grade]]))</f>
        <v/>
      </c>
      <c r="P318" s="6"/>
      <c r="T318" s="6"/>
    </row>
    <row r="319" spans="1:20" hidden="1">
      <c r="A319" s="55" t="s">
        <v>2337</v>
      </c>
      <c r="B319" s="29" t="s">
        <v>2339</v>
      </c>
      <c r="C319" s="28"/>
      <c r="D319" s="28" t="str">
        <f>IF(C319="","",IFERROR(_xlfn.XLOOKUP(C319,HELPER!$A$2:$A$81,HELPER!$B$2:$B$81,""),D319))</f>
        <v/>
      </c>
      <c r="E319" s="28" t="str">
        <f>IFERROR(_xlfn.XLOOKUP(D319,HELPER!$B:$B,HELPER!$C:$C,""),"")</f>
        <v/>
      </c>
      <c r="F319" s="27" t="str">
        <f>IFERROR(_xlfn.XLOOKUP(D319,HELPER!$B:$B,HELPER!$D:$D,""),"")</f>
        <v/>
      </c>
      <c r="G319" s="27">
        <v>2</v>
      </c>
      <c r="H319" s="46"/>
      <c r="I319" s="47" t="str">
        <f>IF(AND(H319&lt;&gt;"",IFERROR(_xlfn.XLOOKUP(D319,HELPER!$B:$B,HELPER!$E:$E,""),"")=""),"Missing price",IFERROR(_xlfn.XLOOKUP(D319,HELPER!$B:$B,HELPER!$E:$E,"")," "))</f>
        <v/>
      </c>
      <c r="J319" s="47" t="str">
        <f>IFERROR(H319*(IF(G319=8,I319*HELPER!$G$2,BOM!I319*HELPER!$G$3))," ")</f>
        <v xml:space="preserve"> </v>
      </c>
      <c r="K319" s="6"/>
      <c r="L319" s="14" t="str" cm="1">
        <f t="array" ref="L319">IFERROR(_xlfn.LET(_xlpm.films,Table4[Film],_xlpm.grades,Table4[Grade],_xlpm.pairs,_xlfn._xlws.FILTER(_xlfn.HSTACK(_xlpm.films,_xlpm.grades),(_xlpm.films&lt;&gt;"")*(TRIM(_xlpm.grades)&lt;&gt;"")),_xlpm.uniquePairs,_xlfn.UNIQUE(_xlpm.pairs),_xlpm.sortedPairs,_xlfn._xlws.SORT(_xlpm.uniquePairs,1,1),INDEX(_xlpm.sortedPairs,ROWS($L$2:L319),1)),"")</f>
        <v/>
      </c>
      <c r="M319" s="15" t="str" cm="1">
        <f t="array" ref="M319">IFERROR(_xlfn.LET(_xlpm.films,Table4[Film],_xlpm.grades,Table4[Grade],_xlpm.pairs,_xlfn._xlws.FILTER(_xlfn.HSTACK(_xlpm.films,_xlpm.grades),(_xlpm.films&lt;&gt;"")*(TRIM(_xlpm.grades)&lt;&gt;"")),_xlpm.uniquePairs,_xlfn.UNIQUE(_xlpm.pairs),_xlpm.sortedPairs,_xlfn._xlws.SORT(_xlpm.uniquePairs,1,1),INDEX(_xlpm.sortedPairs,ROWS($M$2:M319),2)),"")</f>
        <v/>
      </c>
      <c r="N319" s="15" t="str" cm="1">
        <f t="array" ref="N319">IF(OR(Table2[[#This Row],[Film]]="",Table2[[#This Row],[Grade]]=""),"",IFERROR(INDEX(Table4[Serial Number],MATCH(1,(Table4[Film]=Table2[[#This Row],[Film]])*(Table4[Grade]=Table2[[#This Row],[Grade]]),0)),""))</f>
        <v/>
      </c>
      <c r="O319" s="51" t="str">
        <f>IF(OR(Table2[[#This Row],[Film]]="",Table2[[#This Row],[Grade]]=""),"",SUMIFS(Table4[Price Calculated(€) Thickness &amp; QTY related],Table4[Film],Table2[[#This Row],[Film]],Table4[Grade],Table2[[#This Row],[Grade]]))</f>
        <v/>
      </c>
      <c r="P319" s="6"/>
      <c r="T319" s="6"/>
    </row>
    <row r="320" spans="1:20" hidden="1">
      <c r="A320" s="55" t="s">
        <v>2337</v>
      </c>
      <c r="B320" s="29" t="s">
        <v>2339</v>
      </c>
      <c r="C320" s="28"/>
      <c r="D320" s="28" t="str">
        <f>IF(C320="","",IFERROR(_xlfn.XLOOKUP(C320,HELPER!$A$2:$A$81,HELPER!$B$2:$B$81,""),D320))</f>
        <v/>
      </c>
      <c r="E320" s="28" t="str">
        <f>IFERROR(_xlfn.XLOOKUP(D320,HELPER!$B:$B,HELPER!$C:$C,""),"")</f>
        <v/>
      </c>
      <c r="F320" s="27" t="str">
        <f>IFERROR(_xlfn.XLOOKUP(D320,HELPER!$B:$B,HELPER!$D:$D,""),"")</f>
        <v/>
      </c>
      <c r="G320" s="27">
        <v>2</v>
      </c>
      <c r="H320" s="46"/>
      <c r="I320" s="47" t="str">
        <f>IF(AND(H320&lt;&gt;"",IFERROR(_xlfn.XLOOKUP(D320,HELPER!$B:$B,HELPER!$E:$E,""),"")=""),"Missing price",IFERROR(_xlfn.XLOOKUP(D320,HELPER!$B:$B,HELPER!$E:$E,"")," "))</f>
        <v/>
      </c>
      <c r="J320" s="47" t="str">
        <f>IFERROR(H320*(IF(G320=8,I320*HELPER!$G$2,BOM!I320*HELPER!$G$3))," ")</f>
        <v xml:space="preserve"> </v>
      </c>
      <c r="K320" s="6"/>
      <c r="L320" s="14" t="str" cm="1">
        <f t="array" ref="L320">IFERROR(_xlfn.LET(_xlpm.films,Table4[Film],_xlpm.grades,Table4[Grade],_xlpm.pairs,_xlfn._xlws.FILTER(_xlfn.HSTACK(_xlpm.films,_xlpm.grades),(_xlpm.films&lt;&gt;"")*(TRIM(_xlpm.grades)&lt;&gt;"")),_xlpm.uniquePairs,_xlfn.UNIQUE(_xlpm.pairs),_xlpm.sortedPairs,_xlfn._xlws.SORT(_xlpm.uniquePairs,1,1),INDEX(_xlpm.sortedPairs,ROWS($L$2:L320),1)),"")</f>
        <v/>
      </c>
      <c r="M320" s="15" t="str" cm="1">
        <f t="array" ref="M320">IFERROR(_xlfn.LET(_xlpm.films,Table4[Film],_xlpm.grades,Table4[Grade],_xlpm.pairs,_xlfn._xlws.FILTER(_xlfn.HSTACK(_xlpm.films,_xlpm.grades),(_xlpm.films&lt;&gt;"")*(TRIM(_xlpm.grades)&lt;&gt;"")),_xlpm.uniquePairs,_xlfn.UNIQUE(_xlpm.pairs),_xlpm.sortedPairs,_xlfn._xlws.SORT(_xlpm.uniquePairs,1,1),INDEX(_xlpm.sortedPairs,ROWS($M$2:M320),2)),"")</f>
        <v/>
      </c>
      <c r="N320" s="15" t="str" cm="1">
        <f t="array" ref="N320">IF(OR(Table2[[#This Row],[Film]]="",Table2[[#This Row],[Grade]]=""),"",IFERROR(INDEX(Table4[Serial Number],MATCH(1,(Table4[Film]=Table2[[#This Row],[Film]])*(Table4[Grade]=Table2[[#This Row],[Grade]]),0)),""))</f>
        <v/>
      </c>
      <c r="O320" s="51" t="str">
        <f>IF(OR(Table2[[#This Row],[Film]]="",Table2[[#This Row],[Grade]]=""),"",SUMIFS(Table4[Price Calculated(€) Thickness &amp; QTY related],Table4[Film],Table2[[#This Row],[Film]],Table4[Grade],Table2[[#This Row],[Grade]]))</f>
        <v/>
      </c>
      <c r="P320" s="6"/>
      <c r="T320" s="6"/>
    </row>
    <row r="321" spans="1:20" hidden="1">
      <c r="A321" s="55" t="s">
        <v>2337</v>
      </c>
      <c r="B321" s="29" t="s">
        <v>2339</v>
      </c>
      <c r="C321" s="28"/>
      <c r="D321" s="28" t="str">
        <f>IF(C321="","",IFERROR(_xlfn.XLOOKUP(C321,HELPER!$A$2:$A$81,HELPER!$B$2:$B$81,""),D321))</f>
        <v/>
      </c>
      <c r="E321" s="28" t="str">
        <f>IFERROR(_xlfn.XLOOKUP(D321,HELPER!$B:$B,HELPER!$C:$C,""),"")</f>
        <v/>
      </c>
      <c r="F321" s="27" t="str">
        <f>IFERROR(_xlfn.XLOOKUP(D321,HELPER!$B:$B,HELPER!$D:$D,""),"")</f>
        <v/>
      </c>
      <c r="G321" s="27">
        <v>2</v>
      </c>
      <c r="H321" s="46"/>
      <c r="I321" s="47" t="str">
        <f>IF(AND(H321&lt;&gt;"",IFERROR(_xlfn.XLOOKUP(D321,HELPER!$B:$B,HELPER!$E:$E,""),"")=""),"Missing price",IFERROR(_xlfn.XLOOKUP(D321,HELPER!$B:$B,HELPER!$E:$E,"")," "))</f>
        <v/>
      </c>
      <c r="J321" s="47" t="str">
        <f>IFERROR(H321*(IF(G321=8,I321*HELPER!$G$2,BOM!I321*HELPER!$G$3))," ")</f>
        <v xml:space="preserve"> </v>
      </c>
      <c r="K321" s="6"/>
      <c r="L321" s="14" t="str" cm="1">
        <f t="array" ref="L321">IFERROR(_xlfn.LET(_xlpm.films,Table4[Film],_xlpm.grades,Table4[Grade],_xlpm.pairs,_xlfn._xlws.FILTER(_xlfn.HSTACK(_xlpm.films,_xlpm.grades),(_xlpm.films&lt;&gt;"")*(TRIM(_xlpm.grades)&lt;&gt;"")),_xlpm.uniquePairs,_xlfn.UNIQUE(_xlpm.pairs),_xlpm.sortedPairs,_xlfn._xlws.SORT(_xlpm.uniquePairs,1,1),INDEX(_xlpm.sortedPairs,ROWS($L$2:L321),1)),"")</f>
        <v/>
      </c>
      <c r="M321" s="15" t="str" cm="1">
        <f t="array" ref="M321">IFERROR(_xlfn.LET(_xlpm.films,Table4[Film],_xlpm.grades,Table4[Grade],_xlpm.pairs,_xlfn._xlws.FILTER(_xlfn.HSTACK(_xlpm.films,_xlpm.grades),(_xlpm.films&lt;&gt;"")*(TRIM(_xlpm.grades)&lt;&gt;"")),_xlpm.uniquePairs,_xlfn.UNIQUE(_xlpm.pairs),_xlpm.sortedPairs,_xlfn._xlws.SORT(_xlpm.uniquePairs,1,1),INDEX(_xlpm.sortedPairs,ROWS($M$2:M321),2)),"")</f>
        <v/>
      </c>
      <c r="N321" s="15" t="str" cm="1">
        <f t="array" ref="N321">IF(OR(Table2[[#This Row],[Film]]="",Table2[[#This Row],[Grade]]=""),"",IFERROR(INDEX(Table4[Serial Number],MATCH(1,(Table4[Film]=Table2[[#This Row],[Film]])*(Table4[Grade]=Table2[[#This Row],[Grade]]),0)),""))</f>
        <v/>
      </c>
      <c r="O321" s="51" t="str">
        <f>IF(OR(Table2[[#This Row],[Film]]="",Table2[[#This Row],[Grade]]=""),"",SUMIFS(Table4[Price Calculated(€) Thickness &amp; QTY related],Table4[Film],Table2[[#This Row],[Film]],Table4[Grade],Table2[[#This Row],[Grade]]))</f>
        <v/>
      </c>
      <c r="P321" s="6"/>
      <c r="T321" s="6"/>
    </row>
    <row r="322" spans="1:20" hidden="1">
      <c r="A322" s="29"/>
      <c r="B322" s="29" t="s">
        <v>7</v>
      </c>
      <c r="C322" s="28"/>
      <c r="D322" s="28" t="str">
        <f>IF(C322="","",IFERROR(_xlfn.XLOOKUP(C322,HELPER!$A$2:$A$81,HELPER!$B$2:$B$81,""),D322))</f>
        <v/>
      </c>
      <c r="E322" s="28" t="str">
        <f>IFERROR(_xlfn.XLOOKUP(D322,HELPER!$B:$B,HELPER!$C:$C,""),"")</f>
        <v/>
      </c>
      <c r="F322" s="27" t="str">
        <f>IFERROR(_xlfn.XLOOKUP(D322,HELPER!$B:$B,HELPER!$D:$D,""),"")</f>
        <v/>
      </c>
      <c r="G322" s="27">
        <v>8</v>
      </c>
      <c r="H322" s="46"/>
      <c r="I322" s="47" t="str">
        <f>IF(AND(H322&lt;&gt;"",IFERROR(_xlfn.XLOOKUP(D322,HELPER!$B:$B,HELPER!$E:$E,""),"")=""),"Missing price",IFERROR(_xlfn.XLOOKUP(D322,HELPER!$B:$B,HELPER!$E:$E,"")," "))</f>
        <v/>
      </c>
      <c r="J322" s="47" t="str">
        <f>IFERROR(H322*(IF(G322=8,I322*HELPER!$G$2,BOM!I322*HELPER!$G$3))," ")</f>
        <v xml:space="preserve"> </v>
      </c>
      <c r="K322" s="6"/>
      <c r="L322" s="14" t="str" cm="1">
        <f t="array" ref="L322">IFERROR(_xlfn.LET(_xlpm.films,Table4[Film],_xlpm.grades,Table4[Grade],_xlpm.pairs,_xlfn._xlws.FILTER(_xlfn.HSTACK(_xlpm.films,_xlpm.grades),(_xlpm.films&lt;&gt;"")*(TRIM(_xlpm.grades)&lt;&gt;"")),_xlpm.uniquePairs,_xlfn.UNIQUE(_xlpm.pairs),_xlpm.sortedPairs,_xlfn._xlws.SORT(_xlpm.uniquePairs,1,1),INDEX(_xlpm.sortedPairs,ROWS($L$2:L322),1)),"")</f>
        <v/>
      </c>
      <c r="M322" s="15" t="str" cm="1">
        <f t="array" ref="M322">IFERROR(_xlfn.LET(_xlpm.films,Table4[Film],_xlpm.grades,Table4[Grade],_xlpm.pairs,_xlfn._xlws.FILTER(_xlfn.HSTACK(_xlpm.films,_xlpm.grades),(_xlpm.films&lt;&gt;"")*(TRIM(_xlpm.grades)&lt;&gt;"")),_xlpm.uniquePairs,_xlfn.UNIQUE(_xlpm.pairs),_xlpm.sortedPairs,_xlfn._xlws.SORT(_xlpm.uniquePairs,1,1),INDEX(_xlpm.sortedPairs,ROWS($M$2:M322),2)),"")</f>
        <v/>
      </c>
      <c r="N322" s="15" t="str" cm="1">
        <f t="array" ref="N322">IF(OR(Table2[[#This Row],[Film]]="",Table2[[#This Row],[Grade]]=""),"",IFERROR(INDEX(Table4[Serial Number],MATCH(1,(Table4[Film]=Table2[[#This Row],[Film]])*(Table4[Grade]=Table2[[#This Row],[Grade]]),0)),""))</f>
        <v/>
      </c>
      <c r="O322" s="51" t="str">
        <f>IF(OR(Table2[[#This Row],[Film]]="",Table2[[#This Row],[Grade]]=""),"",SUMIFS(Table4[Price Calculated(€) Thickness &amp; QTY related],Table4[Film],Table2[[#This Row],[Film]],Table4[Grade],Table2[[#This Row],[Grade]]))</f>
        <v/>
      </c>
      <c r="P322" s="6"/>
      <c r="T322" s="6"/>
    </row>
    <row r="323" spans="1:20" hidden="1">
      <c r="A323" s="29"/>
      <c r="B323" s="29" t="s">
        <v>7</v>
      </c>
      <c r="C323" s="28"/>
      <c r="D323" s="28" t="str">
        <f>IF(C323="","",IFERROR(_xlfn.XLOOKUP(C323,HELPER!$A$2:$A$81,HELPER!$B$2:$B$81,""),D323))</f>
        <v/>
      </c>
      <c r="E323" s="28" t="str">
        <f>IFERROR(_xlfn.XLOOKUP(D323,HELPER!$B:$B,HELPER!$C:$C,""),"")</f>
        <v/>
      </c>
      <c r="F323" s="27" t="str">
        <f>IFERROR(_xlfn.XLOOKUP(D323,HELPER!$B:$B,HELPER!$D:$D,""),"")</f>
        <v/>
      </c>
      <c r="G323" s="27">
        <v>8</v>
      </c>
      <c r="H323" s="46"/>
      <c r="I323" s="47" t="str">
        <f>IF(AND(H323&lt;&gt;"",IFERROR(_xlfn.XLOOKUP(D323,HELPER!$B:$B,HELPER!$E:$E,""),"")=""),"Missing price",IFERROR(_xlfn.XLOOKUP(D323,HELPER!$B:$B,HELPER!$E:$E,"")," "))</f>
        <v/>
      </c>
      <c r="J323" s="47" t="str">
        <f>IFERROR(H323*(IF(G323=8,I323*HELPER!$G$2,BOM!I323*HELPER!$G$3))," ")</f>
        <v xml:space="preserve"> </v>
      </c>
      <c r="K323" s="6"/>
      <c r="L323" s="14" t="str" cm="1">
        <f t="array" ref="L323">IFERROR(_xlfn.LET(_xlpm.films,Table4[Film],_xlpm.grades,Table4[Grade],_xlpm.pairs,_xlfn._xlws.FILTER(_xlfn.HSTACK(_xlpm.films,_xlpm.grades),(_xlpm.films&lt;&gt;"")*(TRIM(_xlpm.grades)&lt;&gt;"")),_xlpm.uniquePairs,_xlfn.UNIQUE(_xlpm.pairs),_xlpm.sortedPairs,_xlfn._xlws.SORT(_xlpm.uniquePairs,1,1),INDEX(_xlpm.sortedPairs,ROWS($L$2:L323),1)),"")</f>
        <v/>
      </c>
      <c r="M323" s="15" t="str" cm="1">
        <f t="array" ref="M323">IFERROR(_xlfn.LET(_xlpm.films,Table4[Film],_xlpm.grades,Table4[Grade],_xlpm.pairs,_xlfn._xlws.FILTER(_xlfn.HSTACK(_xlpm.films,_xlpm.grades),(_xlpm.films&lt;&gt;"")*(TRIM(_xlpm.grades)&lt;&gt;"")),_xlpm.uniquePairs,_xlfn.UNIQUE(_xlpm.pairs),_xlpm.sortedPairs,_xlfn._xlws.SORT(_xlpm.uniquePairs,1,1),INDEX(_xlpm.sortedPairs,ROWS($M$2:M323),2)),"")</f>
        <v/>
      </c>
      <c r="N323" s="15" t="str" cm="1">
        <f t="array" ref="N323">IF(OR(Table2[[#This Row],[Film]]="",Table2[[#This Row],[Grade]]=""),"",IFERROR(INDEX(Table4[Serial Number],MATCH(1,(Table4[Film]=Table2[[#This Row],[Film]])*(Table4[Grade]=Table2[[#This Row],[Grade]]),0)),""))</f>
        <v/>
      </c>
      <c r="O323" s="51" t="str">
        <f>IF(OR(Table2[[#This Row],[Film]]="",Table2[[#This Row],[Grade]]=""),"",SUMIFS(Table4[Price Calculated(€) Thickness &amp; QTY related],Table4[Film],Table2[[#This Row],[Film]],Table4[Grade],Table2[[#This Row],[Grade]]))</f>
        <v/>
      </c>
      <c r="P323" s="6"/>
      <c r="T323" s="6"/>
    </row>
    <row r="324" spans="1:20" hidden="1">
      <c r="A324" s="29"/>
      <c r="B324" s="29" t="s">
        <v>7</v>
      </c>
      <c r="C324" s="28"/>
      <c r="D324" s="28" t="str">
        <f>IF(C324="","",IFERROR(_xlfn.XLOOKUP(C324,HELPER!$A$2:$A$81,HELPER!$B$2:$B$81,""),D324))</f>
        <v/>
      </c>
      <c r="E324" s="28" t="str">
        <f>IFERROR(_xlfn.XLOOKUP(D324,HELPER!$B:$B,HELPER!$C:$C,""),"")</f>
        <v/>
      </c>
      <c r="F324" s="27" t="str">
        <f>IFERROR(_xlfn.XLOOKUP(D324,HELPER!$B:$B,HELPER!$D:$D,""),"")</f>
        <v/>
      </c>
      <c r="G324" s="27">
        <v>8</v>
      </c>
      <c r="H324" s="46"/>
      <c r="I324" s="47" t="str">
        <f>IF(AND(H324&lt;&gt;"",IFERROR(_xlfn.XLOOKUP(D324,HELPER!$B:$B,HELPER!$E:$E,""),"")=""),"Missing price",IFERROR(_xlfn.XLOOKUP(D324,HELPER!$B:$B,HELPER!$E:$E,"")," "))</f>
        <v/>
      </c>
      <c r="J324" s="47" t="str">
        <f>IFERROR(H324*(IF(G324=8,I324*HELPER!$G$2,BOM!I324*HELPER!$G$3))," ")</f>
        <v xml:space="preserve"> </v>
      </c>
      <c r="K324" s="6"/>
      <c r="L324" s="14" t="str" cm="1">
        <f t="array" ref="L324">IFERROR(_xlfn.LET(_xlpm.films,Table4[Film],_xlpm.grades,Table4[Grade],_xlpm.pairs,_xlfn._xlws.FILTER(_xlfn.HSTACK(_xlpm.films,_xlpm.grades),(_xlpm.films&lt;&gt;"")*(TRIM(_xlpm.grades)&lt;&gt;"")),_xlpm.uniquePairs,_xlfn.UNIQUE(_xlpm.pairs),_xlpm.sortedPairs,_xlfn._xlws.SORT(_xlpm.uniquePairs,1,1),INDEX(_xlpm.sortedPairs,ROWS($L$2:L324),1)),"")</f>
        <v/>
      </c>
      <c r="M324" s="15" t="str" cm="1">
        <f t="array" ref="M324">IFERROR(_xlfn.LET(_xlpm.films,Table4[Film],_xlpm.grades,Table4[Grade],_xlpm.pairs,_xlfn._xlws.FILTER(_xlfn.HSTACK(_xlpm.films,_xlpm.grades),(_xlpm.films&lt;&gt;"")*(TRIM(_xlpm.grades)&lt;&gt;"")),_xlpm.uniquePairs,_xlfn.UNIQUE(_xlpm.pairs),_xlpm.sortedPairs,_xlfn._xlws.SORT(_xlpm.uniquePairs,1,1),INDEX(_xlpm.sortedPairs,ROWS($M$2:M324),2)),"")</f>
        <v/>
      </c>
      <c r="N324" s="15" t="str" cm="1">
        <f t="array" ref="N324">IF(OR(Table2[[#This Row],[Film]]="",Table2[[#This Row],[Grade]]=""),"",IFERROR(INDEX(Table4[Serial Number],MATCH(1,(Table4[Film]=Table2[[#This Row],[Film]])*(Table4[Grade]=Table2[[#This Row],[Grade]]),0)),""))</f>
        <v/>
      </c>
      <c r="O324" s="51" t="str">
        <f>IF(OR(Table2[[#This Row],[Film]]="",Table2[[#This Row],[Grade]]=""),"",SUMIFS(Table4[Price Calculated(€) Thickness &amp; QTY related],Table4[Film],Table2[[#This Row],[Film]],Table4[Grade],Table2[[#This Row],[Grade]]))</f>
        <v/>
      </c>
      <c r="P324" s="6"/>
      <c r="T324" s="6"/>
    </row>
    <row r="325" spans="1:20" hidden="1">
      <c r="A325" s="29"/>
      <c r="B325" s="29" t="s">
        <v>7</v>
      </c>
      <c r="C325" s="28"/>
      <c r="D325" s="28" t="str">
        <f>IF(C325="","",IFERROR(_xlfn.XLOOKUP(C325,HELPER!$A$2:$A$81,HELPER!$B$2:$B$81,""),D325))</f>
        <v/>
      </c>
      <c r="E325" s="28" t="str">
        <f>IFERROR(_xlfn.XLOOKUP(D325,HELPER!$B:$B,HELPER!$C:$C,""),"")</f>
        <v/>
      </c>
      <c r="F325" s="27" t="str">
        <f>IFERROR(_xlfn.XLOOKUP(D325,HELPER!$B:$B,HELPER!$D:$D,""),"")</f>
        <v/>
      </c>
      <c r="G325" s="27">
        <v>8</v>
      </c>
      <c r="H325" s="46"/>
      <c r="I325" s="47" t="str">
        <f>IF(AND(H325&lt;&gt;"",IFERROR(_xlfn.XLOOKUP(D325,HELPER!$B:$B,HELPER!$E:$E,""),"")=""),"Missing price",IFERROR(_xlfn.XLOOKUP(D325,HELPER!$B:$B,HELPER!$E:$E,"")," "))</f>
        <v/>
      </c>
      <c r="J325" s="47" t="str">
        <f>IFERROR(H325*(IF(G325=8,I325*HELPER!$G$2,BOM!I325*HELPER!$G$3))," ")</f>
        <v xml:space="preserve"> </v>
      </c>
      <c r="K325" s="6"/>
      <c r="L325" s="14" t="str" cm="1">
        <f t="array" ref="L325">IFERROR(_xlfn.LET(_xlpm.films,Table4[Film],_xlpm.grades,Table4[Grade],_xlpm.pairs,_xlfn._xlws.FILTER(_xlfn.HSTACK(_xlpm.films,_xlpm.grades),(_xlpm.films&lt;&gt;"")*(TRIM(_xlpm.grades)&lt;&gt;"")),_xlpm.uniquePairs,_xlfn.UNIQUE(_xlpm.pairs),_xlpm.sortedPairs,_xlfn._xlws.SORT(_xlpm.uniquePairs,1,1),INDEX(_xlpm.sortedPairs,ROWS($L$2:L325),1)),"")</f>
        <v/>
      </c>
      <c r="M325" s="15" t="str" cm="1">
        <f t="array" ref="M325">IFERROR(_xlfn.LET(_xlpm.films,Table4[Film],_xlpm.grades,Table4[Grade],_xlpm.pairs,_xlfn._xlws.FILTER(_xlfn.HSTACK(_xlpm.films,_xlpm.grades),(_xlpm.films&lt;&gt;"")*(TRIM(_xlpm.grades)&lt;&gt;"")),_xlpm.uniquePairs,_xlfn.UNIQUE(_xlpm.pairs),_xlpm.sortedPairs,_xlfn._xlws.SORT(_xlpm.uniquePairs,1,1),INDEX(_xlpm.sortedPairs,ROWS($M$2:M325),2)),"")</f>
        <v/>
      </c>
      <c r="N325" s="15" t="str" cm="1">
        <f t="array" ref="N325">IF(OR(Table2[[#This Row],[Film]]="",Table2[[#This Row],[Grade]]=""),"",IFERROR(INDEX(Table4[Serial Number],MATCH(1,(Table4[Film]=Table2[[#This Row],[Film]])*(Table4[Grade]=Table2[[#This Row],[Grade]]),0)),""))</f>
        <v/>
      </c>
      <c r="O325" s="51" t="str">
        <f>IF(OR(Table2[[#This Row],[Film]]="",Table2[[#This Row],[Grade]]=""),"",SUMIFS(Table4[Price Calculated(€) Thickness &amp; QTY related],Table4[Film],Table2[[#This Row],[Film]],Table4[Grade],Table2[[#This Row],[Grade]]))</f>
        <v/>
      </c>
      <c r="P325" s="6"/>
      <c r="T325" s="6"/>
    </row>
    <row r="326" spans="1:20" hidden="1">
      <c r="A326" s="29"/>
      <c r="B326" s="29" t="s">
        <v>7</v>
      </c>
      <c r="C326" s="28"/>
      <c r="D326" s="28" t="str">
        <f>IF(C326="","",IFERROR(_xlfn.XLOOKUP(C326,HELPER!$A$2:$A$81,HELPER!$B$2:$B$81,""),D326))</f>
        <v/>
      </c>
      <c r="E326" s="28" t="str">
        <f>IFERROR(_xlfn.XLOOKUP(D326,HELPER!$B:$B,HELPER!$C:$C,""),"")</f>
        <v/>
      </c>
      <c r="F326" s="27" t="str">
        <f>IFERROR(_xlfn.XLOOKUP(D326,HELPER!$B:$B,HELPER!$D:$D,""),"")</f>
        <v/>
      </c>
      <c r="G326" s="27">
        <v>8</v>
      </c>
      <c r="H326" s="46"/>
      <c r="I326" s="47" t="str">
        <f>IF(AND(H326&lt;&gt;"",IFERROR(_xlfn.XLOOKUP(D326,HELPER!$B:$B,HELPER!$E:$E,""),"")=""),"Missing price",IFERROR(_xlfn.XLOOKUP(D326,HELPER!$B:$B,HELPER!$E:$E,"")," "))</f>
        <v/>
      </c>
      <c r="J326" s="47" t="str">
        <f>IFERROR(H326*(IF(G326=8,I326*HELPER!$G$2,BOM!I326*HELPER!$G$3))," ")</f>
        <v xml:space="preserve"> </v>
      </c>
      <c r="K326" s="6"/>
      <c r="L326" s="14" t="str" cm="1">
        <f t="array" ref="L326">IFERROR(_xlfn.LET(_xlpm.films,Table4[Film],_xlpm.grades,Table4[Grade],_xlpm.pairs,_xlfn._xlws.FILTER(_xlfn.HSTACK(_xlpm.films,_xlpm.grades),(_xlpm.films&lt;&gt;"")*(TRIM(_xlpm.grades)&lt;&gt;"")),_xlpm.uniquePairs,_xlfn.UNIQUE(_xlpm.pairs),_xlpm.sortedPairs,_xlfn._xlws.SORT(_xlpm.uniquePairs,1,1),INDEX(_xlpm.sortedPairs,ROWS($L$2:L326),1)),"")</f>
        <v/>
      </c>
      <c r="M326" s="15" t="str" cm="1">
        <f t="array" ref="M326">IFERROR(_xlfn.LET(_xlpm.films,Table4[Film],_xlpm.grades,Table4[Grade],_xlpm.pairs,_xlfn._xlws.FILTER(_xlfn.HSTACK(_xlpm.films,_xlpm.grades),(_xlpm.films&lt;&gt;"")*(TRIM(_xlpm.grades)&lt;&gt;"")),_xlpm.uniquePairs,_xlfn.UNIQUE(_xlpm.pairs),_xlpm.sortedPairs,_xlfn._xlws.SORT(_xlpm.uniquePairs,1,1),INDEX(_xlpm.sortedPairs,ROWS($M$2:M326),2)),"")</f>
        <v/>
      </c>
      <c r="N326" s="15" t="str" cm="1">
        <f t="array" ref="N326">IF(OR(Table2[[#This Row],[Film]]="",Table2[[#This Row],[Grade]]=""),"",IFERROR(INDEX(Table4[Serial Number],MATCH(1,(Table4[Film]=Table2[[#This Row],[Film]])*(Table4[Grade]=Table2[[#This Row],[Grade]]),0)),""))</f>
        <v/>
      </c>
      <c r="O326" s="51" t="str">
        <f>IF(OR(Table2[[#This Row],[Film]]="",Table2[[#This Row],[Grade]]=""),"",SUMIFS(Table4[Price Calculated(€) Thickness &amp; QTY related],Table4[Film],Table2[[#This Row],[Film]],Table4[Grade],Table2[[#This Row],[Grade]]))</f>
        <v/>
      </c>
      <c r="P326" s="6"/>
      <c r="T326" s="6"/>
    </row>
    <row r="327" spans="1:20" hidden="1">
      <c r="A327" s="29"/>
      <c r="B327" s="29" t="s">
        <v>7</v>
      </c>
      <c r="C327" s="28"/>
      <c r="D327" s="28" t="str">
        <f>IF(C327="","",IFERROR(_xlfn.XLOOKUP(C327,HELPER!$A$2:$A$81,HELPER!$B$2:$B$81,""),D327))</f>
        <v/>
      </c>
      <c r="E327" s="28" t="str">
        <f>IFERROR(_xlfn.XLOOKUP(D327,HELPER!$B:$B,HELPER!$C:$C,""),"")</f>
        <v/>
      </c>
      <c r="F327" s="27" t="str">
        <f>IFERROR(_xlfn.XLOOKUP(D327,HELPER!$B:$B,HELPER!$D:$D,""),"")</f>
        <v/>
      </c>
      <c r="G327" s="27">
        <v>8</v>
      </c>
      <c r="H327" s="46"/>
      <c r="I327" s="47" t="str">
        <f>IF(AND(H327&lt;&gt;"",IFERROR(_xlfn.XLOOKUP(D327,HELPER!$B:$B,HELPER!$E:$E,""),"")=""),"Missing price",IFERROR(_xlfn.XLOOKUP(D327,HELPER!$B:$B,HELPER!$E:$E,"")," "))</f>
        <v/>
      </c>
      <c r="J327" s="47" t="str">
        <f>IFERROR(H327*(IF(G327=8,I327*HELPER!$G$2,BOM!I327*HELPER!$G$3))," ")</f>
        <v xml:space="preserve"> </v>
      </c>
      <c r="K327" s="6"/>
      <c r="L327" s="14" t="str" cm="1">
        <f t="array" ref="L327">IFERROR(_xlfn.LET(_xlpm.films,Table4[Film],_xlpm.grades,Table4[Grade],_xlpm.pairs,_xlfn._xlws.FILTER(_xlfn.HSTACK(_xlpm.films,_xlpm.grades),(_xlpm.films&lt;&gt;"")*(TRIM(_xlpm.grades)&lt;&gt;"")),_xlpm.uniquePairs,_xlfn.UNIQUE(_xlpm.pairs),_xlpm.sortedPairs,_xlfn._xlws.SORT(_xlpm.uniquePairs,1,1),INDEX(_xlpm.sortedPairs,ROWS($L$2:L327),1)),"")</f>
        <v/>
      </c>
      <c r="M327" s="15" t="str" cm="1">
        <f t="array" ref="M327">IFERROR(_xlfn.LET(_xlpm.films,Table4[Film],_xlpm.grades,Table4[Grade],_xlpm.pairs,_xlfn._xlws.FILTER(_xlfn.HSTACK(_xlpm.films,_xlpm.grades),(_xlpm.films&lt;&gt;"")*(TRIM(_xlpm.grades)&lt;&gt;"")),_xlpm.uniquePairs,_xlfn.UNIQUE(_xlpm.pairs),_xlpm.sortedPairs,_xlfn._xlws.SORT(_xlpm.uniquePairs,1,1),INDEX(_xlpm.sortedPairs,ROWS($M$2:M327),2)),"")</f>
        <v/>
      </c>
      <c r="N327" s="15" t="str" cm="1">
        <f t="array" ref="N327">IF(OR(Table2[[#This Row],[Film]]="",Table2[[#This Row],[Grade]]=""),"",IFERROR(INDEX(Table4[Serial Number],MATCH(1,(Table4[Film]=Table2[[#This Row],[Film]])*(Table4[Grade]=Table2[[#This Row],[Grade]]),0)),""))</f>
        <v/>
      </c>
      <c r="O327" s="51" t="str">
        <f>IF(OR(Table2[[#This Row],[Film]]="",Table2[[#This Row],[Grade]]=""),"",SUMIFS(Table4[Price Calculated(€) Thickness &amp; QTY related],Table4[Film],Table2[[#This Row],[Film]],Table4[Grade],Table2[[#This Row],[Grade]]))</f>
        <v/>
      </c>
      <c r="P327" s="6"/>
      <c r="T327" s="6"/>
    </row>
    <row r="328" spans="1:20" hidden="1">
      <c r="A328" s="29"/>
      <c r="B328" s="29" t="s">
        <v>7</v>
      </c>
      <c r="C328" s="28"/>
      <c r="D328" s="28" t="str">
        <f>IF(C328="","",IFERROR(_xlfn.XLOOKUP(C328,HELPER!$A$2:$A$81,HELPER!$B$2:$B$81,""),D328))</f>
        <v/>
      </c>
      <c r="E328" s="28" t="str">
        <f>IFERROR(_xlfn.XLOOKUP(D328,HELPER!$B:$B,HELPER!$C:$C,""),"")</f>
        <v/>
      </c>
      <c r="F328" s="27" t="str">
        <f>IFERROR(_xlfn.XLOOKUP(D328,HELPER!$B:$B,HELPER!$D:$D,""),"")</f>
        <v/>
      </c>
      <c r="G328" s="27">
        <v>8</v>
      </c>
      <c r="H328" s="46"/>
      <c r="I328" s="47" t="str">
        <f>IF(AND(H328&lt;&gt;"",IFERROR(_xlfn.XLOOKUP(D328,HELPER!$B:$B,HELPER!$E:$E,""),"")=""),"Missing price",IFERROR(_xlfn.XLOOKUP(D328,HELPER!$B:$B,HELPER!$E:$E,"")," "))</f>
        <v/>
      </c>
      <c r="J328" s="47" t="str">
        <f>IFERROR(H328*(IF(G328=8,I328*HELPER!$G$2,BOM!I328*HELPER!$G$3))," ")</f>
        <v xml:space="preserve"> </v>
      </c>
      <c r="K328" s="6"/>
      <c r="L328" s="14" t="str" cm="1">
        <f t="array" ref="L328">IFERROR(_xlfn.LET(_xlpm.films,Table4[Film],_xlpm.grades,Table4[Grade],_xlpm.pairs,_xlfn._xlws.FILTER(_xlfn.HSTACK(_xlpm.films,_xlpm.grades),(_xlpm.films&lt;&gt;"")*(TRIM(_xlpm.grades)&lt;&gt;"")),_xlpm.uniquePairs,_xlfn.UNIQUE(_xlpm.pairs),_xlpm.sortedPairs,_xlfn._xlws.SORT(_xlpm.uniquePairs,1,1),INDEX(_xlpm.sortedPairs,ROWS($L$2:L328),1)),"")</f>
        <v/>
      </c>
      <c r="M328" s="15" t="str" cm="1">
        <f t="array" ref="M328">IFERROR(_xlfn.LET(_xlpm.films,Table4[Film],_xlpm.grades,Table4[Grade],_xlpm.pairs,_xlfn._xlws.FILTER(_xlfn.HSTACK(_xlpm.films,_xlpm.grades),(_xlpm.films&lt;&gt;"")*(TRIM(_xlpm.grades)&lt;&gt;"")),_xlpm.uniquePairs,_xlfn.UNIQUE(_xlpm.pairs),_xlpm.sortedPairs,_xlfn._xlws.SORT(_xlpm.uniquePairs,1,1),INDEX(_xlpm.sortedPairs,ROWS($M$2:M328),2)),"")</f>
        <v/>
      </c>
      <c r="N328" s="15" t="str" cm="1">
        <f t="array" ref="N328">IF(OR(Table2[[#This Row],[Film]]="",Table2[[#This Row],[Grade]]=""),"",IFERROR(INDEX(Table4[Serial Number],MATCH(1,(Table4[Film]=Table2[[#This Row],[Film]])*(Table4[Grade]=Table2[[#This Row],[Grade]]),0)),""))</f>
        <v/>
      </c>
      <c r="O328" s="51" t="str">
        <f>IF(OR(Table2[[#This Row],[Film]]="",Table2[[#This Row],[Grade]]=""),"",SUMIFS(Table4[Price Calculated(€) Thickness &amp; QTY related],Table4[Film],Table2[[#This Row],[Film]],Table4[Grade],Table2[[#This Row],[Grade]]))</f>
        <v/>
      </c>
      <c r="P328" s="6"/>
      <c r="T328" s="6"/>
    </row>
    <row r="329" spans="1:20" hidden="1">
      <c r="A329" s="29"/>
      <c r="B329" s="29" t="s">
        <v>7</v>
      </c>
      <c r="C329" s="28"/>
      <c r="D329" s="28" t="str">
        <f>IF(C329="","",IFERROR(_xlfn.XLOOKUP(C329,HELPER!$A$2:$A$81,HELPER!$B$2:$B$81,""),D329))</f>
        <v/>
      </c>
      <c r="E329" s="28" t="str">
        <f>IFERROR(_xlfn.XLOOKUP(D329,HELPER!$B:$B,HELPER!$C:$C,""),"")</f>
        <v/>
      </c>
      <c r="F329" s="27" t="str">
        <f>IFERROR(_xlfn.XLOOKUP(D329,HELPER!$B:$B,HELPER!$D:$D,""),"")</f>
        <v/>
      </c>
      <c r="G329" s="27">
        <v>8</v>
      </c>
      <c r="H329" s="46"/>
      <c r="I329" s="47" t="str">
        <f>IF(AND(H329&lt;&gt;"",IFERROR(_xlfn.XLOOKUP(D329,HELPER!$B:$B,HELPER!$E:$E,""),"")=""),"Missing price",IFERROR(_xlfn.XLOOKUP(D329,HELPER!$B:$B,HELPER!$E:$E,"")," "))</f>
        <v/>
      </c>
      <c r="J329" s="47" t="str">
        <f>IFERROR(H329*(IF(G329=8,I329*HELPER!$G$2,BOM!I329*HELPER!$G$3))," ")</f>
        <v xml:space="preserve"> </v>
      </c>
      <c r="K329" s="6"/>
      <c r="L329" s="14" t="str" cm="1">
        <f t="array" ref="L329">IFERROR(_xlfn.LET(_xlpm.films,Table4[Film],_xlpm.grades,Table4[Grade],_xlpm.pairs,_xlfn._xlws.FILTER(_xlfn.HSTACK(_xlpm.films,_xlpm.grades),(_xlpm.films&lt;&gt;"")*(TRIM(_xlpm.grades)&lt;&gt;"")),_xlpm.uniquePairs,_xlfn.UNIQUE(_xlpm.pairs),_xlpm.sortedPairs,_xlfn._xlws.SORT(_xlpm.uniquePairs,1,1),INDEX(_xlpm.sortedPairs,ROWS($L$2:L329),1)),"")</f>
        <v/>
      </c>
      <c r="M329" s="15" t="str" cm="1">
        <f t="array" ref="M329">IFERROR(_xlfn.LET(_xlpm.films,Table4[Film],_xlpm.grades,Table4[Grade],_xlpm.pairs,_xlfn._xlws.FILTER(_xlfn.HSTACK(_xlpm.films,_xlpm.grades),(_xlpm.films&lt;&gt;"")*(TRIM(_xlpm.grades)&lt;&gt;"")),_xlpm.uniquePairs,_xlfn.UNIQUE(_xlpm.pairs),_xlpm.sortedPairs,_xlfn._xlws.SORT(_xlpm.uniquePairs,1,1),INDEX(_xlpm.sortedPairs,ROWS($M$2:M329),2)),"")</f>
        <v/>
      </c>
      <c r="N329" s="15" t="str" cm="1">
        <f t="array" ref="N329">IF(OR(Table2[[#This Row],[Film]]="",Table2[[#This Row],[Grade]]=""),"",IFERROR(INDEX(Table4[Serial Number],MATCH(1,(Table4[Film]=Table2[[#This Row],[Film]])*(Table4[Grade]=Table2[[#This Row],[Grade]]),0)),""))</f>
        <v/>
      </c>
      <c r="O329" s="51" t="str">
        <f>IF(OR(Table2[[#This Row],[Film]]="",Table2[[#This Row],[Grade]]=""),"",SUMIFS(Table4[Price Calculated(€) Thickness &amp; QTY related],Table4[Film],Table2[[#This Row],[Film]],Table4[Grade],Table2[[#This Row],[Grade]]))</f>
        <v/>
      </c>
      <c r="P329" s="6"/>
      <c r="T329" s="6"/>
    </row>
    <row r="330" spans="1:20" hidden="1">
      <c r="A330" s="29"/>
      <c r="B330" s="29" t="s">
        <v>7</v>
      </c>
      <c r="C330" s="28"/>
      <c r="D330" s="28" t="str">
        <f>IF(C330="","",IFERROR(_xlfn.XLOOKUP(C330,HELPER!$A$2:$A$81,HELPER!$B$2:$B$81,""),D330))</f>
        <v/>
      </c>
      <c r="E330" s="28" t="str">
        <f>IFERROR(_xlfn.XLOOKUP(D330,HELPER!$B:$B,HELPER!$C:$C,""),"")</f>
        <v/>
      </c>
      <c r="F330" s="27" t="str">
        <f>IFERROR(_xlfn.XLOOKUP(D330,HELPER!$B:$B,HELPER!$D:$D,""),"")</f>
        <v/>
      </c>
      <c r="G330" s="27">
        <v>8</v>
      </c>
      <c r="H330" s="46"/>
      <c r="I330" s="47" t="str">
        <f>IF(AND(H330&lt;&gt;"",IFERROR(_xlfn.XLOOKUP(D330,HELPER!$B:$B,HELPER!$E:$E,""),"")=""),"Missing price",IFERROR(_xlfn.XLOOKUP(D330,HELPER!$B:$B,HELPER!$E:$E,"")," "))</f>
        <v/>
      </c>
      <c r="J330" s="47" t="str">
        <f>IFERROR(H330*(IF(G330=8,I330*HELPER!$G$2,BOM!I330*HELPER!$G$3))," ")</f>
        <v xml:space="preserve"> </v>
      </c>
      <c r="K330" s="6"/>
      <c r="L330" s="14" t="str" cm="1">
        <f t="array" ref="L330">IFERROR(_xlfn.LET(_xlpm.films,Table4[Film],_xlpm.grades,Table4[Grade],_xlpm.pairs,_xlfn._xlws.FILTER(_xlfn.HSTACK(_xlpm.films,_xlpm.grades),(_xlpm.films&lt;&gt;"")*(TRIM(_xlpm.grades)&lt;&gt;"")),_xlpm.uniquePairs,_xlfn.UNIQUE(_xlpm.pairs),_xlpm.sortedPairs,_xlfn._xlws.SORT(_xlpm.uniquePairs,1,1),INDEX(_xlpm.sortedPairs,ROWS($L$2:L330),1)),"")</f>
        <v/>
      </c>
      <c r="M330" s="15" t="str" cm="1">
        <f t="array" ref="M330">IFERROR(_xlfn.LET(_xlpm.films,Table4[Film],_xlpm.grades,Table4[Grade],_xlpm.pairs,_xlfn._xlws.FILTER(_xlfn.HSTACK(_xlpm.films,_xlpm.grades),(_xlpm.films&lt;&gt;"")*(TRIM(_xlpm.grades)&lt;&gt;"")),_xlpm.uniquePairs,_xlfn.UNIQUE(_xlpm.pairs),_xlpm.sortedPairs,_xlfn._xlws.SORT(_xlpm.uniquePairs,1,1),INDEX(_xlpm.sortedPairs,ROWS($M$2:M330),2)),"")</f>
        <v/>
      </c>
      <c r="N330" s="15" t="str" cm="1">
        <f t="array" ref="N330">IF(OR(Table2[[#This Row],[Film]]="",Table2[[#This Row],[Grade]]=""),"",IFERROR(INDEX(Table4[Serial Number],MATCH(1,(Table4[Film]=Table2[[#This Row],[Film]])*(Table4[Grade]=Table2[[#This Row],[Grade]]),0)),""))</f>
        <v/>
      </c>
      <c r="O330" s="51" t="str">
        <f>IF(OR(Table2[[#This Row],[Film]]="",Table2[[#This Row],[Grade]]=""),"",SUMIFS(Table4[Price Calculated(€) Thickness &amp; QTY related],Table4[Film],Table2[[#This Row],[Film]],Table4[Grade],Table2[[#This Row],[Grade]]))</f>
        <v/>
      </c>
      <c r="P330" s="6"/>
      <c r="T330" s="6"/>
    </row>
    <row r="331" spans="1:20" hidden="1">
      <c r="A331" s="29"/>
      <c r="B331" s="29" t="s">
        <v>7</v>
      </c>
      <c r="C331" s="28"/>
      <c r="D331" s="28" t="str">
        <f>IF(C331="","",IFERROR(_xlfn.XLOOKUP(C331,HELPER!$A$2:$A$81,HELPER!$B$2:$B$81,""),D331))</f>
        <v/>
      </c>
      <c r="E331" s="28" t="str">
        <f>IFERROR(_xlfn.XLOOKUP(D331,HELPER!$B:$B,HELPER!$C:$C,""),"")</f>
        <v/>
      </c>
      <c r="F331" s="27" t="str">
        <f>IFERROR(_xlfn.XLOOKUP(D331,HELPER!$B:$B,HELPER!$D:$D,""),"")</f>
        <v/>
      </c>
      <c r="G331" s="27">
        <v>8</v>
      </c>
      <c r="H331" s="46"/>
      <c r="I331" s="47" t="str">
        <f>IF(AND(H331&lt;&gt;"",IFERROR(_xlfn.XLOOKUP(D331,HELPER!$B:$B,HELPER!$E:$E,""),"")=""),"Missing price",IFERROR(_xlfn.XLOOKUP(D331,HELPER!$B:$B,HELPER!$E:$E,"")," "))</f>
        <v/>
      </c>
      <c r="J331" s="47" t="str">
        <f>IFERROR(H331*(IF(G331=8,I331*HELPER!$G$2,BOM!I331*HELPER!$G$3))," ")</f>
        <v xml:space="preserve"> </v>
      </c>
      <c r="K331" s="6"/>
      <c r="L331" s="14" t="str" cm="1">
        <f t="array" ref="L331">IFERROR(_xlfn.LET(_xlpm.films,Table4[Film],_xlpm.grades,Table4[Grade],_xlpm.pairs,_xlfn._xlws.FILTER(_xlfn.HSTACK(_xlpm.films,_xlpm.grades),(_xlpm.films&lt;&gt;"")*(TRIM(_xlpm.grades)&lt;&gt;"")),_xlpm.uniquePairs,_xlfn.UNIQUE(_xlpm.pairs),_xlpm.sortedPairs,_xlfn._xlws.SORT(_xlpm.uniquePairs,1,1),INDEX(_xlpm.sortedPairs,ROWS($L$2:L331),1)),"")</f>
        <v/>
      </c>
      <c r="M331" s="15" t="str" cm="1">
        <f t="array" ref="M331">IFERROR(_xlfn.LET(_xlpm.films,Table4[Film],_xlpm.grades,Table4[Grade],_xlpm.pairs,_xlfn._xlws.FILTER(_xlfn.HSTACK(_xlpm.films,_xlpm.grades),(_xlpm.films&lt;&gt;"")*(TRIM(_xlpm.grades)&lt;&gt;"")),_xlpm.uniquePairs,_xlfn.UNIQUE(_xlpm.pairs),_xlpm.sortedPairs,_xlfn._xlws.SORT(_xlpm.uniquePairs,1,1),INDEX(_xlpm.sortedPairs,ROWS($M$2:M331),2)),"")</f>
        <v/>
      </c>
      <c r="N331" s="15" t="str" cm="1">
        <f t="array" ref="N331">IF(OR(Table2[[#This Row],[Film]]="",Table2[[#This Row],[Grade]]=""),"",IFERROR(INDEX(Table4[Serial Number],MATCH(1,(Table4[Film]=Table2[[#This Row],[Film]])*(Table4[Grade]=Table2[[#This Row],[Grade]]),0)),""))</f>
        <v/>
      </c>
      <c r="O331" s="51" t="str">
        <f>IF(OR(Table2[[#This Row],[Film]]="",Table2[[#This Row],[Grade]]=""),"",SUMIFS(Table4[Price Calculated(€) Thickness &amp; QTY related],Table4[Film],Table2[[#This Row],[Film]],Table4[Grade],Table2[[#This Row],[Grade]]))</f>
        <v/>
      </c>
      <c r="P331" s="6"/>
      <c r="T331" s="6"/>
    </row>
    <row r="332" spans="1:20" hidden="1">
      <c r="A332" s="29"/>
      <c r="B332" s="29" t="s">
        <v>5</v>
      </c>
      <c r="C332" s="28"/>
      <c r="D332" s="28" t="str">
        <f>IF(C332="","",IFERROR(_xlfn.XLOOKUP(C332,HELPER!$A$2:$A$81,HELPER!$B$2:$B$81,""),D332))</f>
        <v/>
      </c>
      <c r="E332" s="28" t="str">
        <f>IFERROR(_xlfn.XLOOKUP(D332,HELPER!$B:$B,HELPER!$C:$C,""),"")</f>
        <v/>
      </c>
      <c r="F332" s="27" t="str">
        <f>IFERROR(_xlfn.XLOOKUP(D332,HELPER!$B:$B,HELPER!$D:$D,""),"")</f>
        <v/>
      </c>
      <c r="G332" s="27">
        <v>8</v>
      </c>
      <c r="H332" s="46"/>
      <c r="I332" s="47" t="str">
        <f>IF(AND(H332&lt;&gt;"",IFERROR(_xlfn.XLOOKUP(D332,HELPER!$B:$B,HELPER!$E:$E,""),"")=""),"Missing price",IFERROR(_xlfn.XLOOKUP(D332,HELPER!$B:$B,HELPER!$E:$E,"")," "))</f>
        <v/>
      </c>
      <c r="J332" s="47" t="str">
        <f>IFERROR(H332*(IF(G332=8,I332*HELPER!$G$2,BOM!I332*HELPER!$G$3))," ")</f>
        <v xml:space="preserve"> </v>
      </c>
      <c r="K332" s="6"/>
      <c r="L332" s="14" t="str" cm="1">
        <f t="array" ref="L332">IFERROR(_xlfn.LET(_xlpm.films,Table4[Film],_xlpm.grades,Table4[Grade],_xlpm.pairs,_xlfn._xlws.FILTER(_xlfn.HSTACK(_xlpm.films,_xlpm.grades),(_xlpm.films&lt;&gt;"")*(TRIM(_xlpm.grades)&lt;&gt;"")),_xlpm.uniquePairs,_xlfn.UNIQUE(_xlpm.pairs),_xlpm.sortedPairs,_xlfn._xlws.SORT(_xlpm.uniquePairs,1,1),INDEX(_xlpm.sortedPairs,ROWS($L$2:L332),1)),"")</f>
        <v/>
      </c>
      <c r="M332" s="15" t="str" cm="1">
        <f t="array" ref="M332">IFERROR(_xlfn.LET(_xlpm.films,Table4[Film],_xlpm.grades,Table4[Grade],_xlpm.pairs,_xlfn._xlws.FILTER(_xlfn.HSTACK(_xlpm.films,_xlpm.grades),(_xlpm.films&lt;&gt;"")*(TRIM(_xlpm.grades)&lt;&gt;"")),_xlpm.uniquePairs,_xlfn.UNIQUE(_xlpm.pairs),_xlpm.sortedPairs,_xlfn._xlws.SORT(_xlpm.uniquePairs,1,1),INDEX(_xlpm.sortedPairs,ROWS($M$2:M332),2)),"")</f>
        <v/>
      </c>
      <c r="N332" s="15" t="str" cm="1">
        <f t="array" ref="N332">IF(OR(Table2[[#This Row],[Film]]="",Table2[[#This Row],[Grade]]=""),"",IFERROR(INDEX(Table4[Serial Number],MATCH(1,(Table4[Film]=Table2[[#This Row],[Film]])*(Table4[Grade]=Table2[[#This Row],[Grade]]),0)),""))</f>
        <v/>
      </c>
      <c r="O332" s="51" t="str">
        <f>IF(OR(Table2[[#This Row],[Film]]="",Table2[[#This Row],[Grade]]=""),"",SUMIFS(Table4[Price Calculated(€) Thickness &amp; QTY related],Table4[Film],Table2[[#This Row],[Film]],Table4[Grade],Table2[[#This Row],[Grade]]))</f>
        <v/>
      </c>
      <c r="P332" s="6"/>
      <c r="T332" s="6"/>
    </row>
    <row r="333" spans="1:20" hidden="1">
      <c r="A333" s="29"/>
      <c r="B333" s="29" t="s">
        <v>5</v>
      </c>
      <c r="C333" s="28"/>
      <c r="D333" s="28" t="str">
        <f>IF(C333="","",IFERROR(_xlfn.XLOOKUP(C333,HELPER!$A$2:$A$81,HELPER!$B$2:$B$81,""),D333))</f>
        <v/>
      </c>
      <c r="E333" s="28" t="str">
        <f>IFERROR(_xlfn.XLOOKUP(D333,HELPER!$B:$B,HELPER!$C:$C,""),"")</f>
        <v/>
      </c>
      <c r="F333" s="27" t="str">
        <f>IFERROR(_xlfn.XLOOKUP(D333,HELPER!$B:$B,HELPER!$D:$D,""),"")</f>
        <v/>
      </c>
      <c r="G333" s="27">
        <v>8</v>
      </c>
      <c r="H333" s="46"/>
      <c r="I333" s="47" t="str">
        <f>IF(AND(H333&lt;&gt;"",IFERROR(_xlfn.XLOOKUP(D333,HELPER!$B:$B,HELPER!$E:$E,""),"")=""),"Missing price",IFERROR(_xlfn.XLOOKUP(D333,HELPER!$B:$B,HELPER!$E:$E,"")," "))</f>
        <v/>
      </c>
      <c r="J333" s="47" t="str">
        <f>IFERROR(H333*(IF(G333=8,I333*HELPER!$G$2,BOM!I333*HELPER!$G$3))," ")</f>
        <v xml:space="preserve"> </v>
      </c>
      <c r="K333" s="6"/>
      <c r="L333" s="14" t="str" cm="1">
        <f t="array" ref="L333">IFERROR(_xlfn.LET(_xlpm.films,Table4[Film],_xlpm.grades,Table4[Grade],_xlpm.pairs,_xlfn._xlws.FILTER(_xlfn.HSTACK(_xlpm.films,_xlpm.grades),(_xlpm.films&lt;&gt;"")*(TRIM(_xlpm.grades)&lt;&gt;"")),_xlpm.uniquePairs,_xlfn.UNIQUE(_xlpm.pairs),_xlpm.sortedPairs,_xlfn._xlws.SORT(_xlpm.uniquePairs,1,1),INDEX(_xlpm.sortedPairs,ROWS($L$2:L333),1)),"")</f>
        <v/>
      </c>
      <c r="M333" s="15" t="str" cm="1">
        <f t="array" ref="M333">IFERROR(_xlfn.LET(_xlpm.films,Table4[Film],_xlpm.grades,Table4[Grade],_xlpm.pairs,_xlfn._xlws.FILTER(_xlfn.HSTACK(_xlpm.films,_xlpm.grades),(_xlpm.films&lt;&gt;"")*(TRIM(_xlpm.grades)&lt;&gt;"")),_xlpm.uniquePairs,_xlfn.UNIQUE(_xlpm.pairs),_xlpm.sortedPairs,_xlfn._xlws.SORT(_xlpm.uniquePairs,1,1),INDEX(_xlpm.sortedPairs,ROWS($M$2:M333),2)),"")</f>
        <v/>
      </c>
      <c r="N333" s="15" t="str" cm="1">
        <f t="array" ref="N333">IF(OR(Table2[[#This Row],[Film]]="",Table2[[#This Row],[Grade]]=""),"",IFERROR(INDEX(Table4[Serial Number],MATCH(1,(Table4[Film]=Table2[[#This Row],[Film]])*(Table4[Grade]=Table2[[#This Row],[Grade]]),0)),""))</f>
        <v/>
      </c>
      <c r="O333" s="51" t="str">
        <f>IF(OR(Table2[[#This Row],[Film]]="",Table2[[#This Row],[Grade]]=""),"",SUMIFS(Table4[Price Calculated(€) Thickness &amp; QTY related],Table4[Film],Table2[[#This Row],[Film]],Table4[Grade],Table2[[#This Row],[Grade]]))</f>
        <v/>
      </c>
      <c r="P333" s="6"/>
      <c r="T333" s="6"/>
    </row>
    <row r="334" spans="1:20" hidden="1">
      <c r="A334" s="29"/>
      <c r="B334" s="29" t="s">
        <v>5</v>
      </c>
      <c r="C334" s="28"/>
      <c r="D334" s="28" t="str">
        <f>IF(C334="","",IFERROR(_xlfn.XLOOKUP(C334,HELPER!$A$2:$A$81,HELPER!$B$2:$B$81,""),D334))</f>
        <v/>
      </c>
      <c r="E334" s="28" t="str">
        <f>IFERROR(_xlfn.XLOOKUP(D334,HELPER!$B:$B,HELPER!$C:$C,""),"")</f>
        <v/>
      </c>
      <c r="F334" s="27" t="str">
        <f>IFERROR(_xlfn.XLOOKUP(D334,HELPER!$B:$B,HELPER!$D:$D,""),"")</f>
        <v/>
      </c>
      <c r="G334" s="27">
        <v>8</v>
      </c>
      <c r="H334" s="46"/>
      <c r="I334" s="47" t="str">
        <f>IF(AND(H334&lt;&gt;"",IFERROR(_xlfn.XLOOKUP(D334,HELPER!$B:$B,HELPER!$E:$E,""),"")=""),"Missing price",IFERROR(_xlfn.XLOOKUP(D334,HELPER!$B:$B,HELPER!$E:$E,"")," "))</f>
        <v/>
      </c>
      <c r="J334" s="47" t="str">
        <f>IFERROR(H334*(IF(G334=8,I334*HELPER!$G$2,BOM!I334*HELPER!$G$3))," ")</f>
        <v xml:space="preserve"> </v>
      </c>
      <c r="K334" s="6"/>
      <c r="L334" s="14" t="str" cm="1">
        <f t="array" ref="L334">IFERROR(_xlfn.LET(_xlpm.films,Table4[Film],_xlpm.grades,Table4[Grade],_xlpm.pairs,_xlfn._xlws.FILTER(_xlfn.HSTACK(_xlpm.films,_xlpm.grades),(_xlpm.films&lt;&gt;"")*(TRIM(_xlpm.grades)&lt;&gt;"")),_xlpm.uniquePairs,_xlfn.UNIQUE(_xlpm.pairs),_xlpm.sortedPairs,_xlfn._xlws.SORT(_xlpm.uniquePairs,1,1),INDEX(_xlpm.sortedPairs,ROWS($L$2:L334),1)),"")</f>
        <v/>
      </c>
      <c r="M334" s="15" t="str" cm="1">
        <f t="array" ref="M334">IFERROR(_xlfn.LET(_xlpm.films,Table4[Film],_xlpm.grades,Table4[Grade],_xlpm.pairs,_xlfn._xlws.FILTER(_xlfn.HSTACK(_xlpm.films,_xlpm.grades),(_xlpm.films&lt;&gt;"")*(TRIM(_xlpm.grades)&lt;&gt;"")),_xlpm.uniquePairs,_xlfn.UNIQUE(_xlpm.pairs),_xlpm.sortedPairs,_xlfn._xlws.SORT(_xlpm.uniquePairs,1,1),INDEX(_xlpm.sortedPairs,ROWS($M$2:M334),2)),"")</f>
        <v/>
      </c>
      <c r="N334" s="15" t="str" cm="1">
        <f t="array" ref="N334">IF(OR(Table2[[#This Row],[Film]]="",Table2[[#This Row],[Grade]]=""),"",IFERROR(INDEX(Table4[Serial Number],MATCH(1,(Table4[Film]=Table2[[#This Row],[Film]])*(Table4[Grade]=Table2[[#This Row],[Grade]]),0)),""))</f>
        <v/>
      </c>
      <c r="O334" s="51" t="str">
        <f>IF(OR(Table2[[#This Row],[Film]]="",Table2[[#This Row],[Grade]]=""),"",SUMIFS(Table4[Price Calculated(€) Thickness &amp; QTY related],Table4[Film],Table2[[#This Row],[Film]],Table4[Grade],Table2[[#This Row],[Grade]]))</f>
        <v/>
      </c>
      <c r="P334" s="6"/>
      <c r="T334" s="6"/>
    </row>
    <row r="335" spans="1:20" hidden="1">
      <c r="A335" s="29"/>
      <c r="B335" s="29" t="s">
        <v>5</v>
      </c>
      <c r="C335" s="28"/>
      <c r="D335" s="28" t="str">
        <f>IF(C335="","",IFERROR(_xlfn.XLOOKUP(C335,HELPER!$A$2:$A$81,HELPER!$B$2:$B$81,""),D335))</f>
        <v/>
      </c>
      <c r="E335" s="28" t="str">
        <f>IFERROR(_xlfn.XLOOKUP(D335,HELPER!$B:$B,HELPER!$C:$C,""),"")</f>
        <v/>
      </c>
      <c r="F335" s="27" t="str">
        <f>IFERROR(_xlfn.XLOOKUP(D335,HELPER!$B:$B,HELPER!$D:$D,""),"")</f>
        <v/>
      </c>
      <c r="G335" s="27">
        <v>8</v>
      </c>
      <c r="H335" s="46"/>
      <c r="I335" s="47" t="str">
        <f>IF(AND(H335&lt;&gt;"",IFERROR(_xlfn.XLOOKUP(D335,HELPER!$B:$B,HELPER!$E:$E,""),"")=""),"Missing price",IFERROR(_xlfn.XLOOKUP(D335,HELPER!$B:$B,HELPER!$E:$E,"")," "))</f>
        <v/>
      </c>
      <c r="J335" s="47" t="str">
        <f>IFERROR(H335*(IF(G335=8,I335*HELPER!$G$2,BOM!I335*HELPER!$G$3))," ")</f>
        <v xml:space="preserve"> </v>
      </c>
      <c r="K335" s="6"/>
      <c r="L335" s="14" t="str" cm="1">
        <f t="array" ref="L335">IFERROR(_xlfn.LET(_xlpm.films,Table4[Film],_xlpm.grades,Table4[Grade],_xlpm.pairs,_xlfn._xlws.FILTER(_xlfn.HSTACK(_xlpm.films,_xlpm.grades),(_xlpm.films&lt;&gt;"")*(TRIM(_xlpm.grades)&lt;&gt;"")),_xlpm.uniquePairs,_xlfn.UNIQUE(_xlpm.pairs),_xlpm.sortedPairs,_xlfn._xlws.SORT(_xlpm.uniquePairs,1,1),INDEX(_xlpm.sortedPairs,ROWS($L$2:L335),1)),"")</f>
        <v/>
      </c>
      <c r="M335" s="15" t="str" cm="1">
        <f t="array" ref="M335">IFERROR(_xlfn.LET(_xlpm.films,Table4[Film],_xlpm.grades,Table4[Grade],_xlpm.pairs,_xlfn._xlws.FILTER(_xlfn.HSTACK(_xlpm.films,_xlpm.grades),(_xlpm.films&lt;&gt;"")*(TRIM(_xlpm.grades)&lt;&gt;"")),_xlpm.uniquePairs,_xlfn.UNIQUE(_xlpm.pairs),_xlpm.sortedPairs,_xlfn._xlws.SORT(_xlpm.uniquePairs,1,1),INDEX(_xlpm.sortedPairs,ROWS($M$2:M335),2)),"")</f>
        <v/>
      </c>
      <c r="N335" s="15" t="str" cm="1">
        <f t="array" ref="N335">IF(OR(Table2[[#This Row],[Film]]="",Table2[[#This Row],[Grade]]=""),"",IFERROR(INDEX(Table4[Serial Number],MATCH(1,(Table4[Film]=Table2[[#This Row],[Film]])*(Table4[Grade]=Table2[[#This Row],[Grade]]),0)),""))</f>
        <v/>
      </c>
      <c r="O335" s="51" t="str">
        <f>IF(OR(Table2[[#This Row],[Film]]="",Table2[[#This Row],[Grade]]=""),"",SUMIFS(Table4[Price Calculated(€) Thickness &amp; QTY related],Table4[Film],Table2[[#This Row],[Film]],Table4[Grade],Table2[[#This Row],[Grade]]))</f>
        <v/>
      </c>
      <c r="P335" s="6"/>
      <c r="T335" s="6"/>
    </row>
    <row r="336" spans="1:20" hidden="1">
      <c r="A336" s="29"/>
      <c r="B336" s="29" t="s">
        <v>5</v>
      </c>
      <c r="C336" s="28"/>
      <c r="D336" s="28" t="str">
        <f>IF(C336="","",IFERROR(_xlfn.XLOOKUP(C336,HELPER!$A$2:$A$81,HELPER!$B$2:$B$81,""),D336))</f>
        <v/>
      </c>
      <c r="E336" s="28" t="str">
        <f>IFERROR(_xlfn.XLOOKUP(D336,HELPER!$B:$B,HELPER!$C:$C,""),"")</f>
        <v/>
      </c>
      <c r="F336" s="27" t="str">
        <f>IFERROR(_xlfn.XLOOKUP(D336,HELPER!$B:$B,HELPER!$D:$D,""),"")</f>
        <v/>
      </c>
      <c r="G336" s="27">
        <v>8</v>
      </c>
      <c r="H336" s="46"/>
      <c r="I336" s="47" t="str">
        <f>IF(AND(H336&lt;&gt;"",IFERROR(_xlfn.XLOOKUP(D336,HELPER!$B:$B,HELPER!$E:$E,""),"")=""),"Missing price",IFERROR(_xlfn.XLOOKUP(D336,HELPER!$B:$B,HELPER!$E:$E,"")," "))</f>
        <v/>
      </c>
      <c r="J336" s="47" t="str">
        <f>IFERROR(H336*(IF(G336=8,I336*HELPER!$G$2,BOM!I336*HELPER!$G$3))," ")</f>
        <v xml:space="preserve"> </v>
      </c>
      <c r="K336" s="6"/>
      <c r="L336" s="14" t="str" cm="1">
        <f t="array" ref="L336">IFERROR(_xlfn.LET(_xlpm.films,Table4[Film],_xlpm.grades,Table4[Grade],_xlpm.pairs,_xlfn._xlws.FILTER(_xlfn.HSTACK(_xlpm.films,_xlpm.grades),(_xlpm.films&lt;&gt;"")*(TRIM(_xlpm.grades)&lt;&gt;"")),_xlpm.uniquePairs,_xlfn.UNIQUE(_xlpm.pairs),_xlpm.sortedPairs,_xlfn._xlws.SORT(_xlpm.uniquePairs,1,1),INDEX(_xlpm.sortedPairs,ROWS($L$2:L336),1)),"")</f>
        <v/>
      </c>
      <c r="M336" s="15" t="str" cm="1">
        <f t="array" ref="M336">IFERROR(_xlfn.LET(_xlpm.films,Table4[Film],_xlpm.grades,Table4[Grade],_xlpm.pairs,_xlfn._xlws.FILTER(_xlfn.HSTACK(_xlpm.films,_xlpm.grades),(_xlpm.films&lt;&gt;"")*(TRIM(_xlpm.grades)&lt;&gt;"")),_xlpm.uniquePairs,_xlfn.UNIQUE(_xlpm.pairs),_xlpm.sortedPairs,_xlfn._xlws.SORT(_xlpm.uniquePairs,1,1),INDEX(_xlpm.sortedPairs,ROWS($M$2:M336),2)),"")</f>
        <v/>
      </c>
      <c r="N336" s="15" t="str" cm="1">
        <f t="array" ref="N336">IF(OR(Table2[[#This Row],[Film]]="",Table2[[#This Row],[Grade]]=""),"",IFERROR(INDEX(Table4[Serial Number],MATCH(1,(Table4[Film]=Table2[[#This Row],[Film]])*(Table4[Grade]=Table2[[#This Row],[Grade]]),0)),""))</f>
        <v/>
      </c>
      <c r="O336" s="51" t="str">
        <f>IF(OR(Table2[[#This Row],[Film]]="",Table2[[#This Row],[Grade]]=""),"",SUMIFS(Table4[Price Calculated(€) Thickness &amp; QTY related],Table4[Film],Table2[[#This Row],[Film]],Table4[Grade],Table2[[#This Row],[Grade]]))</f>
        <v/>
      </c>
      <c r="P336" s="6"/>
      <c r="T336" s="6"/>
    </row>
    <row r="337" spans="1:20" hidden="1">
      <c r="A337" s="29"/>
      <c r="B337" s="29" t="s">
        <v>5</v>
      </c>
      <c r="C337" s="28"/>
      <c r="D337" s="28" t="str">
        <f>IF(C337="","",IFERROR(_xlfn.XLOOKUP(C337,HELPER!$A$2:$A$81,HELPER!$B$2:$B$81,""),D337))</f>
        <v/>
      </c>
      <c r="E337" s="28" t="str">
        <f>IFERROR(_xlfn.XLOOKUP(D337,HELPER!$B:$B,HELPER!$C:$C,""),"")</f>
        <v/>
      </c>
      <c r="F337" s="27" t="str">
        <f>IFERROR(_xlfn.XLOOKUP(D337,HELPER!$B:$B,HELPER!$D:$D,""),"")</f>
        <v/>
      </c>
      <c r="G337" s="27">
        <v>8</v>
      </c>
      <c r="H337" s="46"/>
      <c r="I337" s="47" t="str">
        <f>IF(AND(H337&lt;&gt;"",IFERROR(_xlfn.XLOOKUP(D337,HELPER!$B:$B,HELPER!$E:$E,""),"")=""),"Missing price",IFERROR(_xlfn.XLOOKUP(D337,HELPER!$B:$B,HELPER!$E:$E,"")," "))</f>
        <v/>
      </c>
      <c r="J337" s="47" t="str">
        <f>IFERROR(H337*(IF(G337=8,I337*HELPER!$G$2,BOM!I337*HELPER!$G$3))," ")</f>
        <v xml:space="preserve"> </v>
      </c>
      <c r="K337" s="6"/>
      <c r="L337" s="14" t="str" cm="1">
        <f t="array" ref="L337">IFERROR(_xlfn.LET(_xlpm.films,Table4[Film],_xlpm.grades,Table4[Grade],_xlpm.pairs,_xlfn._xlws.FILTER(_xlfn.HSTACK(_xlpm.films,_xlpm.grades),(_xlpm.films&lt;&gt;"")*(TRIM(_xlpm.grades)&lt;&gt;"")),_xlpm.uniquePairs,_xlfn.UNIQUE(_xlpm.pairs),_xlpm.sortedPairs,_xlfn._xlws.SORT(_xlpm.uniquePairs,1,1),INDEX(_xlpm.sortedPairs,ROWS($L$2:L337),1)),"")</f>
        <v/>
      </c>
      <c r="M337" s="15" t="str" cm="1">
        <f t="array" ref="M337">IFERROR(_xlfn.LET(_xlpm.films,Table4[Film],_xlpm.grades,Table4[Grade],_xlpm.pairs,_xlfn._xlws.FILTER(_xlfn.HSTACK(_xlpm.films,_xlpm.grades),(_xlpm.films&lt;&gt;"")*(TRIM(_xlpm.grades)&lt;&gt;"")),_xlpm.uniquePairs,_xlfn.UNIQUE(_xlpm.pairs),_xlpm.sortedPairs,_xlfn._xlws.SORT(_xlpm.uniquePairs,1,1),INDEX(_xlpm.sortedPairs,ROWS($M$2:M337),2)),"")</f>
        <v/>
      </c>
      <c r="N337" s="15" t="str" cm="1">
        <f t="array" ref="N337">IF(OR(Table2[[#This Row],[Film]]="",Table2[[#This Row],[Grade]]=""),"",IFERROR(INDEX(Table4[Serial Number],MATCH(1,(Table4[Film]=Table2[[#This Row],[Film]])*(Table4[Grade]=Table2[[#This Row],[Grade]]),0)),""))</f>
        <v/>
      </c>
      <c r="O337" s="51" t="str">
        <f>IF(OR(Table2[[#This Row],[Film]]="",Table2[[#This Row],[Grade]]=""),"",SUMIFS(Table4[Price Calculated(€) Thickness &amp; QTY related],Table4[Film],Table2[[#This Row],[Film]],Table4[Grade],Table2[[#This Row],[Grade]]))</f>
        <v/>
      </c>
      <c r="P337" s="6"/>
      <c r="T337" s="6"/>
    </row>
    <row r="338" spans="1:20" hidden="1">
      <c r="A338" s="29"/>
      <c r="B338" s="29" t="s">
        <v>5</v>
      </c>
      <c r="C338" s="28"/>
      <c r="D338" s="28" t="str">
        <f>IF(C338="","",IFERROR(_xlfn.XLOOKUP(C338,HELPER!$A$2:$A$81,HELPER!$B$2:$B$81,""),D338))</f>
        <v/>
      </c>
      <c r="E338" s="28" t="str">
        <f>IFERROR(_xlfn.XLOOKUP(D338,HELPER!$B:$B,HELPER!$C:$C,""),"")</f>
        <v/>
      </c>
      <c r="F338" s="27" t="str">
        <f>IFERROR(_xlfn.XLOOKUP(D338,HELPER!$B:$B,HELPER!$D:$D,""),"")</f>
        <v/>
      </c>
      <c r="G338" s="27">
        <v>8</v>
      </c>
      <c r="H338" s="46"/>
      <c r="I338" s="47" t="str">
        <f>IF(AND(H338&lt;&gt;"",IFERROR(_xlfn.XLOOKUP(D338,HELPER!$B:$B,HELPER!$E:$E,""),"")=""),"Missing price",IFERROR(_xlfn.XLOOKUP(D338,HELPER!$B:$B,HELPER!$E:$E,"")," "))</f>
        <v/>
      </c>
      <c r="J338" s="47" t="str">
        <f>IFERROR(H338*(IF(G338=8,I338*HELPER!$G$2,BOM!I338*HELPER!$G$3))," ")</f>
        <v xml:space="preserve"> </v>
      </c>
      <c r="K338" s="6"/>
      <c r="L338" s="14" t="str" cm="1">
        <f t="array" ref="L338">IFERROR(_xlfn.LET(_xlpm.films,Table4[Film],_xlpm.grades,Table4[Grade],_xlpm.pairs,_xlfn._xlws.FILTER(_xlfn.HSTACK(_xlpm.films,_xlpm.grades),(_xlpm.films&lt;&gt;"")*(TRIM(_xlpm.grades)&lt;&gt;"")),_xlpm.uniquePairs,_xlfn.UNIQUE(_xlpm.pairs),_xlpm.sortedPairs,_xlfn._xlws.SORT(_xlpm.uniquePairs,1,1),INDEX(_xlpm.sortedPairs,ROWS($L$2:L338),1)),"")</f>
        <v/>
      </c>
      <c r="M338" s="15" t="str" cm="1">
        <f t="array" ref="M338">IFERROR(_xlfn.LET(_xlpm.films,Table4[Film],_xlpm.grades,Table4[Grade],_xlpm.pairs,_xlfn._xlws.FILTER(_xlfn.HSTACK(_xlpm.films,_xlpm.grades),(_xlpm.films&lt;&gt;"")*(TRIM(_xlpm.grades)&lt;&gt;"")),_xlpm.uniquePairs,_xlfn.UNIQUE(_xlpm.pairs),_xlpm.sortedPairs,_xlfn._xlws.SORT(_xlpm.uniquePairs,1,1),INDEX(_xlpm.sortedPairs,ROWS($M$2:M338),2)),"")</f>
        <v/>
      </c>
      <c r="N338" s="15" t="str" cm="1">
        <f t="array" ref="N338">IF(OR(Table2[[#This Row],[Film]]="",Table2[[#This Row],[Grade]]=""),"",IFERROR(INDEX(Table4[Serial Number],MATCH(1,(Table4[Film]=Table2[[#This Row],[Film]])*(Table4[Grade]=Table2[[#This Row],[Grade]]),0)),""))</f>
        <v/>
      </c>
      <c r="O338" s="51" t="str">
        <f>IF(OR(Table2[[#This Row],[Film]]="",Table2[[#This Row],[Grade]]=""),"",SUMIFS(Table4[Price Calculated(€) Thickness &amp; QTY related],Table4[Film],Table2[[#This Row],[Film]],Table4[Grade],Table2[[#This Row],[Grade]]))</f>
        <v/>
      </c>
      <c r="P338" s="6"/>
      <c r="T338" s="6"/>
    </row>
    <row r="339" spans="1:20" hidden="1">
      <c r="A339" s="29"/>
      <c r="B339" s="29" t="s">
        <v>5</v>
      </c>
      <c r="C339" s="28"/>
      <c r="D339" s="28" t="str">
        <f>IF(C339="","",IFERROR(_xlfn.XLOOKUP(C339,HELPER!$A$2:$A$81,HELPER!$B$2:$B$81,""),D339))</f>
        <v/>
      </c>
      <c r="E339" s="28" t="str">
        <f>IFERROR(_xlfn.XLOOKUP(D339,HELPER!$B:$B,HELPER!$C:$C,""),"")</f>
        <v/>
      </c>
      <c r="F339" s="27" t="str">
        <f>IFERROR(_xlfn.XLOOKUP(D339,HELPER!$B:$B,HELPER!$D:$D,""),"")</f>
        <v/>
      </c>
      <c r="G339" s="27">
        <v>8</v>
      </c>
      <c r="H339" s="46"/>
      <c r="I339" s="47" t="str">
        <f>IF(AND(H339&lt;&gt;"",IFERROR(_xlfn.XLOOKUP(D339,HELPER!$B:$B,HELPER!$E:$E,""),"")=""),"Missing price",IFERROR(_xlfn.XLOOKUP(D339,HELPER!$B:$B,HELPER!$E:$E,"")," "))</f>
        <v/>
      </c>
      <c r="J339" s="47" t="str">
        <f>IFERROR(H339*(IF(G339=8,I339*HELPER!$G$2,BOM!I339*HELPER!$G$3))," ")</f>
        <v xml:space="preserve"> </v>
      </c>
      <c r="K339" s="6"/>
      <c r="L339" s="14" t="str" cm="1">
        <f t="array" ref="L339">IFERROR(_xlfn.LET(_xlpm.films,Table4[Film],_xlpm.grades,Table4[Grade],_xlpm.pairs,_xlfn._xlws.FILTER(_xlfn.HSTACK(_xlpm.films,_xlpm.grades),(_xlpm.films&lt;&gt;"")*(TRIM(_xlpm.grades)&lt;&gt;"")),_xlpm.uniquePairs,_xlfn.UNIQUE(_xlpm.pairs),_xlpm.sortedPairs,_xlfn._xlws.SORT(_xlpm.uniquePairs,1,1),INDEX(_xlpm.sortedPairs,ROWS($L$2:L339),1)),"")</f>
        <v/>
      </c>
      <c r="M339" s="15" t="str" cm="1">
        <f t="array" ref="M339">IFERROR(_xlfn.LET(_xlpm.films,Table4[Film],_xlpm.grades,Table4[Grade],_xlpm.pairs,_xlfn._xlws.FILTER(_xlfn.HSTACK(_xlpm.films,_xlpm.grades),(_xlpm.films&lt;&gt;"")*(TRIM(_xlpm.grades)&lt;&gt;"")),_xlpm.uniquePairs,_xlfn.UNIQUE(_xlpm.pairs),_xlpm.sortedPairs,_xlfn._xlws.SORT(_xlpm.uniquePairs,1,1),INDEX(_xlpm.sortedPairs,ROWS($M$2:M339),2)),"")</f>
        <v/>
      </c>
      <c r="N339" s="15" t="str" cm="1">
        <f t="array" ref="N339">IF(OR(Table2[[#This Row],[Film]]="",Table2[[#This Row],[Grade]]=""),"",IFERROR(INDEX(Table4[Serial Number],MATCH(1,(Table4[Film]=Table2[[#This Row],[Film]])*(Table4[Grade]=Table2[[#This Row],[Grade]]),0)),""))</f>
        <v/>
      </c>
      <c r="O339" s="51" t="str">
        <f>IF(OR(Table2[[#This Row],[Film]]="",Table2[[#This Row],[Grade]]=""),"",SUMIFS(Table4[Price Calculated(€) Thickness &amp; QTY related],Table4[Film],Table2[[#This Row],[Film]],Table4[Grade],Table2[[#This Row],[Grade]]))</f>
        <v/>
      </c>
      <c r="P339" s="6"/>
      <c r="T339" s="6"/>
    </row>
    <row r="340" spans="1:20" hidden="1">
      <c r="A340" s="29"/>
      <c r="B340" s="29" t="s">
        <v>5</v>
      </c>
      <c r="C340" s="28"/>
      <c r="D340" s="28" t="str">
        <f>IF(C340="","",IFERROR(_xlfn.XLOOKUP(C340,HELPER!$A$2:$A$81,HELPER!$B$2:$B$81,""),D340))</f>
        <v/>
      </c>
      <c r="E340" s="28" t="str">
        <f>IFERROR(_xlfn.XLOOKUP(D340,HELPER!$B:$B,HELPER!$C:$C,""),"")</f>
        <v/>
      </c>
      <c r="F340" s="27" t="str">
        <f>IFERROR(_xlfn.XLOOKUP(D340,HELPER!$B:$B,HELPER!$D:$D,""),"")</f>
        <v/>
      </c>
      <c r="G340" s="27">
        <v>8</v>
      </c>
      <c r="H340" s="46"/>
      <c r="I340" s="47" t="str">
        <f>IF(AND(H340&lt;&gt;"",IFERROR(_xlfn.XLOOKUP(D340,HELPER!$B:$B,HELPER!$E:$E,""),"")=""),"Missing price",IFERROR(_xlfn.XLOOKUP(D340,HELPER!$B:$B,HELPER!$E:$E,"")," "))</f>
        <v/>
      </c>
      <c r="J340" s="47" t="str">
        <f>IFERROR(H340*(IF(G340=8,I340*HELPER!$G$2,BOM!I340*HELPER!$G$3))," ")</f>
        <v xml:space="preserve"> </v>
      </c>
      <c r="K340" s="6"/>
      <c r="L340" s="14" t="str" cm="1">
        <f t="array" ref="L340">IFERROR(_xlfn.LET(_xlpm.films,Table4[Film],_xlpm.grades,Table4[Grade],_xlpm.pairs,_xlfn._xlws.FILTER(_xlfn.HSTACK(_xlpm.films,_xlpm.grades),(_xlpm.films&lt;&gt;"")*(TRIM(_xlpm.grades)&lt;&gt;"")),_xlpm.uniquePairs,_xlfn.UNIQUE(_xlpm.pairs),_xlpm.sortedPairs,_xlfn._xlws.SORT(_xlpm.uniquePairs,1,1),INDEX(_xlpm.sortedPairs,ROWS($L$2:L340),1)),"")</f>
        <v/>
      </c>
      <c r="M340" s="15" t="str" cm="1">
        <f t="array" ref="M340">IFERROR(_xlfn.LET(_xlpm.films,Table4[Film],_xlpm.grades,Table4[Grade],_xlpm.pairs,_xlfn._xlws.FILTER(_xlfn.HSTACK(_xlpm.films,_xlpm.grades),(_xlpm.films&lt;&gt;"")*(TRIM(_xlpm.grades)&lt;&gt;"")),_xlpm.uniquePairs,_xlfn.UNIQUE(_xlpm.pairs),_xlpm.sortedPairs,_xlfn._xlws.SORT(_xlpm.uniquePairs,1,1),INDEX(_xlpm.sortedPairs,ROWS($M$2:M340),2)),"")</f>
        <v/>
      </c>
      <c r="N340" s="15" t="str" cm="1">
        <f t="array" ref="N340">IF(OR(Table2[[#This Row],[Film]]="",Table2[[#This Row],[Grade]]=""),"",IFERROR(INDEX(Table4[Serial Number],MATCH(1,(Table4[Film]=Table2[[#This Row],[Film]])*(Table4[Grade]=Table2[[#This Row],[Grade]]),0)),""))</f>
        <v/>
      </c>
      <c r="O340" s="51" t="str">
        <f>IF(OR(Table2[[#This Row],[Film]]="",Table2[[#This Row],[Grade]]=""),"",SUMIFS(Table4[Price Calculated(€) Thickness &amp; QTY related],Table4[Film],Table2[[#This Row],[Film]],Table4[Grade],Table2[[#This Row],[Grade]]))</f>
        <v/>
      </c>
      <c r="P340" s="6"/>
      <c r="T340" s="6"/>
    </row>
    <row r="341" spans="1:20" hidden="1">
      <c r="A341" s="29"/>
      <c r="B341" s="29" t="s">
        <v>5</v>
      </c>
      <c r="C341" s="28"/>
      <c r="D341" s="28" t="str">
        <f>IF(C341="","",IFERROR(_xlfn.XLOOKUP(C341,HELPER!$A$2:$A$81,HELPER!$B$2:$B$81,""),D341))</f>
        <v/>
      </c>
      <c r="E341" s="28" t="str">
        <f>IFERROR(_xlfn.XLOOKUP(D341,HELPER!$B:$B,HELPER!$C:$C,""),"")</f>
        <v/>
      </c>
      <c r="F341" s="27" t="str">
        <f>IFERROR(_xlfn.XLOOKUP(D341,HELPER!$B:$B,HELPER!$D:$D,""),"")</f>
        <v/>
      </c>
      <c r="G341" s="27">
        <v>8</v>
      </c>
      <c r="H341" s="46"/>
      <c r="I341" s="47" t="str">
        <f>IF(AND(H341&lt;&gt;"",IFERROR(_xlfn.XLOOKUP(D341,HELPER!$B:$B,HELPER!$E:$E,""),"")=""),"Missing price",IFERROR(_xlfn.XLOOKUP(D341,HELPER!$B:$B,HELPER!$E:$E,"")," "))</f>
        <v/>
      </c>
      <c r="J341" s="47" t="str">
        <f>IFERROR(H341*(IF(G341=8,I341*HELPER!$G$2,BOM!I341*HELPER!$G$3))," ")</f>
        <v xml:space="preserve"> </v>
      </c>
      <c r="K341" s="6"/>
      <c r="L341" s="14" t="str" cm="1">
        <f t="array" ref="L341">IFERROR(_xlfn.LET(_xlpm.films,Table4[Film],_xlpm.grades,Table4[Grade],_xlpm.pairs,_xlfn._xlws.FILTER(_xlfn.HSTACK(_xlpm.films,_xlpm.grades),(_xlpm.films&lt;&gt;"")*(TRIM(_xlpm.grades)&lt;&gt;"")),_xlpm.uniquePairs,_xlfn.UNIQUE(_xlpm.pairs),_xlpm.sortedPairs,_xlfn._xlws.SORT(_xlpm.uniquePairs,1,1),INDEX(_xlpm.sortedPairs,ROWS($L$2:L341),1)),"")</f>
        <v/>
      </c>
      <c r="M341" s="15" t="str" cm="1">
        <f t="array" ref="M341">IFERROR(_xlfn.LET(_xlpm.films,Table4[Film],_xlpm.grades,Table4[Grade],_xlpm.pairs,_xlfn._xlws.FILTER(_xlfn.HSTACK(_xlpm.films,_xlpm.grades),(_xlpm.films&lt;&gt;"")*(TRIM(_xlpm.grades)&lt;&gt;"")),_xlpm.uniquePairs,_xlfn.UNIQUE(_xlpm.pairs),_xlpm.sortedPairs,_xlfn._xlws.SORT(_xlpm.uniquePairs,1,1),INDEX(_xlpm.sortedPairs,ROWS($M$2:M341),2)),"")</f>
        <v/>
      </c>
      <c r="N341" s="15" t="str" cm="1">
        <f t="array" ref="N341">IF(OR(Table2[[#This Row],[Film]]="",Table2[[#This Row],[Grade]]=""),"",IFERROR(INDEX(Table4[Serial Number],MATCH(1,(Table4[Film]=Table2[[#This Row],[Film]])*(Table4[Grade]=Table2[[#This Row],[Grade]]),0)),""))</f>
        <v/>
      </c>
      <c r="O341" s="51" t="str">
        <f>IF(OR(Table2[[#This Row],[Film]]="",Table2[[#This Row],[Grade]]=""),"",SUMIFS(Table4[Price Calculated(€) Thickness &amp; QTY related],Table4[Film],Table2[[#This Row],[Film]],Table4[Grade],Table2[[#This Row],[Grade]]))</f>
        <v/>
      </c>
      <c r="P341" s="6"/>
      <c r="T341" s="6"/>
    </row>
    <row r="342" spans="1:20" hidden="1">
      <c r="A342" s="29"/>
      <c r="B342" s="29" t="s">
        <v>6</v>
      </c>
      <c r="C342" s="28"/>
      <c r="D342" s="28" t="str">
        <f>IF(C342="","",IFERROR(_xlfn.XLOOKUP(C342,HELPER!$A$2:$A$81,HELPER!$B$2:$B$81,""),D342))</f>
        <v/>
      </c>
      <c r="E342" s="28" t="str">
        <f>IFERROR(_xlfn.XLOOKUP(D342,HELPER!$B:$B,HELPER!$C:$C,""),"")</f>
        <v/>
      </c>
      <c r="F342" s="27" t="str">
        <f>IFERROR(_xlfn.XLOOKUP(D342,HELPER!$B:$B,HELPER!$D:$D,""),"")</f>
        <v/>
      </c>
      <c r="G342" s="27">
        <v>24</v>
      </c>
      <c r="H342" s="46"/>
      <c r="I342" s="47" t="str">
        <f>IF(AND(H342&lt;&gt;"",IFERROR(_xlfn.XLOOKUP(D342,HELPER!$B:$B,HELPER!$E:$E,""),"")=""),"Missing price",IFERROR(_xlfn.XLOOKUP(D342,HELPER!$B:$B,HELPER!$E:$E,"")," "))</f>
        <v/>
      </c>
      <c r="J342" s="47" t="str">
        <f>IFERROR(H342*(IF(G342=8,I342*HELPER!$G$2,BOM!I342*HELPER!$G$3))," ")</f>
        <v xml:space="preserve"> </v>
      </c>
      <c r="K342" s="6"/>
      <c r="L342" s="14" t="str" cm="1">
        <f t="array" ref="L342">IFERROR(_xlfn.LET(_xlpm.films,Table4[Film],_xlpm.grades,Table4[Grade],_xlpm.pairs,_xlfn._xlws.FILTER(_xlfn.HSTACK(_xlpm.films,_xlpm.grades),(_xlpm.films&lt;&gt;"")*(TRIM(_xlpm.grades)&lt;&gt;"")),_xlpm.uniquePairs,_xlfn.UNIQUE(_xlpm.pairs),_xlpm.sortedPairs,_xlfn._xlws.SORT(_xlpm.uniquePairs,1,1),INDEX(_xlpm.sortedPairs,ROWS($L$2:L342),1)),"")</f>
        <v/>
      </c>
      <c r="M342" s="15" t="str" cm="1">
        <f t="array" ref="M342">IFERROR(_xlfn.LET(_xlpm.films,Table4[Film],_xlpm.grades,Table4[Grade],_xlpm.pairs,_xlfn._xlws.FILTER(_xlfn.HSTACK(_xlpm.films,_xlpm.grades),(_xlpm.films&lt;&gt;"")*(TRIM(_xlpm.grades)&lt;&gt;"")),_xlpm.uniquePairs,_xlfn.UNIQUE(_xlpm.pairs),_xlpm.sortedPairs,_xlfn._xlws.SORT(_xlpm.uniquePairs,1,1),INDEX(_xlpm.sortedPairs,ROWS($M$2:M342),2)),"")</f>
        <v/>
      </c>
      <c r="N342" s="15" t="str" cm="1">
        <f t="array" ref="N342">IF(OR(Table2[[#This Row],[Film]]="",Table2[[#This Row],[Grade]]=""),"",IFERROR(INDEX(Table4[Serial Number],MATCH(1,(Table4[Film]=Table2[[#This Row],[Film]])*(Table4[Grade]=Table2[[#This Row],[Grade]]),0)),""))</f>
        <v/>
      </c>
      <c r="O342" s="51" t="str">
        <f>IF(OR(Table2[[#This Row],[Film]]="",Table2[[#This Row],[Grade]]=""),"",SUMIFS(Table4[Price Calculated(€) Thickness &amp; QTY related],Table4[Film],Table2[[#This Row],[Film]],Table4[Grade],Table2[[#This Row],[Grade]]))</f>
        <v/>
      </c>
      <c r="P342" s="6"/>
      <c r="T342" s="6"/>
    </row>
    <row r="343" spans="1:20" hidden="1">
      <c r="A343" s="29"/>
      <c r="B343" s="29" t="s">
        <v>6</v>
      </c>
      <c r="C343" s="28"/>
      <c r="D343" s="28" t="str">
        <f>IF(C343="","",IFERROR(_xlfn.XLOOKUP(C343,HELPER!$A$2:$A$81,HELPER!$B$2:$B$81,""),D343))</f>
        <v/>
      </c>
      <c r="E343" s="28" t="str">
        <f>IFERROR(_xlfn.XLOOKUP(D343,HELPER!$B:$B,HELPER!$C:$C,""),"")</f>
        <v/>
      </c>
      <c r="F343" s="27" t="str">
        <f>IFERROR(_xlfn.XLOOKUP(D343,HELPER!$B:$B,HELPER!$D:$D,""),"")</f>
        <v/>
      </c>
      <c r="G343" s="27">
        <v>24</v>
      </c>
      <c r="H343" s="46"/>
      <c r="I343" s="47" t="str">
        <f>IF(AND(H343&lt;&gt;"",IFERROR(_xlfn.XLOOKUP(D343,HELPER!$B:$B,HELPER!$E:$E,""),"")=""),"Missing price",IFERROR(_xlfn.XLOOKUP(D343,HELPER!$B:$B,HELPER!$E:$E,"")," "))</f>
        <v/>
      </c>
      <c r="J343" s="47" t="str">
        <f>IFERROR(H343*(IF(G343=8,I343*HELPER!$G$2,BOM!I343*HELPER!$G$3))," ")</f>
        <v xml:space="preserve"> </v>
      </c>
      <c r="K343" s="6"/>
      <c r="L343" s="14" t="str" cm="1">
        <f t="array" ref="L343">IFERROR(_xlfn.LET(_xlpm.films,Table4[Film],_xlpm.grades,Table4[Grade],_xlpm.pairs,_xlfn._xlws.FILTER(_xlfn.HSTACK(_xlpm.films,_xlpm.grades),(_xlpm.films&lt;&gt;"")*(TRIM(_xlpm.grades)&lt;&gt;"")),_xlpm.uniquePairs,_xlfn.UNIQUE(_xlpm.pairs),_xlpm.sortedPairs,_xlfn._xlws.SORT(_xlpm.uniquePairs,1,1),INDEX(_xlpm.sortedPairs,ROWS($L$2:L343),1)),"")</f>
        <v/>
      </c>
      <c r="M343" s="15" t="str" cm="1">
        <f t="array" ref="M343">IFERROR(_xlfn.LET(_xlpm.films,Table4[Film],_xlpm.grades,Table4[Grade],_xlpm.pairs,_xlfn._xlws.FILTER(_xlfn.HSTACK(_xlpm.films,_xlpm.grades),(_xlpm.films&lt;&gt;"")*(TRIM(_xlpm.grades)&lt;&gt;"")),_xlpm.uniquePairs,_xlfn.UNIQUE(_xlpm.pairs),_xlpm.sortedPairs,_xlfn._xlws.SORT(_xlpm.uniquePairs,1,1),INDEX(_xlpm.sortedPairs,ROWS($M$2:M343),2)),"")</f>
        <v/>
      </c>
      <c r="N343" s="15" t="str" cm="1">
        <f t="array" ref="N343">IF(OR(Table2[[#This Row],[Film]]="",Table2[[#This Row],[Grade]]=""),"",IFERROR(INDEX(Table4[Serial Number],MATCH(1,(Table4[Film]=Table2[[#This Row],[Film]])*(Table4[Grade]=Table2[[#This Row],[Grade]]),0)),""))</f>
        <v/>
      </c>
      <c r="O343" s="51" t="str">
        <f>IF(OR(Table2[[#This Row],[Film]]="",Table2[[#This Row],[Grade]]=""),"",SUMIFS(Table4[Price Calculated(€) Thickness &amp; QTY related],Table4[Film],Table2[[#This Row],[Film]],Table4[Grade],Table2[[#This Row],[Grade]]))</f>
        <v/>
      </c>
      <c r="P343" s="6"/>
      <c r="T343" s="6"/>
    </row>
    <row r="344" spans="1:20" hidden="1">
      <c r="A344" s="29"/>
      <c r="B344" s="29" t="s">
        <v>6</v>
      </c>
      <c r="C344" s="28"/>
      <c r="D344" s="28" t="str">
        <f>IF(C344="","",IFERROR(_xlfn.XLOOKUP(C344,HELPER!$A$2:$A$81,HELPER!$B$2:$B$81,""),D344))</f>
        <v/>
      </c>
      <c r="E344" s="28" t="str">
        <f>IFERROR(_xlfn.XLOOKUP(D344,HELPER!$B:$B,HELPER!$C:$C,""),"")</f>
        <v/>
      </c>
      <c r="F344" s="27" t="str">
        <f>IFERROR(_xlfn.XLOOKUP(D344,HELPER!$B:$B,HELPER!$D:$D,""),"")</f>
        <v/>
      </c>
      <c r="G344" s="27">
        <v>24</v>
      </c>
      <c r="H344" s="46"/>
      <c r="I344" s="47" t="str">
        <f>IF(AND(H344&lt;&gt;"",IFERROR(_xlfn.XLOOKUP(D344,HELPER!$B:$B,HELPER!$E:$E,""),"")=""),"Missing price",IFERROR(_xlfn.XLOOKUP(D344,HELPER!$B:$B,HELPER!$E:$E,"")," "))</f>
        <v/>
      </c>
      <c r="J344" s="47" t="str">
        <f>IFERROR(H344*(IF(G344=8,I344*HELPER!$G$2,BOM!I344*HELPER!$G$3))," ")</f>
        <v xml:space="preserve"> </v>
      </c>
      <c r="K344" s="6"/>
      <c r="L344" s="14" t="str" cm="1">
        <f t="array" ref="L344">IFERROR(_xlfn.LET(_xlpm.films,Table4[Film],_xlpm.grades,Table4[Grade],_xlpm.pairs,_xlfn._xlws.FILTER(_xlfn.HSTACK(_xlpm.films,_xlpm.grades),(_xlpm.films&lt;&gt;"")*(TRIM(_xlpm.grades)&lt;&gt;"")),_xlpm.uniquePairs,_xlfn.UNIQUE(_xlpm.pairs),_xlpm.sortedPairs,_xlfn._xlws.SORT(_xlpm.uniquePairs,1,1),INDEX(_xlpm.sortedPairs,ROWS($L$2:L344),1)),"")</f>
        <v/>
      </c>
      <c r="M344" s="15" t="str" cm="1">
        <f t="array" ref="M344">IFERROR(_xlfn.LET(_xlpm.films,Table4[Film],_xlpm.grades,Table4[Grade],_xlpm.pairs,_xlfn._xlws.FILTER(_xlfn.HSTACK(_xlpm.films,_xlpm.grades),(_xlpm.films&lt;&gt;"")*(TRIM(_xlpm.grades)&lt;&gt;"")),_xlpm.uniquePairs,_xlfn.UNIQUE(_xlpm.pairs),_xlpm.sortedPairs,_xlfn._xlws.SORT(_xlpm.uniquePairs,1,1),INDEX(_xlpm.sortedPairs,ROWS($M$2:M344),2)),"")</f>
        <v/>
      </c>
      <c r="N344" s="15" t="str" cm="1">
        <f t="array" ref="N344">IF(OR(Table2[[#This Row],[Film]]="",Table2[[#This Row],[Grade]]=""),"",IFERROR(INDEX(Table4[Serial Number],MATCH(1,(Table4[Film]=Table2[[#This Row],[Film]])*(Table4[Grade]=Table2[[#This Row],[Grade]]),0)),""))</f>
        <v/>
      </c>
      <c r="O344" s="51" t="str">
        <f>IF(OR(Table2[[#This Row],[Film]]="",Table2[[#This Row],[Grade]]=""),"",SUMIFS(Table4[Price Calculated(€) Thickness &amp; QTY related],Table4[Film],Table2[[#This Row],[Film]],Table4[Grade],Table2[[#This Row],[Grade]]))</f>
        <v/>
      </c>
      <c r="P344" s="6"/>
      <c r="T344" s="6"/>
    </row>
    <row r="345" spans="1:20" hidden="1">
      <c r="A345" s="29"/>
      <c r="B345" s="29" t="s">
        <v>6</v>
      </c>
      <c r="C345" s="28"/>
      <c r="D345" s="28" t="str">
        <f>IF(C345="","",IFERROR(_xlfn.XLOOKUP(C345,HELPER!$A$2:$A$81,HELPER!$B$2:$B$81,""),D345))</f>
        <v/>
      </c>
      <c r="E345" s="28" t="str">
        <f>IFERROR(_xlfn.XLOOKUP(D345,HELPER!$B:$B,HELPER!$C:$C,""),"")</f>
        <v/>
      </c>
      <c r="F345" s="27" t="str">
        <f>IFERROR(_xlfn.XLOOKUP(D345,HELPER!$B:$B,HELPER!$D:$D,""),"")</f>
        <v/>
      </c>
      <c r="G345" s="27">
        <v>24</v>
      </c>
      <c r="H345" s="46"/>
      <c r="I345" s="47" t="str">
        <f>IF(AND(H345&lt;&gt;"",IFERROR(_xlfn.XLOOKUP(D345,HELPER!$B:$B,HELPER!$E:$E,""),"")=""),"Missing price",IFERROR(_xlfn.XLOOKUP(D345,HELPER!$B:$B,HELPER!$E:$E,"")," "))</f>
        <v/>
      </c>
      <c r="J345" s="47" t="str">
        <f>IFERROR(H345*(IF(G345=8,I345*HELPER!$G$2,BOM!I345*HELPER!$G$3))," ")</f>
        <v xml:space="preserve"> </v>
      </c>
      <c r="K345" s="6"/>
      <c r="L345" s="14" t="str" cm="1">
        <f t="array" ref="L345">IFERROR(_xlfn.LET(_xlpm.films,Table4[Film],_xlpm.grades,Table4[Grade],_xlpm.pairs,_xlfn._xlws.FILTER(_xlfn.HSTACK(_xlpm.films,_xlpm.grades),(_xlpm.films&lt;&gt;"")*(TRIM(_xlpm.grades)&lt;&gt;"")),_xlpm.uniquePairs,_xlfn.UNIQUE(_xlpm.pairs),_xlpm.sortedPairs,_xlfn._xlws.SORT(_xlpm.uniquePairs,1,1),INDEX(_xlpm.sortedPairs,ROWS($L$2:L345),1)),"")</f>
        <v/>
      </c>
      <c r="M345" s="15" t="str" cm="1">
        <f t="array" ref="M345">IFERROR(_xlfn.LET(_xlpm.films,Table4[Film],_xlpm.grades,Table4[Grade],_xlpm.pairs,_xlfn._xlws.FILTER(_xlfn.HSTACK(_xlpm.films,_xlpm.grades),(_xlpm.films&lt;&gt;"")*(TRIM(_xlpm.grades)&lt;&gt;"")),_xlpm.uniquePairs,_xlfn.UNIQUE(_xlpm.pairs),_xlpm.sortedPairs,_xlfn._xlws.SORT(_xlpm.uniquePairs,1,1),INDEX(_xlpm.sortedPairs,ROWS($M$2:M345),2)),"")</f>
        <v/>
      </c>
      <c r="N345" s="15" t="str" cm="1">
        <f t="array" ref="N345">IF(OR(Table2[[#This Row],[Film]]="",Table2[[#This Row],[Grade]]=""),"",IFERROR(INDEX(Table4[Serial Number],MATCH(1,(Table4[Film]=Table2[[#This Row],[Film]])*(Table4[Grade]=Table2[[#This Row],[Grade]]),0)),""))</f>
        <v/>
      </c>
      <c r="O345" s="51" t="str">
        <f>IF(OR(Table2[[#This Row],[Film]]="",Table2[[#This Row],[Grade]]=""),"",SUMIFS(Table4[Price Calculated(€) Thickness &amp; QTY related],Table4[Film],Table2[[#This Row],[Film]],Table4[Grade],Table2[[#This Row],[Grade]]))</f>
        <v/>
      </c>
      <c r="P345" s="6"/>
      <c r="T345" s="6"/>
    </row>
    <row r="346" spans="1:20" hidden="1">
      <c r="A346" s="29"/>
      <c r="B346" s="29" t="s">
        <v>6</v>
      </c>
      <c r="C346" s="28"/>
      <c r="D346" s="28" t="str">
        <f>IF(C346="","",IFERROR(_xlfn.XLOOKUP(C346,HELPER!$A$2:$A$81,HELPER!$B$2:$B$81,""),D346))</f>
        <v/>
      </c>
      <c r="E346" s="28" t="str">
        <f>IFERROR(_xlfn.XLOOKUP(D346,HELPER!$B:$B,HELPER!$C:$C,""),"")</f>
        <v/>
      </c>
      <c r="F346" s="27" t="str">
        <f>IFERROR(_xlfn.XLOOKUP(D346,HELPER!$B:$B,HELPER!$D:$D,""),"")</f>
        <v/>
      </c>
      <c r="G346" s="27">
        <v>24</v>
      </c>
      <c r="H346" s="46"/>
      <c r="I346" s="47" t="str">
        <f>IF(AND(H346&lt;&gt;"",IFERROR(_xlfn.XLOOKUP(D346,HELPER!$B:$B,HELPER!$E:$E,""),"")=""),"Missing price",IFERROR(_xlfn.XLOOKUP(D346,HELPER!$B:$B,HELPER!$E:$E,"")," "))</f>
        <v/>
      </c>
      <c r="J346" s="47" t="str">
        <f>IFERROR(H346*(IF(G346=8,I346*HELPER!$G$2,BOM!I346*HELPER!$G$3))," ")</f>
        <v xml:space="preserve"> </v>
      </c>
      <c r="K346" s="6"/>
      <c r="L346" s="14" t="str" cm="1">
        <f t="array" ref="L346">IFERROR(_xlfn.LET(_xlpm.films,Table4[Film],_xlpm.grades,Table4[Grade],_xlpm.pairs,_xlfn._xlws.FILTER(_xlfn.HSTACK(_xlpm.films,_xlpm.grades),(_xlpm.films&lt;&gt;"")*(TRIM(_xlpm.grades)&lt;&gt;"")),_xlpm.uniquePairs,_xlfn.UNIQUE(_xlpm.pairs),_xlpm.sortedPairs,_xlfn._xlws.SORT(_xlpm.uniquePairs,1,1),INDEX(_xlpm.sortedPairs,ROWS($L$2:L346),1)),"")</f>
        <v/>
      </c>
      <c r="M346" s="15" t="str" cm="1">
        <f t="array" ref="M346">IFERROR(_xlfn.LET(_xlpm.films,Table4[Film],_xlpm.grades,Table4[Grade],_xlpm.pairs,_xlfn._xlws.FILTER(_xlfn.HSTACK(_xlpm.films,_xlpm.grades),(_xlpm.films&lt;&gt;"")*(TRIM(_xlpm.grades)&lt;&gt;"")),_xlpm.uniquePairs,_xlfn.UNIQUE(_xlpm.pairs),_xlpm.sortedPairs,_xlfn._xlws.SORT(_xlpm.uniquePairs,1,1),INDEX(_xlpm.sortedPairs,ROWS($M$2:M346),2)),"")</f>
        <v/>
      </c>
      <c r="N346" s="15" t="str" cm="1">
        <f t="array" ref="N346">IF(OR(Table2[[#This Row],[Film]]="",Table2[[#This Row],[Grade]]=""),"",IFERROR(INDEX(Table4[Serial Number],MATCH(1,(Table4[Film]=Table2[[#This Row],[Film]])*(Table4[Grade]=Table2[[#This Row],[Grade]]),0)),""))</f>
        <v/>
      </c>
      <c r="O346" s="51" t="str">
        <f>IF(OR(Table2[[#This Row],[Film]]="",Table2[[#This Row],[Grade]]=""),"",SUMIFS(Table4[Price Calculated(€) Thickness &amp; QTY related],Table4[Film],Table2[[#This Row],[Film]],Table4[Grade],Table2[[#This Row],[Grade]]))</f>
        <v/>
      </c>
      <c r="P346" s="6"/>
      <c r="T346" s="6"/>
    </row>
    <row r="347" spans="1:20" hidden="1">
      <c r="A347" s="29"/>
      <c r="B347" s="29" t="s">
        <v>6</v>
      </c>
      <c r="C347" s="28"/>
      <c r="D347" s="28" t="str">
        <f>IF(C347="","",IFERROR(_xlfn.XLOOKUP(C347,HELPER!$A$2:$A$81,HELPER!$B$2:$B$81,""),D347))</f>
        <v/>
      </c>
      <c r="E347" s="28" t="str">
        <f>IFERROR(_xlfn.XLOOKUP(D347,HELPER!$B:$B,HELPER!$C:$C,""),"")</f>
        <v/>
      </c>
      <c r="F347" s="27" t="str">
        <f>IFERROR(_xlfn.XLOOKUP(D347,HELPER!$B:$B,HELPER!$D:$D,""),"")</f>
        <v/>
      </c>
      <c r="G347" s="27">
        <v>24</v>
      </c>
      <c r="H347" s="46"/>
      <c r="I347" s="47" t="str">
        <f>IF(AND(H347&lt;&gt;"",IFERROR(_xlfn.XLOOKUP(D347,HELPER!$B:$B,HELPER!$E:$E,""),"")=""),"Missing price",IFERROR(_xlfn.XLOOKUP(D347,HELPER!$B:$B,HELPER!$E:$E,"")," "))</f>
        <v/>
      </c>
      <c r="J347" s="47" t="str">
        <f>IFERROR(H347*(IF(G347=8,I347*HELPER!$G$2,BOM!I347*HELPER!$G$3))," ")</f>
        <v xml:space="preserve"> </v>
      </c>
      <c r="K347" s="6"/>
      <c r="L347" s="14" t="str" cm="1">
        <f t="array" ref="L347">IFERROR(_xlfn.LET(_xlpm.films,Table4[Film],_xlpm.grades,Table4[Grade],_xlpm.pairs,_xlfn._xlws.FILTER(_xlfn.HSTACK(_xlpm.films,_xlpm.grades),(_xlpm.films&lt;&gt;"")*(TRIM(_xlpm.grades)&lt;&gt;"")),_xlpm.uniquePairs,_xlfn.UNIQUE(_xlpm.pairs),_xlpm.sortedPairs,_xlfn._xlws.SORT(_xlpm.uniquePairs,1,1),INDEX(_xlpm.sortedPairs,ROWS($L$2:L347),1)),"")</f>
        <v/>
      </c>
      <c r="M347" s="15" t="str" cm="1">
        <f t="array" ref="M347">IFERROR(_xlfn.LET(_xlpm.films,Table4[Film],_xlpm.grades,Table4[Grade],_xlpm.pairs,_xlfn._xlws.FILTER(_xlfn.HSTACK(_xlpm.films,_xlpm.grades),(_xlpm.films&lt;&gt;"")*(TRIM(_xlpm.grades)&lt;&gt;"")),_xlpm.uniquePairs,_xlfn.UNIQUE(_xlpm.pairs),_xlpm.sortedPairs,_xlfn._xlws.SORT(_xlpm.uniquePairs,1,1),INDEX(_xlpm.sortedPairs,ROWS($M$2:M347),2)),"")</f>
        <v/>
      </c>
      <c r="N347" s="15" t="str" cm="1">
        <f t="array" ref="N347">IF(OR(Table2[[#This Row],[Film]]="",Table2[[#This Row],[Grade]]=""),"",IFERROR(INDEX(Table4[Serial Number],MATCH(1,(Table4[Film]=Table2[[#This Row],[Film]])*(Table4[Grade]=Table2[[#This Row],[Grade]]),0)),""))</f>
        <v/>
      </c>
      <c r="O347" s="51" t="str">
        <f>IF(OR(Table2[[#This Row],[Film]]="",Table2[[#This Row],[Grade]]=""),"",SUMIFS(Table4[Price Calculated(€) Thickness &amp; QTY related],Table4[Film],Table2[[#This Row],[Film]],Table4[Grade],Table2[[#This Row],[Grade]]))</f>
        <v/>
      </c>
      <c r="P347" s="6"/>
      <c r="T347" s="6"/>
    </row>
    <row r="348" spans="1:20" hidden="1">
      <c r="A348" s="29"/>
      <c r="B348" s="29" t="s">
        <v>6</v>
      </c>
      <c r="C348" s="28"/>
      <c r="D348" s="28" t="str">
        <f>IF(C348="","",IFERROR(_xlfn.XLOOKUP(C348,HELPER!$A$2:$A$81,HELPER!$B$2:$B$81,""),D348))</f>
        <v/>
      </c>
      <c r="E348" s="28" t="str">
        <f>IFERROR(_xlfn.XLOOKUP(D348,HELPER!$B:$B,HELPER!$C:$C,""),"")</f>
        <v/>
      </c>
      <c r="F348" s="27" t="str">
        <f>IFERROR(_xlfn.XLOOKUP(D348,HELPER!$B:$B,HELPER!$D:$D,""),"")</f>
        <v/>
      </c>
      <c r="G348" s="27">
        <v>24</v>
      </c>
      <c r="H348" s="46"/>
      <c r="I348" s="47" t="str">
        <f>IF(AND(H348&lt;&gt;"",IFERROR(_xlfn.XLOOKUP(D348,HELPER!$B:$B,HELPER!$E:$E,""),"")=""),"Missing price",IFERROR(_xlfn.XLOOKUP(D348,HELPER!$B:$B,HELPER!$E:$E,"")," "))</f>
        <v/>
      </c>
      <c r="J348" s="47" t="str">
        <f>IFERROR(H348*(IF(G348=8,I348*HELPER!$G$2,BOM!I348*HELPER!$G$3))," ")</f>
        <v xml:space="preserve"> </v>
      </c>
      <c r="K348" s="6"/>
      <c r="L348" s="14" t="str" cm="1">
        <f t="array" ref="L348">IFERROR(_xlfn.LET(_xlpm.films,Table4[Film],_xlpm.grades,Table4[Grade],_xlpm.pairs,_xlfn._xlws.FILTER(_xlfn.HSTACK(_xlpm.films,_xlpm.grades),(_xlpm.films&lt;&gt;"")*(TRIM(_xlpm.grades)&lt;&gt;"")),_xlpm.uniquePairs,_xlfn.UNIQUE(_xlpm.pairs),_xlpm.sortedPairs,_xlfn._xlws.SORT(_xlpm.uniquePairs,1,1),INDEX(_xlpm.sortedPairs,ROWS($L$2:L348),1)),"")</f>
        <v/>
      </c>
      <c r="M348" s="15" t="str" cm="1">
        <f t="array" ref="M348">IFERROR(_xlfn.LET(_xlpm.films,Table4[Film],_xlpm.grades,Table4[Grade],_xlpm.pairs,_xlfn._xlws.FILTER(_xlfn.HSTACK(_xlpm.films,_xlpm.grades),(_xlpm.films&lt;&gt;"")*(TRIM(_xlpm.grades)&lt;&gt;"")),_xlpm.uniquePairs,_xlfn.UNIQUE(_xlpm.pairs),_xlpm.sortedPairs,_xlfn._xlws.SORT(_xlpm.uniquePairs,1,1),INDEX(_xlpm.sortedPairs,ROWS($M$2:M348),2)),"")</f>
        <v/>
      </c>
      <c r="N348" s="15" t="str" cm="1">
        <f t="array" ref="N348">IF(OR(Table2[[#This Row],[Film]]="",Table2[[#This Row],[Grade]]=""),"",IFERROR(INDEX(Table4[Serial Number],MATCH(1,(Table4[Film]=Table2[[#This Row],[Film]])*(Table4[Grade]=Table2[[#This Row],[Grade]]),0)),""))</f>
        <v/>
      </c>
      <c r="O348" s="51" t="str">
        <f>IF(OR(Table2[[#This Row],[Film]]="",Table2[[#This Row],[Grade]]=""),"",SUMIFS(Table4[Price Calculated(€) Thickness &amp; QTY related],Table4[Film],Table2[[#This Row],[Film]],Table4[Grade],Table2[[#This Row],[Grade]]))</f>
        <v/>
      </c>
      <c r="P348" s="6"/>
      <c r="T348" s="6"/>
    </row>
    <row r="349" spans="1:20" hidden="1">
      <c r="A349" s="29"/>
      <c r="B349" s="29" t="s">
        <v>6</v>
      </c>
      <c r="C349" s="28"/>
      <c r="D349" s="28" t="str">
        <f>IF(C349="","",IFERROR(_xlfn.XLOOKUP(C349,HELPER!$A$2:$A$81,HELPER!$B$2:$B$81,""),D349))</f>
        <v/>
      </c>
      <c r="E349" s="28" t="str">
        <f>IFERROR(_xlfn.XLOOKUP(D349,HELPER!$B:$B,HELPER!$C:$C,""),"")</f>
        <v/>
      </c>
      <c r="F349" s="27" t="str">
        <f>IFERROR(_xlfn.XLOOKUP(D349,HELPER!$B:$B,HELPER!$D:$D,""),"")</f>
        <v/>
      </c>
      <c r="G349" s="27">
        <v>24</v>
      </c>
      <c r="H349" s="46"/>
      <c r="I349" s="47" t="str">
        <f>IF(AND(H349&lt;&gt;"",IFERROR(_xlfn.XLOOKUP(D349,HELPER!$B:$B,HELPER!$E:$E,""),"")=""),"Missing price",IFERROR(_xlfn.XLOOKUP(D349,HELPER!$B:$B,HELPER!$E:$E,"")," "))</f>
        <v/>
      </c>
      <c r="J349" s="47" t="str">
        <f>IFERROR(H349*(IF(G349=8,I349*HELPER!$G$2,BOM!I349*HELPER!$G$3))," ")</f>
        <v xml:space="preserve"> </v>
      </c>
      <c r="K349" s="6"/>
      <c r="L349" s="14" t="str" cm="1">
        <f t="array" ref="L349">IFERROR(_xlfn.LET(_xlpm.films,Table4[Film],_xlpm.grades,Table4[Grade],_xlpm.pairs,_xlfn._xlws.FILTER(_xlfn.HSTACK(_xlpm.films,_xlpm.grades),(_xlpm.films&lt;&gt;"")*(TRIM(_xlpm.grades)&lt;&gt;"")),_xlpm.uniquePairs,_xlfn.UNIQUE(_xlpm.pairs),_xlpm.sortedPairs,_xlfn._xlws.SORT(_xlpm.uniquePairs,1,1),INDEX(_xlpm.sortedPairs,ROWS($L$2:L349),1)),"")</f>
        <v/>
      </c>
      <c r="M349" s="15" t="str" cm="1">
        <f t="array" ref="M349">IFERROR(_xlfn.LET(_xlpm.films,Table4[Film],_xlpm.grades,Table4[Grade],_xlpm.pairs,_xlfn._xlws.FILTER(_xlfn.HSTACK(_xlpm.films,_xlpm.grades),(_xlpm.films&lt;&gt;"")*(TRIM(_xlpm.grades)&lt;&gt;"")),_xlpm.uniquePairs,_xlfn.UNIQUE(_xlpm.pairs),_xlpm.sortedPairs,_xlfn._xlws.SORT(_xlpm.uniquePairs,1,1),INDEX(_xlpm.sortedPairs,ROWS($M$2:M349),2)),"")</f>
        <v/>
      </c>
      <c r="N349" s="15" t="str" cm="1">
        <f t="array" ref="N349">IF(OR(Table2[[#This Row],[Film]]="",Table2[[#This Row],[Grade]]=""),"",IFERROR(INDEX(Table4[Serial Number],MATCH(1,(Table4[Film]=Table2[[#This Row],[Film]])*(Table4[Grade]=Table2[[#This Row],[Grade]]),0)),""))</f>
        <v/>
      </c>
      <c r="O349" s="51" t="str">
        <f>IF(OR(Table2[[#This Row],[Film]]="",Table2[[#This Row],[Grade]]=""),"",SUMIFS(Table4[Price Calculated(€) Thickness &amp; QTY related],Table4[Film],Table2[[#This Row],[Film]],Table4[Grade],Table2[[#This Row],[Grade]]))</f>
        <v/>
      </c>
      <c r="P349" s="6"/>
      <c r="T349" s="6"/>
    </row>
    <row r="350" spans="1:20" hidden="1">
      <c r="A350" s="29"/>
      <c r="B350" s="29" t="s">
        <v>6</v>
      </c>
      <c r="C350" s="28"/>
      <c r="D350" s="28" t="str">
        <f>IF(C350="","",IFERROR(_xlfn.XLOOKUP(C350,HELPER!$A$2:$A$81,HELPER!$B$2:$B$81,""),D350))</f>
        <v/>
      </c>
      <c r="E350" s="28" t="str">
        <f>IFERROR(_xlfn.XLOOKUP(D350,HELPER!$B:$B,HELPER!$C:$C,""),"")</f>
        <v/>
      </c>
      <c r="F350" s="27" t="str">
        <f>IFERROR(_xlfn.XLOOKUP(D350,HELPER!$B:$B,HELPER!$D:$D,""),"")</f>
        <v/>
      </c>
      <c r="G350" s="27">
        <v>24</v>
      </c>
      <c r="H350" s="46"/>
      <c r="I350" s="47" t="str">
        <f>IF(AND(H350&lt;&gt;"",IFERROR(_xlfn.XLOOKUP(D350,HELPER!$B:$B,HELPER!$E:$E,""),"")=""),"Missing price",IFERROR(_xlfn.XLOOKUP(D350,HELPER!$B:$B,HELPER!$E:$E,"")," "))</f>
        <v/>
      </c>
      <c r="J350" s="47" t="str">
        <f>IFERROR(H350*(IF(G350=8,I350*HELPER!$G$2,BOM!I350*HELPER!$G$3))," ")</f>
        <v xml:space="preserve"> </v>
      </c>
      <c r="K350" s="6"/>
      <c r="L350" s="14" t="str" cm="1">
        <f t="array" ref="L350">IFERROR(_xlfn.LET(_xlpm.films,Table4[Film],_xlpm.grades,Table4[Grade],_xlpm.pairs,_xlfn._xlws.FILTER(_xlfn.HSTACK(_xlpm.films,_xlpm.grades),(_xlpm.films&lt;&gt;"")*(TRIM(_xlpm.grades)&lt;&gt;"")),_xlpm.uniquePairs,_xlfn.UNIQUE(_xlpm.pairs),_xlpm.sortedPairs,_xlfn._xlws.SORT(_xlpm.uniquePairs,1,1),INDEX(_xlpm.sortedPairs,ROWS($L$2:L350),1)),"")</f>
        <v/>
      </c>
      <c r="M350" s="15" t="str" cm="1">
        <f t="array" ref="M350">IFERROR(_xlfn.LET(_xlpm.films,Table4[Film],_xlpm.grades,Table4[Grade],_xlpm.pairs,_xlfn._xlws.FILTER(_xlfn.HSTACK(_xlpm.films,_xlpm.grades),(_xlpm.films&lt;&gt;"")*(TRIM(_xlpm.grades)&lt;&gt;"")),_xlpm.uniquePairs,_xlfn.UNIQUE(_xlpm.pairs),_xlpm.sortedPairs,_xlfn._xlws.SORT(_xlpm.uniquePairs,1,1),INDEX(_xlpm.sortedPairs,ROWS($M$2:M350),2)),"")</f>
        <v/>
      </c>
      <c r="N350" s="15" t="str" cm="1">
        <f t="array" ref="N350">IF(OR(Table2[[#This Row],[Film]]="",Table2[[#This Row],[Grade]]=""),"",IFERROR(INDEX(Table4[Serial Number],MATCH(1,(Table4[Film]=Table2[[#This Row],[Film]])*(Table4[Grade]=Table2[[#This Row],[Grade]]),0)),""))</f>
        <v/>
      </c>
      <c r="O350" s="51" t="str">
        <f>IF(OR(Table2[[#This Row],[Film]]="",Table2[[#This Row],[Grade]]=""),"",SUMIFS(Table4[Price Calculated(€) Thickness &amp; QTY related],Table4[Film],Table2[[#This Row],[Film]],Table4[Grade],Table2[[#This Row],[Grade]]))</f>
        <v/>
      </c>
      <c r="P350" s="6"/>
      <c r="T350" s="6"/>
    </row>
    <row r="351" spans="1:20" hidden="1">
      <c r="A351" s="29"/>
      <c r="B351" s="29" t="s">
        <v>6</v>
      </c>
      <c r="C351" s="28"/>
      <c r="D351" s="28" t="str">
        <f>IF(C351="","",IFERROR(_xlfn.XLOOKUP(C351,HELPER!$A$2:$A$81,HELPER!$B$2:$B$81,""),D351))</f>
        <v/>
      </c>
      <c r="E351" s="28" t="str">
        <f>IFERROR(_xlfn.XLOOKUP(D351,HELPER!$B:$B,HELPER!$C:$C,""),"")</f>
        <v/>
      </c>
      <c r="F351" s="27" t="str">
        <f>IFERROR(_xlfn.XLOOKUP(D351,HELPER!$B:$B,HELPER!$D:$D,""),"")</f>
        <v/>
      </c>
      <c r="G351" s="27">
        <v>24</v>
      </c>
      <c r="H351" s="46"/>
      <c r="I351" s="47" t="str">
        <f>IF(AND(H351&lt;&gt;"",IFERROR(_xlfn.XLOOKUP(D351,HELPER!$B:$B,HELPER!$E:$E,""),"")=""),"Missing price",IFERROR(_xlfn.XLOOKUP(D351,HELPER!$B:$B,HELPER!$E:$E,"")," "))</f>
        <v/>
      </c>
      <c r="J351" s="47" t="str">
        <f>IFERROR(H351*(IF(G351=8,I351*HELPER!$G$2,BOM!I351*HELPER!$G$3))," ")</f>
        <v xml:space="preserve"> </v>
      </c>
      <c r="K351" s="6"/>
      <c r="L351" s="14" t="str" cm="1">
        <f t="array" ref="L351">IFERROR(_xlfn.LET(_xlpm.films,Table4[Film],_xlpm.grades,Table4[Grade],_xlpm.pairs,_xlfn._xlws.FILTER(_xlfn.HSTACK(_xlpm.films,_xlpm.grades),(_xlpm.films&lt;&gt;"")*(TRIM(_xlpm.grades)&lt;&gt;"")),_xlpm.uniquePairs,_xlfn.UNIQUE(_xlpm.pairs),_xlpm.sortedPairs,_xlfn._xlws.SORT(_xlpm.uniquePairs,1,1),INDEX(_xlpm.sortedPairs,ROWS($L$2:L351),1)),"")</f>
        <v/>
      </c>
      <c r="M351" s="15" t="str" cm="1">
        <f t="array" ref="M351">IFERROR(_xlfn.LET(_xlpm.films,Table4[Film],_xlpm.grades,Table4[Grade],_xlpm.pairs,_xlfn._xlws.FILTER(_xlfn.HSTACK(_xlpm.films,_xlpm.grades),(_xlpm.films&lt;&gt;"")*(TRIM(_xlpm.grades)&lt;&gt;"")),_xlpm.uniquePairs,_xlfn.UNIQUE(_xlpm.pairs),_xlpm.sortedPairs,_xlfn._xlws.SORT(_xlpm.uniquePairs,1,1),INDEX(_xlpm.sortedPairs,ROWS($M$2:M351),2)),"")</f>
        <v/>
      </c>
      <c r="N351" s="15" t="str" cm="1">
        <f t="array" ref="N351">IF(OR(Table2[[#This Row],[Film]]="",Table2[[#This Row],[Grade]]=""),"",IFERROR(INDEX(Table4[Serial Number],MATCH(1,(Table4[Film]=Table2[[#This Row],[Film]])*(Table4[Grade]=Table2[[#This Row],[Grade]]),0)),""))</f>
        <v/>
      </c>
      <c r="O351" s="51" t="str">
        <f>IF(OR(Table2[[#This Row],[Film]]="",Table2[[#This Row],[Grade]]=""),"",SUMIFS(Table4[Price Calculated(€) Thickness &amp; QTY related],Table4[Film],Table2[[#This Row],[Film]],Table4[Grade],Table2[[#This Row],[Grade]]))</f>
        <v/>
      </c>
      <c r="P351" s="6"/>
      <c r="T351" s="6"/>
    </row>
    <row r="352" spans="1:20" hidden="1">
      <c r="A352" s="29"/>
      <c r="B352" s="29" t="s">
        <v>7</v>
      </c>
      <c r="C352" s="28"/>
      <c r="D352" s="28" t="str">
        <f>IF(C352="","",IFERROR(_xlfn.XLOOKUP(C352,HELPER!$A$2:$A$81,HELPER!$B$2:$B$81,""),D352))</f>
        <v/>
      </c>
      <c r="E352" s="28" t="str">
        <f>IFERROR(_xlfn.XLOOKUP(D352,HELPER!$B:$B,HELPER!$C:$C,""),"")</f>
        <v/>
      </c>
      <c r="F352" s="27" t="str">
        <f>IFERROR(_xlfn.XLOOKUP(D352,HELPER!$B:$B,HELPER!$D:$D,""),"")</f>
        <v/>
      </c>
      <c r="G352" s="27">
        <v>8</v>
      </c>
      <c r="H352" s="46"/>
      <c r="I352" s="47" t="str">
        <f>IF(AND(H352&lt;&gt;"",IFERROR(_xlfn.XLOOKUP(D352,HELPER!$B:$B,HELPER!$E:$E,""),"")=""),"Missing price",IFERROR(_xlfn.XLOOKUP(D352,HELPER!$B:$B,HELPER!$E:$E,"")," "))</f>
        <v/>
      </c>
      <c r="J352" s="47" t="str">
        <f>IFERROR(H352*(IF(G352=8,I352*HELPER!$G$2,BOM!I352*HELPER!$G$3))," ")</f>
        <v xml:space="preserve"> </v>
      </c>
      <c r="K352" s="6"/>
      <c r="L352" s="14" t="str" cm="1">
        <f t="array" ref="L352">IFERROR(_xlfn.LET(_xlpm.films,Table4[Film],_xlpm.grades,Table4[Grade],_xlpm.pairs,_xlfn._xlws.FILTER(_xlfn.HSTACK(_xlpm.films,_xlpm.grades),(_xlpm.films&lt;&gt;"")*(TRIM(_xlpm.grades)&lt;&gt;"")),_xlpm.uniquePairs,_xlfn.UNIQUE(_xlpm.pairs),_xlpm.sortedPairs,_xlfn._xlws.SORT(_xlpm.uniquePairs,1,1),INDEX(_xlpm.sortedPairs,ROWS($L$2:L352),1)),"")</f>
        <v/>
      </c>
      <c r="M352" s="15" t="str" cm="1">
        <f t="array" ref="M352">IFERROR(_xlfn.LET(_xlpm.films,Table4[Film],_xlpm.grades,Table4[Grade],_xlpm.pairs,_xlfn._xlws.FILTER(_xlfn.HSTACK(_xlpm.films,_xlpm.grades),(_xlpm.films&lt;&gt;"")*(TRIM(_xlpm.grades)&lt;&gt;"")),_xlpm.uniquePairs,_xlfn.UNIQUE(_xlpm.pairs),_xlpm.sortedPairs,_xlfn._xlws.SORT(_xlpm.uniquePairs,1,1),INDEX(_xlpm.sortedPairs,ROWS($M$2:M352),2)),"")</f>
        <v/>
      </c>
      <c r="N352" s="15" t="str" cm="1">
        <f t="array" ref="N352">IF(OR(Table2[[#This Row],[Film]]="",Table2[[#This Row],[Grade]]=""),"",IFERROR(INDEX(Table4[Serial Number],MATCH(1,(Table4[Film]=Table2[[#This Row],[Film]])*(Table4[Grade]=Table2[[#This Row],[Grade]]),0)),""))</f>
        <v/>
      </c>
      <c r="O352" s="51" t="str">
        <f>IF(OR(Table2[[#This Row],[Film]]="",Table2[[#This Row],[Grade]]=""),"",SUMIFS(Table4[Price Calculated(€) Thickness &amp; QTY related],Table4[Film],Table2[[#This Row],[Film]],Table4[Grade],Table2[[#This Row],[Grade]]))</f>
        <v/>
      </c>
      <c r="P352" s="6"/>
      <c r="T352" s="6"/>
    </row>
    <row r="353" spans="1:20" hidden="1">
      <c r="A353" s="29"/>
      <c r="B353" s="29" t="s">
        <v>7</v>
      </c>
      <c r="C353" s="28"/>
      <c r="D353" s="28" t="str">
        <f>IF(C353="","",IFERROR(_xlfn.XLOOKUP(C353,HELPER!$A$2:$A$81,HELPER!$B$2:$B$81,""),D353))</f>
        <v/>
      </c>
      <c r="E353" s="28" t="str">
        <f>IFERROR(_xlfn.XLOOKUP(D353,HELPER!$B:$B,HELPER!$C:$C,""),"")</f>
        <v/>
      </c>
      <c r="F353" s="27" t="str">
        <f>IFERROR(_xlfn.XLOOKUP(D353,HELPER!$B:$B,HELPER!$D:$D,""),"")</f>
        <v/>
      </c>
      <c r="G353" s="27">
        <v>8</v>
      </c>
      <c r="H353" s="46"/>
      <c r="I353" s="47" t="str">
        <f>IF(AND(H353&lt;&gt;"",IFERROR(_xlfn.XLOOKUP(D353,HELPER!$B:$B,HELPER!$E:$E,""),"")=""),"Missing price",IFERROR(_xlfn.XLOOKUP(D353,HELPER!$B:$B,HELPER!$E:$E,"")," "))</f>
        <v/>
      </c>
      <c r="J353" s="47" t="str">
        <f>IFERROR(H353*(IF(G353=8,I353*HELPER!$G$2,BOM!I353*HELPER!$G$3))," ")</f>
        <v xml:space="preserve"> </v>
      </c>
      <c r="K353" s="6"/>
      <c r="L353" s="14" t="str" cm="1">
        <f t="array" ref="L353">IFERROR(_xlfn.LET(_xlpm.films,Table4[Film],_xlpm.grades,Table4[Grade],_xlpm.pairs,_xlfn._xlws.FILTER(_xlfn.HSTACK(_xlpm.films,_xlpm.grades),(_xlpm.films&lt;&gt;"")*(TRIM(_xlpm.grades)&lt;&gt;"")),_xlpm.uniquePairs,_xlfn.UNIQUE(_xlpm.pairs),_xlpm.sortedPairs,_xlfn._xlws.SORT(_xlpm.uniquePairs,1,1),INDEX(_xlpm.sortedPairs,ROWS($L$2:L353),1)),"")</f>
        <v/>
      </c>
      <c r="M353" s="15" t="str" cm="1">
        <f t="array" ref="M353">IFERROR(_xlfn.LET(_xlpm.films,Table4[Film],_xlpm.grades,Table4[Grade],_xlpm.pairs,_xlfn._xlws.FILTER(_xlfn.HSTACK(_xlpm.films,_xlpm.grades),(_xlpm.films&lt;&gt;"")*(TRIM(_xlpm.grades)&lt;&gt;"")),_xlpm.uniquePairs,_xlfn.UNIQUE(_xlpm.pairs),_xlpm.sortedPairs,_xlfn._xlws.SORT(_xlpm.uniquePairs,1,1),INDEX(_xlpm.sortedPairs,ROWS($M$2:M353),2)),"")</f>
        <v/>
      </c>
      <c r="N353" s="15" t="str" cm="1">
        <f t="array" ref="N353">IF(OR(Table2[[#This Row],[Film]]="",Table2[[#This Row],[Grade]]=""),"",IFERROR(INDEX(Table4[Serial Number],MATCH(1,(Table4[Film]=Table2[[#This Row],[Film]])*(Table4[Grade]=Table2[[#This Row],[Grade]]),0)),""))</f>
        <v/>
      </c>
      <c r="O353" s="51" t="str">
        <f>IF(OR(Table2[[#This Row],[Film]]="",Table2[[#This Row],[Grade]]=""),"",SUMIFS(Table4[Price Calculated(€) Thickness &amp; QTY related],Table4[Film],Table2[[#This Row],[Film]],Table4[Grade],Table2[[#This Row],[Grade]]))</f>
        <v/>
      </c>
      <c r="P353" s="6"/>
      <c r="T353" s="6"/>
    </row>
    <row r="354" spans="1:20" hidden="1">
      <c r="A354" s="29"/>
      <c r="B354" s="29" t="s">
        <v>7</v>
      </c>
      <c r="C354" s="28"/>
      <c r="D354" s="28" t="str">
        <f>IF(C354="","",IFERROR(_xlfn.XLOOKUP(C354,HELPER!$A$2:$A$81,HELPER!$B$2:$B$81,""),D354))</f>
        <v/>
      </c>
      <c r="E354" s="28" t="str">
        <f>IFERROR(_xlfn.XLOOKUP(D354,HELPER!$B:$B,HELPER!$C:$C,""),"")</f>
        <v/>
      </c>
      <c r="F354" s="27" t="str">
        <f>IFERROR(_xlfn.XLOOKUP(D354,HELPER!$B:$B,HELPER!$D:$D,""),"")</f>
        <v/>
      </c>
      <c r="G354" s="27">
        <v>8</v>
      </c>
      <c r="H354" s="46"/>
      <c r="I354" s="47" t="str">
        <f>IF(AND(H354&lt;&gt;"",IFERROR(_xlfn.XLOOKUP(D354,HELPER!$B:$B,HELPER!$E:$E,""),"")=""),"Missing price",IFERROR(_xlfn.XLOOKUP(D354,HELPER!$B:$B,HELPER!$E:$E,"")," "))</f>
        <v/>
      </c>
      <c r="J354" s="47" t="str">
        <f>IFERROR(H354*(IF(G354=8,I354*HELPER!$G$2,BOM!I354*HELPER!$G$3))," ")</f>
        <v xml:space="preserve"> </v>
      </c>
      <c r="K354" s="6"/>
      <c r="L354" s="14" t="str" cm="1">
        <f t="array" ref="L354">IFERROR(_xlfn.LET(_xlpm.films,Table4[Film],_xlpm.grades,Table4[Grade],_xlpm.pairs,_xlfn._xlws.FILTER(_xlfn.HSTACK(_xlpm.films,_xlpm.grades),(_xlpm.films&lt;&gt;"")*(TRIM(_xlpm.grades)&lt;&gt;"")),_xlpm.uniquePairs,_xlfn.UNIQUE(_xlpm.pairs),_xlpm.sortedPairs,_xlfn._xlws.SORT(_xlpm.uniquePairs,1,1),INDEX(_xlpm.sortedPairs,ROWS($L$2:L354),1)),"")</f>
        <v/>
      </c>
      <c r="M354" s="15" t="str" cm="1">
        <f t="array" ref="M354">IFERROR(_xlfn.LET(_xlpm.films,Table4[Film],_xlpm.grades,Table4[Grade],_xlpm.pairs,_xlfn._xlws.FILTER(_xlfn.HSTACK(_xlpm.films,_xlpm.grades),(_xlpm.films&lt;&gt;"")*(TRIM(_xlpm.grades)&lt;&gt;"")),_xlpm.uniquePairs,_xlfn.UNIQUE(_xlpm.pairs),_xlpm.sortedPairs,_xlfn._xlws.SORT(_xlpm.uniquePairs,1,1),INDEX(_xlpm.sortedPairs,ROWS($M$2:M354),2)),"")</f>
        <v/>
      </c>
      <c r="N354" s="15" t="str" cm="1">
        <f t="array" ref="N354">IF(OR(Table2[[#This Row],[Film]]="",Table2[[#This Row],[Grade]]=""),"",IFERROR(INDEX(Table4[Serial Number],MATCH(1,(Table4[Film]=Table2[[#This Row],[Film]])*(Table4[Grade]=Table2[[#This Row],[Grade]]),0)),""))</f>
        <v/>
      </c>
      <c r="O354" s="51" t="str">
        <f>IF(OR(Table2[[#This Row],[Film]]="",Table2[[#This Row],[Grade]]=""),"",SUMIFS(Table4[Price Calculated(€) Thickness &amp; QTY related],Table4[Film],Table2[[#This Row],[Film]],Table4[Grade],Table2[[#This Row],[Grade]]))</f>
        <v/>
      </c>
      <c r="P354" s="6"/>
      <c r="T354" s="6"/>
    </row>
    <row r="355" spans="1:20" hidden="1">
      <c r="A355" s="29"/>
      <c r="B355" s="29" t="s">
        <v>7</v>
      </c>
      <c r="C355" s="28"/>
      <c r="D355" s="28" t="str">
        <f>IF(C355="","",IFERROR(_xlfn.XLOOKUP(C355,HELPER!$A$2:$A$81,HELPER!$B$2:$B$81,""),D355))</f>
        <v/>
      </c>
      <c r="E355" s="28" t="str">
        <f>IFERROR(_xlfn.XLOOKUP(D355,HELPER!$B:$B,HELPER!$C:$C,""),"")</f>
        <v/>
      </c>
      <c r="F355" s="27" t="str">
        <f>IFERROR(_xlfn.XLOOKUP(D355,HELPER!$B:$B,HELPER!$D:$D,""),"")</f>
        <v/>
      </c>
      <c r="G355" s="27">
        <v>8</v>
      </c>
      <c r="H355" s="46"/>
      <c r="I355" s="47" t="str">
        <f>IF(AND(H355&lt;&gt;"",IFERROR(_xlfn.XLOOKUP(D355,HELPER!$B:$B,HELPER!$E:$E,""),"")=""),"Missing price",IFERROR(_xlfn.XLOOKUP(D355,HELPER!$B:$B,HELPER!$E:$E,"")," "))</f>
        <v/>
      </c>
      <c r="J355" s="47" t="str">
        <f>IFERROR(H355*(IF(G355=8,I355*HELPER!$G$2,BOM!I355*HELPER!$G$3))," ")</f>
        <v xml:space="preserve"> </v>
      </c>
      <c r="K355" s="6"/>
      <c r="L355" s="14" t="str" cm="1">
        <f t="array" ref="L355">IFERROR(_xlfn.LET(_xlpm.films,Table4[Film],_xlpm.grades,Table4[Grade],_xlpm.pairs,_xlfn._xlws.FILTER(_xlfn.HSTACK(_xlpm.films,_xlpm.grades),(_xlpm.films&lt;&gt;"")*(TRIM(_xlpm.grades)&lt;&gt;"")),_xlpm.uniquePairs,_xlfn.UNIQUE(_xlpm.pairs),_xlpm.sortedPairs,_xlfn._xlws.SORT(_xlpm.uniquePairs,1,1),INDEX(_xlpm.sortedPairs,ROWS($L$2:L355),1)),"")</f>
        <v/>
      </c>
      <c r="M355" s="15" t="str" cm="1">
        <f t="array" ref="M355">IFERROR(_xlfn.LET(_xlpm.films,Table4[Film],_xlpm.grades,Table4[Grade],_xlpm.pairs,_xlfn._xlws.FILTER(_xlfn.HSTACK(_xlpm.films,_xlpm.grades),(_xlpm.films&lt;&gt;"")*(TRIM(_xlpm.grades)&lt;&gt;"")),_xlpm.uniquePairs,_xlfn.UNIQUE(_xlpm.pairs),_xlpm.sortedPairs,_xlfn._xlws.SORT(_xlpm.uniquePairs,1,1),INDEX(_xlpm.sortedPairs,ROWS($M$2:M355),2)),"")</f>
        <v/>
      </c>
      <c r="N355" s="15" t="str" cm="1">
        <f t="array" ref="N355">IF(OR(Table2[[#This Row],[Film]]="",Table2[[#This Row],[Grade]]=""),"",IFERROR(INDEX(Table4[Serial Number],MATCH(1,(Table4[Film]=Table2[[#This Row],[Film]])*(Table4[Grade]=Table2[[#This Row],[Grade]]),0)),""))</f>
        <v/>
      </c>
      <c r="O355" s="51" t="str">
        <f>IF(OR(Table2[[#This Row],[Film]]="",Table2[[#This Row],[Grade]]=""),"",SUMIFS(Table4[Price Calculated(€) Thickness &amp; QTY related],Table4[Film],Table2[[#This Row],[Film]],Table4[Grade],Table2[[#This Row],[Grade]]))</f>
        <v/>
      </c>
      <c r="P355" s="6"/>
      <c r="T355" s="6"/>
    </row>
    <row r="356" spans="1:20" hidden="1">
      <c r="A356" s="29"/>
      <c r="B356" s="29" t="s">
        <v>7</v>
      </c>
      <c r="C356" s="28"/>
      <c r="D356" s="28" t="str">
        <f>IF(C356="","",IFERROR(_xlfn.XLOOKUP(C356,HELPER!$A$2:$A$81,HELPER!$B$2:$B$81,""),D356))</f>
        <v/>
      </c>
      <c r="E356" s="28" t="str">
        <f>IFERROR(_xlfn.XLOOKUP(D356,HELPER!$B:$B,HELPER!$C:$C,""),"")</f>
        <v/>
      </c>
      <c r="F356" s="27" t="str">
        <f>IFERROR(_xlfn.XLOOKUP(D356,HELPER!$B:$B,HELPER!$D:$D,""),"")</f>
        <v/>
      </c>
      <c r="G356" s="27">
        <v>8</v>
      </c>
      <c r="H356" s="46"/>
      <c r="I356" s="47" t="str">
        <f>IF(AND(H356&lt;&gt;"",IFERROR(_xlfn.XLOOKUP(D356,HELPER!$B:$B,HELPER!$E:$E,""),"")=""),"Missing price",IFERROR(_xlfn.XLOOKUP(D356,HELPER!$B:$B,HELPER!$E:$E,"")," "))</f>
        <v/>
      </c>
      <c r="J356" s="47" t="str">
        <f>IFERROR(H356*(IF(G356=8,I356*HELPER!$G$2,BOM!I356*HELPER!$G$3))," ")</f>
        <v xml:space="preserve"> </v>
      </c>
      <c r="K356" s="6"/>
      <c r="L356" s="14" t="str" cm="1">
        <f t="array" ref="L356">IFERROR(_xlfn.LET(_xlpm.films,Table4[Film],_xlpm.grades,Table4[Grade],_xlpm.pairs,_xlfn._xlws.FILTER(_xlfn.HSTACK(_xlpm.films,_xlpm.grades),(_xlpm.films&lt;&gt;"")*(TRIM(_xlpm.grades)&lt;&gt;"")),_xlpm.uniquePairs,_xlfn.UNIQUE(_xlpm.pairs),_xlpm.sortedPairs,_xlfn._xlws.SORT(_xlpm.uniquePairs,1,1),INDEX(_xlpm.sortedPairs,ROWS($L$2:L356),1)),"")</f>
        <v/>
      </c>
      <c r="M356" s="15" t="str" cm="1">
        <f t="array" ref="M356">IFERROR(_xlfn.LET(_xlpm.films,Table4[Film],_xlpm.grades,Table4[Grade],_xlpm.pairs,_xlfn._xlws.FILTER(_xlfn.HSTACK(_xlpm.films,_xlpm.grades),(_xlpm.films&lt;&gt;"")*(TRIM(_xlpm.grades)&lt;&gt;"")),_xlpm.uniquePairs,_xlfn.UNIQUE(_xlpm.pairs),_xlpm.sortedPairs,_xlfn._xlws.SORT(_xlpm.uniquePairs,1,1),INDEX(_xlpm.sortedPairs,ROWS($M$2:M356),2)),"")</f>
        <v/>
      </c>
      <c r="N356" s="15" t="str" cm="1">
        <f t="array" ref="N356">IF(OR(Table2[[#This Row],[Film]]="",Table2[[#This Row],[Grade]]=""),"",IFERROR(INDEX(Table4[Serial Number],MATCH(1,(Table4[Film]=Table2[[#This Row],[Film]])*(Table4[Grade]=Table2[[#This Row],[Grade]]),0)),""))</f>
        <v/>
      </c>
      <c r="O356" s="51" t="str">
        <f>IF(OR(Table2[[#This Row],[Film]]="",Table2[[#This Row],[Grade]]=""),"",SUMIFS(Table4[Price Calculated(€) Thickness &amp; QTY related],Table4[Film],Table2[[#This Row],[Film]],Table4[Grade],Table2[[#This Row],[Grade]]))</f>
        <v/>
      </c>
      <c r="P356" s="6"/>
      <c r="T356" s="6"/>
    </row>
    <row r="357" spans="1:20" hidden="1">
      <c r="A357" s="29"/>
      <c r="B357" s="29" t="s">
        <v>7</v>
      </c>
      <c r="C357" s="28"/>
      <c r="D357" s="28" t="str">
        <f>IF(C357="","",IFERROR(_xlfn.XLOOKUP(C357,HELPER!$A$2:$A$81,HELPER!$B$2:$B$81,""),D357))</f>
        <v/>
      </c>
      <c r="E357" s="28" t="str">
        <f>IFERROR(_xlfn.XLOOKUP(D357,HELPER!$B:$B,HELPER!$C:$C,""),"")</f>
        <v/>
      </c>
      <c r="F357" s="27" t="str">
        <f>IFERROR(_xlfn.XLOOKUP(D357,HELPER!$B:$B,HELPER!$D:$D,""),"")</f>
        <v/>
      </c>
      <c r="G357" s="27">
        <v>8</v>
      </c>
      <c r="H357" s="46"/>
      <c r="I357" s="47" t="str">
        <f>IF(AND(H357&lt;&gt;"",IFERROR(_xlfn.XLOOKUP(D357,HELPER!$B:$B,HELPER!$E:$E,""),"")=""),"Missing price",IFERROR(_xlfn.XLOOKUP(D357,HELPER!$B:$B,HELPER!$E:$E,"")," "))</f>
        <v/>
      </c>
      <c r="J357" s="47" t="str">
        <f>IFERROR(H357*(IF(G357=8,I357*HELPER!$G$2,BOM!I357*HELPER!$G$3))," ")</f>
        <v xml:space="preserve"> </v>
      </c>
      <c r="K357" s="6"/>
      <c r="L357" s="14" t="str" cm="1">
        <f t="array" ref="L357">IFERROR(_xlfn.LET(_xlpm.films,Table4[Film],_xlpm.grades,Table4[Grade],_xlpm.pairs,_xlfn._xlws.FILTER(_xlfn.HSTACK(_xlpm.films,_xlpm.grades),(_xlpm.films&lt;&gt;"")*(TRIM(_xlpm.grades)&lt;&gt;"")),_xlpm.uniquePairs,_xlfn.UNIQUE(_xlpm.pairs),_xlpm.sortedPairs,_xlfn._xlws.SORT(_xlpm.uniquePairs,1,1),INDEX(_xlpm.sortedPairs,ROWS($L$2:L357),1)),"")</f>
        <v/>
      </c>
      <c r="M357" s="15" t="str" cm="1">
        <f t="array" ref="M357">IFERROR(_xlfn.LET(_xlpm.films,Table4[Film],_xlpm.grades,Table4[Grade],_xlpm.pairs,_xlfn._xlws.FILTER(_xlfn.HSTACK(_xlpm.films,_xlpm.grades),(_xlpm.films&lt;&gt;"")*(TRIM(_xlpm.grades)&lt;&gt;"")),_xlpm.uniquePairs,_xlfn.UNIQUE(_xlpm.pairs),_xlpm.sortedPairs,_xlfn._xlws.SORT(_xlpm.uniquePairs,1,1),INDEX(_xlpm.sortedPairs,ROWS($M$2:M357),2)),"")</f>
        <v/>
      </c>
      <c r="N357" s="15" t="str" cm="1">
        <f t="array" ref="N357">IF(OR(Table2[[#This Row],[Film]]="",Table2[[#This Row],[Grade]]=""),"",IFERROR(INDEX(Table4[Serial Number],MATCH(1,(Table4[Film]=Table2[[#This Row],[Film]])*(Table4[Grade]=Table2[[#This Row],[Grade]]),0)),""))</f>
        <v/>
      </c>
      <c r="O357" s="51" t="str">
        <f>IF(OR(Table2[[#This Row],[Film]]="",Table2[[#This Row],[Grade]]=""),"",SUMIFS(Table4[Price Calculated(€) Thickness &amp; QTY related],Table4[Film],Table2[[#This Row],[Film]],Table4[Grade],Table2[[#This Row],[Grade]]))</f>
        <v/>
      </c>
      <c r="P357" s="6"/>
      <c r="T357" s="6"/>
    </row>
    <row r="358" spans="1:20" hidden="1">
      <c r="A358" s="29"/>
      <c r="B358" s="29" t="s">
        <v>7</v>
      </c>
      <c r="C358" s="28"/>
      <c r="D358" s="28" t="str">
        <f>IF(C358="","",IFERROR(_xlfn.XLOOKUP(C358,HELPER!$A$2:$A$81,HELPER!$B$2:$B$81,""),D358))</f>
        <v/>
      </c>
      <c r="E358" s="28" t="str">
        <f>IFERROR(_xlfn.XLOOKUP(D358,HELPER!$B:$B,HELPER!$C:$C,""),"")</f>
        <v/>
      </c>
      <c r="F358" s="27" t="str">
        <f>IFERROR(_xlfn.XLOOKUP(D358,HELPER!$B:$B,HELPER!$D:$D,""),"")</f>
        <v/>
      </c>
      <c r="G358" s="27">
        <v>8</v>
      </c>
      <c r="H358" s="46"/>
      <c r="I358" s="47" t="str">
        <f>IF(AND(H358&lt;&gt;"",IFERROR(_xlfn.XLOOKUP(D358,HELPER!$B:$B,HELPER!$E:$E,""),"")=""),"Missing price",IFERROR(_xlfn.XLOOKUP(D358,HELPER!$B:$B,HELPER!$E:$E,"")," "))</f>
        <v/>
      </c>
      <c r="J358" s="47" t="str">
        <f>IFERROR(H358*(IF(G358=8,I358*HELPER!$G$2,BOM!I358*HELPER!$G$3))," ")</f>
        <v xml:space="preserve"> </v>
      </c>
      <c r="K358" s="6"/>
      <c r="L358" s="14" t="str" cm="1">
        <f t="array" ref="L358">IFERROR(_xlfn.LET(_xlpm.films,Table4[Film],_xlpm.grades,Table4[Grade],_xlpm.pairs,_xlfn._xlws.FILTER(_xlfn.HSTACK(_xlpm.films,_xlpm.grades),(_xlpm.films&lt;&gt;"")*(TRIM(_xlpm.grades)&lt;&gt;"")),_xlpm.uniquePairs,_xlfn.UNIQUE(_xlpm.pairs),_xlpm.sortedPairs,_xlfn._xlws.SORT(_xlpm.uniquePairs,1,1),INDEX(_xlpm.sortedPairs,ROWS($L$2:L358),1)),"")</f>
        <v/>
      </c>
      <c r="M358" s="15" t="str" cm="1">
        <f t="array" ref="M358">IFERROR(_xlfn.LET(_xlpm.films,Table4[Film],_xlpm.grades,Table4[Grade],_xlpm.pairs,_xlfn._xlws.FILTER(_xlfn.HSTACK(_xlpm.films,_xlpm.grades),(_xlpm.films&lt;&gt;"")*(TRIM(_xlpm.grades)&lt;&gt;"")),_xlpm.uniquePairs,_xlfn.UNIQUE(_xlpm.pairs),_xlpm.sortedPairs,_xlfn._xlws.SORT(_xlpm.uniquePairs,1,1),INDEX(_xlpm.sortedPairs,ROWS($M$2:M358),2)),"")</f>
        <v/>
      </c>
      <c r="N358" s="15" t="str" cm="1">
        <f t="array" ref="N358">IF(OR(Table2[[#This Row],[Film]]="",Table2[[#This Row],[Grade]]=""),"",IFERROR(INDEX(Table4[Serial Number],MATCH(1,(Table4[Film]=Table2[[#This Row],[Film]])*(Table4[Grade]=Table2[[#This Row],[Grade]]),0)),""))</f>
        <v/>
      </c>
      <c r="O358" s="51" t="str">
        <f>IF(OR(Table2[[#This Row],[Film]]="",Table2[[#This Row],[Grade]]=""),"",SUMIFS(Table4[Price Calculated(€) Thickness &amp; QTY related],Table4[Film],Table2[[#This Row],[Film]],Table4[Grade],Table2[[#This Row],[Grade]]))</f>
        <v/>
      </c>
      <c r="P358" s="6"/>
      <c r="T358" s="6"/>
    </row>
    <row r="359" spans="1:20" hidden="1">
      <c r="A359" s="29"/>
      <c r="B359" s="29" t="s">
        <v>7</v>
      </c>
      <c r="C359" s="28"/>
      <c r="D359" s="28" t="str">
        <f>IF(C359="","",IFERROR(_xlfn.XLOOKUP(C359,HELPER!$A$2:$A$81,HELPER!$B$2:$B$81,""),D359))</f>
        <v/>
      </c>
      <c r="E359" s="28" t="str">
        <f>IFERROR(_xlfn.XLOOKUP(D359,HELPER!$B:$B,HELPER!$C:$C,""),"")</f>
        <v/>
      </c>
      <c r="F359" s="27" t="str">
        <f>IFERROR(_xlfn.XLOOKUP(D359,HELPER!$B:$B,HELPER!$D:$D,""),"")</f>
        <v/>
      </c>
      <c r="G359" s="27">
        <v>8</v>
      </c>
      <c r="H359" s="46"/>
      <c r="I359" s="47" t="str">
        <f>IF(AND(H359&lt;&gt;"",IFERROR(_xlfn.XLOOKUP(D359,HELPER!$B:$B,HELPER!$E:$E,""),"")=""),"Missing price",IFERROR(_xlfn.XLOOKUP(D359,HELPER!$B:$B,HELPER!$E:$E,"")," "))</f>
        <v/>
      </c>
      <c r="J359" s="47" t="str">
        <f>IFERROR(H359*(IF(G359=8,I359*HELPER!$G$2,BOM!I359*HELPER!$G$3))," ")</f>
        <v xml:space="preserve"> </v>
      </c>
      <c r="K359" s="6"/>
      <c r="L359" s="14" t="str" cm="1">
        <f t="array" ref="L359">IFERROR(_xlfn.LET(_xlpm.films,Table4[Film],_xlpm.grades,Table4[Grade],_xlpm.pairs,_xlfn._xlws.FILTER(_xlfn.HSTACK(_xlpm.films,_xlpm.grades),(_xlpm.films&lt;&gt;"")*(TRIM(_xlpm.grades)&lt;&gt;"")),_xlpm.uniquePairs,_xlfn.UNIQUE(_xlpm.pairs),_xlpm.sortedPairs,_xlfn._xlws.SORT(_xlpm.uniquePairs,1,1),INDEX(_xlpm.sortedPairs,ROWS($L$2:L359),1)),"")</f>
        <v/>
      </c>
      <c r="M359" s="15" t="str" cm="1">
        <f t="array" ref="M359">IFERROR(_xlfn.LET(_xlpm.films,Table4[Film],_xlpm.grades,Table4[Grade],_xlpm.pairs,_xlfn._xlws.FILTER(_xlfn.HSTACK(_xlpm.films,_xlpm.grades),(_xlpm.films&lt;&gt;"")*(TRIM(_xlpm.grades)&lt;&gt;"")),_xlpm.uniquePairs,_xlfn.UNIQUE(_xlpm.pairs),_xlpm.sortedPairs,_xlfn._xlws.SORT(_xlpm.uniquePairs,1,1),INDEX(_xlpm.sortedPairs,ROWS($M$2:M359),2)),"")</f>
        <v/>
      </c>
      <c r="N359" s="15" t="str" cm="1">
        <f t="array" ref="N359">IF(OR(Table2[[#This Row],[Film]]="",Table2[[#This Row],[Grade]]=""),"",IFERROR(INDEX(Table4[Serial Number],MATCH(1,(Table4[Film]=Table2[[#This Row],[Film]])*(Table4[Grade]=Table2[[#This Row],[Grade]]),0)),""))</f>
        <v/>
      </c>
      <c r="O359" s="51" t="str">
        <f>IF(OR(Table2[[#This Row],[Film]]="",Table2[[#This Row],[Grade]]=""),"",SUMIFS(Table4[Price Calculated(€) Thickness &amp; QTY related],Table4[Film],Table2[[#This Row],[Film]],Table4[Grade],Table2[[#This Row],[Grade]]))</f>
        <v/>
      </c>
      <c r="P359" s="6"/>
      <c r="T359" s="6"/>
    </row>
    <row r="360" spans="1:20" hidden="1">
      <c r="A360" s="29"/>
      <c r="B360" s="29" t="s">
        <v>7</v>
      </c>
      <c r="C360" s="28"/>
      <c r="D360" s="28" t="str">
        <f>IF(C360="","",IFERROR(_xlfn.XLOOKUP(C360,HELPER!$A$2:$A$81,HELPER!$B$2:$B$81,""),D360))</f>
        <v/>
      </c>
      <c r="E360" s="28" t="str">
        <f>IFERROR(_xlfn.XLOOKUP(D360,HELPER!$B:$B,HELPER!$C:$C,""),"")</f>
        <v/>
      </c>
      <c r="F360" s="27" t="str">
        <f>IFERROR(_xlfn.XLOOKUP(D360,HELPER!$B:$B,HELPER!$D:$D,""),"")</f>
        <v/>
      </c>
      <c r="G360" s="27">
        <v>8</v>
      </c>
      <c r="H360" s="46"/>
      <c r="I360" s="47" t="str">
        <f>IF(AND(H360&lt;&gt;"",IFERROR(_xlfn.XLOOKUP(D360,HELPER!$B:$B,HELPER!$E:$E,""),"")=""),"Missing price",IFERROR(_xlfn.XLOOKUP(D360,HELPER!$B:$B,HELPER!$E:$E,"")," "))</f>
        <v/>
      </c>
      <c r="J360" s="47" t="str">
        <f>IFERROR(H360*(IF(G360=8,I360*HELPER!$G$2,BOM!I360*HELPER!$G$3))," ")</f>
        <v xml:space="preserve"> </v>
      </c>
      <c r="K360" s="6"/>
      <c r="L360" s="14" t="str" cm="1">
        <f t="array" ref="L360">IFERROR(_xlfn.LET(_xlpm.films,Table4[Film],_xlpm.grades,Table4[Grade],_xlpm.pairs,_xlfn._xlws.FILTER(_xlfn.HSTACK(_xlpm.films,_xlpm.grades),(_xlpm.films&lt;&gt;"")*(TRIM(_xlpm.grades)&lt;&gt;"")),_xlpm.uniquePairs,_xlfn.UNIQUE(_xlpm.pairs),_xlpm.sortedPairs,_xlfn._xlws.SORT(_xlpm.uniquePairs,1,1),INDEX(_xlpm.sortedPairs,ROWS($L$2:L360),1)),"")</f>
        <v/>
      </c>
      <c r="M360" s="15" t="str" cm="1">
        <f t="array" ref="M360">IFERROR(_xlfn.LET(_xlpm.films,Table4[Film],_xlpm.grades,Table4[Grade],_xlpm.pairs,_xlfn._xlws.FILTER(_xlfn.HSTACK(_xlpm.films,_xlpm.grades),(_xlpm.films&lt;&gt;"")*(TRIM(_xlpm.grades)&lt;&gt;"")),_xlpm.uniquePairs,_xlfn.UNIQUE(_xlpm.pairs),_xlpm.sortedPairs,_xlfn._xlws.SORT(_xlpm.uniquePairs,1,1),INDEX(_xlpm.sortedPairs,ROWS($M$2:M360),2)),"")</f>
        <v/>
      </c>
      <c r="N360" s="15" t="str" cm="1">
        <f t="array" ref="N360">IF(OR(Table2[[#This Row],[Film]]="",Table2[[#This Row],[Grade]]=""),"",IFERROR(INDEX(Table4[Serial Number],MATCH(1,(Table4[Film]=Table2[[#This Row],[Film]])*(Table4[Grade]=Table2[[#This Row],[Grade]]),0)),""))</f>
        <v/>
      </c>
      <c r="O360" s="51" t="str">
        <f>IF(OR(Table2[[#This Row],[Film]]="",Table2[[#This Row],[Grade]]=""),"",SUMIFS(Table4[Price Calculated(€) Thickness &amp; QTY related],Table4[Film],Table2[[#This Row],[Film]],Table4[Grade],Table2[[#This Row],[Grade]]))</f>
        <v/>
      </c>
      <c r="P360" s="6"/>
      <c r="T360" s="6"/>
    </row>
    <row r="361" spans="1:20" hidden="1">
      <c r="A361" s="29"/>
      <c r="B361" s="29" t="s">
        <v>7</v>
      </c>
      <c r="C361" s="28"/>
      <c r="D361" s="28" t="str">
        <f>IF(C361="","",IFERROR(_xlfn.XLOOKUP(C361,HELPER!$A$2:$A$81,HELPER!$B$2:$B$81,""),D361))</f>
        <v/>
      </c>
      <c r="E361" s="28" t="str">
        <f>IFERROR(_xlfn.XLOOKUP(D361,HELPER!$B:$B,HELPER!$C:$C,""),"")</f>
        <v/>
      </c>
      <c r="F361" s="27" t="str">
        <f>IFERROR(_xlfn.XLOOKUP(D361,HELPER!$B:$B,HELPER!$D:$D,""),"")</f>
        <v/>
      </c>
      <c r="G361" s="27">
        <v>8</v>
      </c>
      <c r="H361" s="46"/>
      <c r="I361" s="47" t="str">
        <f>IF(AND(H361&lt;&gt;"",IFERROR(_xlfn.XLOOKUP(D361,HELPER!$B:$B,HELPER!$E:$E,""),"")=""),"Missing price",IFERROR(_xlfn.XLOOKUP(D361,HELPER!$B:$B,HELPER!$E:$E,"")," "))</f>
        <v/>
      </c>
      <c r="J361" s="47" t="str">
        <f>IFERROR(H361*(IF(G361=8,I361*HELPER!$G$2,BOM!I361*HELPER!$G$3))," ")</f>
        <v xml:space="preserve"> </v>
      </c>
      <c r="K361" s="6"/>
      <c r="L361" s="14" t="str" cm="1">
        <f t="array" ref="L361">IFERROR(_xlfn.LET(_xlpm.films,Table4[Film],_xlpm.grades,Table4[Grade],_xlpm.pairs,_xlfn._xlws.FILTER(_xlfn.HSTACK(_xlpm.films,_xlpm.grades),(_xlpm.films&lt;&gt;"")*(TRIM(_xlpm.grades)&lt;&gt;"")),_xlpm.uniquePairs,_xlfn.UNIQUE(_xlpm.pairs),_xlpm.sortedPairs,_xlfn._xlws.SORT(_xlpm.uniquePairs,1,1),INDEX(_xlpm.sortedPairs,ROWS($L$2:L361),1)),"")</f>
        <v/>
      </c>
      <c r="M361" s="15" t="str" cm="1">
        <f t="array" ref="M361">IFERROR(_xlfn.LET(_xlpm.films,Table4[Film],_xlpm.grades,Table4[Grade],_xlpm.pairs,_xlfn._xlws.FILTER(_xlfn.HSTACK(_xlpm.films,_xlpm.grades),(_xlpm.films&lt;&gt;"")*(TRIM(_xlpm.grades)&lt;&gt;"")),_xlpm.uniquePairs,_xlfn.UNIQUE(_xlpm.pairs),_xlpm.sortedPairs,_xlfn._xlws.SORT(_xlpm.uniquePairs,1,1),INDEX(_xlpm.sortedPairs,ROWS($M$2:M361),2)),"")</f>
        <v/>
      </c>
      <c r="N361" s="15" t="str" cm="1">
        <f t="array" ref="N361">IF(OR(Table2[[#This Row],[Film]]="",Table2[[#This Row],[Grade]]=""),"",IFERROR(INDEX(Table4[Serial Number],MATCH(1,(Table4[Film]=Table2[[#This Row],[Film]])*(Table4[Grade]=Table2[[#This Row],[Grade]]),0)),""))</f>
        <v/>
      </c>
      <c r="O361" s="51" t="str">
        <f>IF(OR(Table2[[#This Row],[Film]]="",Table2[[#This Row],[Grade]]=""),"",SUMIFS(Table4[Price Calculated(€) Thickness &amp; QTY related],Table4[Film],Table2[[#This Row],[Film]],Table4[Grade],Table2[[#This Row],[Grade]]))</f>
        <v/>
      </c>
      <c r="P361" s="6"/>
      <c r="T361" s="6"/>
    </row>
    <row r="362" spans="1:20" hidden="1">
      <c r="A362" s="29"/>
      <c r="B362" s="29" t="s">
        <v>5</v>
      </c>
      <c r="C362" s="28"/>
      <c r="D362" s="28" t="str">
        <f>IF(C362="","",IFERROR(_xlfn.XLOOKUP(C362,HELPER!$A$2:$A$81,HELPER!$B$2:$B$81,""),D362))</f>
        <v/>
      </c>
      <c r="E362" s="28" t="str">
        <f>IFERROR(_xlfn.XLOOKUP(D362,HELPER!$B:$B,HELPER!$C:$C,""),"")</f>
        <v/>
      </c>
      <c r="F362" s="27" t="str">
        <f>IFERROR(_xlfn.XLOOKUP(D362,HELPER!$B:$B,HELPER!$D:$D,""),"")</f>
        <v/>
      </c>
      <c r="G362" s="27">
        <v>8</v>
      </c>
      <c r="H362" s="46"/>
      <c r="I362" s="47" t="str">
        <f>IF(AND(H362&lt;&gt;"",IFERROR(_xlfn.XLOOKUP(D362,HELPER!$B:$B,HELPER!$E:$E,""),"")=""),"Missing price",IFERROR(_xlfn.XLOOKUP(D362,HELPER!$B:$B,HELPER!$E:$E,"")," "))</f>
        <v/>
      </c>
      <c r="J362" s="47" t="str">
        <f>IFERROR(H362*(IF(G362=8,I362*HELPER!$G$2,BOM!I362*HELPER!$G$3))," ")</f>
        <v xml:space="preserve"> </v>
      </c>
      <c r="K362" s="6"/>
      <c r="L362" s="14" t="str" cm="1">
        <f t="array" ref="L362">IFERROR(_xlfn.LET(_xlpm.films,Table4[Film],_xlpm.grades,Table4[Grade],_xlpm.pairs,_xlfn._xlws.FILTER(_xlfn.HSTACK(_xlpm.films,_xlpm.grades),(_xlpm.films&lt;&gt;"")*(TRIM(_xlpm.grades)&lt;&gt;"")),_xlpm.uniquePairs,_xlfn.UNIQUE(_xlpm.pairs),_xlpm.sortedPairs,_xlfn._xlws.SORT(_xlpm.uniquePairs,1,1),INDEX(_xlpm.sortedPairs,ROWS($L$2:L362),1)),"")</f>
        <v/>
      </c>
      <c r="M362" s="15" t="str" cm="1">
        <f t="array" ref="M362">IFERROR(_xlfn.LET(_xlpm.films,Table4[Film],_xlpm.grades,Table4[Grade],_xlpm.pairs,_xlfn._xlws.FILTER(_xlfn.HSTACK(_xlpm.films,_xlpm.grades),(_xlpm.films&lt;&gt;"")*(TRIM(_xlpm.grades)&lt;&gt;"")),_xlpm.uniquePairs,_xlfn.UNIQUE(_xlpm.pairs),_xlpm.sortedPairs,_xlfn._xlws.SORT(_xlpm.uniquePairs,1,1),INDEX(_xlpm.sortedPairs,ROWS($M$2:M362),2)),"")</f>
        <v/>
      </c>
      <c r="N362" s="15" t="str" cm="1">
        <f t="array" ref="N362">IF(OR(Table2[[#This Row],[Film]]="",Table2[[#This Row],[Grade]]=""),"",IFERROR(INDEX(Table4[Serial Number],MATCH(1,(Table4[Film]=Table2[[#This Row],[Film]])*(Table4[Grade]=Table2[[#This Row],[Grade]]),0)),""))</f>
        <v/>
      </c>
      <c r="O362" s="51" t="str">
        <f>IF(OR(Table2[[#This Row],[Film]]="",Table2[[#This Row],[Grade]]=""),"",SUMIFS(Table4[Price Calculated(€) Thickness &amp; QTY related],Table4[Film],Table2[[#This Row],[Film]],Table4[Grade],Table2[[#This Row],[Grade]]))</f>
        <v/>
      </c>
      <c r="P362" s="6"/>
      <c r="T362" s="6"/>
    </row>
    <row r="363" spans="1:20" hidden="1">
      <c r="A363" s="29"/>
      <c r="B363" s="29" t="s">
        <v>5</v>
      </c>
      <c r="C363" s="28"/>
      <c r="D363" s="28" t="str">
        <f>IF(C363="","",IFERROR(_xlfn.XLOOKUP(C363,HELPER!$A$2:$A$81,HELPER!$B$2:$B$81,""),D363))</f>
        <v/>
      </c>
      <c r="E363" s="28" t="str">
        <f>IFERROR(_xlfn.XLOOKUP(D363,HELPER!$B:$B,HELPER!$C:$C,""),"")</f>
        <v/>
      </c>
      <c r="F363" s="27" t="str">
        <f>IFERROR(_xlfn.XLOOKUP(D363,HELPER!$B:$B,HELPER!$D:$D,""),"")</f>
        <v/>
      </c>
      <c r="G363" s="27">
        <v>8</v>
      </c>
      <c r="H363" s="46"/>
      <c r="I363" s="47" t="str">
        <f>IF(AND(H363&lt;&gt;"",IFERROR(_xlfn.XLOOKUP(D363,HELPER!$B:$B,HELPER!$E:$E,""),"")=""),"Missing price",IFERROR(_xlfn.XLOOKUP(D363,HELPER!$B:$B,HELPER!$E:$E,"")," "))</f>
        <v/>
      </c>
      <c r="J363" s="47" t="str">
        <f>IFERROR(H363*(IF(G363=8,I363*HELPER!$G$2,BOM!I363*HELPER!$G$3))," ")</f>
        <v xml:space="preserve"> </v>
      </c>
      <c r="K363" s="6"/>
      <c r="L363" s="14" t="str" cm="1">
        <f t="array" ref="L363">IFERROR(_xlfn.LET(_xlpm.films,Table4[Film],_xlpm.grades,Table4[Grade],_xlpm.pairs,_xlfn._xlws.FILTER(_xlfn.HSTACK(_xlpm.films,_xlpm.grades),(_xlpm.films&lt;&gt;"")*(TRIM(_xlpm.grades)&lt;&gt;"")),_xlpm.uniquePairs,_xlfn.UNIQUE(_xlpm.pairs),_xlpm.sortedPairs,_xlfn._xlws.SORT(_xlpm.uniquePairs,1,1),INDEX(_xlpm.sortedPairs,ROWS($L$2:L363),1)),"")</f>
        <v/>
      </c>
      <c r="M363" s="15" t="str" cm="1">
        <f t="array" ref="M363">IFERROR(_xlfn.LET(_xlpm.films,Table4[Film],_xlpm.grades,Table4[Grade],_xlpm.pairs,_xlfn._xlws.FILTER(_xlfn.HSTACK(_xlpm.films,_xlpm.grades),(_xlpm.films&lt;&gt;"")*(TRIM(_xlpm.grades)&lt;&gt;"")),_xlpm.uniquePairs,_xlfn.UNIQUE(_xlpm.pairs),_xlpm.sortedPairs,_xlfn._xlws.SORT(_xlpm.uniquePairs,1,1),INDEX(_xlpm.sortedPairs,ROWS($M$2:M363),2)),"")</f>
        <v/>
      </c>
      <c r="N363" s="15" t="str" cm="1">
        <f t="array" ref="N363">IF(OR(Table2[[#This Row],[Film]]="",Table2[[#This Row],[Grade]]=""),"",IFERROR(INDEX(Table4[Serial Number],MATCH(1,(Table4[Film]=Table2[[#This Row],[Film]])*(Table4[Grade]=Table2[[#This Row],[Grade]]),0)),""))</f>
        <v/>
      </c>
      <c r="O363" s="51" t="str">
        <f>IF(OR(Table2[[#This Row],[Film]]="",Table2[[#This Row],[Grade]]=""),"",SUMIFS(Table4[Price Calculated(€) Thickness &amp; QTY related],Table4[Film],Table2[[#This Row],[Film]],Table4[Grade],Table2[[#This Row],[Grade]]))</f>
        <v/>
      </c>
      <c r="P363" s="6"/>
      <c r="T363" s="6"/>
    </row>
    <row r="364" spans="1:20" hidden="1">
      <c r="A364" s="29"/>
      <c r="B364" s="29" t="s">
        <v>5</v>
      </c>
      <c r="C364" s="28"/>
      <c r="D364" s="28" t="str">
        <f>IF(C364="","",IFERROR(_xlfn.XLOOKUP(C364,HELPER!$A$2:$A$81,HELPER!$B$2:$B$81,""),D364))</f>
        <v/>
      </c>
      <c r="E364" s="28" t="str">
        <f>IFERROR(_xlfn.XLOOKUP(D364,HELPER!$B:$B,HELPER!$C:$C,""),"")</f>
        <v/>
      </c>
      <c r="F364" s="27" t="str">
        <f>IFERROR(_xlfn.XLOOKUP(D364,HELPER!$B:$B,HELPER!$D:$D,""),"")</f>
        <v/>
      </c>
      <c r="G364" s="27">
        <v>8</v>
      </c>
      <c r="H364" s="46"/>
      <c r="I364" s="47" t="str">
        <f>IF(AND(H364&lt;&gt;"",IFERROR(_xlfn.XLOOKUP(D364,HELPER!$B:$B,HELPER!$E:$E,""),"")=""),"Missing price",IFERROR(_xlfn.XLOOKUP(D364,HELPER!$B:$B,HELPER!$E:$E,"")," "))</f>
        <v/>
      </c>
      <c r="J364" s="47" t="str">
        <f>IFERROR(H364*(IF(G364=8,I364*HELPER!$G$2,BOM!I364*HELPER!$G$3))," ")</f>
        <v xml:space="preserve"> </v>
      </c>
      <c r="K364" s="6"/>
      <c r="L364" s="14" t="str" cm="1">
        <f t="array" ref="L364">IFERROR(_xlfn.LET(_xlpm.films,Table4[Film],_xlpm.grades,Table4[Grade],_xlpm.pairs,_xlfn._xlws.FILTER(_xlfn.HSTACK(_xlpm.films,_xlpm.grades),(_xlpm.films&lt;&gt;"")*(TRIM(_xlpm.grades)&lt;&gt;"")),_xlpm.uniquePairs,_xlfn.UNIQUE(_xlpm.pairs),_xlpm.sortedPairs,_xlfn._xlws.SORT(_xlpm.uniquePairs,1,1),INDEX(_xlpm.sortedPairs,ROWS($L$2:L364),1)),"")</f>
        <v/>
      </c>
      <c r="M364" s="15" t="str" cm="1">
        <f t="array" ref="M364">IFERROR(_xlfn.LET(_xlpm.films,Table4[Film],_xlpm.grades,Table4[Grade],_xlpm.pairs,_xlfn._xlws.FILTER(_xlfn.HSTACK(_xlpm.films,_xlpm.grades),(_xlpm.films&lt;&gt;"")*(TRIM(_xlpm.grades)&lt;&gt;"")),_xlpm.uniquePairs,_xlfn.UNIQUE(_xlpm.pairs),_xlpm.sortedPairs,_xlfn._xlws.SORT(_xlpm.uniquePairs,1,1),INDEX(_xlpm.sortedPairs,ROWS($M$2:M364),2)),"")</f>
        <v/>
      </c>
      <c r="N364" s="15" t="str" cm="1">
        <f t="array" ref="N364">IF(OR(Table2[[#This Row],[Film]]="",Table2[[#This Row],[Grade]]=""),"",IFERROR(INDEX(Table4[Serial Number],MATCH(1,(Table4[Film]=Table2[[#This Row],[Film]])*(Table4[Grade]=Table2[[#This Row],[Grade]]),0)),""))</f>
        <v/>
      </c>
      <c r="O364" s="51" t="str">
        <f>IF(OR(Table2[[#This Row],[Film]]="",Table2[[#This Row],[Grade]]=""),"",SUMIFS(Table4[Price Calculated(€) Thickness &amp; QTY related],Table4[Film],Table2[[#This Row],[Film]],Table4[Grade],Table2[[#This Row],[Grade]]))</f>
        <v/>
      </c>
      <c r="P364" s="6"/>
      <c r="T364" s="6"/>
    </row>
    <row r="365" spans="1:20" hidden="1">
      <c r="A365" s="29"/>
      <c r="B365" s="29" t="s">
        <v>5</v>
      </c>
      <c r="C365" s="28"/>
      <c r="D365" s="28" t="str">
        <f>IF(C365="","",IFERROR(_xlfn.XLOOKUP(C365,HELPER!$A$2:$A$81,HELPER!$B$2:$B$81,""),D365))</f>
        <v/>
      </c>
      <c r="E365" s="28" t="str">
        <f>IFERROR(_xlfn.XLOOKUP(D365,HELPER!$B:$B,HELPER!$C:$C,""),"")</f>
        <v/>
      </c>
      <c r="F365" s="27" t="str">
        <f>IFERROR(_xlfn.XLOOKUP(D365,HELPER!$B:$B,HELPER!$D:$D,""),"")</f>
        <v/>
      </c>
      <c r="G365" s="27">
        <v>8</v>
      </c>
      <c r="H365" s="46"/>
      <c r="I365" s="47" t="str">
        <f>IF(AND(H365&lt;&gt;"",IFERROR(_xlfn.XLOOKUP(D365,HELPER!$B:$B,HELPER!$E:$E,""),"")=""),"Missing price",IFERROR(_xlfn.XLOOKUP(D365,HELPER!$B:$B,HELPER!$E:$E,"")," "))</f>
        <v/>
      </c>
      <c r="J365" s="47" t="str">
        <f>IFERROR(H365*(IF(G365=8,I365*HELPER!$G$2,BOM!I365*HELPER!$G$3))," ")</f>
        <v xml:space="preserve"> </v>
      </c>
      <c r="K365" s="6"/>
      <c r="L365" s="14" t="str" cm="1">
        <f t="array" ref="L365">IFERROR(_xlfn.LET(_xlpm.films,Table4[Film],_xlpm.grades,Table4[Grade],_xlpm.pairs,_xlfn._xlws.FILTER(_xlfn.HSTACK(_xlpm.films,_xlpm.grades),(_xlpm.films&lt;&gt;"")*(TRIM(_xlpm.grades)&lt;&gt;"")),_xlpm.uniquePairs,_xlfn.UNIQUE(_xlpm.pairs),_xlpm.sortedPairs,_xlfn._xlws.SORT(_xlpm.uniquePairs,1,1),INDEX(_xlpm.sortedPairs,ROWS($L$2:L365),1)),"")</f>
        <v/>
      </c>
      <c r="M365" s="15" t="str" cm="1">
        <f t="array" ref="M365">IFERROR(_xlfn.LET(_xlpm.films,Table4[Film],_xlpm.grades,Table4[Grade],_xlpm.pairs,_xlfn._xlws.FILTER(_xlfn.HSTACK(_xlpm.films,_xlpm.grades),(_xlpm.films&lt;&gt;"")*(TRIM(_xlpm.grades)&lt;&gt;"")),_xlpm.uniquePairs,_xlfn.UNIQUE(_xlpm.pairs),_xlpm.sortedPairs,_xlfn._xlws.SORT(_xlpm.uniquePairs,1,1),INDEX(_xlpm.sortedPairs,ROWS($M$2:M365),2)),"")</f>
        <v/>
      </c>
      <c r="N365" s="15" t="str" cm="1">
        <f t="array" ref="N365">IF(OR(Table2[[#This Row],[Film]]="",Table2[[#This Row],[Grade]]=""),"",IFERROR(INDEX(Table4[Serial Number],MATCH(1,(Table4[Film]=Table2[[#This Row],[Film]])*(Table4[Grade]=Table2[[#This Row],[Grade]]),0)),""))</f>
        <v/>
      </c>
      <c r="O365" s="51" t="str">
        <f>IF(OR(Table2[[#This Row],[Film]]="",Table2[[#This Row],[Grade]]=""),"",SUMIFS(Table4[Price Calculated(€) Thickness &amp; QTY related],Table4[Film],Table2[[#This Row],[Film]],Table4[Grade],Table2[[#This Row],[Grade]]))</f>
        <v/>
      </c>
      <c r="P365" s="6"/>
      <c r="T365" s="6"/>
    </row>
    <row r="366" spans="1:20" hidden="1">
      <c r="A366" s="29"/>
      <c r="B366" s="29" t="s">
        <v>5</v>
      </c>
      <c r="C366" s="28"/>
      <c r="D366" s="28" t="str">
        <f>IF(C366="","",IFERROR(_xlfn.XLOOKUP(C366,HELPER!$A$2:$A$81,HELPER!$B$2:$B$81,""),D366))</f>
        <v/>
      </c>
      <c r="E366" s="28" t="str">
        <f>IFERROR(_xlfn.XLOOKUP(D366,HELPER!$B:$B,HELPER!$C:$C,""),"")</f>
        <v/>
      </c>
      <c r="F366" s="27" t="str">
        <f>IFERROR(_xlfn.XLOOKUP(D366,HELPER!$B:$B,HELPER!$D:$D,""),"")</f>
        <v/>
      </c>
      <c r="G366" s="27">
        <v>8</v>
      </c>
      <c r="H366" s="46"/>
      <c r="I366" s="47" t="str">
        <f>IF(AND(H366&lt;&gt;"",IFERROR(_xlfn.XLOOKUP(D366,HELPER!$B:$B,HELPER!$E:$E,""),"")=""),"Missing price",IFERROR(_xlfn.XLOOKUP(D366,HELPER!$B:$B,HELPER!$E:$E,"")," "))</f>
        <v/>
      </c>
      <c r="J366" s="47" t="str">
        <f>IFERROR(H366*(IF(G366=8,I366*HELPER!$G$2,BOM!I366*HELPER!$G$3))," ")</f>
        <v xml:space="preserve"> </v>
      </c>
      <c r="K366" s="6"/>
      <c r="L366" s="14" t="str" cm="1">
        <f t="array" ref="L366">IFERROR(_xlfn.LET(_xlpm.films,Table4[Film],_xlpm.grades,Table4[Grade],_xlpm.pairs,_xlfn._xlws.FILTER(_xlfn.HSTACK(_xlpm.films,_xlpm.grades),(_xlpm.films&lt;&gt;"")*(TRIM(_xlpm.grades)&lt;&gt;"")),_xlpm.uniquePairs,_xlfn.UNIQUE(_xlpm.pairs),_xlpm.sortedPairs,_xlfn._xlws.SORT(_xlpm.uniquePairs,1,1),INDEX(_xlpm.sortedPairs,ROWS($L$2:L366),1)),"")</f>
        <v/>
      </c>
      <c r="M366" s="15" t="str" cm="1">
        <f t="array" ref="M366">IFERROR(_xlfn.LET(_xlpm.films,Table4[Film],_xlpm.grades,Table4[Grade],_xlpm.pairs,_xlfn._xlws.FILTER(_xlfn.HSTACK(_xlpm.films,_xlpm.grades),(_xlpm.films&lt;&gt;"")*(TRIM(_xlpm.grades)&lt;&gt;"")),_xlpm.uniquePairs,_xlfn.UNIQUE(_xlpm.pairs),_xlpm.sortedPairs,_xlfn._xlws.SORT(_xlpm.uniquePairs,1,1),INDEX(_xlpm.sortedPairs,ROWS($M$2:M366),2)),"")</f>
        <v/>
      </c>
      <c r="N366" s="15" t="str" cm="1">
        <f t="array" ref="N366">IF(OR(Table2[[#This Row],[Film]]="",Table2[[#This Row],[Grade]]=""),"",IFERROR(INDEX(Table4[Serial Number],MATCH(1,(Table4[Film]=Table2[[#This Row],[Film]])*(Table4[Grade]=Table2[[#This Row],[Grade]]),0)),""))</f>
        <v/>
      </c>
      <c r="O366" s="51" t="str">
        <f>IF(OR(Table2[[#This Row],[Film]]="",Table2[[#This Row],[Grade]]=""),"",SUMIFS(Table4[Price Calculated(€) Thickness &amp; QTY related],Table4[Film],Table2[[#This Row],[Film]],Table4[Grade],Table2[[#This Row],[Grade]]))</f>
        <v/>
      </c>
      <c r="P366" s="6"/>
      <c r="T366" s="6"/>
    </row>
    <row r="367" spans="1:20" hidden="1">
      <c r="A367" s="29"/>
      <c r="B367" s="29" t="s">
        <v>5</v>
      </c>
      <c r="C367" s="28"/>
      <c r="D367" s="28" t="str">
        <f>IF(C367="","",IFERROR(_xlfn.XLOOKUP(C367,HELPER!$A$2:$A$81,HELPER!$B$2:$B$81,""),D367))</f>
        <v/>
      </c>
      <c r="E367" s="28" t="str">
        <f>IFERROR(_xlfn.XLOOKUP(D367,HELPER!$B:$B,HELPER!$C:$C,""),"")</f>
        <v/>
      </c>
      <c r="F367" s="27" t="str">
        <f>IFERROR(_xlfn.XLOOKUP(D367,HELPER!$B:$B,HELPER!$D:$D,""),"")</f>
        <v/>
      </c>
      <c r="G367" s="27">
        <v>8</v>
      </c>
      <c r="H367" s="46"/>
      <c r="I367" s="47" t="str">
        <f>IF(AND(H367&lt;&gt;"",IFERROR(_xlfn.XLOOKUP(D367,HELPER!$B:$B,HELPER!$E:$E,""),"")=""),"Missing price",IFERROR(_xlfn.XLOOKUP(D367,HELPER!$B:$B,HELPER!$E:$E,"")," "))</f>
        <v/>
      </c>
      <c r="J367" s="47" t="str">
        <f>IFERROR(H367*(IF(G367=8,I367*HELPER!$G$2,BOM!I367*HELPER!$G$3))," ")</f>
        <v xml:space="preserve"> </v>
      </c>
      <c r="K367" s="6"/>
      <c r="L367" s="14" t="str" cm="1">
        <f t="array" ref="L367">IFERROR(_xlfn.LET(_xlpm.films,Table4[Film],_xlpm.grades,Table4[Grade],_xlpm.pairs,_xlfn._xlws.FILTER(_xlfn.HSTACK(_xlpm.films,_xlpm.grades),(_xlpm.films&lt;&gt;"")*(TRIM(_xlpm.grades)&lt;&gt;"")),_xlpm.uniquePairs,_xlfn.UNIQUE(_xlpm.pairs),_xlpm.sortedPairs,_xlfn._xlws.SORT(_xlpm.uniquePairs,1,1),INDEX(_xlpm.sortedPairs,ROWS($L$2:L367),1)),"")</f>
        <v/>
      </c>
      <c r="M367" s="15" t="str" cm="1">
        <f t="array" ref="M367">IFERROR(_xlfn.LET(_xlpm.films,Table4[Film],_xlpm.grades,Table4[Grade],_xlpm.pairs,_xlfn._xlws.FILTER(_xlfn.HSTACK(_xlpm.films,_xlpm.grades),(_xlpm.films&lt;&gt;"")*(TRIM(_xlpm.grades)&lt;&gt;"")),_xlpm.uniquePairs,_xlfn.UNIQUE(_xlpm.pairs),_xlpm.sortedPairs,_xlfn._xlws.SORT(_xlpm.uniquePairs,1,1),INDEX(_xlpm.sortedPairs,ROWS($M$2:M367),2)),"")</f>
        <v/>
      </c>
      <c r="N367" s="15" t="str" cm="1">
        <f t="array" ref="N367">IF(OR(Table2[[#This Row],[Film]]="",Table2[[#This Row],[Grade]]=""),"",IFERROR(INDEX(Table4[Serial Number],MATCH(1,(Table4[Film]=Table2[[#This Row],[Film]])*(Table4[Grade]=Table2[[#This Row],[Grade]]),0)),""))</f>
        <v/>
      </c>
      <c r="O367" s="51" t="str">
        <f>IF(OR(Table2[[#This Row],[Film]]="",Table2[[#This Row],[Grade]]=""),"",SUMIFS(Table4[Price Calculated(€) Thickness &amp; QTY related],Table4[Film],Table2[[#This Row],[Film]],Table4[Grade],Table2[[#This Row],[Grade]]))</f>
        <v/>
      </c>
      <c r="P367" s="6"/>
      <c r="T367" s="6"/>
    </row>
    <row r="368" spans="1:20" hidden="1">
      <c r="A368" s="29"/>
      <c r="B368" s="29" t="s">
        <v>5</v>
      </c>
      <c r="C368" s="28"/>
      <c r="D368" s="28" t="str">
        <f>IF(C368="","",IFERROR(_xlfn.XLOOKUP(C368,HELPER!$A$2:$A$81,HELPER!$B$2:$B$81,""),D368))</f>
        <v/>
      </c>
      <c r="E368" s="28" t="str">
        <f>IFERROR(_xlfn.XLOOKUP(D368,HELPER!$B:$B,HELPER!$C:$C,""),"")</f>
        <v/>
      </c>
      <c r="F368" s="27" t="str">
        <f>IFERROR(_xlfn.XLOOKUP(D368,HELPER!$B:$B,HELPER!$D:$D,""),"")</f>
        <v/>
      </c>
      <c r="G368" s="27">
        <v>8</v>
      </c>
      <c r="H368" s="46"/>
      <c r="I368" s="47" t="str">
        <f>IF(AND(H368&lt;&gt;"",IFERROR(_xlfn.XLOOKUP(D368,HELPER!$B:$B,HELPER!$E:$E,""),"")=""),"Missing price",IFERROR(_xlfn.XLOOKUP(D368,HELPER!$B:$B,HELPER!$E:$E,"")," "))</f>
        <v/>
      </c>
      <c r="J368" s="47" t="str">
        <f>IFERROR(H368*(IF(G368=8,I368*HELPER!$G$2,BOM!I368*HELPER!$G$3))," ")</f>
        <v xml:space="preserve"> </v>
      </c>
      <c r="K368" s="6"/>
      <c r="L368" s="14" t="str" cm="1">
        <f t="array" ref="L368">IFERROR(_xlfn.LET(_xlpm.films,Table4[Film],_xlpm.grades,Table4[Grade],_xlpm.pairs,_xlfn._xlws.FILTER(_xlfn.HSTACK(_xlpm.films,_xlpm.grades),(_xlpm.films&lt;&gt;"")*(TRIM(_xlpm.grades)&lt;&gt;"")),_xlpm.uniquePairs,_xlfn.UNIQUE(_xlpm.pairs),_xlpm.sortedPairs,_xlfn._xlws.SORT(_xlpm.uniquePairs,1,1),INDEX(_xlpm.sortedPairs,ROWS($L$2:L368),1)),"")</f>
        <v/>
      </c>
      <c r="M368" s="15" t="str" cm="1">
        <f t="array" ref="M368">IFERROR(_xlfn.LET(_xlpm.films,Table4[Film],_xlpm.grades,Table4[Grade],_xlpm.pairs,_xlfn._xlws.FILTER(_xlfn.HSTACK(_xlpm.films,_xlpm.grades),(_xlpm.films&lt;&gt;"")*(TRIM(_xlpm.grades)&lt;&gt;"")),_xlpm.uniquePairs,_xlfn.UNIQUE(_xlpm.pairs),_xlpm.sortedPairs,_xlfn._xlws.SORT(_xlpm.uniquePairs,1,1),INDEX(_xlpm.sortedPairs,ROWS($M$2:M368),2)),"")</f>
        <v/>
      </c>
      <c r="N368" s="15" t="str" cm="1">
        <f t="array" ref="N368">IF(OR(Table2[[#This Row],[Film]]="",Table2[[#This Row],[Grade]]=""),"",IFERROR(INDEX(Table4[Serial Number],MATCH(1,(Table4[Film]=Table2[[#This Row],[Film]])*(Table4[Grade]=Table2[[#This Row],[Grade]]),0)),""))</f>
        <v/>
      </c>
      <c r="O368" s="51" t="str">
        <f>IF(OR(Table2[[#This Row],[Film]]="",Table2[[#This Row],[Grade]]=""),"",SUMIFS(Table4[Price Calculated(€) Thickness &amp; QTY related],Table4[Film],Table2[[#This Row],[Film]],Table4[Grade],Table2[[#This Row],[Grade]]))</f>
        <v/>
      </c>
      <c r="P368" s="6"/>
      <c r="T368" s="6"/>
    </row>
    <row r="369" spans="1:20" hidden="1">
      <c r="A369" s="29"/>
      <c r="B369" s="29" t="s">
        <v>5</v>
      </c>
      <c r="C369" s="28"/>
      <c r="D369" s="28" t="str">
        <f>IF(C369="","",IFERROR(_xlfn.XLOOKUP(C369,HELPER!$A$2:$A$81,HELPER!$B$2:$B$81,""),D369))</f>
        <v/>
      </c>
      <c r="E369" s="28" t="str">
        <f>IFERROR(_xlfn.XLOOKUP(D369,HELPER!$B:$B,HELPER!$C:$C,""),"")</f>
        <v/>
      </c>
      <c r="F369" s="27" t="str">
        <f>IFERROR(_xlfn.XLOOKUP(D369,HELPER!$B:$B,HELPER!$D:$D,""),"")</f>
        <v/>
      </c>
      <c r="G369" s="27">
        <v>8</v>
      </c>
      <c r="H369" s="46"/>
      <c r="I369" s="47" t="str">
        <f>IF(AND(H369&lt;&gt;"",IFERROR(_xlfn.XLOOKUP(D369,HELPER!$B:$B,HELPER!$E:$E,""),"")=""),"Missing price",IFERROR(_xlfn.XLOOKUP(D369,HELPER!$B:$B,HELPER!$E:$E,"")," "))</f>
        <v/>
      </c>
      <c r="J369" s="47" t="str">
        <f>IFERROR(H369*(IF(G369=8,I369*HELPER!$G$2,BOM!I369*HELPER!$G$3))," ")</f>
        <v xml:space="preserve"> </v>
      </c>
      <c r="K369" s="6"/>
      <c r="L369" s="14" t="str" cm="1">
        <f t="array" ref="L369">IFERROR(_xlfn.LET(_xlpm.films,Table4[Film],_xlpm.grades,Table4[Grade],_xlpm.pairs,_xlfn._xlws.FILTER(_xlfn.HSTACK(_xlpm.films,_xlpm.grades),(_xlpm.films&lt;&gt;"")*(TRIM(_xlpm.grades)&lt;&gt;"")),_xlpm.uniquePairs,_xlfn.UNIQUE(_xlpm.pairs),_xlpm.sortedPairs,_xlfn._xlws.SORT(_xlpm.uniquePairs,1,1),INDEX(_xlpm.sortedPairs,ROWS($L$2:L369),1)),"")</f>
        <v/>
      </c>
      <c r="M369" s="15" t="str" cm="1">
        <f t="array" ref="M369">IFERROR(_xlfn.LET(_xlpm.films,Table4[Film],_xlpm.grades,Table4[Grade],_xlpm.pairs,_xlfn._xlws.FILTER(_xlfn.HSTACK(_xlpm.films,_xlpm.grades),(_xlpm.films&lt;&gt;"")*(TRIM(_xlpm.grades)&lt;&gt;"")),_xlpm.uniquePairs,_xlfn.UNIQUE(_xlpm.pairs),_xlpm.sortedPairs,_xlfn._xlws.SORT(_xlpm.uniquePairs,1,1),INDEX(_xlpm.sortedPairs,ROWS($M$2:M369),2)),"")</f>
        <v/>
      </c>
      <c r="N369" s="15" t="str" cm="1">
        <f t="array" ref="N369">IF(OR(Table2[[#This Row],[Film]]="",Table2[[#This Row],[Grade]]=""),"",IFERROR(INDEX(Table4[Serial Number],MATCH(1,(Table4[Film]=Table2[[#This Row],[Film]])*(Table4[Grade]=Table2[[#This Row],[Grade]]),0)),""))</f>
        <v/>
      </c>
      <c r="O369" s="51" t="str">
        <f>IF(OR(Table2[[#This Row],[Film]]="",Table2[[#This Row],[Grade]]=""),"",SUMIFS(Table4[Price Calculated(€) Thickness &amp; QTY related],Table4[Film],Table2[[#This Row],[Film]],Table4[Grade],Table2[[#This Row],[Grade]]))</f>
        <v/>
      </c>
      <c r="P369" s="6"/>
      <c r="T369" s="6"/>
    </row>
    <row r="370" spans="1:20" hidden="1">
      <c r="A370" s="29"/>
      <c r="B370" s="29" t="s">
        <v>5</v>
      </c>
      <c r="C370" s="28"/>
      <c r="D370" s="28" t="str">
        <f>IF(C370="","",IFERROR(_xlfn.XLOOKUP(C370,HELPER!$A$2:$A$81,HELPER!$B$2:$B$81,""),D370))</f>
        <v/>
      </c>
      <c r="E370" s="28" t="str">
        <f>IFERROR(_xlfn.XLOOKUP(D370,HELPER!$B:$B,HELPER!$C:$C,""),"")</f>
        <v/>
      </c>
      <c r="F370" s="27" t="str">
        <f>IFERROR(_xlfn.XLOOKUP(D370,HELPER!$B:$B,HELPER!$D:$D,""),"")</f>
        <v/>
      </c>
      <c r="G370" s="27">
        <v>8</v>
      </c>
      <c r="H370" s="46"/>
      <c r="I370" s="47" t="str">
        <f>IF(AND(H370&lt;&gt;"",IFERROR(_xlfn.XLOOKUP(D370,HELPER!$B:$B,HELPER!$E:$E,""),"")=""),"Missing price",IFERROR(_xlfn.XLOOKUP(D370,HELPER!$B:$B,HELPER!$E:$E,"")," "))</f>
        <v/>
      </c>
      <c r="J370" s="47" t="str">
        <f>IFERROR(H370*(IF(G370=8,I370*HELPER!$G$2,BOM!I370*HELPER!$G$3))," ")</f>
        <v xml:space="preserve"> </v>
      </c>
      <c r="K370" s="6"/>
      <c r="L370" s="14" t="str" cm="1">
        <f t="array" ref="L370">IFERROR(_xlfn.LET(_xlpm.films,Table4[Film],_xlpm.grades,Table4[Grade],_xlpm.pairs,_xlfn._xlws.FILTER(_xlfn.HSTACK(_xlpm.films,_xlpm.grades),(_xlpm.films&lt;&gt;"")*(TRIM(_xlpm.grades)&lt;&gt;"")),_xlpm.uniquePairs,_xlfn.UNIQUE(_xlpm.pairs),_xlpm.sortedPairs,_xlfn._xlws.SORT(_xlpm.uniquePairs,1,1),INDEX(_xlpm.sortedPairs,ROWS($L$2:L370),1)),"")</f>
        <v/>
      </c>
      <c r="M370" s="15" t="str" cm="1">
        <f t="array" ref="M370">IFERROR(_xlfn.LET(_xlpm.films,Table4[Film],_xlpm.grades,Table4[Grade],_xlpm.pairs,_xlfn._xlws.FILTER(_xlfn.HSTACK(_xlpm.films,_xlpm.grades),(_xlpm.films&lt;&gt;"")*(TRIM(_xlpm.grades)&lt;&gt;"")),_xlpm.uniquePairs,_xlfn.UNIQUE(_xlpm.pairs),_xlpm.sortedPairs,_xlfn._xlws.SORT(_xlpm.uniquePairs,1,1),INDEX(_xlpm.sortedPairs,ROWS($M$2:M370),2)),"")</f>
        <v/>
      </c>
      <c r="N370" s="15" t="str" cm="1">
        <f t="array" ref="N370">IF(OR(Table2[[#This Row],[Film]]="",Table2[[#This Row],[Grade]]=""),"",IFERROR(INDEX(Table4[Serial Number],MATCH(1,(Table4[Film]=Table2[[#This Row],[Film]])*(Table4[Grade]=Table2[[#This Row],[Grade]]),0)),""))</f>
        <v/>
      </c>
      <c r="O370" s="51" t="str">
        <f>IF(OR(Table2[[#This Row],[Film]]="",Table2[[#This Row],[Grade]]=""),"",SUMIFS(Table4[Price Calculated(€) Thickness &amp; QTY related],Table4[Film],Table2[[#This Row],[Film]],Table4[Grade],Table2[[#This Row],[Grade]]))</f>
        <v/>
      </c>
      <c r="P370" s="6"/>
      <c r="T370" s="6"/>
    </row>
    <row r="371" spans="1:20" hidden="1">
      <c r="A371" s="29" t="s">
        <v>1343</v>
      </c>
      <c r="B371" s="29" t="s">
        <v>5</v>
      </c>
      <c r="C371" s="28" t="s">
        <v>16</v>
      </c>
      <c r="D371" s="28" t="str">
        <f>IF(C371="","",IFERROR(_xlfn.XLOOKUP(C371,HELPER!$A$2:$A$81,HELPER!$B$2:$B$81,""),D371))</f>
        <v>S723</v>
      </c>
      <c r="E371" s="28" t="str">
        <f>IFERROR(_xlfn.XLOOKUP(D371,HELPER!$B:$B,HELPER!$C:$C,""),"")</f>
        <v>RM TA45-08 S723</v>
      </c>
      <c r="F371" s="27" t="str">
        <f>IFERROR(_xlfn.XLOOKUP(D371,HELPER!$B:$B,HELPER!$D:$D,""),"")</f>
        <v>Resin 6</v>
      </c>
      <c r="G371" s="902">
        <v>1</v>
      </c>
      <c r="H371" s="903">
        <v>1.7000000000000001E-2</v>
      </c>
      <c r="I371" s="47">
        <f>IF(AND(H371&lt;&gt;"",IFERROR(_xlfn.XLOOKUP(D371,HELPER!$B:$B,HELPER!$E:$E,""),"")=""),"Missing price",IFERROR(_xlfn.XLOOKUP(D371,HELPER!$B:$B,HELPER!$E:$E,"")," "))</f>
        <v>16.16</v>
      </c>
      <c r="J371" s="47">
        <f>IFERROR(H371*(IF(G371=8,I371*HELPER!$G$2,BOM!I371*HELPER!$G$3))," ")</f>
        <v>0.16483200000000001</v>
      </c>
      <c r="K371" s="6"/>
      <c r="L371" s="14" t="str" cm="1">
        <f t="array" ref="L371">IFERROR(_xlfn.LET(_xlpm.films,Table4[Film],_xlpm.grades,Table4[Grade],_xlpm.pairs,_xlfn._xlws.FILTER(_xlfn.HSTACK(_xlpm.films,_xlpm.grades),(_xlpm.films&lt;&gt;"")*(TRIM(_xlpm.grades)&lt;&gt;"")),_xlpm.uniquePairs,_xlfn.UNIQUE(_xlpm.pairs),_xlpm.sortedPairs,_xlfn._xlws.SORT(_xlpm.uniquePairs,1,1),INDEX(_xlpm.sortedPairs,ROWS($L$2:L371),1)),"")</f>
        <v/>
      </c>
      <c r="M371" s="15" t="str" cm="1">
        <f t="array" ref="M371">IFERROR(_xlfn.LET(_xlpm.films,Table4[Film],_xlpm.grades,Table4[Grade],_xlpm.pairs,_xlfn._xlws.FILTER(_xlfn.HSTACK(_xlpm.films,_xlpm.grades),(_xlpm.films&lt;&gt;"")*(TRIM(_xlpm.grades)&lt;&gt;"")),_xlpm.uniquePairs,_xlfn.UNIQUE(_xlpm.pairs),_xlpm.sortedPairs,_xlfn._xlws.SORT(_xlpm.uniquePairs,1,1),INDEX(_xlpm.sortedPairs,ROWS($M$2:M371),2)),"")</f>
        <v/>
      </c>
      <c r="N371" s="15" t="str" cm="1">
        <f t="array" ref="N371">IF(OR(Table2[[#This Row],[Film]]="",Table2[[#This Row],[Grade]]=""),"",IFERROR(INDEX(Table4[Serial Number],MATCH(1,(Table4[Film]=Table2[[#This Row],[Film]])*(Table4[Grade]=Table2[[#This Row],[Grade]]),0)),""))</f>
        <v/>
      </c>
      <c r="O371" s="51" t="str">
        <f>IF(OR(Table2[[#This Row],[Film]]="",Table2[[#This Row],[Grade]]=""),"",SUMIFS(Table4[Price Calculated(€) Thickness &amp; QTY related],Table4[Film],Table2[[#This Row],[Film]],Table4[Grade],Table2[[#This Row],[Grade]]))</f>
        <v/>
      </c>
      <c r="P371" s="6"/>
      <c r="T371" s="6"/>
    </row>
    <row r="372" spans="1:20" hidden="1">
      <c r="A372" s="29" t="s">
        <v>1343</v>
      </c>
      <c r="B372" s="29" t="s">
        <v>5</v>
      </c>
      <c r="C372" s="28" t="s">
        <v>12</v>
      </c>
      <c r="D372" s="28" t="str">
        <f>IF(C372="","",IFERROR(_xlfn.XLOOKUP(C372,HELPER!$A$2:$A$81,HELPER!$B$2:$B$81,""),D372))</f>
        <v>FD92PM</v>
      </c>
      <c r="E372" s="28" t="str">
        <f>IFERROR(_xlfn.XLOOKUP(D372,HELPER!$B:$B,HELPER!$C:$C,""),"")</f>
        <v>RMPM2</v>
      </c>
      <c r="F372" s="27" t="str">
        <f>IFERROR(_xlfn.XLOOKUP(D372,HELPER!$B:$B,HELPER!$D:$D,""),"")</f>
        <v>Resin 9C</v>
      </c>
      <c r="G372" s="902">
        <v>1</v>
      </c>
      <c r="H372" s="903">
        <v>0.81</v>
      </c>
      <c r="I372" s="47">
        <f>IF(AND(H372&lt;&gt;"",IFERROR(_xlfn.XLOOKUP(D372,HELPER!$B:$B,HELPER!$E:$E,""),"")=""),"Missing price",IFERROR(_xlfn.XLOOKUP(D372,HELPER!$B:$B,HELPER!$E:$E,"")," "))</f>
        <v>6.75</v>
      </c>
      <c r="J372" s="47">
        <f>IFERROR(H372*(IF(G372=8,I372*HELPER!$G$2,BOM!I372*HELPER!$G$3))," ")</f>
        <v>3.2805</v>
      </c>
      <c r="K372" s="6"/>
      <c r="L372" s="14" t="str" cm="1">
        <f t="array" ref="L372">IFERROR(_xlfn.LET(_xlpm.films,Table4[Film],_xlpm.grades,Table4[Grade],_xlpm.pairs,_xlfn._xlws.FILTER(_xlfn.HSTACK(_xlpm.films,_xlpm.grades),(_xlpm.films&lt;&gt;"")*(TRIM(_xlpm.grades)&lt;&gt;"")),_xlpm.uniquePairs,_xlfn.UNIQUE(_xlpm.pairs),_xlpm.sortedPairs,_xlfn._xlws.SORT(_xlpm.uniquePairs,1,1),INDEX(_xlpm.sortedPairs,ROWS($L$2:L372),1)),"")</f>
        <v/>
      </c>
      <c r="M372" s="15" t="str" cm="1">
        <f t="array" ref="M372">IFERROR(_xlfn.LET(_xlpm.films,Table4[Film],_xlpm.grades,Table4[Grade],_xlpm.pairs,_xlfn._xlws.FILTER(_xlfn.HSTACK(_xlpm.films,_xlpm.grades),(_xlpm.films&lt;&gt;"")*(TRIM(_xlpm.grades)&lt;&gt;"")),_xlpm.uniquePairs,_xlfn.UNIQUE(_xlpm.pairs),_xlpm.sortedPairs,_xlfn._xlws.SORT(_xlpm.uniquePairs,1,1),INDEX(_xlpm.sortedPairs,ROWS($M$2:M372),2)),"")</f>
        <v/>
      </c>
      <c r="N372" s="15" t="str" cm="1">
        <f t="array" ref="N372">IF(OR(Table2[[#This Row],[Film]]="",Table2[[#This Row],[Grade]]=""),"",IFERROR(INDEX(Table4[Serial Number],MATCH(1,(Table4[Film]=Table2[[#This Row],[Film]])*(Table4[Grade]=Table2[[#This Row],[Grade]]),0)),""))</f>
        <v/>
      </c>
      <c r="O372" s="51" t="str">
        <f>IF(OR(Table2[[#This Row],[Film]]="",Table2[[#This Row],[Grade]]=""),"",SUMIFS(Table4[Price Calculated(€) Thickness &amp; QTY related],Table4[Film],Table2[[#This Row],[Film]],Table4[Grade],Table2[[#This Row],[Grade]]))</f>
        <v/>
      </c>
      <c r="P372" s="6"/>
      <c r="T372" s="6"/>
    </row>
    <row r="373" spans="1:20" hidden="1">
      <c r="A373" s="29" t="s">
        <v>1343</v>
      </c>
      <c r="B373" s="29" t="s">
        <v>5</v>
      </c>
      <c r="C373" s="28" t="s">
        <v>13</v>
      </c>
      <c r="D373" s="28" t="str">
        <f>IF(C373="","",IFERROR(_xlfn.XLOOKUP(C373,HELPER!$A$2:$A$81,HELPER!$B$2:$B$81,""),D373))</f>
        <v>LX175</v>
      </c>
      <c r="E373" s="28" t="str">
        <f>IFERROR(_xlfn.XLOOKUP(D373,HELPER!$B:$B,HELPER!$C:$C,""),"")</f>
        <v>RMLX175</v>
      </c>
      <c r="F373" s="27" t="str">
        <f>IFERROR(_xlfn.XLOOKUP(D373,HELPER!$B:$B,HELPER!$D:$D,""),"")</f>
        <v>Resin 1A</v>
      </c>
      <c r="G373" s="902">
        <v>1</v>
      </c>
      <c r="H373" s="903">
        <v>0.14299999999999999</v>
      </c>
      <c r="I373" s="47">
        <f>IF(AND(H373&lt;&gt;"",IFERROR(_xlfn.XLOOKUP(D373,HELPER!$B:$B,HELPER!$E:$E,""),"")=""),"Missing price",IFERROR(_xlfn.XLOOKUP(D373,HELPER!$B:$B,HELPER!$E:$E,"")," "))</f>
        <v>3.17</v>
      </c>
      <c r="J373" s="47">
        <f>IFERROR(H373*(IF(G373=8,I373*HELPER!$G$2,BOM!I373*HELPER!$G$3))," ")</f>
        <v>0.27198599999999995</v>
      </c>
      <c r="K373" s="6"/>
      <c r="L373" s="14" t="str" cm="1">
        <f t="array" ref="L373">IFERROR(_xlfn.LET(_xlpm.films,Table4[Film],_xlpm.grades,Table4[Grade],_xlpm.pairs,_xlfn._xlws.FILTER(_xlfn.HSTACK(_xlpm.films,_xlpm.grades),(_xlpm.films&lt;&gt;"")*(TRIM(_xlpm.grades)&lt;&gt;"")),_xlpm.uniquePairs,_xlfn.UNIQUE(_xlpm.pairs),_xlpm.sortedPairs,_xlfn._xlws.SORT(_xlpm.uniquePairs,1,1),INDEX(_xlpm.sortedPairs,ROWS($L$2:L373),1)),"")</f>
        <v/>
      </c>
      <c r="M373" s="15" t="str" cm="1">
        <f t="array" ref="M373">IFERROR(_xlfn.LET(_xlpm.films,Table4[Film],_xlpm.grades,Table4[Grade],_xlpm.pairs,_xlfn._xlws.FILTER(_xlfn.HSTACK(_xlpm.films,_xlpm.grades),(_xlpm.films&lt;&gt;"")*(TRIM(_xlpm.grades)&lt;&gt;"")),_xlpm.uniquePairs,_xlfn.UNIQUE(_xlpm.pairs),_xlpm.sortedPairs,_xlfn._xlws.SORT(_xlpm.uniquePairs,1,1),INDEX(_xlpm.sortedPairs,ROWS($M$2:M373),2)),"")</f>
        <v/>
      </c>
      <c r="N373" s="15" t="str" cm="1">
        <f t="array" ref="N373">IF(OR(Table2[[#This Row],[Film]]="",Table2[[#This Row],[Grade]]=""),"",IFERROR(INDEX(Table4[Serial Number],MATCH(1,(Table4[Film]=Table2[[#This Row],[Film]])*(Table4[Grade]=Table2[[#This Row],[Grade]]),0)),""))</f>
        <v/>
      </c>
      <c r="O373" s="51" t="str">
        <f>IF(OR(Table2[[#This Row],[Film]]="",Table2[[#This Row],[Grade]]=""),"",SUMIFS(Table4[Price Calculated(€) Thickness &amp; QTY related],Table4[Film],Table2[[#This Row],[Film]],Table4[Grade],Table2[[#This Row],[Grade]]))</f>
        <v/>
      </c>
      <c r="P373" s="6"/>
      <c r="T373" s="6"/>
    </row>
    <row r="374" spans="1:20" hidden="1">
      <c r="A374" s="29" t="s">
        <v>1343</v>
      </c>
      <c r="B374" s="29" t="s">
        <v>5</v>
      </c>
      <c r="C374" s="28" t="s">
        <v>17</v>
      </c>
      <c r="D374" s="28" t="str">
        <f>IF(C374="","",IFERROR(_xlfn.XLOOKUP(C374,HELPER!$A$2:$A$81,HELPER!$B$2:$B$81,""),D374))</f>
        <v>S724</v>
      </c>
      <c r="E374" s="28" t="str">
        <f>IFERROR(_xlfn.XLOOKUP(D374,HELPER!$B:$B,HELPER!$C:$C,""),"")</f>
        <v>RM TA45-08 S724</v>
      </c>
      <c r="F374" s="27" t="str">
        <f>IFERROR(_xlfn.XLOOKUP(D374,HELPER!$B:$B,HELPER!$D:$D,""),"")</f>
        <v>Resin 7</v>
      </c>
      <c r="G374" s="902">
        <v>1</v>
      </c>
      <c r="H374" s="903">
        <v>1.4999999999999999E-2</v>
      </c>
      <c r="I374" s="47">
        <f>IF(AND(H374&lt;&gt;"",IFERROR(_xlfn.XLOOKUP(D374,HELPER!$B:$B,HELPER!$E:$E,""),"")=""),"Missing price",IFERROR(_xlfn.XLOOKUP(D374,HELPER!$B:$B,HELPER!$E:$E,"")," "))</f>
        <v>14.7</v>
      </c>
      <c r="J374" s="47">
        <f>IFERROR(H374*(IF(G374=8,I374*HELPER!$G$2,BOM!I374*HELPER!$G$3))," ")</f>
        <v>0.13229999999999997</v>
      </c>
      <c r="K374" s="6"/>
      <c r="L374" s="14" t="str" cm="1">
        <f t="array" ref="L374">IFERROR(_xlfn.LET(_xlpm.films,Table4[Film],_xlpm.grades,Table4[Grade],_xlpm.pairs,_xlfn._xlws.FILTER(_xlfn.HSTACK(_xlpm.films,_xlpm.grades),(_xlpm.films&lt;&gt;"")*(TRIM(_xlpm.grades)&lt;&gt;"")),_xlpm.uniquePairs,_xlfn.UNIQUE(_xlpm.pairs),_xlpm.sortedPairs,_xlfn._xlws.SORT(_xlpm.uniquePairs,1,1),INDEX(_xlpm.sortedPairs,ROWS($L$2:L374),1)),"")</f>
        <v/>
      </c>
      <c r="M374" s="15" t="str" cm="1">
        <f t="array" ref="M374">IFERROR(_xlfn.LET(_xlpm.films,Table4[Film],_xlpm.grades,Table4[Grade],_xlpm.pairs,_xlfn._xlws.FILTER(_xlfn.HSTACK(_xlpm.films,_xlpm.grades),(_xlpm.films&lt;&gt;"")*(TRIM(_xlpm.grades)&lt;&gt;"")),_xlpm.uniquePairs,_xlfn.UNIQUE(_xlpm.pairs),_xlpm.sortedPairs,_xlfn._xlws.SORT(_xlpm.uniquePairs,1,1),INDEX(_xlpm.sortedPairs,ROWS($M$2:M374),2)),"")</f>
        <v/>
      </c>
      <c r="N374" s="15" t="str" cm="1">
        <f t="array" ref="N374">IF(OR(Table2[[#This Row],[Film]]="",Table2[[#This Row],[Grade]]=""),"",IFERROR(INDEX(Table4[Serial Number],MATCH(1,(Table4[Film]=Table2[[#This Row],[Film]])*(Table4[Grade]=Table2[[#This Row],[Grade]]),0)),""))</f>
        <v/>
      </c>
      <c r="O374" s="51" t="str">
        <f>IF(OR(Table2[[#This Row],[Film]]="",Table2[[#This Row],[Grade]]=""),"",SUMIFS(Table4[Price Calculated(€) Thickness &amp; QTY related],Table4[Film],Table2[[#This Row],[Film]],Table4[Grade],Table2[[#This Row],[Grade]]))</f>
        <v/>
      </c>
      <c r="P374" s="6"/>
      <c r="T374" s="6"/>
    </row>
    <row r="375" spans="1:20" hidden="1">
      <c r="A375" s="29" t="s">
        <v>1343</v>
      </c>
      <c r="B375" s="29" t="s">
        <v>5</v>
      </c>
      <c r="C375" s="28" t="s">
        <v>18</v>
      </c>
      <c r="D375" s="28" t="str">
        <f>IF(C375="","",IFERROR(_xlfn.XLOOKUP(C375,HELPER!$A$2:$A$81,HELPER!$B$2:$B$81,""),D375))</f>
        <v>KAB59A</v>
      </c>
      <c r="E375" s="28" t="str">
        <f>IFERROR(_xlfn.XLOOKUP(D375,HELPER!$B:$B,HELPER!$C:$C,""),"")</f>
        <v>RM A KAB59A</v>
      </c>
      <c r="F375" s="27" t="str">
        <f>IFERROR(_xlfn.XLOOKUP(D375,HELPER!$B:$B,HELPER!$D:$D,""),"")</f>
        <v>Resin 8</v>
      </c>
      <c r="G375" s="902">
        <v>1</v>
      </c>
      <c r="H375" s="903">
        <v>1.4999999999999999E-2</v>
      </c>
      <c r="I375" s="47">
        <f>IF(AND(H375&lt;&gt;"",IFERROR(_xlfn.XLOOKUP(D375,HELPER!$B:$B,HELPER!$E:$E,""),"")=""),"Missing price",IFERROR(_xlfn.XLOOKUP(D375,HELPER!$B:$B,HELPER!$E:$E,"")," "))</f>
        <v>7.55</v>
      </c>
      <c r="J375" s="47">
        <f>IFERROR(H375*(IF(G375=8,I375*HELPER!$G$2,BOM!I375*HELPER!$G$3))," ")</f>
        <v>6.7949999999999983E-2</v>
      </c>
      <c r="K375" s="6"/>
      <c r="L375" s="14" t="str" cm="1">
        <f t="array" ref="L375">IFERROR(_xlfn.LET(_xlpm.films,Table4[Film],_xlpm.grades,Table4[Grade],_xlpm.pairs,_xlfn._xlws.FILTER(_xlfn.HSTACK(_xlpm.films,_xlpm.grades),(_xlpm.films&lt;&gt;"")*(TRIM(_xlpm.grades)&lt;&gt;"")),_xlpm.uniquePairs,_xlfn.UNIQUE(_xlpm.pairs),_xlpm.sortedPairs,_xlfn._xlws.SORT(_xlpm.uniquePairs,1,1),INDEX(_xlpm.sortedPairs,ROWS($L$2:L375),1)),"")</f>
        <v/>
      </c>
      <c r="M375" s="15" t="str" cm="1">
        <f t="array" ref="M375">IFERROR(_xlfn.LET(_xlpm.films,Table4[Film],_xlpm.grades,Table4[Grade],_xlpm.pairs,_xlfn._xlws.FILTER(_xlfn.HSTACK(_xlpm.films,_xlpm.grades),(_xlpm.films&lt;&gt;"")*(TRIM(_xlpm.grades)&lt;&gt;"")),_xlpm.uniquePairs,_xlfn.UNIQUE(_xlpm.pairs),_xlpm.sortedPairs,_xlfn._xlws.SORT(_xlpm.uniquePairs,1,1),INDEX(_xlpm.sortedPairs,ROWS($M$2:M375),2)),"")</f>
        <v/>
      </c>
      <c r="N375" s="15" t="str" cm="1">
        <f t="array" ref="N375">IF(OR(Table2[[#This Row],[Film]]="",Table2[[#This Row],[Grade]]=""),"",IFERROR(INDEX(Table4[Serial Number],MATCH(1,(Table4[Film]=Table2[[#This Row],[Film]])*(Table4[Grade]=Table2[[#This Row],[Grade]]),0)),""))</f>
        <v/>
      </c>
      <c r="O375" s="51" t="str">
        <f>IF(OR(Table2[[#This Row],[Film]]="",Table2[[#This Row],[Grade]]=""),"",SUMIFS(Table4[Price Calculated(€) Thickness &amp; QTY related],Table4[Film],Table2[[#This Row],[Film]],Table4[Grade],Table2[[#This Row],[Grade]]))</f>
        <v/>
      </c>
      <c r="P375" s="6"/>
      <c r="T375" s="6"/>
    </row>
    <row r="376" spans="1:20" hidden="1">
      <c r="A376" s="29"/>
      <c r="B376" s="29" t="s">
        <v>6</v>
      </c>
      <c r="C376" s="28"/>
      <c r="D376" s="28" t="str">
        <f>IF(C376="","",IFERROR(_xlfn.XLOOKUP(C376,HELPER!$A$2:$A$81,HELPER!$B$2:$B$81,""),D376))</f>
        <v/>
      </c>
      <c r="E376" s="28" t="str">
        <f>IFERROR(_xlfn.XLOOKUP(D376,HELPER!$B:$B,HELPER!$C:$C,""),"")</f>
        <v/>
      </c>
      <c r="F376" s="27" t="str">
        <f>IFERROR(_xlfn.XLOOKUP(D376,HELPER!$B:$B,HELPER!$D:$D,""),"")</f>
        <v/>
      </c>
      <c r="G376" s="27">
        <v>24</v>
      </c>
      <c r="H376" s="46"/>
      <c r="I376" s="47" t="str">
        <f>IF(AND(H376&lt;&gt;"",IFERROR(_xlfn.XLOOKUP(D376,HELPER!$B:$B,HELPER!$E:$E,""),"")=""),"Missing price",IFERROR(_xlfn.XLOOKUP(D376,HELPER!$B:$B,HELPER!$E:$E,"")," "))</f>
        <v/>
      </c>
      <c r="J376" s="47" t="str">
        <f>IFERROR(H376*(IF(G376=8,I376*HELPER!$G$2,BOM!I376*HELPER!$G$3))," ")</f>
        <v xml:space="preserve"> </v>
      </c>
      <c r="K376" s="6"/>
      <c r="L376" s="14" t="str" cm="1">
        <f t="array" ref="L376">IFERROR(_xlfn.LET(_xlpm.films,Table4[Film],_xlpm.grades,Table4[Grade],_xlpm.pairs,_xlfn._xlws.FILTER(_xlfn.HSTACK(_xlpm.films,_xlpm.grades),(_xlpm.films&lt;&gt;"")*(TRIM(_xlpm.grades)&lt;&gt;"")),_xlpm.uniquePairs,_xlfn.UNIQUE(_xlpm.pairs),_xlpm.sortedPairs,_xlfn._xlws.SORT(_xlpm.uniquePairs,1,1),INDEX(_xlpm.sortedPairs,ROWS($L$2:L376),1)),"")</f>
        <v/>
      </c>
      <c r="M376" s="15" t="str" cm="1">
        <f t="array" ref="M376">IFERROR(_xlfn.LET(_xlpm.films,Table4[Film],_xlpm.grades,Table4[Grade],_xlpm.pairs,_xlfn._xlws.FILTER(_xlfn.HSTACK(_xlpm.films,_xlpm.grades),(_xlpm.films&lt;&gt;"")*(TRIM(_xlpm.grades)&lt;&gt;"")),_xlpm.uniquePairs,_xlfn.UNIQUE(_xlpm.pairs),_xlpm.sortedPairs,_xlfn._xlws.SORT(_xlpm.uniquePairs,1,1),INDEX(_xlpm.sortedPairs,ROWS($M$2:M376),2)),"")</f>
        <v/>
      </c>
      <c r="N376" s="15" t="str" cm="1">
        <f t="array" ref="N376">IF(OR(Table2[[#This Row],[Film]]="",Table2[[#This Row],[Grade]]=""),"",IFERROR(INDEX(Table4[Serial Number],MATCH(1,(Table4[Film]=Table2[[#This Row],[Film]])*(Table4[Grade]=Table2[[#This Row],[Grade]]),0)),""))</f>
        <v/>
      </c>
      <c r="O376" s="51" t="str">
        <f>IF(OR(Table2[[#This Row],[Film]]="",Table2[[#This Row],[Grade]]=""),"",SUMIFS(Table4[Price Calculated(€) Thickness &amp; QTY related],Table4[Film],Table2[[#This Row],[Film]],Table4[Grade],Table2[[#This Row],[Grade]]))</f>
        <v/>
      </c>
      <c r="P376" s="6"/>
      <c r="T376" s="6"/>
    </row>
    <row r="377" spans="1:20" hidden="1">
      <c r="A377" s="29"/>
      <c r="B377" s="29" t="s">
        <v>6</v>
      </c>
      <c r="C377" s="28"/>
      <c r="D377" s="28" t="str">
        <f>IF(C377="","",IFERROR(_xlfn.XLOOKUP(C377,HELPER!$A$2:$A$81,HELPER!$B$2:$B$81,""),D377))</f>
        <v/>
      </c>
      <c r="E377" s="28" t="str">
        <f>IFERROR(_xlfn.XLOOKUP(D377,HELPER!$B:$B,HELPER!$C:$C,""),"")</f>
        <v/>
      </c>
      <c r="F377" s="27" t="str">
        <f>IFERROR(_xlfn.XLOOKUP(D377,HELPER!$B:$B,HELPER!$D:$D,""),"")</f>
        <v/>
      </c>
      <c r="G377" s="27">
        <v>24</v>
      </c>
      <c r="H377" s="46"/>
      <c r="I377" s="47" t="str">
        <f>IF(AND(H377&lt;&gt;"",IFERROR(_xlfn.XLOOKUP(D377,HELPER!$B:$B,HELPER!$E:$E,""),"")=""),"Missing price",IFERROR(_xlfn.XLOOKUP(D377,HELPER!$B:$B,HELPER!$E:$E,"")," "))</f>
        <v/>
      </c>
      <c r="J377" s="47" t="str">
        <f>IFERROR(H377*(IF(G377=8,I377*HELPER!$G$2,BOM!I377*HELPER!$G$3))," ")</f>
        <v xml:space="preserve"> </v>
      </c>
      <c r="K377" s="6"/>
      <c r="L377" s="14" t="str" cm="1">
        <f t="array" ref="L377">IFERROR(_xlfn.LET(_xlpm.films,Table4[Film],_xlpm.grades,Table4[Grade],_xlpm.pairs,_xlfn._xlws.FILTER(_xlfn.HSTACK(_xlpm.films,_xlpm.grades),(_xlpm.films&lt;&gt;"")*(TRIM(_xlpm.grades)&lt;&gt;"")),_xlpm.uniquePairs,_xlfn.UNIQUE(_xlpm.pairs),_xlpm.sortedPairs,_xlfn._xlws.SORT(_xlpm.uniquePairs,1,1),INDEX(_xlpm.sortedPairs,ROWS($L$2:L377),1)),"")</f>
        <v/>
      </c>
      <c r="M377" s="15" t="str" cm="1">
        <f t="array" ref="M377">IFERROR(_xlfn.LET(_xlpm.films,Table4[Film],_xlpm.grades,Table4[Grade],_xlpm.pairs,_xlfn._xlws.FILTER(_xlfn.HSTACK(_xlpm.films,_xlpm.grades),(_xlpm.films&lt;&gt;"")*(TRIM(_xlpm.grades)&lt;&gt;"")),_xlpm.uniquePairs,_xlfn.UNIQUE(_xlpm.pairs),_xlpm.sortedPairs,_xlfn._xlws.SORT(_xlpm.uniquePairs,1,1),INDEX(_xlpm.sortedPairs,ROWS($M$2:M377),2)),"")</f>
        <v/>
      </c>
      <c r="N377" s="15" t="str" cm="1">
        <f t="array" ref="N377">IF(OR(Table2[[#This Row],[Film]]="",Table2[[#This Row],[Grade]]=""),"",IFERROR(INDEX(Table4[Serial Number],MATCH(1,(Table4[Film]=Table2[[#This Row],[Film]])*(Table4[Grade]=Table2[[#This Row],[Grade]]),0)),""))</f>
        <v/>
      </c>
      <c r="O377" s="51" t="str">
        <f>IF(OR(Table2[[#This Row],[Film]]="",Table2[[#This Row],[Grade]]=""),"",SUMIFS(Table4[Price Calculated(€) Thickness &amp; QTY related],Table4[Film],Table2[[#This Row],[Film]],Table4[Grade],Table2[[#This Row],[Grade]]))</f>
        <v/>
      </c>
      <c r="P377" s="6"/>
      <c r="T377" s="6"/>
    </row>
    <row r="378" spans="1:20" hidden="1">
      <c r="A378" s="29"/>
      <c r="B378" s="29" t="s">
        <v>6</v>
      </c>
      <c r="C378" s="28"/>
      <c r="D378" s="28" t="str">
        <f>IF(C378="","",IFERROR(_xlfn.XLOOKUP(C378,HELPER!$A$2:$A$81,HELPER!$B$2:$B$81,""),D378))</f>
        <v/>
      </c>
      <c r="E378" s="28" t="str">
        <f>IFERROR(_xlfn.XLOOKUP(D378,HELPER!$B:$B,HELPER!$C:$C,""),"")</f>
        <v/>
      </c>
      <c r="F378" s="27" t="str">
        <f>IFERROR(_xlfn.XLOOKUP(D378,HELPER!$B:$B,HELPER!$D:$D,""),"")</f>
        <v/>
      </c>
      <c r="G378" s="27">
        <v>24</v>
      </c>
      <c r="H378" s="46"/>
      <c r="I378" s="47" t="str">
        <f>IF(AND(H378&lt;&gt;"",IFERROR(_xlfn.XLOOKUP(D378,HELPER!$B:$B,HELPER!$E:$E,""),"")=""),"Missing price",IFERROR(_xlfn.XLOOKUP(D378,HELPER!$B:$B,HELPER!$E:$E,"")," "))</f>
        <v/>
      </c>
      <c r="J378" s="47" t="str">
        <f>IFERROR(H378*(IF(G378=8,I378*HELPER!$G$2,BOM!I378*HELPER!$G$3))," ")</f>
        <v xml:space="preserve"> </v>
      </c>
      <c r="K378" s="6"/>
      <c r="L378" s="14" t="str" cm="1">
        <f t="array" ref="L378">IFERROR(_xlfn.LET(_xlpm.films,Table4[Film],_xlpm.grades,Table4[Grade],_xlpm.pairs,_xlfn._xlws.FILTER(_xlfn.HSTACK(_xlpm.films,_xlpm.grades),(_xlpm.films&lt;&gt;"")*(TRIM(_xlpm.grades)&lt;&gt;"")),_xlpm.uniquePairs,_xlfn.UNIQUE(_xlpm.pairs),_xlpm.sortedPairs,_xlfn._xlws.SORT(_xlpm.uniquePairs,1,1),INDEX(_xlpm.sortedPairs,ROWS($L$2:L378),1)),"")</f>
        <v/>
      </c>
      <c r="M378" s="15" t="str" cm="1">
        <f t="array" ref="M378">IFERROR(_xlfn.LET(_xlpm.films,Table4[Film],_xlpm.grades,Table4[Grade],_xlpm.pairs,_xlfn._xlws.FILTER(_xlfn.HSTACK(_xlpm.films,_xlpm.grades),(_xlpm.films&lt;&gt;"")*(TRIM(_xlpm.grades)&lt;&gt;"")),_xlpm.uniquePairs,_xlfn.UNIQUE(_xlpm.pairs),_xlpm.sortedPairs,_xlfn._xlws.SORT(_xlpm.uniquePairs,1,1),INDEX(_xlpm.sortedPairs,ROWS($M$2:M378),2)),"")</f>
        <v/>
      </c>
      <c r="N378" s="15" t="str" cm="1">
        <f t="array" ref="N378">IF(OR(Table2[[#This Row],[Film]]="",Table2[[#This Row],[Grade]]=""),"",IFERROR(INDEX(Table4[Serial Number],MATCH(1,(Table4[Film]=Table2[[#This Row],[Film]])*(Table4[Grade]=Table2[[#This Row],[Grade]]),0)),""))</f>
        <v/>
      </c>
      <c r="O378" s="51" t="str">
        <f>IF(OR(Table2[[#This Row],[Film]]="",Table2[[#This Row],[Grade]]=""),"",SUMIFS(Table4[Price Calculated(€) Thickness &amp; QTY related],Table4[Film],Table2[[#This Row],[Film]],Table4[Grade],Table2[[#This Row],[Grade]]))</f>
        <v/>
      </c>
      <c r="P378" s="6"/>
      <c r="T378" s="6"/>
    </row>
    <row r="379" spans="1:20" hidden="1">
      <c r="A379" s="29"/>
      <c r="B379" s="29" t="s">
        <v>6</v>
      </c>
      <c r="C379" s="28"/>
      <c r="D379" s="28" t="str">
        <f>IF(C379="","",IFERROR(_xlfn.XLOOKUP(C379,HELPER!$A$2:$A$81,HELPER!$B$2:$B$81,""),D379))</f>
        <v/>
      </c>
      <c r="E379" s="28" t="str">
        <f>IFERROR(_xlfn.XLOOKUP(D379,HELPER!$B:$B,HELPER!$C:$C,""),"")</f>
        <v/>
      </c>
      <c r="F379" s="27" t="str">
        <f>IFERROR(_xlfn.XLOOKUP(D379,HELPER!$B:$B,HELPER!$D:$D,""),"")</f>
        <v/>
      </c>
      <c r="G379" s="27">
        <v>24</v>
      </c>
      <c r="H379" s="46"/>
      <c r="I379" s="47" t="str">
        <f>IF(AND(H379&lt;&gt;"",IFERROR(_xlfn.XLOOKUP(D379,HELPER!$B:$B,HELPER!$E:$E,""),"")=""),"Missing price",IFERROR(_xlfn.XLOOKUP(D379,HELPER!$B:$B,HELPER!$E:$E,"")," "))</f>
        <v/>
      </c>
      <c r="J379" s="47" t="str">
        <f>IFERROR(H379*(IF(G379=8,I379*HELPER!$G$2,BOM!I379*HELPER!$G$3))," ")</f>
        <v xml:space="preserve"> </v>
      </c>
      <c r="K379" s="6"/>
      <c r="L379" s="14" t="str" cm="1">
        <f t="array" ref="L379">IFERROR(_xlfn.LET(_xlpm.films,Table4[Film],_xlpm.grades,Table4[Grade],_xlpm.pairs,_xlfn._xlws.FILTER(_xlfn.HSTACK(_xlpm.films,_xlpm.grades),(_xlpm.films&lt;&gt;"")*(TRIM(_xlpm.grades)&lt;&gt;"")),_xlpm.uniquePairs,_xlfn.UNIQUE(_xlpm.pairs),_xlpm.sortedPairs,_xlfn._xlws.SORT(_xlpm.uniquePairs,1,1),INDEX(_xlpm.sortedPairs,ROWS($L$2:L379),1)),"")</f>
        <v/>
      </c>
      <c r="M379" s="15" t="str" cm="1">
        <f t="array" ref="M379">IFERROR(_xlfn.LET(_xlpm.films,Table4[Film],_xlpm.grades,Table4[Grade],_xlpm.pairs,_xlfn._xlws.FILTER(_xlfn.HSTACK(_xlpm.films,_xlpm.grades),(_xlpm.films&lt;&gt;"")*(TRIM(_xlpm.grades)&lt;&gt;"")),_xlpm.uniquePairs,_xlfn.UNIQUE(_xlpm.pairs),_xlpm.sortedPairs,_xlfn._xlws.SORT(_xlpm.uniquePairs,1,1),INDEX(_xlpm.sortedPairs,ROWS($M$2:M379),2)),"")</f>
        <v/>
      </c>
      <c r="N379" s="15" t="str" cm="1">
        <f t="array" ref="N379">IF(OR(Table2[[#This Row],[Film]]="",Table2[[#This Row],[Grade]]=""),"",IFERROR(INDEX(Table4[Serial Number],MATCH(1,(Table4[Film]=Table2[[#This Row],[Film]])*(Table4[Grade]=Table2[[#This Row],[Grade]]),0)),""))</f>
        <v/>
      </c>
      <c r="O379" s="51" t="str">
        <f>IF(OR(Table2[[#This Row],[Film]]="",Table2[[#This Row],[Grade]]=""),"",SUMIFS(Table4[Price Calculated(€) Thickness &amp; QTY related],Table4[Film],Table2[[#This Row],[Film]],Table4[Grade],Table2[[#This Row],[Grade]]))</f>
        <v/>
      </c>
      <c r="P379" s="6"/>
      <c r="T379" s="6"/>
    </row>
    <row r="380" spans="1:20" hidden="1">
      <c r="A380" s="29"/>
      <c r="B380" s="29" t="s">
        <v>6</v>
      </c>
      <c r="C380" s="28"/>
      <c r="D380" s="28" t="str">
        <f>IF(C380="","",IFERROR(_xlfn.XLOOKUP(C380,HELPER!$A$2:$A$81,HELPER!$B$2:$B$81,""),D380))</f>
        <v/>
      </c>
      <c r="E380" s="28" t="str">
        <f>IFERROR(_xlfn.XLOOKUP(D380,HELPER!$B:$B,HELPER!$C:$C,""),"")</f>
        <v/>
      </c>
      <c r="F380" s="27" t="str">
        <f>IFERROR(_xlfn.XLOOKUP(D380,HELPER!$B:$B,HELPER!$D:$D,""),"")</f>
        <v/>
      </c>
      <c r="G380" s="27">
        <v>24</v>
      </c>
      <c r="H380" s="46"/>
      <c r="I380" s="47" t="str">
        <f>IF(AND(H380&lt;&gt;"",IFERROR(_xlfn.XLOOKUP(D380,HELPER!$B:$B,HELPER!$E:$E,""),"")=""),"Missing price",IFERROR(_xlfn.XLOOKUP(D380,HELPER!$B:$B,HELPER!$E:$E,"")," "))</f>
        <v/>
      </c>
      <c r="J380" s="47" t="str">
        <f>IFERROR(H380*(IF(G380=8,I380*HELPER!$G$2,BOM!I380*HELPER!$G$3))," ")</f>
        <v xml:space="preserve"> </v>
      </c>
      <c r="K380" s="6"/>
      <c r="L380" s="14" t="str" cm="1">
        <f t="array" ref="L380">IFERROR(_xlfn.LET(_xlpm.films,Table4[Film],_xlpm.grades,Table4[Grade],_xlpm.pairs,_xlfn._xlws.FILTER(_xlfn.HSTACK(_xlpm.films,_xlpm.grades),(_xlpm.films&lt;&gt;"")*(TRIM(_xlpm.grades)&lt;&gt;"")),_xlpm.uniquePairs,_xlfn.UNIQUE(_xlpm.pairs),_xlpm.sortedPairs,_xlfn._xlws.SORT(_xlpm.uniquePairs,1,1),INDEX(_xlpm.sortedPairs,ROWS($L$2:L380),1)),"")</f>
        <v/>
      </c>
      <c r="M380" s="15" t="str" cm="1">
        <f t="array" ref="M380">IFERROR(_xlfn.LET(_xlpm.films,Table4[Film],_xlpm.grades,Table4[Grade],_xlpm.pairs,_xlfn._xlws.FILTER(_xlfn.HSTACK(_xlpm.films,_xlpm.grades),(_xlpm.films&lt;&gt;"")*(TRIM(_xlpm.grades)&lt;&gt;"")),_xlpm.uniquePairs,_xlfn.UNIQUE(_xlpm.pairs),_xlpm.sortedPairs,_xlfn._xlws.SORT(_xlpm.uniquePairs,1,1),INDEX(_xlpm.sortedPairs,ROWS($M$2:M380),2)),"")</f>
        <v/>
      </c>
      <c r="N380" s="15" t="str" cm="1">
        <f t="array" ref="N380">IF(OR(Table2[[#This Row],[Film]]="",Table2[[#This Row],[Grade]]=""),"",IFERROR(INDEX(Table4[Serial Number],MATCH(1,(Table4[Film]=Table2[[#This Row],[Film]])*(Table4[Grade]=Table2[[#This Row],[Grade]]),0)),""))</f>
        <v/>
      </c>
      <c r="O380" s="51" t="str">
        <f>IF(OR(Table2[[#This Row],[Film]]="",Table2[[#This Row],[Grade]]=""),"",SUMIFS(Table4[Price Calculated(€) Thickness &amp; QTY related],Table4[Film],Table2[[#This Row],[Film]],Table4[Grade],Table2[[#This Row],[Grade]]))</f>
        <v/>
      </c>
      <c r="P380" s="6"/>
      <c r="T380" s="6"/>
    </row>
    <row r="381" spans="1:20" hidden="1">
      <c r="A381" s="29"/>
      <c r="B381" s="29" t="s">
        <v>6</v>
      </c>
      <c r="C381" s="28"/>
      <c r="D381" s="28" t="str">
        <f>IF(C381="","",IFERROR(_xlfn.XLOOKUP(C381,HELPER!$A$2:$A$81,HELPER!$B$2:$B$81,""),D381))</f>
        <v/>
      </c>
      <c r="E381" s="28" t="str">
        <f>IFERROR(_xlfn.XLOOKUP(D381,HELPER!$B:$B,HELPER!$C:$C,""),"")</f>
        <v/>
      </c>
      <c r="F381" s="27" t="str">
        <f>IFERROR(_xlfn.XLOOKUP(D381,HELPER!$B:$B,HELPER!$D:$D,""),"")</f>
        <v/>
      </c>
      <c r="G381" s="27">
        <v>24</v>
      </c>
      <c r="H381" s="46"/>
      <c r="I381" s="47" t="str">
        <f>IF(AND(H381&lt;&gt;"",IFERROR(_xlfn.XLOOKUP(D381,HELPER!$B:$B,HELPER!$E:$E,""),"")=""),"Missing price",IFERROR(_xlfn.XLOOKUP(D381,HELPER!$B:$B,HELPER!$E:$E,"")," "))</f>
        <v/>
      </c>
      <c r="J381" s="47" t="str">
        <f>IFERROR(H381*(IF(G381=8,I381*HELPER!$G$2,BOM!I381*HELPER!$G$3))," ")</f>
        <v xml:space="preserve"> </v>
      </c>
      <c r="K381" s="6"/>
      <c r="L381" s="14" t="str" cm="1">
        <f t="array" ref="L381">IFERROR(_xlfn.LET(_xlpm.films,Table4[Film],_xlpm.grades,Table4[Grade],_xlpm.pairs,_xlfn._xlws.FILTER(_xlfn.HSTACK(_xlpm.films,_xlpm.grades),(_xlpm.films&lt;&gt;"")*(TRIM(_xlpm.grades)&lt;&gt;"")),_xlpm.uniquePairs,_xlfn.UNIQUE(_xlpm.pairs),_xlpm.sortedPairs,_xlfn._xlws.SORT(_xlpm.uniquePairs,1,1),INDEX(_xlpm.sortedPairs,ROWS($L$2:L381),1)),"")</f>
        <v/>
      </c>
      <c r="M381" s="15" t="str" cm="1">
        <f t="array" ref="M381">IFERROR(_xlfn.LET(_xlpm.films,Table4[Film],_xlpm.grades,Table4[Grade],_xlpm.pairs,_xlfn._xlws.FILTER(_xlfn.HSTACK(_xlpm.films,_xlpm.grades),(_xlpm.films&lt;&gt;"")*(TRIM(_xlpm.grades)&lt;&gt;"")),_xlpm.uniquePairs,_xlfn.UNIQUE(_xlpm.pairs),_xlpm.sortedPairs,_xlfn._xlws.SORT(_xlpm.uniquePairs,1,1),INDEX(_xlpm.sortedPairs,ROWS($M$2:M381),2)),"")</f>
        <v/>
      </c>
      <c r="N381" s="15" t="str" cm="1">
        <f t="array" ref="N381">IF(OR(Table2[[#This Row],[Film]]="",Table2[[#This Row],[Grade]]=""),"",IFERROR(INDEX(Table4[Serial Number],MATCH(1,(Table4[Film]=Table2[[#This Row],[Film]])*(Table4[Grade]=Table2[[#This Row],[Grade]]),0)),""))</f>
        <v/>
      </c>
      <c r="O381" s="51" t="str">
        <f>IF(OR(Table2[[#This Row],[Film]]="",Table2[[#This Row],[Grade]]=""),"",SUMIFS(Table4[Price Calculated(€) Thickness &amp; QTY related],Table4[Film],Table2[[#This Row],[Film]],Table4[Grade],Table2[[#This Row],[Grade]]))</f>
        <v/>
      </c>
      <c r="P381" s="6"/>
      <c r="T381" s="6"/>
    </row>
    <row r="382" spans="1:20" hidden="1">
      <c r="A382" s="29"/>
      <c r="B382" s="29" t="s">
        <v>7</v>
      </c>
      <c r="C382" s="28"/>
      <c r="D382" s="28" t="str">
        <f>IF(C382="","",IFERROR(_xlfn.XLOOKUP(C382,HELPER!$A$2:$A$81,HELPER!$B$2:$B$81,""),D382))</f>
        <v/>
      </c>
      <c r="E382" s="28" t="str">
        <f>IFERROR(_xlfn.XLOOKUP(D382,HELPER!$B:$B,HELPER!$C:$C,""),"")</f>
        <v/>
      </c>
      <c r="F382" s="27" t="str">
        <f>IFERROR(_xlfn.XLOOKUP(D382,HELPER!$B:$B,HELPER!$D:$D,""),"")</f>
        <v/>
      </c>
      <c r="G382" s="27">
        <v>8</v>
      </c>
      <c r="H382" s="46"/>
      <c r="I382" s="47" t="str">
        <f>IF(AND(H382&lt;&gt;"",IFERROR(_xlfn.XLOOKUP(D382,HELPER!$B:$B,HELPER!$E:$E,""),"")=""),"Missing price",IFERROR(_xlfn.XLOOKUP(D382,HELPER!$B:$B,HELPER!$E:$E,"")," "))</f>
        <v/>
      </c>
      <c r="J382" s="47" t="str">
        <f>IFERROR(H382*(IF(G382=8,I382*HELPER!$G$2,BOM!I382*HELPER!$G$3))," ")</f>
        <v xml:space="preserve"> </v>
      </c>
      <c r="K382" s="6"/>
      <c r="L382" s="14" t="str" cm="1">
        <f t="array" ref="L382">IFERROR(_xlfn.LET(_xlpm.films,Table4[Film],_xlpm.grades,Table4[Grade],_xlpm.pairs,_xlfn._xlws.FILTER(_xlfn.HSTACK(_xlpm.films,_xlpm.grades),(_xlpm.films&lt;&gt;"")*(TRIM(_xlpm.grades)&lt;&gt;"")),_xlpm.uniquePairs,_xlfn.UNIQUE(_xlpm.pairs),_xlpm.sortedPairs,_xlfn._xlws.SORT(_xlpm.uniquePairs,1,1),INDEX(_xlpm.sortedPairs,ROWS($L$2:L382),1)),"")</f>
        <v/>
      </c>
      <c r="M382" s="15" t="str" cm="1">
        <f t="array" ref="M382">IFERROR(_xlfn.LET(_xlpm.films,Table4[Film],_xlpm.grades,Table4[Grade],_xlpm.pairs,_xlfn._xlws.FILTER(_xlfn.HSTACK(_xlpm.films,_xlpm.grades),(_xlpm.films&lt;&gt;"")*(TRIM(_xlpm.grades)&lt;&gt;"")),_xlpm.uniquePairs,_xlfn.UNIQUE(_xlpm.pairs),_xlpm.sortedPairs,_xlfn._xlws.SORT(_xlpm.uniquePairs,1,1),INDEX(_xlpm.sortedPairs,ROWS($M$2:M382),2)),"")</f>
        <v/>
      </c>
      <c r="N382" s="15" t="str" cm="1">
        <f t="array" ref="N382">IF(OR(Table2[[#This Row],[Film]]="",Table2[[#This Row],[Grade]]=""),"",IFERROR(INDEX(Table4[Serial Number],MATCH(1,(Table4[Film]=Table2[[#This Row],[Film]])*(Table4[Grade]=Table2[[#This Row],[Grade]]),0)),""))</f>
        <v/>
      </c>
      <c r="O382" s="51" t="str">
        <f>IF(OR(Table2[[#This Row],[Film]]="",Table2[[#This Row],[Grade]]=""),"",SUMIFS(Table4[Price Calculated(€) Thickness &amp; QTY related],Table4[Film],Table2[[#This Row],[Film]],Table4[Grade],Table2[[#This Row],[Grade]]))</f>
        <v/>
      </c>
      <c r="P382" s="6"/>
      <c r="T382" s="6"/>
    </row>
    <row r="383" spans="1:20" hidden="1">
      <c r="A383" s="29"/>
      <c r="B383" s="29" t="s">
        <v>7</v>
      </c>
      <c r="C383" s="28"/>
      <c r="D383" s="28" t="str">
        <f>IF(C383="","",IFERROR(_xlfn.XLOOKUP(C383,HELPER!$A$2:$A$81,HELPER!$B$2:$B$81,""),D383))</f>
        <v/>
      </c>
      <c r="E383" s="28" t="str">
        <f>IFERROR(_xlfn.XLOOKUP(D383,HELPER!$B:$B,HELPER!$C:$C,""),"")</f>
        <v/>
      </c>
      <c r="F383" s="27" t="str">
        <f>IFERROR(_xlfn.XLOOKUP(D383,HELPER!$B:$B,HELPER!$D:$D,""),"")</f>
        <v/>
      </c>
      <c r="G383" s="27">
        <v>8</v>
      </c>
      <c r="H383" s="46"/>
      <c r="I383" s="47" t="str">
        <f>IF(AND(H383&lt;&gt;"",IFERROR(_xlfn.XLOOKUP(D383,HELPER!$B:$B,HELPER!$E:$E,""),"")=""),"Missing price",IFERROR(_xlfn.XLOOKUP(D383,HELPER!$B:$B,HELPER!$E:$E,"")," "))</f>
        <v/>
      </c>
      <c r="J383" s="47" t="str">
        <f>IFERROR(H383*(IF(G383=8,I383*HELPER!$G$2,BOM!I383*HELPER!$G$3))," ")</f>
        <v xml:space="preserve"> </v>
      </c>
      <c r="K383" s="6"/>
      <c r="L383" s="14" t="str" cm="1">
        <f t="array" ref="L383">IFERROR(_xlfn.LET(_xlpm.films,Table4[Film],_xlpm.grades,Table4[Grade],_xlpm.pairs,_xlfn._xlws.FILTER(_xlfn.HSTACK(_xlpm.films,_xlpm.grades),(_xlpm.films&lt;&gt;"")*(TRIM(_xlpm.grades)&lt;&gt;"")),_xlpm.uniquePairs,_xlfn.UNIQUE(_xlpm.pairs),_xlpm.sortedPairs,_xlfn._xlws.SORT(_xlpm.uniquePairs,1,1),INDEX(_xlpm.sortedPairs,ROWS($L$2:L383),1)),"")</f>
        <v/>
      </c>
      <c r="M383" s="15" t="str" cm="1">
        <f t="array" ref="M383">IFERROR(_xlfn.LET(_xlpm.films,Table4[Film],_xlpm.grades,Table4[Grade],_xlpm.pairs,_xlfn._xlws.FILTER(_xlfn.HSTACK(_xlpm.films,_xlpm.grades),(_xlpm.films&lt;&gt;"")*(TRIM(_xlpm.grades)&lt;&gt;"")),_xlpm.uniquePairs,_xlfn.UNIQUE(_xlpm.pairs),_xlpm.sortedPairs,_xlfn._xlws.SORT(_xlpm.uniquePairs,1,1),INDEX(_xlpm.sortedPairs,ROWS($M$2:M383),2)),"")</f>
        <v/>
      </c>
      <c r="N383" s="15" t="str" cm="1">
        <f t="array" ref="N383">IF(OR(Table2[[#This Row],[Film]]="",Table2[[#This Row],[Grade]]=""),"",IFERROR(INDEX(Table4[Serial Number],MATCH(1,(Table4[Film]=Table2[[#This Row],[Film]])*(Table4[Grade]=Table2[[#This Row],[Grade]]),0)),""))</f>
        <v/>
      </c>
      <c r="O383" s="51" t="str">
        <f>IF(OR(Table2[[#This Row],[Film]]="",Table2[[#This Row],[Grade]]=""),"",SUMIFS(Table4[Price Calculated(€) Thickness &amp; QTY related],Table4[Film],Table2[[#This Row],[Film]],Table4[Grade],Table2[[#This Row],[Grade]]))</f>
        <v/>
      </c>
      <c r="P383" s="6"/>
      <c r="T383" s="6"/>
    </row>
    <row r="384" spans="1:20" hidden="1">
      <c r="A384" s="29"/>
      <c r="B384" s="29" t="s">
        <v>7</v>
      </c>
      <c r="C384" s="28"/>
      <c r="D384" s="28" t="str">
        <f>IF(C384="","",IFERROR(_xlfn.XLOOKUP(C384,HELPER!$A$2:$A$81,HELPER!$B$2:$B$81,""),D384))</f>
        <v/>
      </c>
      <c r="E384" s="28" t="str">
        <f>IFERROR(_xlfn.XLOOKUP(D384,HELPER!$B:$B,HELPER!$C:$C,""),"")</f>
        <v/>
      </c>
      <c r="F384" s="27" t="str">
        <f>IFERROR(_xlfn.XLOOKUP(D384,HELPER!$B:$B,HELPER!$D:$D,""),"")</f>
        <v/>
      </c>
      <c r="G384" s="27">
        <v>8</v>
      </c>
      <c r="H384" s="46"/>
      <c r="I384" s="47" t="str">
        <f>IF(AND(H384&lt;&gt;"",IFERROR(_xlfn.XLOOKUP(D384,HELPER!$B:$B,HELPER!$E:$E,""),"")=""),"Missing price",IFERROR(_xlfn.XLOOKUP(D384,HELPER!$B:$B,HELPER!$E:$E,"")," "))</f>
        <v/>
      </c>
      <c r="J384" s="47" t="str">
        <f>IFERROR(H384*(IF(G384=8,I384*HELPER!$G$2,BOM!I384*HELPER!$G$3))," ")</f>
        <v xml:space="preserve"> </v>
      </c>
      <c r="K384" s="6"/>
      <c r="L384" s="14" t="str" cm="1">
        <f t="array" ref="L384">IFERROR(_xlfn.LET(_xlpm.films,Table4[Film],_xlpm.grades,Table4[Grade],_xlpm.pairs,_xlfn._xlws.FILTER(_xlfn.HSTACK(_xlpm.films,_xlpm.grades),(_xlpm.films&lt;&gt;"")*(TRIM(_xlpm.grades)&lt;&gt;"")),_xlpm.uniquePairs,_xlfn.UNIQUE(_xlpm.pairs),_xlpm.sortedPairs,_xlfn._xlws.SORT(_xlpm.uniquePairs,1,1),INDEX(_xlpm.sortedPairs,ROWS($L$2:L384),1)),"")</f>
        <v/>
      </c>
      <c r="M384" s="15" t="str" cm="1">
        <f t="array" ref="M384">IFERROR(_xlfn.LET(_xlpm.films,Table4[Film],_xlpm.grades,Table4[Grade],_xlpm.pairs,_xlfn._xlws.FILTER(_xlfn.HSTACK(_xlpm.films,_xlpm.grades),(_xlpm.films&lt;&gt;"")*(TRIM(_xlpm.grades)&lt;&gt;"")),_xlpm.uniquePairs,_xlfn.UNIQUE(_xlpm.pairs),_xlpm.sortedPairs,_xlfn._xlws.SORT(_xlpm.uniquePairs,1,1),INDEX(_xlpm.sortedPairs,ROWS($M$2:M384),2)),"")</f>
        <v/>
      </c>
      <c r="N384" s="15" t="str" cm="1">
        <f t="array" ref="N384">IF(OR(Table2[[#This Row],[Film]]="",Table2[[#This Row],[Grade]]=""),"",IFERROR(INDEX(Table4[Serial Number],MATCH(1,(Table4[Film]=Table2[[#This Row],[Film]])*(Table4[Grade]=Table2[[#This Row],[Grade]]),0)),""))</f>
        <v/>
      </c>
      <c r="O384" s="51" t="str">
        <f>IF(OR(Table2[[#This Row],[Film]]="",Table2[[#This Row],[Grade]]=""),"",SUMIFS(Table4[Price Calculated(€) Thickness &amp; QTY related],Table4[Film],Table2[[#This Row],[Film]],Table4[Grade],Table2[[#This Row],[Grade]]))</f>
        <v/>
      </c>
      <c r="P384" s="6"/>
      <c r="T384" s="6"/>
    </row>
    <row r="385" spans="1:20" hidden="1">
      <c r="A385" s="29"/>
      <c r="B385" s="29" t="s">
        <v>7</v>
      </c>
      <c r="C385" s="28"/>
      <c r="D385" s="28" t="str">
        <f>IF(C385="","",IFERROR(_xlfn.XLOOKUP(C385,HELPER!$A$2:$A$81,HELPER!$B$2:$B$81,""),D385))</f>
        <v/>
      </c>
      <c r="E385" s="28" t="str">
        <f>IFERROR(_xlfn.XLOOKUP(D385,HELPER!$B:$B,HELPER!$C:$C,""),"")</f>
        <v/>
      </c>
      <c r="F385" s="27" t="str">
        <f>IFERROR(_xlfn.XLOOKUP(D385,HELPER!$B:$B,HELPER!$D:$D,""),"")</f>
        <v/>
      </c>
      <c r="G385" s="27">
        <v>8</v>
      </c>
      <c r="H385" s="46"/>
      <c r="I385" s="47" t="str">
        <f>IF(AND(H385&lt;&gt;"",IFERROR(_xlfn.XLOOKUP(D385,HELPER!$B:$B,HELPER!$E:$E,""),"")=""),"Missing price",IFERROR(_xlfn.XLOOKUP(D385,HELPER!$B:$B,HELPER!$E:$E,"")," "))</f>
        <v/>
      </c>
      <c r="J385" s="47" t="str">
        <f>IFERROR(H385*(IF(G385=8,I385*HELPER!$G$2,BOM!I385*HELPER!$G$3))," ")</f>
        <v xml:space="preserve"> </v>
      </c>
      <c r="K385" s="6"/>
      <c r="L385" s="14" t="str" cm="1">
        <f t="array" ref="L385">IFERROR(_xlfn.LET(_xlpm.films,Table4[Film],_xlpm.grades,Table4[Grade],_xlpm.pairs,_xlfn._xlws.FILTER(_xlfn.HSTACK(_xlpm.films,_xlpm.grades),(_xlpm.films&lt;&gt;"")*(TRIM(_xlpm.grades)&lt;&gt;"")),_xlpm.uniquePairs,_xlfn.UNIQUE(_xlpm.pairs),_xlpm.sortedPairs,_xlfn._xlws.SORT(_xlpm.uniquePairs,1,1),INDEX(_xlpm.sortedPairs,ROWS($L$2:L385),1)),"")</f>
        <v/>
      </c>
      <c r="M385" s="15" t="str" cm="1">
        <f t="array" ref="M385">IFERROR(_xlfn.LET(_xlpm.films,Table4[Film],_xlpm.grades,Table4[Grade],_xlpm.pairs,_xlfn._xlws.FILTER(_xlfn.HSTACK(_xlpm.films,_xlpm.grades),(_xlpm.films&lt;&gt;"")*(TRIM(_xlpm.grades)&lt;&gt;"")),_xlpm.uniquePairs,_xlfn.UNIQUE(_xlpm.pairs),_xlpm.sortedPairs,_xlfn._xlws.SORT(_xlpm.uniquePairs,1,1),INDEX(_xlpm.sortedPairs,ROWS($M$2:M385),2)),"")</f>
        <v/>
      </c>
      <c r="N385" s="15" t="str" cm="1">
        <f t="array" ref="N385">IF(OR(Table2[[#This Row],[Film]]="",Table2[[#This Row],[Grade]]=""),"",IFERROR(INDEX(Table4[Serial Number],MATCH(1,(Table4[Film]=Table2[[#This Row],[Film]])*(Table4[Grade]=Table2[[#This Row],[Grade]]),0)),""))</f>
        <v/>
      </c>
      <c r="O385" s="51" t="str">
        <f>IF(OR(Table2[[#This Row],[Film]]="",Table2[[#This Row],[Grade]]=""),"",SUMIFS(Table4[Price Calculated(€) Thickness &amp; QTY related],Table4[Film],Table2[[#This Row],[Film]],Table4[Grade],Table2[[#This Row],[Grade]]))</f>
        <v/>
      </c>
      <c r="P385" s="6"/>
      <c r="T385" s="6"/>
    </row>
    <row r="386" spans="1:20" hidden="1">
      <c r="A386" s="29"/>
      <c r="B386" s="29" t="s">
        <v>7</v>
      </c>
      <c r="C386" s="28"/>
      <c r="D386" s="28" t="str">
        <f>IF(C386="","",IFERROR(_xlfn.XLOOKUP(C386,HELPER!$A$2:$A$81,HELPER!$B$2:$B$81,""),D386))</f>
        <v/>
      </c>
      <c r="E386" s="28" t="str">
        <f>IFERROR(_xlfn.XLOOKUP(D386,HELPER!$B:$B,HELPER!$C:$C,""),"")</f>
        <v/>
      </c>
      <c r="F386" s="27" t="str">
        <f>IFERROR(_xlfn.XLOOKUP(D386,HELPER!$B:$B,HELPER!$D:$D,""),"")</f>
        <v/>
      </c>
      <c r="G386" s="27">
        <v>8</v>
      </c>
      <c r="H386" s="46"/>
      <c r="I386" s="47" t="str">
        <f>IF(AND(H386&lt;&gt;"",IFERROR(_xlfn.XLOOKUP(D386,HELPER!$B:$B,HELPER!$E:$E,""),"")=""),"Missing price",IFERROR(_xlfn.XLOOKUP(D386,HELPER!$B:$B,HELPER!$E:$E,"")," "))</f>
        <v/>
      </c>
      <c r="J386" s="47" t="str">
        <f>IFERROR(H386*(IF(G386=8,I386*HELPER!$G$2,BOM!I386*HELPER!$G$3))," ")</f>
        <v xml:space="preserve"> </v>
      </c>
      <c r="K386" s="6"/>
      <c r="L386" s="14" t="str" cm="1">
        <f t="array" ref="L386">IFERROR(_xlfn.LET(_xlpm.films,Table4[Film],_xlpm.grades,Table4[Grade],_xlpm.pairs,_xlfn._xlws.FILTER(_xlfn.HSTACK(_xlpm.films,_xlpm.grades),(_xlpm.films&lt;&gt;"")*(TRIM(_xlpm.grades)&lt;&gt;"")),_xlpm.uniquePairs,_xlfn.UNIQUE(_xlpm.pairs),_xlpm.sortedPairs,_xlfn._xlws.SORT(_xlpm.uniquePairs,1,1),INDEX(_xlpm.sortedPairs,ROWS($L$2:L386),1)),"")</f>
        <v/>
      </c>
      <c r="M386" s="15" t="str" cm="1">
        <f t="array" ref="M386">IFERROR(_xlfn.LET(_xlpm.films,Table4[Film],_xlpm.grades,Table4[Grade],_xlpm.pairs,_xlfn._xlws.FILTER(_xlfn.HSTACK(_xlpm.films,_xlpm.grades),(_xlpm.films&lt;&gt;"")*(TRIM(_xlpm.grades)&lt;&gt;"")),_xlpm.uniquePairs,_xlfn.UNIQUE(_xlpm.pairs),_xlpm.sortedPairs,_xlfn._xlws.SORT(_xlpm.uniquePairs,1,1),INDEX(_xlpm.sortedPairs,ROWS($M$2:M386),2)),"")</f>
        <v/>
      </c>
      <c r="N386" s="15" t="str" cm="1">
        <f t="array" ref="N386">IF(OR(Table2[[#This Row],[Film]]="",Table2[[#This Row],[Grade]]=""),"",IFERROR(INDEX(Table4[Serial Number],MATCH(1,(Table4[Film]=Table2[[#This Row],[Film]])*(Table4[Grade]=Table2[[#This Row],[Grade]]),0)),""))</f>
        <v/>
      </c>
      <c r="O386" s="51" t="str">
        <f>IF(OR(Table2[[#This Row],[Film]]="",Table2[[#This Row],[Grade]]=""),"",SUMIFS(Table4[Price Calculated(€) Thickness &amp; QTY related],Table4[Film],Table2[[#This Row],[Film]],Table4[Grade],Table2[[#This Row],[Grade]]))</f>
        <v/>
      </c>
      <c r="P386" s="6"/>
      <c r="T386" s="6"/>
    </row>
    <row r="387" spans="1:20" hidden="1">
      <c r="A387" s="29"/>
      <c r="B387" s="29" t="s">
        <v>7</v>
      </c>
      <c r="C387" s="28"/>
      <c r="D387" s="28" t="str">
        <f>IF(C387="","",IFERROR(_xlfn.XLOOKUP(C387,HELPER!$A$2:$A$81,HELPER!$B$2:$B$81,""),D387))</f>
        <v/>
      </c>
      <c r="E387" s="28" t="str">
        <f>IFERROR(_xlfn.XLOOKUP(D387,HELPER!$B:$B,HELPER!$C:$C,""),"")</f>
        <v/>
      </c>
      <c r="F387" s="27" t="str">
        <f>IFERROR(_xlfn.XLOOKUP(D387,HELPER!$B:$B,HELPER!$D:$D,""),"")</f>
        <v/>
      </c>
      <c r="G387" s="27">
        <v>8</v>
      </c>
      <c r="H387" s="46"/>
      <c r="I387" s="47" t="str">
        <f>IF(AND(H387&lt;&gt;"",IFERROR(_xlfn.XLOOKUP(D387,HELPER!$B:$B,HELPER!$E:$E,""),"")=""),"Missing price",IFERROR(_xlfn.XLOOKUP(D387,HELPER!$B:$B,HELPER!$E:$E,"")," "))</f>
        <v/>
      </c>
      <c r="J387" s="47" t="str">
        <f>IFERROR(H387*(IF(G387=8,I387*HELPER!$G$2,BOM!I387*HELPER!$G$3))," ")</f>
        <v xml:space="preserve"> </v>
      </c>
      <c r="K387" s="6"/>
      <c r="L387" s="14" t="str" cm="1">
        <f t="array" ref="L387">IFERROR(_xlfn.LET(_xlpm.films,Table4[Film],_xlpm.grades,Table4[Grade],_xlpm.pairs,_xlfn._xlws.FILTER(_xlfn.HSTACK(_xlpm.films,_xlpm.grades),(_xlpm.films&lt;&gt;"")*(TRIM(_xlpm.grades)&lt;&gt;"")),_xlpm.uniquePairs,_xlfn.UNIQUE(_xlpm.pairs),_xlpm.sortedPairs,_xlfn._xlws.SORT(_xlpm.uniquePairs,1,1),INDEX(_xlpm.sortedPairs,ROWS($L$2:L387),1)),"")</f>
        <v/>
      </c>
      <c r="M387" s="15" t="str" cm="1">
        <f t="array" ref="M387">IFERROR(_xlfn.LET(_xlpm.films,Table4[Film],_xlpm.grades,Table4[Grade],_xlpm.pairs,_xlfn._xlws.FILTER(_xlfn.HSTACK(_xlpm.films,_xlpm.grades),(_xlpm.films&lt;&gt;"")*(TRIM(_xlpm.grades)&lt;&gt;"")),_xlpm.uniquePairs,_xlfn.UNIQUE(_xlpm.pairs),_xlpm.sortedPairs,_xlfn._xlws.SORT(_xlpm.uniquePairs,1,1),INDEX(_xlpm.sortedPairs,ROWS($M$2:M387),2)),"")</f>
        <v/>
      </c>
      <c r="N387" s="15" t="str" cm="1">
        <f t="array" ref="N387">IF(OR(Table2[[#This Row],[Film]]="",Table2[[#This Row],[Grade]]=""),"",IFERROR(INDEX(Table4[Serial Number],MATCH(1,(Table4[Film]=Table2[[#This Row],[Film]])*(Table4[Grade]=Table2[[#This Row],[Grade]]),0)),""))</f>
        <v/>
      </c>
      <c r="O387" s="51" t="str">
        <f>IF(OR(Table2[[#This Row],[Film]]="",Table2[[#This Row],[Grade]]=""),"",SUMIFS(Table4[Price Calculated(€) Thickness &amp; QTY related],Table4[Film],Table2[[#This Row],[Film]],Table4[Grade],Table2[[#This Row],[Grade]]))</f>
        <v/>
      </c>
      <c r="P387" s="6"/>
      <c r="T387" s="6"/>
    </row>
    <row r="388" spans="1:20" hidden="1">
      <c r="A388" s="29"/>
      <c r="B388" s="29" t="s">
        <v>7</v>
      </c>
      <c r="C388" s="28"/>
      <c r="D388" s="28" t="str">
        <f>IF(C388="","",IFERROR(_xlfn.XLOOKUP(C388,HELPER!$A$2:$A$81,HELPER!$B$2:$B$81,""),D388))</f>
        <v/>
      </c>
      <c r="E388" s="28" t="str">
        <f>IFERROR(_xlfn.XLOOKUP(D388,HELPER!$B:$B,HELPER!$C:$C,""),"")</f>
        <v/>
      </c>
      <c r="F388" s="27" t="str">
        <f>IFERROR(_xlfn.XLOOKUP(D388,HELPER!$B:$B,HELPER!$D:$D,""),"")</f>
        <v/>
      </c>
      <c r="G388" s="27">
        <v>8</v>
      </c>
      <c r="H388" s="46"/>
      <c r="I388" s="47" t="str">
        <f>IF(AND(H388&lt;&gt;"",IFERROR(_xlfn.XLOOKUP(D388,HELPER!$B:$B,HELPER!$E:$E,""),"")=""),"Missing price",IFERROR(_xlfn.XLOOKUP(D388,HELPER!$B:$B,HELPER!$E:$E,"")," "))</f>
        <v/>
      </c>
      <c r="J388" s="47" t="str">
        <f>IFERROR(H388*(IF(G388=8,I388*HELPER!$G$2,BOM!I388*HELPER!$G$3))," ")</f>
        <v xml:space="preserve"> </v>
      </c>
      <c r="K388" s="6"/>
      <c r="L388" s="14" t="str" cm="1">
        <f t="array" ref="L388">IFERROR(_xlfn.LET(_xlpm.films,Table4[Film],_xlpm.grades,Table4[Grade],_xlpm.pairs,_xlfn._xlws.FILTER(_xlfn.HSTACK(_xlpm.films,_xlpm.grades),(_xlpm.films&lt;&gt;"")*(TRIM(_xlpm.grades)&lt;&gt;"")),_xlpm.uniquePairs,_xlfn.UNIQUE(_xlpm.pairs),_xlpm.sortedPairs,_xlfn._xlws.SORT(_xlpm.uniquePairs,1,1),INDEX(_xlpm.sortedPairs,ROWS($L$2:L388),1)),"")</f>
        <v/>
      </c>
      <c r="M388" s="15" t="str" cm="1">
        <f t="array" ref="M388">IFERROR(_xlfn.LET(_xlpm.films,Table4[Film],_xlpm.grades,Table4[Grade],_xlpm.pairs,_xlfn._xlws.FILTER(_xlfn.HSTACK(_xlpm.films,_xlpm.grades),(_xlpm.films&lt;&gt;"")*(TRIM(_xlpm.grades)&lt;&gt;"")),_xlpm.uniquePairs,_xlfn.UNIQUE(_xlpm.pairs),_xlpm.sortedPairs,_xlfn._xlws.SORT(_xlpm.uniquePairs,1,1),INDEX(_xlpm.sortedPairs,ROWS($M$2:M388),2)),"")</f>
        <v/>
      </c>
      <c r="N388" s="15" t="str" cm="1">
        <f t="array" ref="N388">IF(OR(Table2[[#This Row],[Film]]="",Table2[[#This Row],[Grade]]=""),"",IFERROR(INDEX(Table4[Serial Number],MATCH(1,(Table4[Film]=Table2[[#This Row],[Film]])*(Table4[Grade]=Table2[[#This Row],[Grade]]),0)),""))</f>
        <v/>
      </c>
      <c r="O388" s="51" t="str">
        <f>IF(OR(Table2[[#This Row],[Film]]="",Table2[[#This Row],[Grade]]=""),"",SUMIFS(Table4[Price Calculated(€) Thickness &amp; QTY related],Table4[Film],Table2[[#This Row],[Film]],Table4[Grade],Table2[[#This Row],[Grade]]))</f>
        <v/>
      </c>
      <c r="P388" s="6"/>
      <c r="T388" s="6"/>
    </row>
    <row r="389" spans="1:20" hidden="1">
      <c r="A389" s="29"/>
      <c r="B389" s="29" t="s">
        <v>7</v>
      </c>
      <c r="C389" s="28"/>
      <c r="D389" s="28" t="str">
        <f>IF(C389="","",IFERROR(_xlfn.XLOOKUP(C389,HELPER!$A$2:$A$81,HELPER!$B$2:$B$81,""),D389))</f>
        <v/>
      </c>
      <c r="E389" s="28" t="str">
        <f>IFERROR(_xlfn.XLOOKUP(D389,HELPER!$B:$B,HELPER!$C:$C,""),"")</f>
        <v/>
      </c>
      <c r="F389" s="27" t="str">
        <f>IFERROR(_xlfn.XLOOKUP(D389,HELPER!$B:$B,HELPER!$D:$D,""),"")</f>
        <v/>
      </c>
      <c r="G389" s="27">
        <v>8</v>
      </c>
      <c r="H389" s="46"/>
      <c r="I389" s="47" t="str">
        <f>IF(AND(H389&lt;&gt;"",IFERROR(_xlfn.XLOOKUP(D389,HELPER!$B:$B,HELPER!$E:$E,""),"")=""),"Missing price",IFERROR(_xlfn.XLOOKUP(D389,HELPER!$B:$B,HELPER!$E:$E,"")," "))</f>
        <v/>
      </c>
      <c r="J389" s="47" t="str">
        <f>IFERROR(H389*(IF(G389=8,I389*HELPER!$G$2,BOM!I389*HELPER!$G$3))," ")</f>
        <v xml:space="preserve"> </v>
      </c>
      <c r="K389" s="6"/>
      <c r="L389" s="14" t="str" cm="1">
        <f t="array" ref="L389">IFERROR(_xlfn.LET(_xlpm.films,Table4[Film],_xlpm.grades,Table4[Grade],_xlpm.pairs,_xlfn._xlws.FILTER(_xlfn.HSTACK(_xlpm.films,_xlpm.grades),(_xlpm.films&lt;&gt;"")*(TRIM(_xlpm.grades)&lt;&gt;"")),_xlpm.uniquePairs,_xlfn.UNIQUE(_xlpm.pairs),_xlpm.sortedPairs,_xlfn._xlws.SORT(_xlpm.uniquePairs,1,1),INDEX(_xlpm.sortedPairs,ROWS($L$2:L389),1)),"")</f>
        <v/>
      </c>
      <c r="M389" s="15" t="str" cm="1">
        <f t="array" ref="M389">IFERROR(_xlfn.LET(_xlpm.films,Table4[Film],_xlpm.grades,Table4[Grade],_xlpm.pairs,_xlfn._xlws.FILTER(_xlfn.HSTACK(_xlpm.films,_xlpm.grades),(_xlpm.films&lt;&gt;"")*(TRIM(_xlpm.grades)&lt;&gt;"")),_xlpm.uniquePairs,_xlfn.UNIQUE(_xlpm.pairs),_xlpm.sortedPairs,_xlfn._xlws.SORT(_xlpm.uniquePairs,1,1),INDEX(_xlpm.sortedPairs,ROWS($M$2:M389),2)),"")</f>
        <v/>
      </c>
      <c r="N389" s="15" t="str" cm="1">
        <f t="array" ref="N389">IF(OR(Table2[[#This Row],[Film]]="",Table2[[#This Row],[Grade]]=""),"",IFERROR(INDEX(Table4[Serial Number],MATCH(1,(Table4[Film]=Table2[[#This Row],[Film]])*(Table4[Grade]=Table2[[#This Row],[Grade]]),0)),""))</f>
        <v/>
      </c>
      <c r="O389" s="51" t="str">
        <f>IF(OR(Table2[[#This Row],[Film]]="",Table2[[#This Row],[Grade]]=""),"",SUMIFS(Table4[Price Calculated(€) Thickness &amp; QTY related],Table4[Film],Table2[[#This Row],[Film]],Table4[Grade],Table2[[#This Row],[Grade]]))</f>
        <v/>
      </c>
      <c r="P389" s="6"/>
      <c r="T389" s="6"/>
    </row>
    <row r="390" spans="1:20" hidden="1">
      <c r="A390" s="29"/>
      <c r="B390" s="29" t="s">
        <v>7</v>
      </c>
      <c r="C390" s="28"/>
      <c r="D390" s="28" t="str">
        <f>IF(C390="","",IFERROR(_xlfn.XLOOKUP(C390,HELPER!$A$2:$A$81,HELPER!$B$2:$B$81,""),D390))</f>
        <v/>
      </c>
      <c r="E390" s="28" t="str">
        <f>IFERROR(_xlfn.XLOOKUP(D390,HELPER!$B:$B,HELPER!$C:$C,""),"")</f>
        <v/>
      </c>
      <c r="F390" s="27" t="str">
        <f>IFERROR(_xlfn.XLOOKUP(D390,HELPER!$B:$B,HELPER!$D:$D,""),"")</f>
        <v/>
      </c>
      <c r="G390" s="27">
        <v>8</v>
      </c>
      <c r="H390" s="46"/>
      <c r="I390" s="47" t="str">
        <f>IF(AND(H390&lt;&gt;"",IFERROR(_xlfn.XLOOKUP(D390,HELPER!$B:$B,HELPER!$E:$E,""),"")=""),"Missing price",IFERROR(_xlfn.XLOOKUP(D390,HELPER!$B:$B,HELPER!$E:$E,"")," "))</f>
        <v/>
      </c>
      <c r="J390" s="47" t="str">
        <f>IFERROR(H390*(IF(G390=8,I390*HELPER!$G$2,BOM!I390*HELPER!$G$3))," ")</f>
        <v xml:space="preserve"> </v>
      </c>
      <c r="K390" s="6"/>
      <c r="L390" s="14" t="str" cm="1">
        <f t="array" ref="L390">IFERROR(_xlfn.LET(_xlpm.films,Table4[Film],_xlpm.grades,Table4[Grade],_xlpm.pairs,_xlfn._xlws.FILTER(_xlfn.HSTACK(_xlpm.films,_xlpm.grades),(_xlpm.films&lt;&gt;"")*(TRIM(_xlpm.grades)&lt;&gt;"")),_xlpm.uniquePairs,_xlfn.UNIQUE(_xlpm.pairs),_xlpm.sortedPairs,_xlfn._xlws.SORT(_xlpm.uniquePairs,1,1),INDEX(_xlpm.sortedPairs,ROWS($L$2:L390),1)),"")</f>
        <v/>
      </c>
      <c r="M390" s="15" t="str" cm="1">
        <f t="array" ref="M390">IFERROR(_xlfn.LET(_xlpm.films,Table4[Film],_xlpm.grades,Table4[Grade],_xlpm.pairs,_xlfn._xlws.FILTER(_xlfn.HSTACK(_xlpm.films,_xlpm.grades),(_xlpm.films&lt;&gt;"")*(TRIM(_xlpm.grades)&lt;&gt;"")),_xlpm.uniquePairs,_xlfn.UNIQUE(_xlpm.pairs),_xlpm.sortedPairs,_xlfn._xlws.SORT(_xlpm.uniquePairs,1,1),INDEX(_xlpm.sortedPairs,ROWS($M$2:M390),2)),"")</f>
        <v/>
      </c>
      <c r="N390" s="15" t="str" cm="1">
        <f t="array" ref="N390">IF(OR(Table2[[#This Row],[Film]]="",Table2[[#This Row],[Grade]]=""),"",IFERROR(INDEX(Table4[Serial Number],MATCH(1,(Table4[Film]=Table2[[#This Row],[Film]])*(Table4[Grade]=Table2[[#This Row],[Grade]]),0)),""))</f>
        <v/>
      </c>
      <c r="O390" s="51" t="str">
        <f>IF(OR(Table2[[#This Row],[Film]]="",Table2[[#This Row],[Grade]]=""),"",SUMIFS(Table4[Price Calculated(€) Thickness &amp; QTY related],Table4[Film],Table2[[#This Row],[Film]],Table4[Grade],Table2[[#This Row],[Grade]]))</f>
        <v/>
      </c>
      <c r="P390" s="6"/>
      <c r="T390" s="6"/>
    </row>
    <row r="391" spans="1:20" hidden="1">
      <c r="A391" s="29"/>
      <c r="B391" s="29" t="s">
        <v>7</v>
      </c>
      <c r="C391" s="28"/>
      <c r="D391" s="28" t="str">
        <f>IF(C391="","",IFERROR(_xlfn.XLOOKUP(C391,HELPER!$A$2:$A$81,HELPER!$B$2:$B$81,""),D391))</f>
        <v/>
      </c>
      <c r="E391" s="28" t="str">
        <f>IFERROR(_xlfn.XLOOKUP(D391,HELPER!$B:$B,HELPER!$C:$C,""),"")</f>
        <v/>
      </c>
      <c r="F391" s="27" t="str">
        <f>IFERROR(_xlfn.XLOOKUP(D391,HELPER!$B:$B,HELPER!$D:$D,""),"")</f>
        <v/>
      </c>
      <c r="G391" s="27">
        <v>8</v>
      </c>
      <c r="H391" s="46"/>
      <c r="I391" s="47" t="str">
        <f>IF(AND(H391&lt;&gt;"",IFERROR(_xlfn.XLOOKUP(D391,HELPER!$B:$B,HELPER!$E:$E,""),"")=""),"Missing price",IFERROR(_xlfn.XLOOKUP(D391,HELPER!$B:$B,HELPER!$E:$E,"")," "))</f>
        <v/>
      </c>
      <c r="J391" s="47" t="str">
        <f>IFERROR(H391*(IF(G391=8,I391*HELPER!$G$2,BOM!I391*HELPER!$G$3))," ")</f>
        <v xml:space="preserve"> </v>
      </c>
      <c r="K391" s="6"/>
      <c r="L391" s="14" t="str" cm="1">
        <f t="array" ref="L391">IFERROR(_xlfn.LET(_xlpm.films,Table4[Film],_xlpm.grades,Table4[Grade],_xlpm.pairs,_xlfn._xlws.FILTER(_xlfn.HSTACK(_xlpm.films,_xlpm.grades),(_xlpm.films&lt;&gt;"")*(TRIM(_xlpm.grades)&lt;&gt;"")),_xlpm.uniquePairs,_xlfn.UNIQUE(_xlpm.pairs),_xlpm.sortedPairs,_xlfn._xlws.SORT(_xlpm.uniquePairs,1,1),INDEX(_xlpm.sortedPairs,ROWS($L$2:L391),1)),"")</f>
        <v/>
      </c>
      <c r="M391" s="15" t="str" cm="1">
        <f t="array" ref="M391">IFERROR(_xlfn.LET(_xlpm.films,Table4[Film],_xlpm.grades,Table4[Grade],_xlpm.pairs,_xlfn._xlws.FILTER(_xlfn.HSTACK(_xlpm.films,_xlpm.grades),(_xlpm.films&lt;&gt;"")*(TRIM(_xlpm.grades)&lt;&gt;"")),_xlpm.uniquePairs,_xlfn.UNIQUE(_xlpm.pairs),_xlpm.sortedPairs,_xlfn._xlws.SORT(_xlpm.uniquePairs,1,1),INDEX(_xlpm.sortedPairs,ROWS($M$2:M391),2)),"")</f>
        <v/>
      </c>
      <c r="N391" s="15" t="str" cm="1">
        <f t="array" ref="N391">IF(OR(Table2[[#This Row],[Film]]="",Table2[[#This Row],[Grade]]=""),"",IFERROR(INDEX(Table4[Serial Number],MATCH(1,(Table4[Film]=Table2[[#This Row],[Film]])*(Table4[Grade]=Table2[[#This Row],[Grade]]),0)),""))</f>
        <v/>
      </c>
      <c r="O391" s="51" t="str">
        <f>IF(OR(Table2[[#This Row],[Film]]="",Table2[[#This Row],[Grade]]=""),"",SUMIFS(Table4[Price Calculated(€) Thickness &amp; QTY related],Table4[Film],Table2[[#This Row],[Film]],Table4[Grade],Table2[[#This Row],[Grade]]))</f>
        <v/>
      </c>
      <c r="P391" s="6"/>
      <c r="T391" s="6"/>
    </row>
    <row r="393" spans="1:20">
      <c r="H393" s="32">
        <f>82.6%*8%/40%</f>
        <v>0.16519999999999999</v>
      </c>
    </row>
    <row r="394" spans="1:20">
      <c r="G394" s="67"/>
    </row>
    <row r="395" spans="1:20">
      <c r="A395" s="33" t="s">
        <v>92</v>
      </c>
      <c r="G395" s="68"/>
    </row>
    <row r="396" spans="1:20">
      <c r="A396" s="34" t="s">
        <v>93</v>
      </c>
    </row>
    <row r="397" spans="1:20">
      <c r="A397" s="34" t="s">
        <v>94</v>
      </c>
    </row>
    <row r="398" spans="1:20">
      <c r="A398" s="34" t="s">
        <v>95</v>
      </c>
    </row>
    <row r="399" spans="1:20">
      <c r="A399" s="34" t="s">
        <v>96</v>
      </c>
    </row>
    <row r="400" spans="1:20">
      <c r="A400" s="34" t="s">
        <v>97</v>
      </c>
    </row>
    <row r="401" spans="1:1">
      <c r="A401" s="34" t="s">
        <v>98</v>
      </c>
    </row>
    <row r="403" spans="1:1">
      <c r="A403" s="34" t="s">
        <v>99</v>
      </c>
    </row>
    <row r="404" spans="1:1">
      <c r="A404" s="34" t="s">
        <v>100</v>
      </c>
    </row>
  </sheetData>
  <conditionalFormatting sqref="C6:G391">
    <cfRule type="containsText" dxfId="58" priority="1" operator="containsText" text="Missing Price">
      <formula>NOT(ISERROR(SEARCH("Missing Price",C6)))</formula>
    </cfRule>
  </conditionalFormatting>
  <conditionalFormatting sqref="H2:H391">
    <cfRule type="expression" dxfId="57" priority="3">
      <formula>SUM(OFFSET($H$2,(INT((ROW()-2)/10))*10,0,10,1))=1</formula>
    </cfRule>
    <cfRule type="expression" dxfId="56" priority="4">
      <formula>AND(SUM(OFFSET($H$2,(INT((ROW()-2)/10))*10,0,10,1))&gt;0,SUM(OFFSET($H$2,(INT((ROW()-2)/10))*10,0,10,1))&lt;1)</formula>
    </cfRule>
  </conditionalFormatting>
  <conditionalFormatting sqref="I2:I1048576">
    <cfRule type="containsText" dxfId="55" priority="2" operator="containsText" text="Missing Price">
      <formula>NOT(ISERROR(SEARCH("Missing Price",I2)))</formula>
    </cfRule>
  </conditionalFormatting>
  <pageMargins left="0.7" right="0.7" top="0.75" bottom="0.75" header="0.3" footer="0.3"/>
  <legacy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D6C1-57E7-4390-B6EA-B4815E6DE1CE}">
  <sheetPr>
    <tabColor rgb="FFFFFF00"/>
  </sheetPr>
  <dimension ref="A1:BF54"/>
  <sheetViews>
    <sheetView topLeftCell="Y1" zoomScaleNormal="100" workbookViewId="0">
      <selection activeCell="AC11" sqref="AC11"/>
    </sheetView>
  </sheetViews>
  <sheetFormatPr defaultRowHeight="15" outlineLevelRow="1" outlineLevelCol="1"/>
  <cols>
    <col min="1" max="1" width="15.42578125" style="2" bestFit="1" customWidth="1"/>
    <col min="2" max="2" width="16.7109375" bestFit="1" customWidth="1"/>
    <col min="3" max="3" width="18.140625" bestFit="1" customWidth="1"/>
    <col min="4" max="4" width="13" bestFit="1" customWidth="1"/>
    <col min="5" max="5" width="16.42578125" bestFit="1" customWidth="1"/>
    <col min="6" max="6" width="20.85546875" bestFit="1" customWidth="1"/>
    <col min="7" max="7" width="16.28515625" bestFit="1" customWidth="1"/>
    <col min="8" max="8" width="25.42578125" style="4" bestFit="1" customWidth="1"/>
    <col min="9" max="9" width="22.28515625" style="4" bestFit="1" customWidth="1"/>
    <col min="10" max="10" width="16" bestFit="1" customWidth="1"/>
    <col min="11" max="11" width="24" bestFit="1" customWidth="1"/>
    <col min="12" max="12" width="19.42578125" style="3" bestFit="1" customWidth="1"/>
    <col min="13" max="13" width="28.140625" bestFit="1" customWidth="1"/>
    <col min="14" max="14" width="17.85546875" bestFit="1" customWidth="1"/>
    <col min="15" max="15" width="31.28515625" bestFit="1" customWidth="1"/>
    <col min="16" max="16" width="20.85546875" bestFit="1" customWidth="1"/>
    <col min="17" max="17" width="16.42578125" bestFit="1" customWidth="1"/>
    <col min="18" max="18" width="13.5703125" bestFit="1" customWidth="1"/>
    <col min="19" max="19" width="13" bestFit="1" customWidth="1"/>
    <col min="20" max="20" width="19.5703125" bestFit="1" customWidth="1"/>
    <col min="21" max="21" width="13.42578125" bestFit="1" customWidth="1"/>
    <col min="22" max="22" width="11.28515625" bestFit="1" customWidth="1"/>
    <col min="23" max="23" width="22.28515625" bestFit="1" customWidth="1"/>
    <col min="24" max="24" width="16.7109375" bestFit="1" customWidth="1"/>
    <col min="25" max="25" width="17" bestFit="1" customWidth="1"/>
    <col min="26" max="26" width="10.85546875" bestFit="1" customWidth="1"/>
    <col min="27" max="27" width="12" bestFit="1" customWidth="1"/>
    <col min="28" max="28" width="14.42578125" bestFit="1" customWidth="1"/>
    <col min="29" max="29" width="39.5703125" bestFit="1" customWidth="1"/>
    <col min="30" max="30" width="4.28515625" customWidth="1"/>
    <col min="31" max="32" width="5" bestFit="1" customWidth="1"/>
    <col min="33" max="33" width="22.28515625" bestFit="1" customWidth="1"/>
    <col min="34" max="34" width="16.7109375" bestFit="1" customWidth="1"/>
    <col min="35" max="36" width="5.28515625" bestFit="1" customWidth="1"/>
    <col min="37" max="37" width="22.28515625" bestFit="1" customWidth="1"/>
    <col min="38" max="38" width="16.7109375" bestFit="1" customWidth="1"/>
    <col min="39" max="40" width="5.28515625" bestFit="1" customWidth="1"/>
    <col min="41" max="41" width="22.28515625" bestFit="1" customWidth="1"/>
    <col min="42" max="42" width="16.7109375" bestFit="1" customWidth="1"/>
    <col min="43" max="44" width="5.28515625" bestFit="1" customWidth="1"/>
    <col min="45" max="45" width="22.28515625" bestFit="1" customWidth="1" outlineLevel="1"/>
    <col min="46" max="46" width="16.7109375" bestFit="1" customWidth="1" outlineLevel="1"/>
    <col min="47" max="47" width="5.28515625" bestFit="1" customWidth="1" outlineLevel="1"/>
    <col min="48" max="48" width="5.28515625" hidden="1" customWidth="1" outlineLevel="1"/>
    <col min="49" max="49" width="22.28515625" bestFit="1" customWidth="1" outlineLevel="1"/>
    <col min="50" max="50" width="16.7109375" bestFit="1" customWidth="1" outlineLevel="1"/>
    <col min="51" max="51" width="5.28515625" bestFit="1" customWidth="1" outlineLevel="1"/>
    <col min="52" max="52" width="5.28515625" hidden="1" customWidth="1" outlineLevel="1"/>
    <col min="53" max="53" width="22.28515625" bestFit="1" customWidth="1" outlineLevel="1"/>
    <col min="54" max="54" width="16.7109375" bestFit="1" customWidth="1" outlineLevel="1"/>
    <col min="55" max="55" width="5.28515625" bestFit="1" customWidth="1" outlineLevel="1"/>
    <col min="56" max="56" width="5.28515625" bestFit="1" customWidth="1"/>
  </cols>
  <sheetData>
    <row r="1" spans="1:58">
      <c r="A1" s="448" t="s">
        <v>69</v>
      </c>
      <c r="B1" s="448" t="s">
        <v>70</v>
      </c>
      <c r="C1" s="448" t="s">
        <v>69</v>
      </c>
      <c r="D1" s="448"/>
      <c r="E1" s="448"/>
      <c r="F1" s="448"/>
      <c r="G1" s="448"/>
      <c r="H1" s="448"/>
      <c r="I1" s="448"/>
      <c r="J1" s="448"/>
      <c r="K1" s="448"/>
      <c r="L1" s="448"/>
      <c r="M1" s="448"/>
      <c r="N1" s="448"/>
      <c r="O1" s="448"/>
      <c r="P1" s="448"/>
      <c r="Q1" s="448"/>
      <c r="R1" s="448"/>
      <c r="S1" s="448"/>
      <c r="T1" s="448"/>
      <c r="U1" s="448"/>
      <c r="V1" s="447" t="s">
        <v>125</v>
      </c>
      <c r="W1" s="448"/>
      <c r="X1" s="448"/>
      <c r="Y1" s="448"/>
      <c r="Z1" s="448"/>
      <c r="AA1" s="448"/>
      <c r="AB1" s="449"/>
      <c r="AG1" s="145"/>
      <c r="AH1" s="146"/>
      <c r="AI1" s="147"/>
      <c r="AK1" s="145"/>
      <c r="AL1" s="146"/>
      <c r="AM1" s="147"/>
      <c r="AO1" s="145"/>
      <c r="AP1" s="146"/>
      <c r="AQ1" s="147"/>
      <c r="AS1" s="145"/>
      <c r="AT1" s="146"/>
      <c r="AU1" s="147"/>
      <c r="AW1" s="145"/>
      <c r="AX1" s="146"/>
      <c r="AY1" s="147"/>
      <c r="BA1" s="145"/>
      <c r="BB1" s="146"/>
      <c r="BC1" s="147"/>
    </row>
    <row r="2" spans="1:58" ht="30">
      <c r="A2" s="450" t="s">
        <v>54</v>
      </c>
      <c r="B2" s="451" t="s">
        <v>55</v>
      </c>
      <c r="C2" s="451" t="s">
        <v>4</v>
      </c>
      <c r="D2" s="451" t="s">
        <v>57</v>
      </c>
      <c r="E2" s="451" t="s">
        <v>101</v>
      </c>
      <c r="F2" s="451" t="s">
        <v>71</v>
      </c>
      <c r="G2" s="451" t="s">
        <v>56</v>
      </c>
      <c r="H2" s="452" t="s">
        <v>58</v>
      </c>
      <c r="I2" s="452" t="s">
        <v>59</v>
      </c>
      <c r="J2" s="451" t="s">
        <v>60</v>
      </c>
      <c r="K2" s="451" t="s">
        <v>61</v>
      </c>
      <c r="L2" s="451" t="s">
        <v>62</v>
      </c>
      <c r="M2" s="451" t="s">
        <v>63</v>
      </c>
      <c r="N2" s="451" t="s">
        <v>64</v>
      </c>
      <c r="O2" s="451" t="s">
        <v>65</v>
      </c>
      <c r="P2" s="451" t="s">
        <v>501</v>
      </c>
      <c r="Q2" s="451" t="s">
        <v>66</v>
      </c>
      <c r="R2" s="451" t="s">
        <v>222</v>
      </c>
      <c r="S2" s="453" t="s">
        <v>271</v>
      </c>
      <c r="T2" s="453" t="s">
        <v>847</v>
      </c>
      <c r="U2" s="453" t="s">
        <v>799</v>
      </c>
      <c r="V2" s="451" t="s">
        <v>67</v>
      </c>
      <c r="W2" s="451" t="s">
        <v>842</v>
      </c>
      <c r="X2" s="451" t="s">
        <v>465</v>
      </c>
      <c r="Y2" s="451" t="s">
        <v>466</v>
      </c>
      <c r="Z2" s="454" t="s">
        <v>68</v>
      </c>
      <c r="AA2" s="454" t="s">
        <v>219</v>
      </c>
      <c r="AB2" s="455" t="s">
        <v>467</v>
      </c>
      <c r="AC2" s="641" t="s">
        <v>1182</v>
      </c>
      <c r="AG2" s="252" t="s">
        <v>851</v>
      </c>
      <c r="AH2" s="1026">
        <v>0.22500000000000001</v>
      </c>
      <c r="AI2" s="1027"/>
      <c r="AK2" s="252" t="s">
        <v>851</v>
      </c>
      <c r="AL2" s="1026">
        <v>0.25</v>
      </c>
      <c r="AM2" s="1027"/>
      <c r="AO2" s="252" t="s">
        <v>851</v>
      </c>
      <c r="AP2" s="1026">
        <v>0.2</v>
      </c>
      <c r="AQ2" s="1027"/>
      <c r="AS2" s="208" t="s">
        <v>486</v>
      </c>
      <c r="AT2" s="1026">
        <v>0.25</v>
      </c>
      <c r="AU2" s="1027"/>
      <c r="AW2" s="208" t="s">
        <v>486</v>
      </c>
      <c r="AX2" s="1026">
        <v>0.25</v>
      </c>
      <c r="AY2" s="1027"/>
      <c r="BA2" s="208" t="s">
        <v>486</v>
      </c>
      <c r="BB2" s="1026">
        <v>0.25</v>
      </c>
      <c r="BC2" s="1027"/>
    </row>
    <row r="3" spans="1:58" ht="17.25">
      <c r="A3" s="456" t="str" cm="1">
        <f t="array" ref="A3">CHOOSE(ROW()-ROW(Table1[#Headers]),$AH$4,$AL$4,$AP$4,$AT$4,$AX$4,$BB$4)</f>
        <v>TIPA 312 MET</v>
      </c>
      <c r="B3" s="464" cm="1">
        <f t="array" ref="B3">CHOOSE(ROW()-ROW(Table1[#Headers]),$AH$5,$AL$5,$AP$5,$AT$5,$AX$5,$BB$5)</f>
        <v>406</v>
      </c>
      <c r="C3" s="464" cm="1">
        <f t="array" ref="C3">CHOOSE(ROW()-ROW(Table1[#Headers]),$AH$6,$AL$6,$AP$6,$AT$6,$AX$6,$BB$6)</f>
        <v>25</v>
      </c>
      <c r="D3" s="467" cm="1">
        <f t="array" ref="D3">CHOOSE(ROW()-ROW(Table1[#Headers]),$AH$7,$AL$7,$AP$7,$AT$7,$AX$7,$BB$7)</f>
        <v>1.25</v>
      </c>
      <c r="E3" s="464">
        <f t="shared" ref="E3:E8" si="0">IF(OR(A3="",A3="-"),"",IF(AND(G3&lt;&gt;"",H3&lt;&gt;""),G3*H3,""))</f>
        <v>500.00000000000006</v>
      </c>
      <c r="F3" s="464" cm="1">
        <f t="array" ref="F3">CHOOSE(ROW()-ROW(Table1[#Headers]),IF($AH$21="By Length",$AH$22*$H$3,$AH$8),IF($AL$21="By Length",$AL$22*$H$4,$AL$8),IF($AP$21="By Length",$AP$22*$H$5,$AP$8),IF($AT$21="By Length",$AT$22*$H$6,$AT$8),IF($AX$21="By Length",$AX$22*$H$7,$AX$8),IF($BB$21="By Length",$BB$22*$H$8,$BB$8))</f>
        <v>500</v>
      </c>
      <c r="G3" s="464" cm="1">
        <f t="array" ref="G3">CHOOSE(ROW()-ROW(Table1[#Headers]),$AH$9,$AL$9,$AP$9,$AT$9,$AX$9,$BB$9)</f>
        <v>39408.866995073891</v>
      </c>
      <c r="H3" s="472">
        <f t="shared" ref="H3:H8" si="1">IF(OR(A3="",A3="-"),"",IF(AND(B3&lt;&gt;"",C3&lt;&gt;"",D3&lt;&gt;""),D3*(C3/1000)*(B3/1000),""))</f>
        <v>1.2687500000000001E-2</v>
      </c>
      <c r="I3" s="464">
        <f t="shared" ref="I3:I8" si="2">IF(OR(A3="",A3="-"),"",IF(F3&lt;&gt;"",F3,IF(AND(G3&lt;&gt;"",H3&lt;&gt;""),G3*H3,"")))</f>
        <v>500</v>
      </c>
      <c r="J3" s="471">
        <v>510</v>
      </c>
      <c r="K3" s="476">
        <f>IFERROR((Table1[[#This Row],[Hourly rate]]*(Table1[[#This Row],[Total Kg Produced]]/500))/Table1[[#This Row],[Total Kg Produced]],0)+0.2</f>
        <v>1.22</v>
      </c>
      <c r="L3" s="477">
        <f>IFERROR(_xlfn.XLOOKUP(Table1[[#This Row],[Film Type]],Table3[Film],Table3[Price (€/kg)],0),0)</f>
        <v>5.3805880000000004</v>
      </c>
      <c r="M3" s="476">
        <f t="shared" ref="M3:M8" si="3">IFERROR((L3+K3),0)</f>
        <v>6.6005880000000001</v>
      </c>
      <c r="N3" s="457">
        <f>IF(OR(I3="",I3=0),"",VLOOKUP(I3,HELPER!$AM$2:$AN$6,2,TRUE))</f>
        <v>0.25</v>
      </c>
      <c r="O3" s="476">
        <f t="shared" ref="O3:O8" si="4">IF(AND(M3&lt;&gt;"",N3&lt;&gt;""),M3*(1+N3),"")</f>
        <v>8.2507350000000006</v>
      </c>
      <c r="P3" s="476">
        <f>IF(AND(Table1[[#This Row],[Thickness (µ)]]&lt;&gt;"",Table1[[#This Row],[RM cost in 1 Kg]]&lt;&gt;""), VLOOKUP(Table1[[#This Row],[Thickness (µ)]], HELPER!$BH$3:$BI$5, 2, TRUE) * Table1[[#This Row],[RM cost in 1 Kg]], "")</f>
        <v>0.40354410000000002</v>
      </c>
      <c r="Q3" s="476">
        <v>0.3</v>
      </c>
      <c r="R3" s="483" t="str" cm="1">
        <f t="array" ref="R3">CHOOSE(ROW()-ROW(Table1[#Headers]),$AH$13,$AL$13,$AP$13,$AT$13,$AX$13,$BB$13)</f>
        <v>Marma</v>
      </c>
      <c r="S3" s="483" cm="1">
        <f t="array" ref="S3">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3" s="483">
        <f>IFERROR(Table1[[#This Row],[Printing]]*Table1[[#This Row],[Length (Mr)]]/Table1[[#This Row],[Weight Override]],0)</f>
        <v>8.3909359605911327</v>
      </c>
      <c r="U3" s="483">
        <f>IF(Table1[[#This Row],[Printing]]&gt;0,Table1[[#This Row],[RM cost in 1 Kg]]*0.028,0)</f>
        <v>0.15065646400000002</v>
      </c>
      <c r="V3" s="476">
        <f>IF(Table1[[#This Row],[RM cost in 1 Kg]]&gt;0,((1500+3000)/30000),0)</f>
        <v>0.15</v>
      </c>
      <c r="W3" s="483">
        <f>IF(AND(Table1[[#This Row],[Weight Override]]&gt;0,ISNUMBER(SEARCH("W",Table1[[#This Row],[Film Type]]))),1500/Table1[[#This Row],[Weight Override]],0)</f>
        <v>0</v>
      </c>
      <c r="X3" s="458" t="str" cm="1">
        <f t="array" ref="X3">CHOOSE(ROW()-ROW(Table1[#Headers]),$AH$10,$AL$10,$AP$10,$AT$10,$AX$10,$BB$10)</f>
        <v>EXW</v>
      </c>
      <c r="Y3" s="477">
        <f>IF(I3&lt;=0,"",IFERROR(IF(X3="Europe to US",IF(I3&lt;500,10,IF(I3&lt;1000,8,IF(I3&lt;2500,6,IF(I3&lt;5000,5,4)))),IF(X3="Europe to Canada",IF(I3&lt;1000,(I3/1000)*VLOOKUP(1000,HELPER!$AG$4:$AH$8,2,FALSE)/I3,VLOOKUP(I3,HELPER!$AG$4:$AH$8,2,TRUE)/I3),VLOOKUP(X3,HELPER!$AF$2:$AH$3,3,FALSE))),0))</f>
        <v>0.2</v>
      </c>
      <c r="Z3" s="489">
        <f>IFERROR((Table1[[#This Row],[Total Cost and depreciation]]+Table1[[#This Row],[Thickness waste]]+Table1[[#This Row],[Other costs]]+Table1[[#This Row],[Setup]]+Table1[[#This Row],[Setup for colored Films]]+Table1[[#This Row],[Shiping cost]]+Table1[[#This Row],[Printing Waste]]+Table1[[#This Row],[Printing per KG]]),0)</f>
        <v>17.845871524591132</v>
      </c>
      <c r="AA3" s="490" cm="1">
        <f t="array" ref="AA3">Table1[[#This Row],[Total Cost]]/(1-CHOOSE(ROW()-ROW(Table1[#Headers]),$AH$2,$AL$2,$AP$2,$AT$2,$AX$2,$BB$2))-Table1[[#This Row],[Total Cost]]</f>
        <v>5.1810594748812946</v>
      </c>
      <c r="AB3" s="491" cm="1">
        <f t="array" ref="AB3">Table1[[#This Row],[Total Cost]]/(1-CHOOSE(ROW()-ROW(Table1[#Headers]),$AH$2,$AL$2,$AP$2,$AT$2,$AX$2,$BB$2))</f>
        <v>23.026930999472427</v>
      </c>
      <c r="AC3" s="635">
        <f>Table1[[#This Row],[Total Cost and depreciation]]+Table1[[#This Row],[Thickness waste]]+Table1[[#This Row],[Other costs]]</f>
        <v>8.9542791000000008</v>
      </c>
      <c r="AG3" s="1031" t="s">
        <v>1203</v>
      </c>
      <c r="AH3" s="1032"/>
      <c r="AI3" s="1033"/>
      <c r="AK3" s="1028" t="s">
        <v>1004</v>
      </c>
      <c r="AL3" s="1029"/>
      <c r="AM3" s="1030"/>
      <c r="AO3" s="1028" t="s">
        <v>1005</v>
      </c>
      <c r="AP3" s="1029"/>
      <c r="AQ3" s="1030"/>
      <c r="AS3" s="1028" t="s">
        <v>1006</v>
      </c>
      <c r="AT3" s="1029"/>
      <c r="AU3" s="1030"/>
      <c r="AW3" s="1028" t="s">
        <v>1007</v>
      </c>
      <c r="AX3" s="1029"/>
      <c r="AY3" s="1030"/>
      <c r="BA3" s="1028" t="s">
        <v>1008</v>
      </c>
      <c r="BB3" s="1029"/>
      <c r="BC3" s="1030"/>
    </row>
    <row r="4" spans="1:58">
      <c r="A4" s="459" t="str" cm="1">
        <f t="array" ref="A4">CHOOSE(ROW()-ROW(Table1[#Headers]),$AH$4,$AL$4,$AP$4,$AT$4,$AX$4,$BB$4)</f>
        <v>TIPA 302FG W</v>
      </c>
      <c r="B4" s="465" cm="1">
        <f t="array" ref="B4">CHOOSE(ROW()-ROW(Table1[#Headers]),$AH$5,$AL$5,$AP$5,$AT$5,$AX$5,$BB$5)</f>
        <v>406</v>
      </c>
      <c r="C4" s="465" cm="1">
        <f t="array" ref="C4">CHOOSE(ROW()-ROW(Table1[#Headers]),$AH$6,$AL$6,$AP$6,$AT$6,$AX$6,$BB$6)</f>
        <v>20</v>
      </c>
      <c r="D4" s="468" cm="1">
        <f t="array" ref="D4">CHOOSE(ROW()-ROW(Table1[#Headers]),$AH$7,$AL$7,$AP$7,$AT$7,$AX$7,$BB$7)</f>
        <v>1.25</v>
      </c>
      <c r="E4" s="465">
        <f t="shared" si="0"/>
        <v>1000.0000000000001</v>
      </c>
      <c r="F4" s="465" cm="1">
        <f t="array" ref="F4">CHOOSE(ROW()-ROW(Table1[#Headers]),IF($AH$21="By Length",$AH$22*$H$3,$AH$8),IF($AL$21="By Length",$AL$22*$H$4,$AL$8),IF($AP$21="By Length",$AP$22*$H$5,$AP$8),IF($AT$21="By Length",$AT$22*$H$6,$AT$8),IF($AX$21="By Length",$AX$22*$H$7,$AX$8),IF($BB$21="By Length",$BB$22*$H$8,$BB$8))</f>
        <v>1000</v>
      </c>
      <c r="G4" s="470" cm="1">
        <f t="array" ref="G4">CHOOSE(ROW()-ROW(Table1[#Headers]),$AH$9,$AL$9,$AP$9,$AT$9,$AX$9,$BB$9)</f>
        <v>98522.167487684725</v>
      </c>
      <c r="H4" s="473">
        <f t="shared" si="1"/>
        <v>1.0150000000000001E-2</v>
      </c>
      <c r="I4" s="465">
        <f t="shared" si="2"/>
        <v>1000</v>
      </c>
      <c r="J4" s="470">
        <v>510</v>
      </c>
      <c r="K4" s="478">
        <f>IFERROR((Table1[[#This Row],[Hourly rate]]*(Table1[[#This Row],[Total Kg Produced]]/500))/Table1[[#This Row],[Total Kg Produced]],0)+0.2</f>
        <v>1.22</v>
      </c>
      <c r="L4" s="479">
        <f>IFERROR(_xlfn.XLOOKUP(Table1[[#This Row],[Film Type]],Table3[Film],Table3[Price (€/kg)],0),0)</f>
        <v>5.3805880000000004</v>
      </c>
      <c r="M4" s="478">
        <f t="shared" si="3"/>
        <v>6.6005880000000001</v>
      </c>
      <c r="N4" s="460">
        <f>IF(OR(I4="",I4=0),"",VLOOKUP(I4,HELPER!$AM$2:$AN$6,2,TRUE))</f>
        <v>0.2</v>
      </c>
      <c r="O4" s="478">
        <f t="shared" si="4"/>
        <v>7.9207055999999998</v>
      </c>
      <c r="P4" s="478">
        <f>IF(AND(Table1[[#This Row],[Thickness (µ)]]&lt;&gt;"",Table1[[#This Row],[RM cost in 1 Kg]]&lt;&gt;""), VLOOKUP(Table1[[#This Row],[Thickness (µ)]], HELPER!$BH$3:$BI$5, 2, TRUE) * Table1[[#This Row],[RM cost in 1 Kg]], "")</f>
        <v>0.40354410000000002</v>
      </c>
      <c r="Q4" s="478">
        <v>0.3</v>
      </c>
      <c r="R4" s="484" t="str" cm="1">
        <f t="array" ref="R4">CHOOSE(ROW()-ROW(Table1[#Headers]),$AH$13,$AL$13,$AP$13,$AT$13,$AX$13,$BB$13)</f>
        <v>Bastin</v>
      </c>
      <c r="S4" s="484" cm="1">
        <f t="array" ref="S4">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4" s="484">
        <f>IFERROR(Table1[[#This Row],[Printing]]*Table1[[#This Row],[Length (Mr)]]/Table1[[#This Row],[Weight Override]],0)</f>
        <v>10.488669950738915</v>
      </c>
      <c r="U4" s="484">
        <f>IF(Table1[[#This Row],[Printing]]&gt;0,Table1[[#This Row],[RM cost in 1 Kg]]*0.028,0)</f>
        <v>0.15065646400000002</v>
      </c>
      <c r="V4" s="478">
        <f>IF(Table1[[#This Row],[RM cost in 1 Kg]]&gt;0,((1500+3000)/30000),0)</f>
        <v>0.15</v>
      </c>
      <c r="W4" s="484">
        <f>IF(AND(Table1[[#This Row],[Weight Override]]&gt;0,ISNUMBER(SEARCH("W",Table1[[#This Row],[Film Type]]))),1500/Table1[[#This Row],[Weight Override]],0)</f>
        <v>1.5</v>
      </c>
      <c r="X4" s="461" t="str" cm="1">
        <f t="array" ref="X4">CHOOSE(ROW()-ROW(Table1[#Headers]),$AH$10,$AL$10,$AP$10,$AT$10,$AX$10,$BB$10)</f>
        <v>EXW</v>
      </c>
      <c r="Y4" s="479">
        <f>IF(I4&lt;=0,"",IFERROR(IF(X4="Europe to US",IF(I4&lt;500,10,IF(I4&lt;1000,8,IF(I4&lt;2500,6,IF(I4&lt;5000,5,4)))),IF(X4="Europe to Canada",IF(I4&lt;1000,(I4/1000)*VLOOKUP(1000,HELPER!$AG$4:$AH$8,2,FALSE)/I4,VLOOKUP(I4,HELPER!$AG$4:$AH$8,2,TRUE)/I4),VLOOKUP(X4,HELPER!$AF$2:$AH$3,3,FALSE))),0))</f>
        <v>0.2</v>
      </c>
      <c r="Z4" s="492">
        <f>IFERROR((Table1[[#This Row],[Total Cost and depreciation]]+Table1[[#This Row],[Thickness waste]]+Table1[[#This Row],[Other costs]]+Table1[[#This Row],[Setup]]+Table1[[#This Row],[Setup for colored Films]]+Table1[[#This Row],[Shiping cost]]+Table1[[#This Row],[Printing Waste]]+Table1[[#This Row],[Printing per KG]]),0)</f>
        <v>21.113576114738915</v>
      </c>
      <c r="AA4" s="493" cm="1">
        <f t="array" ref="AA4">Table1[[#This Row],[Total Cost]]/(1-CHOOSE(ROW()-ROW(Table1[#Headers]),$AH$2,$AL$2,$AP$2,$AT$2,$AX$2,$BB$2))-Table1[[#This Row],[Total Cost]]</f>
        <v>7.0378587049129706</v>
      </c>
      <c r="AB4" s="494" cm="1">
        <f t="array" ref="AB4">Table1[[#This Row],[Total Cost]]/(1-CHOOSE(ROW()-ROW(Table1[#Headers]),$AH$2,$AL$2,$AP$2,$AT$2,$AX$2,$BB$2))</f>
        <v>28.151434819651886</v>
      </c>
      <c r="AC4" s="635">
        <f>Table1[[#This Row],[Total Cost and depreciation]]+Table1[[#This Row],[Thickness waste]]+Table1[[#This Row],[Other costs]]</f>
        <v>8.6242497</v>
      </c>
      <c r="AG4" s="209" t="s">
        <v>487</v>
      </c>
      <c r="AH4" s="213" t="s">
        <v>180</v>
      </c>
      <c r="AI4" s="218"/>
      <c r="AK4" s="209" t="s">
        <v>487</v>
      </c>
      <c r="AL4" s="213" t="s">
        <v>43</v>
      </c>
      <c r="AM4" s="218"/>
      <c r="AO4" s="209" t="s">
        <v>487</v>
      </c>
      <c r="AP4" s="213" t="s">
        <v>44</v>
      </c>
      <c r="AQ4" s="218"/>
      <c r="AS4" s="209" t="s">
        <v>487</v>
      </c>
      <c r="AT4" s="213" t="s">
        <v>45</v>
      </c>
      <c r="AU4" s="218"/>
      <c r="AW4" s="209" t="s">
        <v>487</v>
      </c>
      <c r="AX4" s="213" t="s">
        <v>179</v>
      </c>
      <c r="AY4" s="218"/>
      <c r="BA4" s="209" t="s">
        <v>487</v>
      </c>
      <c r="BB4" s="213" t="s">
        <v>51</v>
      </c>
      <c r="BC4" s="218"/>
    </row>
    <row r="5" spans="1:58">
      <c r="A5" s="456" t="str" cm="1">
        <f t="array" ref="A5">CHOOSE(ROW()-ROW(Table1[#Headers]),$AH$4,$AL$4,$AP$4,$AT$4,$AX$4,$BB$4)</f>
        <v>TIPA 306M</v>
      </c>
      <c r="B5" s="464" cm="1">
        <f t="array" ref="B5">CHOOSE(ROW()-ROW(Table1[#Headers]),$AH$5,$AL$5,$AP$5,$AT$5,$AX$5,$BB$5)</f>
        <v>406</v>
      </c>
      <c r="C5" s="464" cm="1">
        <f t="array" ref="C5">CHOOSE(ROW()-ROW(Table1[#Headers]),$AH$6,$AL$6,$AP$6,$AT$6,$AX$6,$BB$6)</f>
        <v>20</v>
      </c>
      <c r="D5" s="467" cm="1">
        <f t="array" ref="D5">CHOOSE(ROW()-ROW(Table1[#Headers]),$AH$7,$AL$7,$AP$7,$AT$7,$AX$7,$BB$7)</f>
        <v>1.25</v>
      </c>
      <c r="E5" s="464">
        <f t="shared" si="0"/>
        <v>2000.0000000000002</v>
      </c>
      <c r="F5" s="464" cm="1">
        <f t="array" ref="F5">CHOOSE(ROW()-ROW(Table1[#Headers]),IF($AH$21="By Length",$AH$22*$H$3,$AH$8),IF($AL$21="By Length",$AL$22*$H$4,$AL$8),IF($AP$21="By Length",$AP$22*$H$5,$AP$8),IF($AT$21="By Length",$AT$22*$H$6,$AT$8),IF($AX$21="By Length",$AX$22*$H$7,$AX$8),IF($BB$21="By Length",$BB$22*$H$8,$BB$8))</f>
        <v>2000</v>
      </c>
      <c r="G5" s="471" cm="1">
        <f t="array" ref="G5">CHOOSE(ROW()-ROW(Table1[#Headers]),$AH$9,$AL$9,$AP$9,$AT$9,$AX$9,$BB$9)</f>
        <v>197044.33497536945</v>
      </c>
      <c r="H5" s="472">
        <f t="shared" si="1"/>
        <v>1.0150000000000001E-2</v>
      </c>
      <c r="I5" s="464">
        <f t="shared" si="2"/>
        <v>2000</v>
      </c>
      <c r="J5" s="471">
        <v>510</v>
      </c>
      <c r="K5" s="476">
        <f>IFERROR((Table1[[#This Row],[Hourly rate]]*(Table1[[#This Row],[Total Kg Produced]]/500))/Table1[[#This Row],[Total Kg Produced]],0)+0.2</f>
        <v>1.22</v>
      </c>
      <c r="L5" s="477">
        <f>IFERROR(_xlfn.XLOOKUP(Table1[[#This Row],[Film Type]],Table3[Film],Table3[Price (€/kg)],0),0)</f>
        <v>5.3805880000000004</v>
      </c>
      <c r="M5" s="476">
        <f t="shared" si="3"/>
        <v>6.6005880000000001</v>
      </c>
      <c r="N5" s="457">
        <f>IF(OR(I5="",I5=0),"",VLOOKUP(I5,HELPER!$AM$2:$AN$6,2,TRUE))</f>
        <v>0.18</v>
      </c>
      <c r="O5" s="476">
        <f t="shared" si="4"/>
        <v>7.7886938399999996</v>
      </c>
      <c r="P5" s="476">
        <f>IF(AND(Table1[[#This Row],[Thickness (µ)]]&lt;&gt;"",Table1[[#This Row],[RM cost in 1 Kg]]&lt;&gt;""), VLOOKUP(Table1[[#This Row],[Thickness (µ)]], HELPER!$BH$3:$BI$5, 2, TRUE) * Table1[[#This Row],[RM cost in 1 Kg]], "")</f>
        <v>0.40354410000000002</v>
      </c>
      <c r="Q5" s="476">
        <v>0.3</v>
      </c>
      <c r="R5" s="483" t="str" cm="1">
        <f t="array" ref="R5">CHOOSE(ROW()-ROW(Table1[#Headers]),$AH$13,$AL$13,$AP$13,$AT$13,$AX$13,$BB$13)</f>
        <v>Bastin</v>
      </c>
      <c r="S5" s="483" cm="1">
        <f t="array" ref="S5">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5" s="483">
        <f>IFERROR(Table1[[#This Row],[Printing]]*Table1[[#This Row],[Length (Mr)]]/Table1[[#This Row],[Weight Override]],0)</f>
        <v>10.488669950738915</v>
      </c>
      <c r="U5" s="483">
        <f>IF(Table1[[#This Row],[Printing]]&gt;0,Table1[[#This Row],[RM cost in 1 Kg]]*0.028,0)</f>
        <v>0.15065646400000002</v>
      </c>
      <c r="V5" s="476">
        <f>IF(Table1[[#This Row],[RM cost in 1 Kg]]&gt;0,((1500+3000)/30000),0)</f>
        <v>0.15</v>
      </c>
      <c r="W5" s="483">
        <f>IF(AND(Table1[[#This Row],[Weight Override]]&gt;0,ISNUMBER(SEARCH("W",Table1[[#This Row],[Film Type]]))),1500/Table1[[#This Row],[Weight Override]],0)</f>
        <v>0</v>
      </c>
      <c r="X5" s="458" t="str" cm="1">
        <f t="array" ref="X5">CHOOSE(ROW()-ROW(Table1[#Headers]),$AH$10,$AL$10,$AP$10,$AT$10,$AX$10,$BB$10)</f>
        <v>EXW</v>
      </c>
      <c r="Y5" s="477">
        <f>IF(I5&lt;=0,"",IFERROR(IF(X5="Europe to US",IF(I5&lt;500,10,IF(I5&lt;1000,8,IF(I5&lt;2500,6,IF(I5&lt;5000,5,4)))),IF(X5="Europe to Canada",IF(I5&lt;1000,(I5/1000)*VLOOKUP(1000,HELPER!$AG$4:$AH$8,2,FALSE)/I5,VLOOKUP(I5,HELPER!$AG$4:$AH$8,2,TRUE)/I5),VLOOKUP(X5,HELPER!$AF$2:$AH$3,3,FALSE))),0))</f>
        <v>0.2</v>
      </c>
      <c r="Z5" s="489">
        <f>IFERROR((Table1[[#This Row],[Total Cost and depreciation]]+Table1[[#This Row],[Thickness waste]]+Table1[[#This Row],[Other costs]]+Table1[[#This Row],[Setup]]+Table1[[#This Row],[Setup for colored Films]]+Table1[[#This Row],[Shiping cost]]+Table1[[#This Row],[Printing Waste]]+Table1[[#This Row],[Printing per KG]]),0)</f>
        <v>19.481564354738914</v>
      </c>
      <c r="AA5" s="490" cm="1">
        <f t="array" ref="AA5">Table1[[#This Row],[Total Cost]]/(1-CHOOSE(ROW()-ROW(Table1[#Headers]),$AH$2,$AL$2,$AP$2,$AT$2,$AX$2,$BB$2))-Table1[[#This Row],[Total Cost]]</f>
        <v>4.8703910886847268</v>
      </c>
      <c r="AB5" s="491" cm="1">
        <f t="array" ref="AB5">Table1[[#This Row],[Total Cost]]/(1-CHOOSE(ROW()-ROW(Table1[#Headers]),$AH$2,$AL$2,$AP$2,$AT$2,$AX$2,$BB$2))</f>
        <v>24.351955443423641</v>
      </c>
      <c r="AC5" s="635">
        <f>Table1[[#This Row],[Total Cost and depreciation]]+Table1[[#This Row],[Thickness waste]]+Table1[[#This Row],[Other costs]]</f>
        <v>8.4922379400000008</v>
      </c>
      <c r="AG5" s="210" t="s">
        <v>488</v>
      </c>
      <c r="AH5" s="214">
        <v>406</v>
      </c>
      <c r="AI5" s="219" t="s">
        <v>489</v>
      </c>
      <c r="AK5" s="210" t="s">
        <v>488</v>
      </c>
      <c r="AL5" s="214">
        <v>406</v>
      </c>
      <c r="AM5" s="219" t="s">
        <v>489</v>
      </c>
      <c r="AO5" s="210" t="s">
        <v>488</v>
      </c>
      <c r="AP5" s="214">
        <v>406</v>
      </c>
      <c r="AQ5" s="219" t="s">
        <v>489</v>
      </c>
      <c r="AS5" s="210" t="s">
        <v>488</v>
      </c>
      <c r="AT5" s="214">
        <v>406</v>
      </c>
      <c r="AU5" s="219" t="s">
        <v>489</v>
      </c>
      <c r="AW5" s="210" t="s">
        <v>488</v>
      </c>
      <c r="AX5" s="214">
        <v>406</v>
      </c>
      <c r="AY5" s="219" t="s">
        <v>489</v>
      </c>
      <c r="BA5" s="210" t="s">
        <v>488</v>
      </c>
      <c r="BB5" s="214">
        <v>406</v>
      </c>
      <c r="BC5" s="219" t="s">
        <v>489</v>
      </c>
    </row>
    <row r="6" spans="1:58">
      <c r="A6" s="459" t="str" cm="1">
        <f t="array" ref="A6">CHOOSE(ROW()-ROW(Table1[#Headers]),$AH$4,$AL$4,$AP$4,$AT$4,$AX$4,$BB$4)</f>
        <v>TIPA 306W</v>
      </c>
      <c r="B6" s="465" cm="1">
        <f t="array" ref="B6">CHOOSE(ROW()-ROW(Table1[#Headers]),$AH$5,$AL$5,$AP$5,$AT$5,$AX$5,$BB$5)</f>
        <v>406</v>
      </c>
      <c r="C6" s="465" cm="1">
        <f t="array" ref="C6">CHOOSE(ROW()-ROW(Table1[#Headers]),$AH$6,$AL$6,$AP$6,$AT$6,$AX$6,$BB$6)</f>
        <v>20</v>
      </c>
      <c r="D6" s="468" cm="1">
        <f t="array" ref="D6">CHOOSE(ROW()-ROW(Table1[#Headers]),$AH$7,$AL$7,$AP$7,$AT$7,$AX$7,$BB$7)</f>
        <v>1.25</v>
      </c>
      <c r="E6" s="465">
        <f t="shared" si="0"/>
        <v>3000</v>
      </c>
      <c r="F6" s="465" cm="1">
        <f t="array" ref="F6">CHOOSE(ROW()-ROW(Table1[#Headers]),IF($AH$21="By Length",$AH$22*$H$3,$AH$8),IF($AL$21="By Length",$AL$22*$H$4,$AL$8),IF($AP$21="By Length",$AP$22*$H$5,$AP$8),IF($AT$21="By Length",$AT$22*$H$6,$AT$8),IF($AX$21="By Length",$AX$22*$H$7,$AX$8),IF($BB$21="By Length",$BB$22*$H$8,$BB$8))</f>
        <v>3000</v>
      </c>
      <c r="G6" s="465" cm="1">
        <f t="array" ref="G6">CHOOSE(ROW()-ROW(Table1[#Headers]),$AH$9,$AL$9,$AP$9,$AT$9,$AX$9,$BB$9)</f>
        <v>295566.50246305414</v>
      </c>
      <c r="H6" s="473">
        <f t="shared" si="1"/>
        <v>1.0150000000000001E-2</v>
      </c>
      <c r="I6" s="465">
        <f t="shared" si="2"/>
        <v>3000</v>
      </c>
      <c r="J6" s="470">
        <v>510</v>
      </c>
      <c r="K6" s="478">
        <f>IFERROR((Table1[[#This Row],[Hourly rate]]*(Table1[[#This Row],[Total Kg Produced]]/500))/Table1[[#This Row],[Total Kg Produced]],0)+0.2</f>
        <v>1.22</v>
      </c>
      <c r="L6" s="479">
        <f>IFERROR(_xlfn.XLOOKUP(Table1[[#This Row],[Film Type]],Table3[Film],Table3[Price (€/kg)],0),0)</f>
        <v>5.3805880000000004</v>
      </c>
      <c r="M6" s="478">
        <f t="shared" si="3"/>
        <v>6.6005880000000001</v>
      </c>
      <c r="N6" s="460">
        <f>IF(OR(I6="",I6=0),"",VLOOKUP(I6,HELPER!$AM$2:$AN$6,2,TRUE))</f>
        <v>0.15</v>
      </c>
      <c r="O6" s="478">
        <f t="shared" si="4"/>
        <v>7.5906761999999999</v>
      </c>
      <c r="P6" s="478">
        <f>IF(AND(Table1[[#This Row],[Thickness (µ)]]&lt;&gt;"",Table1[[#This Row],[RM cost in 1 Kg]]&lt;&gt;""), VLOOKUP(Table1[[#This Row],[Thickness (µ)]], HELPER!$BH$3:$BI$5, 2, TRUE) * Table1[[#This Row],[RM cost in 1 Kg]], "")</f>
        <v>0.40354410000000002</v>
      </c>
      <c r="Q6" s="479">
        <v>0.3</v>
      </c>
      <c r="R6" s="484" t="str" cm="1">
        <f t="array" ref="R6">CHOOSE(ROW()-ROW(Table1[#Headers]),$AH$13,$AL$13,$AP$13,$AT$13,$AX$13,$BB$13)</f>
        <v>Bastin</v>
      </c>
      <c r="S6" s="484" cm="1">
        <f t="array" ref="S6">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6" s="484">
        <f>IFERROR(Table1[[#This Row],[Printing]]*Table1[[#This Row],[Length (Mr)]]/Table1[[#This Row],[Weight Override]],0)</f>
        <v>10.488669950738915</v>
      </c>
      <c r="U6" s="484">
        <f>IF(Table1[[#This Row],[Printing]]&gt;0,Table1[[#This Row],[RM cost in 1 Kg]]*0.028,0)</f>
        <v>0.15065646400000002</v>
      </c>
      <c r="V6" s="478">
        <f>IF(Table1[[#This Row],[RM cost in 1 Kg]]&gt;0,((1500+3000)/30000),0)</f>
        <v>0.15</v>
      </c>
      <c r="W6" s="485">
        <f>IF(AND(Table1[[#This Row],[Weight Override]]&gt;0,ISNUMBER(SEARCH("W",Table1[[#This Row],[Film Type]]))),1500/Table1[[#This Row],[Weight Override]],0)</f>
        <v>0.5</v>
      </c>
      <c r="X6" s="461" t="str" cm="1">
        <f t="array" ref="X6">CHOOSE(ROW()-ROW(Table1[#Headers]),$AH$10,$AL$10,$AP$10,$AT$10,$AX$10,$BB$10)</f>
        <v>EXW</v>
      </c>
      <c r="Y6" s="479">
        <f>IF(I6&lt;=0,"",IFERROR(IF(X6="Europe to US",IF(I6&lt;500,10,IF(I6&lt;1000,8,IF(I6&lt;2500,6,IF(I6&lt;5000,5,4)))),IF(X6="Europe to Canada",IF(I6&lt;1000,(I6/1000)*VLOOKUP(1000,HELPER!$AG$4:$AH$8,2,FALSE)/I6,VLOOKUP(I6,HELPER!$AG$4:$AH$8,2,TRUE)/I6),VLOOKUP(X6,HELPER!$AF$2:$AH$3,3,FALSE))),0))</f>
        <v>0.2</v>
      </c>
      <c r="Z6" s="492">
        <f>IFERROR((Table1[[#This Row],[Total Cost and depreciation]]+Table1[[#This Row],[Thickness waste]]+Table1[[#This Row],[Other costs]]+Table1[[#This Row],[Setup]]+Table1[[#This Row],[Setup for colored Films]]+Table1[[#This Row],[Shiping cost]]+Table1[[#This Row],[Printing Waste]]+Table1[[#This Row],[Printing per KG]]),0)</f>
        <v>19.783546714738918</v>
      </c>
      <c r="AA6" s="493" cm="1">
        <f t="array" ref="AA6">Table1[[#This Row],[Total Cost]]/(1-CHOOSE(ROW()-ROW(Table1[#Headers]),$AH$2,$AL$2,$AP$2,$AT$2,$AX$2,$BB$2))-Table1[[#This Row],[Total Cost]]</f>
        <v>6.5945155715796382</v>
      </c>
      <c r="AB6" s="494" cm="1">
        <f t="array" ref="AB6">Table1[[#This Row],[Total Cost]]/(1-CHOOSE(ROW()-ROW(Table1[#Headers]),$AH$2,$AL$2,$AP$2,$AT$2,$AX$2,$BB$2))</f>
        <v>26.378062286318556</v>
      </c>
      <c r="AC6" s="636">
        <f>Table1[[#This Row],[Total Cost and depreciation]]+Table1[[#This Row],[Thickness waste]]+Table1[[#This Row],[Other costs]]</f>
        <v>8.294220300000001</v>
      </c>
      <c r="AG6" s="210" t="s">
        <v>490</v>
      </c>
      <c r="AH6" s="214">
        <v>25</v>
      </c>
      <c r="AI6" s="239" t="s">
        <v>108</v>
      </c>
      <c r="AK6" s="210" t="s">
        <v>490</v>
      </c>
      <c r="AL6" s="214">
        <v>20</v>
      </c>
      <c r="AM6" s="219" t="s">
        <v>108</v>
      </c>
      <c r="AO6" s="210" t="s">
        <v>490</v>
      </c>
      <c r="AP6" s="214">
        <v>20</v>
      </c>
      <c r="AQ6" s="219" t="s">
        <v>108</v>
      </c>
      <c r="AS6" s="210" t="s">
        <v>490</v>
      </c>
      <c r="AT6" s="214">
        <v>20</v>
      </c>
      <c r="AU6" s="219" t="s">
        <v>108</v>
      </c>
      <c r="AW6" s="210" t="s">
        <v>490</v>
      </c>
      <c r="AX6" s="214">
        <v>20</v>
      </c>
      <c r="AY6" s="219" t="s">
        <v>108</v>
      </c>
      <c r="BA6" s="210" t="s">
        <v>490</v>
      </c>
      <c r="BB6" s="214">
        <v>20</v>
      </c>
      <c r="BC6" s="219" t="s">
        <v>108</v>
      </c>
    </row>
    <row r="7" spans="1:58">
      <c r="A7" s="456" t="str" cm="1">
        <f t="array" ref="A7">CHOOSE(ROW()-ROW(Table1[#Headers]),$AH$4,$AL$4,$AP$4,$AT$4,$AX$4,$BB$4)</f>
        <v>TIPA 312 MFG</v>
      </c>
      <c r="B7" s="464" cm="1">
        <f t="array" ref="B7">CHOOSE(ROW()-ROW(Table1[#Headers]),$AH$5,$AL$5,$AP$5,$AT$5,$AX$5,$BB$5)</f>
        <v>406</v>
      </c>
      <c r="C7" s="464" cm="1">
        <f t="array" ref="C7">CHOOSE(ROW()-ROW(Table1[#Headers]),$AH$6,$AL$6,$AP$6,$AT$6,$AX$6,$BB$6)</f>
        <v>20</v>
      </c>
      <c r="D7" s="467" cm="1">
        <f t="array" ref="D7">CHOOSE(ROW()-ROW(Table1[#Headers]),$AH$7,$AL$7,$AP$7,$AT$7,$AX$7,$BB$7)</f>
        <v>1.25</v>
      </c>
      <c r="E7" s="464">
        <f t="shared" si="0"/>
        <v>4000.0000000000005</v>
      </c>
      <c r="F7" s="464" cm="1">
        <f t="array" ref="F7">CHOOSE(ROW()-ROW(Table1[#Headers]),IF($AH$21="By Length",$AH$22*$H$3,$AH$8),IF($AL$21="By Length",$AL$22*$H$4,$AL$8),IF($AP$21="By Length",$AP$22*$H$5,$AP$8),IF($AT$21="By Length",$AT$22*$H$6,$AT$8),IF($AX$21="By Length",$AX$22*$H$7,$AX$8),IF($BB$21="By Length",$BB$22*$H$8,$BB$8))</f>
        <v>4000</v>
      </c>
      <c r="G7" s="464" cm="1">
        <f t="array" ref="G7">CHOOSE(ROW()-ROW(Table1[#Headers]),$AH$9,$AL$9,$AP$9,$AT$9,$AX$9,$BB$9)</f>
        <v>394088.6699507389</v>
      </c>
      <c r="H7" s="472">
        <f t="shared" si="1"/>
        <v>1.0150000000000001E-2</v>
      </c>
      <c r="I7" s="464">
        <f t="shared" si="2"/>
        <v>4000</v>
      </c>
      <c r="J7" s="471">
        <v>510</v>
      </c>
      <c r="K7" s="476">
        <f>IFERROR((Table1[[#This Row],[Hourly rate]]*(Table1[[#This Row],[Total Kg Produced]]/500))/Table1[[#This Row],[Total Kg Produced]],0)+0.2</f>
        <v>1.22</v>
      </c>
      <c r="L7" s="477">
        <f>IFERROR(_xlfn.XLOOKUP(Table1[[#This Row],[Film Type]],Table3[Film],Table3[Price (€/kg)],0),0)</f>
        <v>5.3805880000000004</v>
      </c>
      <c r="M7" s="476">
        <f t="shared" si="3"/>
        <v>6.6005880000000001</v>
      </c>
      <c r="N7" s="457">
        <f>IF(OR(I7="",I7=0),"",VLOOKUP(I7,HELPER!$AM$2:$AN$6,2,TRUE))</f>
        <v>0.15</v>
      </c>
      <c r="O7" s="476">
        <f t="shared" si="4"/>
        <v>7.5906761999999999</v>
      </c>
      <c r="P7" s="476">
        <f>IF(AND(Table1[[#This Row],[Thickness (µ)]]&lt;&gt;"",Table1[[#This Row],[RM cost in 1 Kg]]&lt;&gt;""), VLOOKUP(Table1[[#This Row],[Thickness (µ)]], HELPER!$BH$3:$BI$5, 2, TRUE) * Table1[[#This Row],[RM cost in 1 Kg]], "")</f>
        <v>0.40354410000000002</v>
      </c>
      <c r="Q7" s="477">
        <v>0.3</v>
      </c>
      <c r="R7" s="483" t="str" cm="1">
        <f t="array" ref="R7">CHOOSE(ROW()-ROW(Table1[#Headers]),$AH$13,$AL$13,$AP$13,$AT$13,$AX$13,$BB$13)</f>
        <v>Bastin</v>
      </c>
      <c r="S7" s="483" cm="1">
        <f t="array" ref="S7">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7" s="483">
        <f>IFERROR(Table1[[#This Row],[Printing]]*Table1[[#This Row],[Length (Mr)]]/Table1[[#This Row],[Weight Override]],0)</f>
        <v>10.488669950738915</v>
      </c>
      <c r="U7" s="483">
        <f>IF(Table1[[#This Row],[Printing]]&gt;0,Table1[[#This Row],[RM cost in 1 Kg]]*0.028,0)</f>
        <v>0.15065646400000002</v>
      </c>
      <c r="V7" s="476">
        <f>IF(Table1[[#This Row],[RM cost in 1 Kg]]&gt;0,((1500+3000)/30000),0)</f>
        <v>0.15</v>
      </c>
      <c r="W7" s="486">
        <f>IF(AND(Table1[[#This Row],[Weight Override]]&gt;0,ISNUMBER(SEARCH("W",Table1[[#This Row],[Film Type]]))),1500/Table1[[#This Row],[Weight Override]],0)</f>
        <v>0</v>
      </c>
      <c r="X7" s="458" t="str" cm="1">
        <f t="array" ref="X7">CHOOSE(ROW()-ROW(Table1[#Headers]),$AH$10,$AL$10,$AP$10,$AT$10,$AX$10,$BB$10)</f>
        <v>EXW</v>
      </c>
      <c r="Y7" s="477">
        <f>IF(I7&lt;=0,"",IFERROR(IF(X7="Europe to US",IF(I7&lt;500,10,IF(I7&lt;1000,8,IF(I7&lt;2500,6,IF(I7&lt;5000,5,4)))),IF(X7="Europe to Canada",IF(I7&lt;1000,(I7/1000)*VLOOKUP(1000,HELPER!$AG$4:$AH$8,2,FALSE)/I7,VLOOKUP(I7,HELPER!$AG$4:$AH$8,2,TRUE)/I7),VLOOKUP(X7,HELPER!$AF$2:$AH$3,3,FALSE))),0))</f>
        <v>0.2</v>
      </c>
      <c r="Z7" s="489">
        <f>IFERROR((Table1[[#This Row],[Total Cost and depreciation]]+Table1[[#This Row],[Thickness waste]]+Table1[[#This Row],[Other costs]]+Table1[[#This Row],[Setup]]+Table1[[#This Row],[Setup for colored Films]]+Table1[[#This Row],[Shiping cost]]+Table1[[#This Row],[Printing Waste]]+Table1[[#This Row],[Printing per KG]]),0)</f>
        <v>19.283546714738918</v>
      </c>
      <c r="AA7" s="490" cm="1">
        <f t="array" ref="AA7">Table1[[#This Row],[Total Cost]]/(1-CHOOSE(ROW()-ROW(Table1[#Headers]),$AH$2,$AL$2,$AP$2,$AT$2,$AX$2,$BB$2))-Table1[[#This Row],[Total Cost]]</f>
        <v>6.4278489049129739</v>
      </c>
      <c r="AB7" s="491" cm="1">
        <f t="array" ref="AB7">Table1[[#This Row],[Total Cost]]/(1-CHOOSE(ROW()-ROW(Table1[#Headers]),$AH$2,$AL$2,$AP$2,$AT$2,$AX$2,$BB$2))</f>
        <v>25.711395619651892</v>
      </c>
      <c r="AC7" s="636">
        <f>Table1[[#This Row],[Total Cost and depreciation]]+Table1[[#This Row],[Thickness waste]]+Table1[[#This Row],[Other costs]]</f>
        <v>8.294220300000001</v>
      </c>
      <c r="AG7" s="210" t="s">
        <v>491</v>
      </c>
      <c r="AH7" s="214">
        <v>1.25</v>
      </c>
      <c r="AI7" s="239" t="s">
        <v>492</v>
      </c>
      <c r="AK7" s="210" t="s">
        <v>491</v>
      </c>
      <c r="AL7" s="214">
        <v>1.25</v>
      </c>
      <c r="AM7" s="219" t="s">
        <v>492</v>
      </c>
      <c r="AO7" s="210" t="s">
        <v>491</v>
      </c>
      <c r="AP7" s="214">
        <v>1.25</v>
      </c>
      <c r="AQ7" s="219" t="s">
        <v>492</v>
      </c>
      <c r="AS7" s="210" t="s">
        <v>491</v>
      </c>
      <c r="AT7" s="214">
        <v>1.25</v>
      </c>
      <c r="AU7" s="219" t="s">
        <v>492</v>
      </c>
      <c r="AW7" s="210" t="s">
        <v>491</v>
      </c>
      <c r="AX7" s="214">
        <v>1.25</v>
      </c>
      <c r="AY7" s="219" t="s">
        <v>492</v>
      </c>
      <c r="BA7" s="210" t="s">
        <v>491</v>
      </c>
      <c r="BB7" s="214">
        <v>1.25</v>
      </c>
      <c r="BC7" s="219" t="s">
        <v>492</v>
      </c>
    </row>
    <row r="8" spans="1:58">
      <c r="A8" s="462" t="str" cm="1">
        <f t="array" ref="A8">CHOOSE(ROW()-ROW(Table1[#Headers]),$AH$4,$AL$4,$AP$4,$AT$4,$AX$4,$BB$4)</f>
        <v>TIPA 312MFGW</v>
      </c>
      <c r="B8" s="466" cm="1">
        <f t="array" ref="B8">CHOOSE(ROW()-ROW(Table1[#Headers]),$AH$5,$AL$5,$AP$5,$AT$5,$AX$5,$BB$5)</f>
        <v>406</v>
      </c>
      <c r="C8" s="466" cm="1">
        <f t="array" ref="C8">CHOOSE(ROW()-ROW(Table1[#Headers]),$AH$6,$AL$6,$AP$6,$AT$6,$AX$6,$BB$6)</f>
        <v>20</v>
      </c>
      <c r="D8" s="469" cm="1">
        <f t="array" ref="D8">CHOOSE(ROW()-ROW(Table1[#Headers]),$AH$7,$AL$7,$AP$7,$AT$7,$AX$7,$BB$7)</f>
        <v>1.25</v>
      </c>
      <c r="E8" s="466">
        <f t="shared" si="0"/>
        <v>5000</v>
      </c>
      <c r="F8" s="466" cm="1">
        <f t="array" ref="F8">CHOOSE(ROW()-ROW(Table1[#Headers]),IF($AH$21="By Length",$AH$22*$H$3,$AH$8),IF($AL$21="By Length",$AL$22*$H$4,$AL$8),IF($AP$21="By Length",$AP$22*$H$5,$AP$8),IF($AT$21="By Length",$AT$22*$H$6,$AT$8),IF($AX$21="By Length",$AX$22*$H$7,$AX$8),IF($BB$21="By Length",$BB$22*$H$8,$BB$8))</f>
        <v>5000</v>
      </c>
      <c r="G8" s="466" cm="1">
        <f t="array" ref="G8">CHOOSE(ROW()-ROW(Table1[#Headers]),$AH$9,$AL$9,$AP$9,$AT$9,$AX$9,$BB$9)</f>
        <v>492610.83743842359</v>
      </c>
      <c r="H8" s="474">
        <f t="shared" si="1"/>
        <v>1.0150000000000001E-2</v>
      </c>
      <c r="I8" s="466">
        <f t="shared" si="2"/>
        <v>5000</v>
      </c>
      <c r="J8" s="475">
        <v>510</v>
      </c>
      <c r="K8" s="480">
        <f>IFERROR((Table1[[#This Row],[Hourly rate]]*(Table1[[#This Row],[Total Kg Produced]]/500))/Table1[[#This Row],[Total Kg Produced]],0)+0.2</f>
        <v>1.22</v>
      </c>
      <c r="L8" s="481">
        <f>IFERROR(_xlfn.XLOOKUP(Table1[[#This Row],[Film Type]],Table3[Film],Table3[Price (€/kg)],0),0)</f>
        <v>5.3805880000000004</v>
      </c>
      <c r="M8" s="480">
        <f t="shared" si="3"/>
        <v>6.6005880000000001</v>
      </c>
      <c r="N8" s="482">
        <f>IF(OR(I8="",I8=0),"",VLOOKUP(I8,HELPER!$AM$2:$AN$6,2,TRUE))</f>
        <v>0.15</v>
      </c>
      <c r="O8" s="480">
        <f t="shared" si="4"/>
        <v>7.5906761999999999</v>
      </c>
      <c r="P8" s="480">
        <f>IF(AND(Table1[[#This Row],[Thickness (µ)]]&lt;&gt;"",Table1[[#This Row],[RM cost in 1 Kg]]&lt;&gt;""), VLOOKUP(Table1[[#This Row],[Thickness (µ)]], HELPER!$BH$3:$BI$5, 2, TRUE) * Table1[[#This Row],[RM cost in 1 Kg]], "")</f>
        <v>0.40354410000000002</v>
      </c>
      <c r="Q8" s="481">
        <v>0.3</v>
      </c>
      <c r="R8" s="487" t="str" cm="1">
        <f t="array" ref="R8">CHOOSE(ROW()-ROW(Table1[#Headers]),$AH$13,$AL$13,$AP$13,$AT$13,$AX$13,$BB$13)</f>
        <v>Bastin</v>
      </c>
      <c r="S8" s="487" cm="1">
        <f t="array" ref="S8">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8" s="487">
        <f>IFERROR(Table1[[#This Row],[Printing]]*Table1[[#This Row],[Length (Mr)]]/Table1[[#This Row],[Weight Override]],0)</f>
        <v>10.488669950738915</v>
      </c>
      <c r="U8" s="487">
        <f>IF(Table1[[#This Row],[Printing]]&gt;0,Table1[[#This Row],[RM cost in 1 Kg]]*0.028,0)</f>
        <v>0.15065646400000002</v>
      </c>
      <c r="V8" s="480">
        <f>IF(Table1[[#This Row],[RM cost in 1 Kg]]&gt;0,((1500+3000)/30000),0)</f>
        <v>0.15</v>
      </c>
      <c r="W8" s="488">
        <f>IF(AND(Table1[[#This Row],[Weight Override]]&gt;0,ISNUMBER(SEARCH("W",Table1[[#This Row],[Film Type]]))),1500/Table1[[#This Row],[Weight Override]],0)</f>
        <v>0.3</v>
      </c>
      <c r="X8" s="463" t="str" cm="1">
        <f t="array" ref="X8">CHOOSE(ROW()-ROW(Table1[#Headers]),$AH$10,$AL$10,$AP$10,$AT$10,$AX$10,$BB$10)</f>
        <v>EXW</v>
      </c>
      <c r="Y8" s="481">
        <f>IF(I8&lt;=0,"",IFERROR(IF(X8="Europe to US",IF(I8&lt;500,10,IF(I8&lt;1000,8,IF(I8&lt;2500,6,IF(I8&lt;5000,5,4)))),IF(X8="Europe to Canada",IF(I8&lt;1000,(I8/1000)*VLOOKUP(1000,HELPER!$AG$4:$AH$8,2,FALSE)/I8,VLOOKUP(I8,HELPER!$AG$4:$AH$8,2,TRUE)/I8),VLOOKUP(X8,HELPER!$AF$2:$AH$3,3,FALSE))),0))</f>
        <v>0.2</v>
      </c>
      <c r="Z8" s="495">
        <f>IFERROR((Table1[[#This Row],[Total Cost and depreciation]]+Table1[[#This Row],[Thickness waste]]+Table1[[#This Row],[Other costs]]+Table1[[#This Row],[Setup]]+Table1[[#This Row],[Setup for colored Films]]+Table1[[#This Row],[Shiping cost]]+Table1[[#This Row],[Printing Waste]]+Table1[[#This Row],[Printing per KG]]),0)</f>
        <v>19.583546714738915</v>
      </c>
      <c r="AA8" s="496" cm="1">
        <f t="array" ref="AA8">Table1[[#This Row],[Total Cost]]/(1-CHOOSE(ROW()-ROW(Table1[#Headers]),$AH$2,$AL$2,$AP$2,$AT$2,$AX$2,$BB$2))-Table1[[#This Row],[Total Cost]]</f>
        <v>6.5278489049129718</v>
      </c>
      <c r="AB8" s="497" cm="1">
        <f t="array" ref="AB8">Table1[[#This Row],[Total Cost]]/(1-CHOOSE(ROW()-ROW(Table1[#Headers]),$AH$2,$AL$2,$AP$2,$AT$2,$AX$2,$BB$2))</f>
        <v>26.111395619651887</v>
      </c>
      <c r="AC8" s="636">
        <f>Table1[[#This Row],[Total Cost and depreciation]]+Table1[[#This Row],[Thickness waste]]+Table1[[#This Row],[Other costs]]</f>
        <v>8.294220300000001</v>
      </c>
      <c r="AG8" s="210" t="s">
        <v>493</v>
      </c>
      <c r="AH8" s="214">
        <v>500</v>
      </c>
      <c r="AI8" s="219" t="s">
        <v>203</v>
      </c>
      <c r="AK8" s="210" t="s">
        <v>493</v>
      </c>
      <c r="AL8" s="214">
        <v>1000</v>
      </c>
      <c r="AM8" s="219" t="s">
        <v>203</v>
      </c>
      <c r="AO8" s="210" t="s">
        <v>493</v>
      </c>
      <c r="AP8" s="214">
        <v>2000</v>
      </c>
      <c r="AQ8" s="219" t="s">
        <v>203</v>
      </c>
      <c r="AS8" s="210" t="s">
        <v>493</v>
      </c>
      <c r="AT8" s="214">
        <v>3000</v>
      </c>
      <c r="AU8" s="219" t="s">
        <v>203</v>
      </c>
      <c r="AW8" s="210" t="s">
        <v>493</v>
      </c>
      <c r="AX8" s="214">
        <v>4000</v>
      </c>
      <c r="AY8" s="219" t="s">
        <v>203</v>
      </c>
      <c r="BA8" s="210" t="s">
        <v>493</v>
      </c>
      <c r="BB8" s="214">
        <v>5000</v>
      </c>
      <c r="BC8" s="219" t="s">
        <v>203</v>
      </c>
    </row>
    <row r="9" spans="1:58">
      <c r="A9" s="167"/>
      <c r="B9" s="167"/>
      <c r="C9" s="167"/>
      <c r="D9" s="167"/>
      <c r="E9" s="167"/>
      <c r="F9" s="167"/>
      <c r="G9" s="167"/>
      <c r="H9" s="167"/>
      <c r="I9" s="167"/>
      <c r="J9" s="9"/>
      <c r="L9" s="8"/>
      <c r="M9" s="64"/>
      <c r="N9" s="5"/>
      <c r="O9" s="64"/>
      <c r="AC9" s="167"/>
      <c r="AG9" s="210" t="s">
        <v>494</v>
      </c>
      <c r="AH9" s="215">
        <f>IF(AH21="By Length",IF(AH22="",0,AH22),IFERROR(AH8/H3,0))</f>
        <v>39408.866995073891</v>
      </c>
      <c r="AI9" s="219" t="s">
        <v>495</v>
      </c>
      <c r="AK9" s="210" t="s">
        <v>494</v>
      </c>
      <c r="AL9" s="215">
        <f>IF(AL21="By Length",IF(AL22="",0,AL22),IFERROR(AL8/H4,0))</f>
        <v>98522.167487684725</v>
      </c>
      <c r="AM9" s="219" t="s">
        <v>495</v>
      </c>
      <c r="AO9" s="210" t="s">
        <v>494</v>
      </c>
      <c r="AP9" s="215">
        <f>IF(AP21="By Length",IF(AP22="",0,AP22),IFERROR(AP8/H5,0))</f>
        <v>197044.33497536945</v>
      </c>
      <c r="AQ9" s="219" t="s">
        <v>495</v>
      </c>
      <c r="AS9" s="210" t="s">
        <v>494</v>
      </c>
      <c r="AT9" s="215">
        <f>IF(AT21="By Length", IF(AT22="",0,AT22), IFERROR(AT8/H6,0))</f>
        <v>295566.50246305414</v>
      </c>
      <c r="AU9" s="219" t="s">
        <v>495</v>
      </c>
      <c r="AW9" s="210" t="s">
        <v>494</v>
      </c>
      <c r="AX9" s="215">
        <f>IF(AX21="By Length", IF(AX22="",0,AX22), IFERROR(AX8/H7,0))</f>
        <v>394088.6699507389</v>
      </c>
      <c r="AY9" s="219" t="s">
        <v>495</v>
      </c>
      <c r="BA9" s="210" t="s">
        <v>494</v>
      </c>
      <c r="BB9" s="215">
        <f>IF(BB21="By Length", IF(BB22="",0,BB22), IFERROR(BB8/H8,0))</f>
        <v>492610.83743842359</v>
      </c>
      <c r="BC9" s="219" t="s">
        <v>495</v>
      </c>
    </row>
    <row r="10" spans="1:58">
      <c r="A10" s="167"/>
      <c r="B10" s="167"/>
      <c r="C10" s="167"/>
      <c r="D10" s="167"/>
      <c r="E10" s="167"/>
      <c r="F10" s="167"/>
      <c r="G10" s="167"/>
      <c r="H10" s="167"/>
      <c r="I10" s="167"/>
      <c r="J10" s="9"/>
      <c r="L10" s="8"/>
      <c r="M10" s="64"/>
      <c r="N10" s="5"/>
      <c r="O10" s="64"/>
      <c r="AG10" s="211" t="s">
        <v>2386</v>
      </c>
      <c r="AH10" s="216" t="s">
        <v>2387</v>
      </c>
      <c r="AI10" s="219"/>
      <c r="AK10" s="211" t="s">
        <v>2386</v>
      </c>
      <c r="AL10" s="216" t="s">
        <v>2387</v>
      </c>
      <c r="AM10" s="219"/>
      <c r="AO10" s="211" t="s">
        <v>2386</v>
      </c>
      <c r="AP10" s="216" t="s">
        <v>2387</v>
      </c>
      <c r="AQ10" s="219"/>
      <c r="AS10" s="211" t="s">
        <v>2386</v>
      </c>
      <c r="AT10" s="216" t="s">
        <v>2387</v>
      </c>
      <c r="AU10" s="219"/>
      <c r="AW10" s="211" t="s">
        <v>2386</v>
      </c>
      <c r="AX10" s="216" t="s">
        <v>2387</v>
      </c>
      <c r="AY10" s="219"/>
      <c r="BA10" s="211" t="s">
        <v>2386</v>
      </c>
      <c r="BB10" s="216" t="s">
        <v>2387</v>
      </c>
      <c r="BC10" s="220"/>
    </row>
    <row r="11" spans="1:58">
      <c r="A11" s="167"/>
      <c r="B11" s="167"/>
      <c r="C11" s="167"/>
      <c r="D11" s="167"/>
      <c r="E11" s="167"/>
      <c r="F11" s="167"/>
      <c r="G11" s="167"/>
      <c r="H11" s="167"/>
      <c r="I11" s="8"/>
      <c r="J11" s="9"/>
      <c r="L11" s="8"/>
      <c r="M11" s="64"/>
      <c r="N11" s="5"/>
      <c r="O11" s="64"/>
      <c r="AG11" s="210" t="s">
        <v>573</v>
      </c>
      <c r="AH11" s="214" t="s">
        <v>123</v>
      </c>
      <c r="AI11" s="219"/>
      <c r="AK11" s="210" t="s">
        <v>573</v>
      </c>
      <c r="AL11" s="214" t="s">
        <v>124</v>
      </c>
      <c r="AM11" s="219"/>
      <c r="AO11" s="210" t="s">
        <v>573</v>
      </c>
      <c r="AP11" s="214" t="s">
        <v>124</v>
      </c>
      <c r="AQ11" s="219"/>
      <c r="AS11" s="210" t="s">
        <v>573</v>
      </c>
      <c r="AT11" s="214" t="s">
        <v>123</v>
      </c>
      <c r="AU11" s="219"/>
      <c r="AW11" s="210" t="s">
        <v>573</v>
      </c>
      <c r="AX11" s="214" t="s">
        <v>124</v>
      </c>
      <c r="AY11" s="219"/>
      <c r="BA11" s="212" t="s">
        <v>573</v>
      </c>
      <c r="BB11" s="213" t="s">
        <v>124</v>
      </c>
      <c r="BC11" s="221"/>
    </row>
    <row r="12" spans="1:58">
      <c r="A12" s="167"/>
      <c r="B12" s="167"/>
      <c r="C12" s="167"/>
      <c r="D12" s="167"/>
      <c r="E12" s="167"/>
      <c r="F12" s="167"/>
      <c r="G12" s="167"/>
      <c r="H12" s="167"/>
      <c r="I12" s="167"/>
      <c r="J12" s="9"/>
      <c r="L12" s="8"/>
      <c r="M12" s="64"/>
      <c r="N12" s="5"/>
      <c r="O12" s="64"/>
      <c r="AG12" s="210" t="s">
        <v>798</v>
      </c>
      <c r="AH12" s="234" t="s">
        <v>122</v>
      </c>
      <c r="AI12" s="219"/>
      <c r="AK12" s="210" t="s">
        <v>798</v>
      </c>
      <c r="AL12" s="234">
        <v>0</v>
      </c>
      <c r="AM12" s="219"/>
      <c r="AO12" s="210" t="s">
        <v>798</v>
      </c>
      <c r="AP12" s="234">
        <v>0</v>
      </c>
      <c r="AQ12" s="219"/>
      <c r="AS12" s="210" t="s">
        <v>798</v>
      </c>
      <c r="AT12" s="234" t="s">
        <v>592</v>
      </c>
      <c r="AU12" s="219"/>
      <c r="AW12" s="210" t="s">
        <v>798</v>
      </c>
      <c r="AX12" s="234" t="s">
        <v>221</v>
      </c>
      <c r="AY12" s="219"/>
      <c r="BA12" s="212" t="s">
        <v>798</v>
      </c>
      <c r="BB12" s="217" t="s">
        <v>221</v>
      </c>
      <c r="BC12" s="221"/>
    </row>
    <row r="13" spans="1:58">
      <c r="A13" s="167"/>
      <c r="B13" s="167"/>
      <c r="C13" s="167"/>
      <c r="D13" s="167"/>
      <c r="E13" s="167"/>
      <c r="F13" s="167"/>
      <c r="G13" s="167"/>
      <c r="H13" s="167"/>
      <c r="I13" s="167"/>
      <c r="J13" s="9"/>
      <c r="L13" s="8"/>
      <c r="M13" s="64"/>
      <c r="N13" s="5"/>
      <c r="O13" s="64"/>
      <c r="AG13" s="210" t="s">
        <v>2388</v>
      </c>
      <c r="AH13" s="214" t="s">
        <v>250</v>
      </c>
      <c r="AI13" s="219"/>
      <c r="AK13" s="210" t="s">
        <v>2388</v>
      </c>
      <c r="AL13" s="214" t="s">
        <v>240</v>
      </c>
      <c r="AM13" s="219"/>
      <c r="AO13" s="210" t="s">
        <v>2388</v>
      </c>
      <c r="AP13" s="214" t="s">
        <v>240</v>
      </c>
      <c r="AQ13" s="219"/>
      <c r="AS13" s="210" t="s">
        <v>2388</v>
      </c>
      <c r="AT13" s="214" t="s">
        <v>240</v>
      </c>
      <c r="AU13" s="219"/>
      <c r="AW13" s="210" t="s">
        <v>2388</v>
      </c>
      <c r="AX13" s="214" t="s">
        <v>240</v>
      </c>
      <c r="AY13" s="219"/>
      <c r="BA13" s="212" t="s">
        <v>2388</v>
      </c>
      <c r="BB13" s="232" t="s">
        <v>240</v>
      </c>
      <c r="BC13" s="221"/>
    </row>
    <row r="14" spans="1:58" ht="15.75">
      <c r="A14" s="167"/>
      <c r="B14" s="167"/>
      <c r="C14" s="167"/>
      <c r="D14" s="167"/>
      <c r="E14" s="167"/>
      <c r="F14" s="167"/>
      <c r="G14" s="167"/>
      <c r="H14" s="167"/>
      <c r="I14" s="167"/>
      <c r="J14" s="9"/>
      <c r="K14" s="233"/>
      <c r="L14" s="8"/>
      <c r="M14" s="64"/>
      <c r="N14" s="5"/>
      <c r="O14" s="64"/>
      <c r="AG14" s="222" t="s">
        <v>497</v>
      </c>
      <c r="AH14" s="1024">
        <f>Z3</f>
        <v>17.845871524591132</v>
      </c>
      <c r="AI14" s="1025"/>
      <c r="AK14" s="222" t="s">
        <v>497</v>
      </c>
      <c r="AL14" s="1024">
        <f>Z4</f>
        <v>21.113576114738915</v>
      </c>
      <c r="AM14" s="1025"/>
      <c r="AO14" s="222" t="s">
        <v>497</v>
      </c>
      <c r="AP14" s="1024">
        <f>Z5</f>
        <v>19.481564354738914</v>
      </c>
      <c r="AQ14" s="1025"/>
      <c r="AS14" s="222" t="s">
        <v>497</v>
      </c>
      <c r="AT14" s="1024">
        <f>Z6</f>
        <v>19.783546714738918</v>
      </c>
      <c r="AU14" s="1025"/>
      <c r="AW14" s="222" t="s">
        <v>497</v>
      </c>
      <c r="AX14" s="1024">
        <f>Z7</f>
        <v>19.283546714738918</v>
      </c>
      <c r="AY14" s="1025"/>
      <c r="BA14" s="222" t="s">
        <v>497</v>
      </c>
      <c r="BB14" s="1024">
        <f>IFERROR(Z8,0)</f>
        <v>19.583546714738915</v>
      </c>
      <c r="BC14" s="1025"/>
    </row>
    <row r="15" spans="1:58">
      <c r="A15" s="167"/>
      <c r="B15" s="167"/>
      <c r="C15" s="167"/>
      <c r="D15" s="167"/>
      <c r="E15" s="167"/>
      <c r="F15" s="167"/>
      <c r="G15" s="167"/>
      <c r="H15" s="167"/>
      <c r="I15" s="167"/>
      <c r="J15" s="9"/>
      <c r="L15" s="8"/>
      <c r="M15" s="64"/>
      <c r="N15" s="5"/>
      <c r="O15" s="64"/>
      <c r="AG15" s="1021"/>
      <c r="AH15" s="1022"/>
      <c r="AI15" s="1023"/>
      <c r="AK15" s="1021"/>
      <c r="AL15" s="1022"/>
      <c r="AM15" s="1023"/>
      <c r="AO15" s="1021"/>
      <c r="AP15" s="1022"/>
      <c r="AQ15" s="1023"/>
      <c r="AS15" s="1021"/>
      <c r="AT15" s="1022"/>
      <c r="AU15" s="1023"/>
      <c r="AW15" s="1021"/>
      <c r="AX15" s="1022"/>
      <c r="AY15" s="1023"/>
      <c r="BA15" s="1021"/>
      <c r="BB15" s="1022"/>
      <c r="BC15" s="1023"/>
    </row>
    <row r="16" spans="1:58">
      <c r="A16" s="167"/>
      <c r="B16" s="167"/>
      <c r="C16" s="167"/>
      <c r="D16" s="167"/>
      <c r="E16" s="167"/>
      <c r="F16" s="167"/>
      <c r="G16" s="167"/>
      <c r="H16" s="167"/>
      <c r="I16" s="167"/>
      <c r="J16" s="9"/>
      <c r="L16" s="8"/>
      <c r="M16" s="64"/>
      <c r="N16" s="5"/>
      <c r="O16" s="64"/>
      <c r="AG16" s="1037" t="s">
        <v>498</v>
      </c>
      <c r="AH16" s="1038"/>
      <c r="AI16" s="1039"/>
      <c r="AK16" s="1037" t="s">
        <v>498</v>
      </c>
      <c r="AL16" s="1038"/>
      <c r="AM16" s="1039"/>
      <c r="AO16" s="1037" t="s">
        <v>498</v>
      </c>
      <c r="AP16" s="1038"/>
      <c r="AQ16" s="1039"/>
      <c r="AS16" s="1037" t="s">
        <v>498</v>
      </c>
      <c r="AT16" s="1038"/>
      <c r="AU16" s="1039"/>
      <c r="AW16" s="1037" t="s">
        <v>498</v>
      </c>
      <c r="AX16" s="1038"/>
      <c r="AY16" s="1039"/>
      <c r="BA16" s="1037" t="s">
        <v>498</v>
      </c>
      <c r="BB16" s="1038"/>
      <c r="BC16" s="1039"/>
      <c r="BF16">
        <f>AG17*830</f>
        <v>19112.352729562113</v>
      </c>
    </row>
    <row r="17" spans="1:58" ht="18.75">
      <c r="A17" s="167"/>
      <c r="B17" s="167"/>
      <c r="C17" s="167"/>
      <c r="D17" s="167"/>
      <c r="E17" s="167"/>
      <c r="F17" s="167"/>
      <c r="G17" s="167"/>
      <c r="H17" s="167"/>
      <c r="I17" s="167"/>
      <c r="J17" s="9"/>
      <c r="L17" s="8"/>
      <c r="AG17" s="1040">
        <f>IFERROR(AH14/(1-AH2),0)</f>
        <v>23.026930999472427</v>
      </c>
      <c r="AH17" s="1041"/>
      <c r="AI17" s="1042"/>
      <c r="AK17" s="1040">
        <f>IFERROR(AL14/(1-AL2),0)</f>
        <v>28.151434819651886</v>
      </c>
      <c r="AL17" s="1041"/>
      <c r="AM17" s="1042"/>
      <c r="AO17" s="1040">
        <f>IFERROR(AP14/(1-AP2),0)</f>
        <v>24.351955443423641</v>
      </c>
      <c r="AP17" s="1041"/>
      <c r="AQ17" s="1042"/>
      <c r="AS17" s="1040">
        <f>IFERROR(AB6,0)</f>
        <v>26.378062286318556</v>
      </c>
      <c r="AT17" s="1041"/>
      <c r="AU17" s="1042"/>
      <c r="AW17" s="1040">
        <f>IFERROR(AB7,0)</f>
        <v>25.711395619651892</v>
      </c>
      <c r="AX17" s="1041"/>
      <c r="AY17" s="1042"/>
      <c r="BA17" s="1040">
        <f>IFERROR(AB8,0)</f>
        <v>26.111395619651887</v>
      </c>
      <c r="BB17" s="1041"/>
      <c r="BC17" s="1042"/>
      <c r="BF17">
        <f>AK17*3000</f>
        <v>84454.304458955652</v>
      </c>
    </row>
    <row r="18" spans="1:58" ht="15.75" thickBot="1">
      <c r="A18" s="167"/>
      <c r="B18" s="167"/>
      <c r="C18" s="167"/>
      <c r="D18" s="167"/>
      <c r="E18" s="167"/>
      <c r="F18" s="167"/>
      <c r="G18" s="167"/>
      <c r="H18" s="167"/>
      <c r="I18" s="167"/>
      <c r="L18" s="8"/>
      <c r="AG18" s="1043"/>
      <c r="AH18" s="1044"/>
      <c r="AI18" s="1045"/>
      <c r="AK18" s="1043"/>
      <c r="AL18" s="1044"/>
      <c r="AM18" s="1045"/>
      <c r="AO18" s="1043"/>
      <c r="AP18" s="1044"/>
      <c r="AQ18" s="1045"/>
      <c r="AS18" s="1043"/>
      <c r="AT18" s="1044"/>
      <c r="AU18" s="1045"/>
      <c r="AW18" s="1043"/>
      <c r="AX18" s="1044"/>
      <c r="AY18" s="1045"/>
      <c r="BA18" s="1043"/>
      <c r="BB18" s="1044"/>
      <c r="BC18" s="1045"/>
      <c r="BF18">
        <f>AO17*138000</f>
        <v>3360569.8511924623</v>
      </c>
    </row>
    <row r="19" spans="1:58">
      <c r="A19" s="167"/>
      <c r="B19" s="167"/>
      <c r="C19" s="167"/>
      <c r="D19" s="167"/>
      <c r="E19" s="167"/>
      <c r="F19" s="167"/>
      <c r="G19" s="167"/>
      <c r="H19" s="167"/>
      <c r="I19" s="167"/>
      <c r="L19" s="8"/>
      <c r="AG19" s="223" t="s">
        <v>546</v>
      </c>
      <c r="AH19" s="224">
        <f>AG17*HELPER!$AK$2</f>
        <v>26.711239959388013</v>
      </c>
      <c r="AI19" s="225" t="s">
        <v>270</v>
      </c>
      <c r="AK19" s="223" t="s">
        <v>546</v>
      </c>
      <c r="AL19" s="224">
        <f>AK17*HELPER!$AK$2</f>
        <v>32.655664390796183</v>
      </c>
      <c r="AM19" s="225" t="s">
        <v>270</v>
      </c>
      <c r="AO19" s="223" t="s">
        <v>546</v>
      </c>
      <c r="AP19" s="224">
        <f>AO17*HELPER!$AK$2</f>
        <v>28.248268314371423</v>
      </c>
      <c r="AQ19" s="225" t="s">
        <v>270</v>
      </c>
      <c r="AS19" s="223" t="s">
        <v>546</v>
      </c>
      <c r="AT19" s="224">
        <f>AS17*HELPER!$AK$2</f>
        <v>30.598552252129522</v>
      </c>
      <c r="AU19" s="225" t="s">
        <v>270</v>
      </c>
      <c r="AW19" s="223" t="s">
        <v>546</v>
      </c>
      <c r="AX19" s="224">
        <f>AW17*HELPER!$AK$2</f>
        <v>29.825218918796192</v>
      </c>
      <c r="AY19" s="225" t="s">
        <v>270</v>
      </c>
      <c r="BA19" s="223" t="s">
        <v>546</v>
      </c>
      <c r="BB19" s="224">
        <f>BA17*HELPER!$AK$2</f>
        <v>30.289218918796188</v>
      </c>
      <c r="BC19" s="225" t="s">
        <v>270</v>
      </c>
    </row>
    <row r="20" spans="1:58" outlineLevel="1">
      <c r="A20" s="167"/>
      <c r="B20" s="167"/>
      <c r="C20" s="167"/>
      <c r="D20" s="167"/>
      <c r="E20" s="167"/>
      <c r="F20" s="167"/>
      <c r="G20" s="167"/>
      <c r="H20" s="167"/>
      <c r="I20" s="167"/>
      <c r="J20" s="4"/>
      <c r="K20" s="4"/>
      <c r="L20" s="4"/>
      <c r="AG20" s="226" t="s">
        <v>1198</v>
      </c>
      <c r="AH20" s="642">
        <v>750</v>
      </c>
      <c r="AI20" s="643" t="s">
        <v>203</v>
      </c>
      <c r="AK20" s="226" t="s">
        <v>1198</v>
      </c>
      <c r="AL20" s="642">
        <v>750</v>
      </c>
      <c r="AM20" s="643" t="s">
        <v>203</v>
      </c>
      <c r="AO20" s="226" t="s">
        <v>1198</v>
      </c>
      <c r="AP20" s="642">
        <v>750</v>
      </c>
      <c r="AQ20" s="643" t="s">
        <v>203</v>
      </c>
      <c r="AS20" s="226" t="s">
        <v>1198</v>
      </c>
      <c r="AT20" s="642">
        <v>750</v>
      </c>
      <c r="AU20" s="643" t="s">
        <v>203</v>
      </c>
      <c r="AW20" s="226" t="s">
        <v>1198</v>
      </c>
      <c r="AX20" s="642">
        <v>750</v>
      </c>
      <c r="AY20" s="643" t="s">
        <v>203</v>
      </c>
      <c r="BA20" s="226" t="s">
        <v>1198</v>
      </c>
      <c r="BB20" s="642">
        <v>750</v>
      </c>
      <c r="BC20" s="643" t="s">
        <v>203</v>
      </c>
    </row>
    <row r="21" spans="1:58">
      <c r="A21" s="167"/>
      <c r="B21" s="167"/>
      <c r="C21" s="167"/>
      <c r="D21" s="167"/>
      <c r="E21" s="167"/>
      <c r="F21" s="167"/>
      <c r="G21" s="167"/>
      <c r="H21" s="167"/>
      <c r="I21" s="167"/>
      <c r="J21" s="4"/>
      <c r="K21" s="4"/>
      <c r="L21" s="4"/>
      <c r="AG21" s="226" t="s">
        <v>2389</v>
      </c>
      <c r="AH21" s="228" t="s">
        <v>560</v>
      </c>
      <c r="AI21" s="229"/>
      <c r="AK21" s="226" t="s">
        <v>2389</v>
      </c>
      <c r="AL21" s="228" t="s">
        <v>560</v>
      </c>
      <c r="AM21" s="229"/>
      <c r="AO21" s="226" t="s">
        <v>2389</v>
      </c>
      <c r="AP21" s="228" t="s">
        <v>560</v>
      </c>
      <c r="AQ21" s="229"/>
      <c r="AS21" s="226" t="s">
        <v>2389</v>
      </c>
      <c r="AT21" s="228" t="s">
        <v>560</v>
      </c>
      <c r="AU21" s="229"/>
      <c r="AW21" s="226" t="s">
        <v>2389</v>
      </c>
      <c r="AX21" s="228" t="s">
        <v>560</v>
      </c>
      <c r="AY21" s="229"/>
      <c r="BA21" s="226" t="s">
        <v>2389</v>
      </c>
      <c r="BB21" s="228" t="s">
        <v>560</v>
      </c>
      <c r="BC21" s="229"/>
    </row>
    <row r="22" spans="1:58">
      <c r="A22" s="4"/>
      <c r="B22" s="4"/>
      <c r="C22" s="4"/>
      <c r="D22" s="4"/>
      <c r="E22" s="4"/>
      <c r="F22" s="4"/>
      <c r="G22" s="4"/>
      <c r="J22" s="4"/>
      <c r="K22" s="4"/>
      <c r="L22" s="4"/>
      <c r="AG22" s="227" t="s">
        <v>564</v>
      </c>
      <c r="AH22" s="230">
        <v>900</v>
      </c>
      <c r="AI22" s="231" t="s">
        <v>495</v>
      </c>
      <c r="AK22" s="227" t="s">
        <v>564</v>
      </c>
      <c r="AL22" s="230"/>
      <c r="AM22" s="231" t="s">
        <v>495</v>
      </c>
      <c r="AO22" s="227" t="s">
        <v>564</v>
      </c>
      <c r="AP22" s="230"/>
      <c r="AQ22" s="231" t="s">
        <v>495</v>
      </c>
      <c r="AS22" s="227" t="s">
        <v>564</v>
      </c>
      <c r="AT22" s="230"/>
      <c r="AU22" s="231" t="s">
        <v>495</v>
      </c>
      <c r="AW22" s="227" t="s">
        <v>564</v>
      </c>
      <c r="AX22" s="230"/>
      <c r="AY22" s="231" t="s">
        <v>495</v>
      </c>
      <c r="BA22" s="227" t="s">
        <v>564</v>
      </c>
      <c r="BB22" s="230"/>
      <c r="BC22" s="231" t="s">
        <v>495</v>
      </c>
    </row>
    <row r="23" spans="1:58">
      <c r="A23" s="4"/>
      <c r="B23" s="4"/>
      <c r="C23" s="4"/>
      <c r="D23" s="4"/>
      <c r="E23" s="4"/>
      <c r="F23" s="4"/>
      <c r="G23" s="4"/>
      <c r="J23" s="4"/>
      <c r="K23" s="4"/>
      <c r="L23" s="4"/>
      <c r="AG23" s="193">
        <f>IF(AND(AH21="By Weight", AH5&gt;HELPER!$BN$2), HELPER!$BO$2, "")</f>
        <v>0</v>
      </c>
      <c r="AH23" s="194"/>
      <c r="AI23" s="195"/>
      <c r="AK23" s="1034">
        <f>IF(AND(AL21="By Weight", AL5&gt;HELPER!$BN$2), HELPER!$BO$2, "")</f>
        <v>0</v>
      </c>
      <c r="AL23" s="1035"/>
      <c r="AM23" s="1036"/>
      <c r="AO23" s="1034">
        <f>IF(AND(AP21="By Weight", AP5&gt;HELPER!$BN$2), HELPER!$BO$2, "")</f>
        <v>0</v>
      </c>
      <c r="AP23" s="1035"/>
      <c r="AQ23" s="1036"/>
      <c r="AS23" s="1034">
        <f>IF(AND(AT21="By Weight", AT5&gt;HELPER!$BN$2), HELPER!$BO$2, "")</f>
        <v>0</v>
      </c>
      <c r="AT23" s="1035"/>
      <c r="AU23" s="1036"/>
      <c r="AW23" s="1034">
        <f>IF(AND(AX21="By Weight", AX5&gt;HELPER!$BN$2), HELPER!$BO$2, "")</f>
        <v>0</v>
      </c>
      <c r="AX23" s="1035"/>
      <c r="AY23" s="1036"/>
      <c r="BA23" s="1034">
        <f>IF(AND(BB21="By Weight", BB5&gt;HELPER!$BN$2), HELPER!$BO$2, "")</f>
        <v>0</v>
      </c>
      <c r="BB23" s="1035"/>
      <c r="BC23" s="1036"/>
    </row>
    <row r="24" spans="1:58" ht="18" customHeight="1">
      <c r="A24" s="4"/>
      <c r="B24" s="4"/>
      <c r="C24" s="4"/>
      <c r="D24" s="4"/>
      <c r="E24" s="4"/>
      <c r="F24" s="4"/>
      <c r="G24" s="4"/>
      <c r="J24" s="4"/>
      <c r="K24" s="4"/>
      <c r="L24" s="4"/>
      <c r="AD24" s="4"/>
      <c r="AE24" s="4"/>
      <c r="AF24" s="4"/>
      <c r="AG24" s="648" t="s">
        <v>1211</v>
      </c>
      <c r="AH24" s="1046" t="str">
        <f>IF(IF(AH21="By Length",IF(AH22="",0,AH22*$H$3),AH8)&lt;AH20,"under MOQ","fine from MOQ perspective")</f>
        <v>under MOQ</v>
      </c>
      <c r="AI24" s="1047"/>
      <c r="AJ24" s="649"/>
      <c r="AK24" s="648" t="s">
        <v>1211</v>
      </c>
      <c r="AL24" s="1046" t="str">
        <f>IF(IF(AL21="By Length",IF(AL22="",0,AL22*$H$4),AL8)&lt;AL20,"under MOQ","fine from MOQ perspective")</f>
        <v>fine from MOQ perspective</v>
      </c>
      <c r="AM24" s="1047"/>
      <c r="AN24" s="650"/>
      <c r="AO24" s="648" t="s">
        <v>1211</v>
      </c>
      <c r="AP24" s="1046" t="str">
        <f>IF(IF(AP21="By Length",IF(AP22="",0,AP22*$H$5),AP8)&lt;AP20,"under MOQ","fine from MOQ perspective")</f>
        <v>fine from MOQ perspective</v>
      </c>
      <c r="AQ24" s="1047"/>
      <c r="AR24" s="650"/>
      <c r="AS24" s="648" t="s">
        <v>1211</v>
      </c>
      <c r="AT24" s="1046" t="str">
        <f>IF(IF(AT21="By Length",IF(AT22="",0,AT22*$H$6),AT8)&lt;AT20,"under MOQ","fine from MOQ perspective")</f>
        <v>fine from MOQ perspective</v>
      </c>
      <c r="AU24" s="1047"/>
      <c r="AV24" s="650"/>
      <c r="AW24" s="648" t="s">
        <v>1211</v>
      </c>
      <c r="AX24" s="1046" t="str">
        <f>IF(IF(AX21="By Length",IF(AX22="",0,AX22*$H$7),AX8)&lt;AX20,"under MOQ","fine from MOQ perspective")</f>
        <v>fine from MOQ perspective</v>
      </c>
      <c r="AY24" s="1047"/>
      <c r="AZ24" s="650"/>
      <c r="BA24" s="648" t="s">
        <v>1211</v>
      </c>
      <c r="BB24" s="1046" t="str">
        <f>IF(IF(BB21="By Length",IF(BB22="",0,BB22*$H$8),BB8)&lt;BB20,"under MOQ","fine from MOQ perspective")</f>
        <v>fine from MOQ perspective</v>
      </c>
      <c r="BC24" s="1047"/>
    </row>
    <row r="25" spans="1:58" ht="18" customHeight="1">
      <c r="A25" s="4"/>
      <c r="B25" s="4"/>
      <c r="C25" s="4"/>
      <c r="D25" s="4"/>
      <c r="E25" s="4"/>
      <c r="F25" s="4"/>
      <c r="G25" s="4"/>
      <c r="J25" s="4"/>
      <c r="K25" s="4"/>
      <c r="L25" s="4"/>
      <c r="AD25" s="4"/>
      <c r="AE25" s="4"/>
      <c r="AF25" s="4"/>
      <c r="AG25" s="648" t="s">
        <v>1212</v>
      </c>
      <c r="AH25" s="651">
        <f>IFERROR(AH20/$H$3,0)</f>
        <v>59113.300492610833</v>
      </c>
      <c r="AI25" s="652" t="s">
        <v>495</v>
      </c>
      <c r="AJ25" s="649"/>
      <c r="AK25" s="648" t="s">
        <v>1212</v>
      </c>
      <c r="AL25" s="651">
        <f>IFERROR(AL20/$H$4,0)</f>
        <v>73891.625615763536</v>
      </c>
      <c r="AM25" s="652" t="s">
        <v>495</v>
      </c>
      <c r="AN25" s="650"/>
      <c r="AO25" s="648" t="s">
        <v>1212</v>
      </c>
      <c r="AP25" s="651">
        <f>IFERROR(AP20/$H$5,0)</f>
        <v>73891.625615763536</v>
      </c>
      <c r="AQ25" s="652" t="s">
        <v>495</v>
      </c>
      <c r="AR25" s="650"/>
      <c r="AS25" s="648" t="s">
        <v>1212</v>
      </c>
      <c r="AT25" s="651">
        <f>IFERROR(AT20/$H$6,0)</f>
        <v>73891.625615763536</v>
      </c>
      <c r="AU25" s="652" t="s">
        <v>495</v>
      </c>
      <c r="AV25" s="650"/>
      <c r="AW25" s="648" t="s">
        <v>1212</v>
      </c>
      <c r="AX25" s="651">
        <f>IFERROR(AX20/$H$7,0)</f>
        <v>73891.625615763536</v>
      </c>
      <c r="AY25" s="652" t="s">
        <v>495</v>
      </c>
      <c r="AZ25" s="650"/>
      <c r="BA25" s="648" t="s">
        <v>1212</v>
      </c>
      <c r="BB25" s="651">
        <f>IFERROR(BB20/$H$8,0)</f>
        <v>73891.625615763536</v>
      </c>
      <c r="BC25" s="652" t="s">
        <v>495</v>
      </c>
    </row>
    <row r="26" spans="1:58">
      <c r="A26" s="4"/>
      <c r="B26" s="4"/>
      <c r="C26" s="4"/>
      <c r="D26" s="4"/>
      <c r="E26" s="4"/>
      <c r="F26" s="4"/>
      <c r="G26" s="4"/>
      <c r="J26" s="4"/>
      <c r="K26" s="4"/>
      <c r="L26" s="4"/>
      <c r="AD26" s="4"/>
      <c r="AE26" s="4"/>
      <c r="AF26" s="4"/>
      <c r="AG26" s="4"/>
      <c r="AH26" s="4"/>
      <c r="AI26" s="4"/>
      <c r="AJ26" s="4"/>
      <c r="AK26" s="4"/>
      <c r="AL26" s="4"/>
      <c r="AM26" s="4"/>
      <c r="AO26" s="4"/>
      <c r="AP26" s="4"/>
      <c r="AQ26" s="4"/>
      <c r="AS26" s="4"/>
      <c r="AT26" s="4"/>
      <c r="AU26" s="4"/>
      <c r="AW26" s="4"/>
      <c r="AX26" s="4"/>
      <c r="AY26" s="4"/>
      <c r="BA26" s="4"/>
      <c r="BB26" s="4"/>
      <c r="BC26" s="4"/>
    </row>
    <row r="27" spans="1:58">
      <c r="A27" s="4"/>
      <c r="B27" s="4"/>
      <c r="C27" s="4"/>
      <c r="D27" s="4"/>
      <c r="E27" s="4"/>
      <c r="F27" s="4"/>
      <c r="G27" s="4"/>
      <c r="J27" s="4"/>
      <c r="K27" s="4"/>
      <c r="L27" s="4"/>
      <c r="AD27" s="4"/>
      <c r="AE27" s="4"/>
      <c r="AF27" s="4"/>
      <c r="AG27" s="4"/>
      <c r="AH27" s="4"/>
      <c r="AI27" s="4"/>
      <c r="AJ27" s="4"/>
      <c r="AK27" s="4"/>
      <c r="AL27" s="4"/>
      <c r="AM27" s="4"/>
      <c r="AO27" s="4"/>
      <c r="AP27" s="4"/>
      <c r="AQ27" s="4"/>
      <c r="AS27" s="4"/>
      <c r="AT27" s="4"/>
      <c r="AU27" s="4"/>
      <c r="AW27" s="4"/>
      <c r="AX27" s="4"/>
      <c r="AY27" s="4"/>
      <c r="BA27" s="4"/>
      <c r="BB27" s="4"/>
      <c r="BC27" s="4"/>
    </row>
    <row r="28" spans="1:58">
      <c r="A28" s="4"/>
      <c r="B28" s="4"/>
      <c r="C28" s="4"/>
      <c r="D28" s="4"/>
      <c r="E28" s="4"/>
      <c r="F28" s="4"/>
      <c r="G28" s="4"/>
      <c r="J28" s="4"/>
      <c r="K28" s="4"/>
      <c r="L28" s="4"/>
      <c r="AD28" s="4"/>
      <c r="AE28" s="4"/>
      <c r="AF28" s="4"/>
      <c r="AG28" s="4"/>
      <c r="AH28" s="4"/>
      <c r="AI28" s="4"/>
      <c r="AJ28" s="4"/>
      <c r="AK28" s="4"/>
      <c r="AL28" s="4"/>
      <c r="AM28" s="4"/>
      <c r="AO28" s="4"/>
      <c r="AP28" s="4"/>
      <c r="AQ28" s="4"/>
      <c r="AS28" s="4"/>
      <c r="AT28" s="4"/>
      <c r="AU28" s="4"/>
      <c r="AW28" s="4"/>
      <c r="AX28" s="4"/>
      <c r="AY28" s="4"/>
      <c r="BA28" s="4"/>
      <c r="BB28" s="4"/>
      <c r="BC28" s="4"/>
    </row>
    <row r="29" spans="1:58">
      <c r="A29" s="4"/>
      <c r="B29" s="4"/>
      <c r="C29" s="4"/>
      <c r="D29" s="4"/>
      <c r="E29" s="4"/>
      <c r="F29" s="4"/>
      <c r="G29" s="4"/>
      <c r="J29" s="4"/>
      <c r="K29" s="4"/>
      <c r="L29" s="4"/>
      <c r="AD29" s="4"/>
      <c r="AE29" s="4"/>
      <c r="AF29" s="4"/>
      <c r="AG29" s="4"/>
      <c r="AH29" s="4"/>
      <c r="AI29" s="4"/>
      <c r="AJ29" s="4"/>
      <c r="AK29" s="4"/>
      <c r="AL29" s="4"/>
      <c r="AM29" s="4"/>
      <c r="AO29" s="4"/>
      <c r="AP29" s="4"/>
      <c r="AQ29" s="4"/>
      <c r="AS29" s="4"/>
      <c r="AT29" s="4"/>
      <c r="AU29" s="4"/>
      <c r="AW29" s="4"/>
      <c r="AX29" s="4"/>
      <c r="AY29" s="4"/>
      <c r="BA29" s="4"/>
      <c r="BB29" s="4"/>
      <c r="BC29" s="4"/>
    </row>
    <row r="30" spans="1:58">
      <c r="A30" s="4"/>
      <c r="B30" s="4"/>
      <c r="C30" s="4"/>
      <c r="D30" s="4"/>
      <c r="E30" s="4"/>
      <c r="F30" s="4"/>
      <c r="G30" s="4"/>
      <c r="J30" s="4"/>
      <c r="K30" s="4"/>
      <c r="L30" s="4"/>
      <c r="T30" s="4"/>
      <c r="U30" s="4"/>
      <c r="V30" s="4"/>
      <c r="W30" s="4"/>
      <c r="X30" s="4"/>
      <c r="Y30" s="4"/>
      <c r="Z30" s="4"/>
      <c r="AA30" s="4"/>
      <c r="AD30" s="4"/>
      <c r="AE30" s="4"/>
      <c r="AF30" s="4"/>
      <c r="AG30" s="4"/>
      <c r="AH30" s="4"/>
      <c r="AI30" s="4"/>
      <c r="AJ30" s="4"/>
      <c r="AK30" s="4"/>
      <c r="AL30" s="4"/>
      <c r="AM30" s="4"/>
      <c r="AO30" s="4"/>
      <c r="AP30" s="4"/>
      <c r="AQ30" s="4"/>
      <c r="AS30" s="4"/>
      <c r="AT30" s="4"/>
      <c r="AU30" s="4"/>
      <c r="AW30" s="4"/>
      <c r="AX30" s="4"/>
      <c r="AY30" s="4"/>
      <c r="BA30" s="4"/>
      <c r="BB30" s="4"/>
      <c r="BC30" s="4"/>
    </row>
    <row r="31" spans="1:58">
      <c r="A31" s="4"/>
      <c r="B31" s="4"/>
      <c r="C31" s="4"/>
      <c r="D31" s="4"/>
      <c r="E31" s="4"/>
      <c r="F31" s="4"/>
      <c r="G31" s="4"/>
      <c r="J31" s="4"/>
      <c r="K31" s="4"/>
      <c r="L31" s="4"/>
      <c r="T31" s="4"/>
      <c r="U31" s="4"/>
      <c r="V31" s="4"/>
      <c r="W31" s="4"/>
      <c r="X31" s="4"/>
      <c r="Y31" s="4"/>
      <c r="Z31" s="4"/>
      <c r="AA31" s="4"/>
      <c r="AD31" s="4"/>
      <c r="AE31" s="4"/>
      <c r="AF31" s="4"/>
      <c r="AG31" s="4"/>
      <c r="AH31" s="4"/>
      <c r="AI31" s="4"/>
      <c r="AJ31" s="4"/>
      <c r="AK31" s="4"/>
      <c r="AL31" s="4"/>
      <c r="AM31" s="4"/>
      <c r="AO31" s="4"/>
      <c r="AP31" s="4"/>
      <c r="AQ31" s="4"/>
      <c r="AS31" s="4"/>
      <c r="AT31" s="4"/>
      <c r="AU31" s="4"/>
      <c r="AW31" s="4"/>
      <c r="AX31" s="4"/>
      <c r="AY31" s="4"/>
      <c r="BA31" s="4"/>
      <c r="BB31" s="4"/>
      <c r="BC31" s="4"/>
    </row>
    <row r="32" spans="1:58">
      <c r="A32" s="4"/>
      <c r="B32" s="4"/>
      <c r="C32" s="4"/>
      <c r="D32" s="4"/>
      <c r="E32" s="4"/>
      <c r="F32" s="4"/>
      <c r="G32" s="4"/>
      <c r="J32" s="4"/>
      <c r="K32" s="4"/>
      <c r="L32" s="4"/>
      <c r="T32" s="4"/>
      <c r="U32" s="4"/>
      <c r="V32" s="4"/>
      <c r="W32" s="4"/>
      <c r="X32" s="4"/>
      <c r="Y32" s="4"/>
      <c r="Z32" s="4"/>
      <c r="AA32" s="4"/>
      <c r="AD32" s="4"/>
      <c r="AE32" s="4"/>
      <c r="AF32" s="4"/>
      <c r="AG32" s="4"/>
      <c r="AH32" s="4"/>
      <c r="AI32" s="4"/>
      <c r="AJ32" s="4"/>
      <c r="AK32" s="4"/>
      <c r="AL32" s="4"/>
      <c r="AM32" s="4"/>
      <c r="AO32" s="4"/>
      <c r="AP32" s="4"/>
      <c r="AQ32" s="4"/>
      <c r="AS32" s="4"/>
      <c r="AT32" s="4"/>
      <c r="AU32" s="4"/>
      <c r="AW32" s="4"/>
      <c r="AX32" s="4"/>
      <c r="AY32" s="4"/>
      <c r="BA32" s="4"/>
      <c r="BB32" s="4"/>
      <c r="BC32" s="4"/>
    </row>
    <row r="33" spans="1:55">
      <c r="A33" s="4"/>
      <c r="B33" s="4"/>
      <c r="C33" s="4"/>
      <c r="D33" s="4"/>
      <c r="E33" s="4"/>
      <c r="F33" s="4"/>
      <c r="G33" s="4"/>
      <c r="J33" s="4"/>
      <c r="K33" s="4"/>
      <c r="L33" s="4"/>
      <c r="T33" s="4"/>
      <c r="U33" s="4"/>
      <c r="V33" s="4"/>
      <c r="W33" s="4"/>
      <c r="X33" s="4"/>
      <c r="Y33" s="4"/>
      <c r="Z33" s="4"/>
      <c r="AA33" s="4"/>
      <c r="AD33" s="4"/>
      <c r="AE33" s="4"/>
      <c r="AF33" s="4"/>
      <c r="AG33" s="4"/>
      <c r="AH33" s="4"/>
      <c r="AI33" s="4"/>
      <c r="AJ33" s="4"/>
      <c r="AK33" s="4"/>
      <c r="AL33" s="4"/>
      <c r="AM33" s="4"/>
      <c r="AO33" s="4"/>
      <c r="AP33" s="4"/>
      <c r="AQ33" s="4"/>
      <c r="AS33" s="4"/>
      <c r="AT33" s="4"/>
      <c r="AU33" s="4"/>
      <c r="AW33" s="4"/>
      <c r="AX33" s="4"/>
      <c r="AY33" s="4"/>
      <c r="BA33" s="4"/>
      <c r="BB33" s="4"/>
      <c r="BC33" s="4"/>
    </row>
    <row r="34" spans="1:55">
      <c r="A34" s="4"/>
      <c r="B34" s="4"/>
      <c r="C34" s="4"/>
      <c r="D34" s="4"/>
      <c r="E34" s="4"/>
      <c r="F34" s="4"/>
      <c r="G34" s="4"/>
      <c r="J34" s="4"/>
      <c r="K34" s="4"/>
      <c r="L34" s="4"/>
      <c r="T34" s="4"/>
      <c r="U34" s="4"/>
      <c r="V34" s="4"/>
      <c r="W34" s="4"/>
      <c r="X34" s="4"/>
      <c r="Y34" s="4"/>
      <c r="Z34" s="4"/>
      <c r="AA34" s="4"/>
      <c r="AD34" s="4"/>
      <c r="AE34" s="4"/>
      <c r="AF34" s="4"/>
      <c r="AG34" s="4"/>
      <c r="AH34" s="4"/>
      <c r="AI34" s="4"/>
      <c r="AJ34" s="4"/>
      <c r="AK34" s="4"/>
      <c r="AL34" s="4"/>
      <c r="AM34" s="4"/>
      <c r="AO34" s="4"/>
      <c r="AP34" s="4"/>
      <c r="AQ34" s="4"/>
      <c r="AS34" s="4"/>
      <c r="AT34" s="4"/>
      <c r="AU34" s="4"/>
      <c r="AW34" s="4"/>
      <c r="AX34" s="4"/>
      <c r="AY34" s="4"/>
      <c r="BA34" s="4"/>
      <c r="BB34" s="4"/>
      <c r="BC34" s="4"/>
    </row>
    <row r="35" spans="1:55">
      <c r="A35" s="4"/>
      <c r="B35" s="4"/>
      <c r="C35" s="4"/>
      <c r="D35" s="4"/>
      <c r="E35" s="4"/>
      <c r="F35" s="4"/>
      <c r="G35" s="4"/>
      <c r="J35" s="4"/>
      <c r="K35" s="4"/>
      <c r="L35" s="4"/>
      <c r="T35" s="4"/>
      <c r="U35" s="4"/>
      <c r="V35" s="4"/>
      <c r="W35" s="4"/>
      <c r="X35" s="4"/>
      <c r="Y35" s="4"/>
      <c r="Z35" s="4"/>
      <c r="AA35" s="4"/>
      <c r="AD35" s="4"/>
      <c r="AE35" s="4"/>
      <c r="AF35" s="4"/>
      <c r="AG35" s="4"/>
      <c r="AH35" s="4"/>
      <c r="AI35" s="4"/>
      <c r="AJ35" s="4"/>
      <c r="AK35" s="4"/>
      <c r="AL35" s="4"/>
      <c r="AM35" s="4"/>
      <c r="AO35" s="4"/>
      <c r="AP35" s="4"/>
      <c r="AQ35" s="4"/>
      <c r="AS35" s="4"/>
      <c r="AT35" s="4"/>
      <c r="AU35" s="4"/>
      <c r="AW35" s="4"/>
      <c r="AX35" s="4"/>
      <c r="AY35" s="4"/>
      <c r="BA35" s="4"/>
      <c r="BB35" s="4"/>
      <c r="BC35" s="4"/>
    </row>
    <row r="36" spans="1:55">
      <c r="A36" s="4"/>
      <c r="B36" s="4"/>
      <c r="C36" s="4"/>
      <c r="D36" s="4"/>
      <c r="E36" s="4"/>
      <c r="F36" s="4"/>
      <c r="G36" s="4"/>
      <c r="J36" s="4"/>
      <c r="K36" s="4"/>
      <c r="L36" s="4"/>
      <c r="T36" s="4"/>
      <c r="U36" s="4"/>
      <c r="V36" s="4"/>
      <c r="W36" s="4"/>
      <c r="X36" s="4"/>
      <c r="Y36" s="4"/>
      <c r="Z36" s="4"/>
      <c r="AA36" s="4"/>
      <c r="AD36" s="4"/>
      <c r="AE36" s="4"/>
      <c r="AF36" s="4"/>
      <c r="AG36" s="4"/>
      <c r="AH36" s="4"/>
      <c r="AI36" s="4"/>
      <c r="AJ36" s="4"/>
      <c r="AK36" s="4"/>
      <c r="AL36" s="4"/>
      <c r="AM36" s="4"/>
      <c r="AO36" s="4"/>
      <c r="AP36" s="4"/>
      <c r="AQ36" s="4"/>
      <c r="AS36" s="4"/>
      <c r="AT36" s="4"/>
      <c r="AU36" s="4"/>
      <c r="AW36" s="4"/>
      <c r="AX36" s="4"/>
      <c r="AY36" s="4"/>
      <c r="BA36" s="4"/>
      <c r="BB36" s="4"/>
      <c r="BC36" s="4"/>
    </row>
    <row r="37" spans="1:55">
      <c r="A37" s="4"/>
      <c r="B37" s="4"/>
      <c r="C37" s="4"/>
      <c r="D37" s="4"/>
      <c r="E37" s="4"/>
      <c r="F37" s="4"/>
      <c r="G37" s="4"/>
      <c r="J37" s="4"/>
      <c r="K37" s="4"/>
      <c r="L37" s="4"/>
      <c r="T37" s="4"/>
      <c r="U37" s="4"/>
      <c r="V37" s="4"/>
      <c r="W37" s="4"/>
      <c r="X37" s="4"/>
      <c r="Y37" s="4"/>
      <c r="Z37" s="4"/>
      <c r="AA37" s="4"/>
      <c r="AD37" s="4"/>
      <c r="AE37" s="4"/>
      <c r="AF37" s="4"/>
      <c r="AG37" s="4"/>
      <c r="AH37" s="4"/>
      <c r="AI37" s="4"/>
      <c r="AJ37" s="4"/>
      <c r="AK37" s="4"/>
      <c r="AL37" s="4"/>
      <c r="AM37" s="4"/>
      <c r="AO37" s="4"/>
      <c r="AP37" s="4"/>
      <c r="AQ37" s="4"/>
      <c r="AS37" s="4"/>
      <c r="AT37" s="4"/>
      <c r="AU37" s="4"/>
      <c r="AW37" s="4"/>
      <c r="AX37" s="4"/>
      <c r="AY37" s="4"/>
      <c r="BA37" s="4"/>
      <c r="BB37" s="4"/>
      <c r="BC37" s="4"/>
    </row>
    <row r="38" spans="1:55">
      <c r="A38" s="4"/>
      <c r="B38" s="4"/>
      <c r="C38" s="4"/>
      <c r="D38" s="4"/>
      <c r="E38" s="4"/>
      <c r="F38" s="4"/>
      <c r="G38" s="4"/>
      <c r="J38" s="4"/>
      <c r="K38" s="4"/>
      <c r="L38" s="4"/>
      <c r="M38" s="4"/>
      <c r="N38" s="4"/>
      <c r="O38" s="4"/>
      <c r="P38" s="4"/>
      <c r="Q38" s="4"/>
      <c r="R38" s="4"/>
      <c r="S38" s="4"/>
      <c r="T38" s="4"/>
      <c r="U38" s="4"/>
      <c r="V38" s="4"/>
      <c r="W38" s="4"/>
      <c r="X38" s="4"/>
      <c r="Y38" s="4"/>
      <c r="Z38" s="4"/>
      <c r="AA38" s="4"/>
      <c r="AD38" s="4"/>
      <c r="AE38" s="4"/>
      <c r="AF38" s="4"/>
      <c r="AG38" s="4"/>
      <c r="AH38" s="4"/>
      <c r="AI38" s="4"/>
      <c r="AJ38" s="4"/>
      <c r="AK38" s="4"/>
      <c r="AL38" s="4"/>
      <c r="AM38" s="4"/>
      <c r="AO38" s="4"/>
      <c r="AP38" s="4"/>
      <c r="AQ38" s="4"/>
      <c r="AS38" s="4"/>
      <c r="AT38" s="4"/>
      <c r="AU38" s="4"/>
      <c r="AW38" s="4"/>
      <c r="AX38" s="4"/>
      <c r="AY38" s="4"/>
      <c r="BA38" s="4"/>
      <c r="BB38" s="4"/>
      <c r="BC38" s="4"/>
    </row>
    <row r="39" spans="1:55">
      <c r="A39" s="4"/>
      <c r="B39" s="4"/>
      <c r="C39" s="4"/>
      <c r="D39" s="4"/>
      <c r="E39" s="4"/>
      <c r="F39" s="4"/>
      <c r="G39" s="4"/>
      <c r="J39" s="4"/>
      <c r="K39" s="4"/>
      <c r="L39" s="4"/>
      <c r="M39" s="4"/>
      <c r="N39" s="4"/>
      <c r="O39" s="4"/>
      <c r="P39" s="4"/>
      <c r="Q39" s="4"/>
      <c r="R39" s="4"/>
      <c r="S39" s="4"/>
      <c r="T39" s="4"/>
      <c r="U39" s="4"/>
      <c r="V39" s="4"/>
      <c r="W39" s="4"/>
      <c r="X39" s="4"/>
      <c r="Y39" s="4"/>
      <c r="Z39" s="4"/>
      <c r="AA39" s="4"/>
      <c r="AD39" s="4"/>
      <c r="AE39" s="4"/>
      <c r="AF39" s="4"/>
      <c r="AG39" s="4"/>
      <c r="AH39" s="4"/>
      <c r="AI39" s="4"/>
      <c r="AJ39" s="4"/>
      <c r="AK39" s="4"/>
      <c r="AL39" s="4"/>
      <c r="AM39" s="4"/>
      <c r="AO39" s="4"/>
      <c r="AP39" s="4"/>
      <c r="AQ39" s="4"/>
      <c r="AS39" s="4"/>
      <c r="AT39" s="4"/>
      <c r="AU39" s="4"/>
      <c r="AW39" s="4"/>
      <c r="AX39" s="4"/>
      <c r="AY39" s="4"/>
      <c r="BA39" s="4"/>
      <c r="BB39" s="4"/>
      <c r="BC39" s="4"/>
    </row>
    <row r="40" spans="1:55">
      <c r="A40" s="4"/>
      <c r="B40" s="4"/>
      <c r="C40" s="4"/>
      <c r="D40" s="4"/>
      <c r="E40" s="4"/>
      <c r="F40" s="4"/>
      <c r="G40" s="4"/>
      <c r="J40" s="4"/>
      <c r="K40" s="4"/>
      <c r="L40" s="4"/>
      <c r="M40" s="4"/>
      <c r="N40" s="4"/>
      <c r="O40" s="4"/>
      <c r="P40" s="4"/>
      <c r="Q40" s="4"/>
      <c r="R40" s="4"/>
      <c r="S40" s="4"/>
      <c r="T40" s="4"/>
      <c r="U40" s="4"/>
      <c r="V40" s="4"/>
      <c r="W40" s="4"/>
      <c r="X40" s="4"/>
      <c r="Y40" s="4"/>
      <c r="Z40" s="4"/>
      <c r="AA40" s="4"/>
      <c r="AD40" s="4"/>
      <c r="AE40" s="4"/>
      <c r="AF40" s="4"/>
      <c r="AG40" s="4"/>
      <c r="AH40" s="4"/>
      <c r="AI40" s="4"/>
      <c r="AJ40" s="4"/>
      <c r="AK40" s="4"/>
      <c r="AL40" s="4"/>
      <c r="AM40" s="4"/>
      <c r="AO40" s="4"/>
      <c r="AP40" s="4"/>
      <c r="AQ40" s="4"/>
      <c r="AS40" s="4"/>
      <c r="AT40" s="4"/>
      <c r="AU40" s="4"/>
      <c r="AW40" s="4"/>
      <c r="AX40" s="4"/>
      <c r="AY40" s="4"/>
      <c r="BA40" s="4"/>
      <c r="BB40" s="4"/>
      <c r="BC40" s="4"/>
    </row>
    <row r="41" spans="1:55">
      <c r="A41" s="4"/>
      <c r="B41" s="4"/>
      <c r="C41" s="4"/>
      <c r="D41" s="4"/>
      <c r="E41" s="4"/>
      <c r="F41" s="4"/>
      <c r="G41" s="4"/>
      <c r="J41" s="4"/>
      <c r="K41" s="4"/>
      <c r="L41" s="4"/>
      <c r="M41" s="4"/>
      <c r="N41" s="4"/>
      <c r="O41" s="4"/>
      <c r="P41" s="4"/>
      <c r="Q41" s="4"/>
      <c r="R41" s="4"/>
      <c r="S41" s="4"/>
      <c r="T41" s="4"/>
      <c r="U41" s="4"/>
      <c r="V41" s="4"/>
      <c r="W41" s="4"/>
      <c r="X41" s="4"/>
      <c r="Y41" s="4"/>
      <c r="Z41" s="4"/>
      <c r="AA41" s="4"/>
      <c r="AD41" s="4"/>
      <c r="AE41" s="4"/>
      <c r="AF41" s="4"/>
      <c r="AG41" s="4"/>
      <c r="AH41" s="4"/>
      <c r="AI41" s="4"/>
      <c r="AJ41" s="4"/>
      <c r="AK41" s="4"/>
      <c r="AL41" s="4"/>
      <c r="AM41" s="4"/>
      <c r="AO41" s="4"/>
      <c r="AP41" s="4"/>
      <c r="AQ41" s="4"/>
      <c r="AS41" s="4"/>
      <c r="AT41" s="4"/>
      <c r="AU41" s="4"/>
      <c r="AW41" s="4"/>
      <c r="AX41" s="4"/>
      <c r="AY41" s="4"/>
      <c r="BA41" s="4"/>
      <c r="BB41" s="4"/>
      <c r="BC41" s="4"/>
    </row>
    <row r="42" spans="1:55">
      <c r="A42" s="4"/>
      <c r="B42" s="4"/>
      <c r="C42" s="4"/>
      <c r="D42" s="4"/>
      <c r="E42" s="4"/>
      <c r="F42" s="4"/>
      <c r="G42" s="4"/>
      <c r="J42" s="4"/>
      <c r="K42" s="4"/>
      <c r="L42" s="4"/>
      <c r="M42" s="4"/>
      <c r="N42" s="4"/>
      <c r="O42" s="4"/>
      <c r="P42" s="4"/>
      <c r="Q42" s="4"/>
      <c r="R42" s="4"/>
      <c r="S42" s="4"/>
      <c r="T42" s="4"/>
      <c r="U42" s="4"/>
      <c r="V42" s="4"/>
      <c r="W42" s="4"/>
      <c r="X42" s="4"/>
      <c r="Y42" s="4"/>
      <c r="Z42" s="4"/>
      <c r="AA42" s="4"/>
      <c r="AD42" s="4"/>
      <c r="AE42" s="4"/>
      <c r="AF42" s="4"/>
      <c r="AG42" s="4"/>
      <c r="AH42" s="4"/>
      <c r="AI42" s="4"/>
      <c r="AJ42" s="4"/>
      <c r="AK42" s="4"/>
      <c r="AL42" s="4"/>
      <c r="AM42" s="4"/>
      <c r="AO42" s="4"/>
      <c r="AP42" s="4"/>
      <c r="AQ42" s="4"/>
      <c r="AS42" s="4"/>
      <c r="AT42" s="4"/>
      <c r="AU42" s="4"/>
      <c r="AW42" s="4"/>
      <c r="AX42" s="4"/>
      <c r="AY42" s="4"/>
      <c r="BA42" s="4"/>
      <c r="BB42" s="4"/>
      <c r="BC42" s="4"/>
    </row>
    <row r="43" spans="1:55">
      <c r="A43" s="4"/>
      <c r="B43" s="4"/>
      <c r="C43" s="4"/>
      <c r="D43" s="4"/>
      <c r="E43" s="4"/>
      <c r="F43" s="4"/>
      <c r="G43" s="4"/>
      <c r="J43" s="4"/>
      <c r="K43" s="4"/>
      <c r="L43" s="4"/>
      <c r="M43" s="4"/>
      <c r="N43" s="4"/>
      <c r="O43" s="4"/>
      <c r="P43" s="4"/>
      <c r="Q43" s="4"/>
      <c r="R43" s="4"/>
      <c r="S43" s="4"/>
      <c r="T43" s="4"/>
      <c r="U43" s="4"/>
      <c r="V43" s="4"/>
      <c r="W43" s="4"/>
      <c r="X43" s="4"/>
      <c r="Y43" s="4"/>
      <c r="Z43" s="4"/>
      <c r="AA43" s="4"/>
      <c r="AD43" s="4"/>
      <c r="AE43" s="4"/>
      <c r="AF43" s="4"/>
      <c r="AG43" s="4"/>
      <c r="AH43" s="4"/>
      <c r="AI43" s="4"/>
      <c r="AJ43" s="4"/>
      <c r="AK43" s="4"/>
      <c r="AL43" s="4"/>
      <c r="AM43" s="4"/>
      <c r="AO43" s="4"/>
      <c r="AP43" s="4"/>
      <c r="AQ43" s="4"/>
      <c r="AS43" s="4"/>
      <c r="AT43" s="4"/>
      <c r="AU43" s="4"/>
      <c r="AW43" s="4"/>
      <c r="AX43" s="4"/>
      <c r="AY43" s="4"/>
      <c r="BA43" s="4"/>
      <c r="BB43" s="4"/>
      <c r="BC43" s="4"/>
    </row>
    <row r="44" spans="1:55">
      <c r="A44" s="4"/>
      <c r="B44" s="4"/>
      <c r="C44" s="4"/>
      <c r="D44" s="4"/>
      <c r="E44" s="4"/>
      <c r="F44" s="4"/>
      <c r="G44" s="4"/>
      <c r="J44" s="4"/>
      <c r="K44" s="4"/>
      <c r="L44" s="4"/>
      <c r="M44" s="4"/>
      <c r="N44" s="4"/>
      <c r="O44" s="4"/>
      <c r="P44" s="4"/>
      <c r="Q44" s="4"/>
      <c r="R44" s="4"/>
      <c r="S44" s="4"/>
      <c r="T44" s="4"/>
      <c r="U44" s="4"/>
      <c r="V44" s="4"/>
      <c r="W44" s="4"/>
      <c r="X44" s="4"/>
      <c r="Y44" s="4"/>
      <c r="Z44" s="4"/>
      <c r="AA44" s="4"/>
      <c r="AD44" s="4"/>
      <c r="AE44" s="4"/>
      <c r="AF44" s="4"/>
      <c r="AG44" s="4"/>
      <c r="AH44" s="4"/>
      <c r="AI44" s="4"/>
      <c r="AJ44" s="4"/>
      <c r="AK44" s="4"/>
      <c r="AL44" s="4"/>
      <c r="AM44" s="4"/>
      <c r="AO44" s="4"/>
      <c r="AP44" s="4"/>
      <c r="AQ44" s="4"/>
      <c r="AS44" s="4"/>
      <c r="AT44" s="4"/>
      <c r="AU44" s="4"/>
      <c r="AW44" s="4"/>
      <c r="AX44" s="4"/>
      <c r="AY44" s="4"/>
      <c r="BA44" s="4"/>
      <c r="BB44" s="4"/>
      <c r="BC44" s="4"/>
    </row>
    <row r="45" spans="1:55">
      <c r="A45" s="4"/>
      <c r="B45" s="4"/>
      <c r="C45" s="4"/>
      <c r="D45" s="4"/>
      <c r="E45" s="4"/>
      <c r="F45" s="4"/>
      <c r="G45" s="4"/>
      <c r="J45" s="4"/>
      <c r="K45" s="4"/>
      <c r="L45" s="4"/>
      <c r="M45" s="4"/>
      <c r="N45" s="4"/>
      <c r="O45" s="4"/>
      <c r="P45" s="4"/>
      <c r="Q45" s="4"/>
      <c r="R45" s="4"/>
      <c r="S45" s="4"/>
      <c r="T45" s="4"/>
      <c r="U45" s="4"/>
      <c r="V45" s="4"/>
      <c r="W45" s="4"/>
      <c r="X45" s="4"/>
      <c r="Y45" s="4"/>
      <c r="Z45" s="4"/>
      <c r="AA45" s="4"/>
      <c r="AD45" s="4"/>
      <c r="AE45" s="4"/>
      <c r="AF45" s="4"/>
      <c r="AG45" s="4"/>
      <c r="AH45" s="4"/>
      <c r="AI45" s="4"/>
      <c r="AJ45" s="4"/>
      <c r="AK45" s="4"/>
      <c r="AL45" s="4"/>
      <c r="AM45" s="4"/>
      <c r="AO45" s="4"/>
      <c r="AP45" s="4"/>
      <c r="AQ45" s="4"/>
      <c r="AS45" s="4"/>
      <c r="AT45" s="4"/>
      <c r="AU45" s="4"/>
      <c r="AW45" s="4"/>
      <c r="AX45" s="4"/>
      <c r="AY45" s="4"/>
      <c r="BA45" s="4"/>
      <c r="BB45" s="4"/>
      <c r="BC45" s="4"/>
    </row>
    <row r="46" spans="1:55">
      <c r="A46" s="4"/>
      <c r="B46" s="4"/>
      <c r="C46" s="4"/>
      <c r="D46" s="4"/>
      <c r="E46" s="4"/>
      <c r="F46" s="4"/>
      <c r="G46" s="4"/>
      <c r="J46" s="4"/>
      <c r="K46" s="4"/>
      <c r="L46" s="4"/>
      <c r="M46" s="4"/>
      <c r="N46" s="4"/>
      <c r="O46" s="4"/>
      <c r="P46" s="4"/>
      <c r="Q46" s="4"/>
      <c r="R46" s="4"/>
      <c r="S46" s="4"/>
      <c r="T46" s="4"/>
      <c r="U46" s="4"/>
      <c r="V46" s="4"/>
      <c r="W46" s="4"/>
      <c r="X46" s="4"/>
      <c r="Y46" s="4"/>
      <c r="Z46" s="4"/>
      <c r="AA46" s="4"/>
      <c r="AD46" s="4"/>
      <c r="AE46" s="4"/>
      <c r="AF46" s="4"/>
      <c r="AG46" s="4"/>
      <c r="AH46" s="4"/>
      <c r="AI46" s="4"/>
      <c r="AJ46" s="4"/>
      <c r="AK46" s="4"/>
      <c r="AL46" s="4"/>
      <c r="AM46" s="4"/>
      <c r="AO46" s="4"/>
      <c r="AP46" s="4"/>
      <c r="AQ46" s="4"/>
      <c r="AS46" s="4"/>
      <c r="AT46" s="4"/>
      <c r="AU46" s="4"/>
      <c r="AW46" s="4"/>
      <c r="AX46" s="4"/>
      <c r="AY46" s="4"/>
      <c r="BA46" s="4"/>
      <c r="BB46" s="4"/>
      <c r="BC46" s="4"/>
    </row>
    <row r="47" spans="1:55">
      <c r="A47" s="4"/>
      <c r="B47" s="4"/>
      <c r="C47" s="4"/>
      <c r="D47" s="4"/>
      <c r="E47" s="4"/>
      <c r="F47" s="4"/>
      <c r="G47" s="4"/>
      <c r="J47" s="4"/>
      <c r="K47" s="4"/>
      <c r="L47" s="4"/>
      <c r="M47" s="4"/>
      <c r="N47" s="4"/>
      <c r="O47" s="4"/>
      <c r="P47" s="4"/>
      <c r="Q47" s="4"/>
      <c r="R47" s="4"/>
      <c r="S47" s="4"/>
      <c r="T47" s="4"/>
      <c r="U47" s="4"/>
      <c r="V47" s="4"/>
      <c r="W47" s="4"/>
      <c r="X47" s="4"/>
      <c r="Y47" s="4"/>
      <c r="Z47" s="4"/>
      <c r="AA47" s="4"/>
      <c r="AD47" s="4"/>
      <c r="AE47" s="4"/>
      <c r="AF47" s="4"/>
      <c r="AG47" s="4"/>
      <c r="AH47" s="4"/>
      <c r="AI47" s="4"/>
      <c r="AJ47" s="4"/>
      <c r="AK47" s="4"/>
      <c r="AL47" s="4"/>
      <c r="AM47" s="4"/>
      <c r="AO47" s="4"/>
      <c r="AP47" s="4"/>
      <c r="AQ47" s="4"/>
      <c r="AS47" s="4"/>
      <c r="AT47" s="4"/>
      <c r="AU47" s="4"/>
      <c r="AW47" s="4"/>
      <c r="AX47" s="4"/>
      <c r="AY47" s="4"/>
      <c r="BA47" s="4"/>
      <c r="BB47" s="4"/>
      <c r="BC47" s="4"/>
    </row>
    <row r="48" spans="1:55">
      <c r="A48" s="4"/>
      <c r="B48" s="4"/>
      <c r="C48" s="4"/>
      <c r="D48" s="4"/>
      <c r="E48" s="4"/>
      <c r="F48" s="4"/>
      <c r="G48" s="4"/>
      <c r="J48" s="4"/>
      <c r="K48" s="4"/>
      <c r="L48" s="4"/>
      <c r="M48" s="4"/>
      <c r="N48" s="4"/>
      <c r="O48" s="4"/>
      <c r="P48" s="4"/>
      <c r="Q48" s="4"/>
      <c r="R48" s="4"/>
      <c r="S48" s="4"/>
      <c r="T48" s="4"/>
      <c r="U48" s="4"/>
      <c r="V48" s="4"/>
      <c r="W48" s="4"/>
      <c r="X48" s="4"/>
      <c r="Y48" s="4"/>
      <c r="Z48" s="4"/>
      <c r="AA48" s="4"/>
      <c r="AD48" s="4"/>
      <c r="AE48" s="4"/>
      <c r="AF48" s="4"/>
      <c r="AG48" s="4"/>
      <c r="AH48" s="4"/>
      <c r="AI48" s="4"/>
      <c r="AJ48" s="4"/>
      <c r="AK48" s="4"/>
      <c r="AL48" s="4"/>
      <c r="AM48" s="4"/>
      <c r="AO48" s="4"/>
      <c r="AP48" s="4"/>
      <c r="AQ48" s="4"/>
      <c r="AS48" s="4"/>
      <c r="AT48" s="4"/>
      <c r="AU48" s="4"/>
      <c r="AW48" s="4"/>
      <c r="AX48" s="4"/>
      <c r="AY48" s="4"/>
      <c r="BA48" s="4"/>
      <c r="BB48" s="4"/>
      <c r="BC48" s="4"/>
    </row>
    <row r="49" spans="1:55">
      <c r="A49" s="4"/>
      <c r="B49" s="4"/>
      <c r="C49" s="4"/>
      <c r="D49" s="4"/>
      <c r="E49" s="4"/>
      <c r="F49" s="4"/>
      <c r="G49" s="4"/>
      <c r="J49" s="4"/>
      <c r="K49" s="4"/>
      <c r="L49" s="4"/>
      <c r="M49" s="4"/>
      <c r="N49" s="4"/>
      <c r="O49" s="4"/>
      <c r="P49" s="4"/>
      <c r="Q49" s="4"/>
      <c r="R49" s="4"/>
      <c r="S49" s="4"/>
      <c r="T49" s="4"/>
      <c r="U49" s="4"/>
      <c r="V49" s="4"/>
      <c r="W49" s="4"/>
      <c r="X49" s="4"/>
      <c r="Y49" s="4"/>
      <c r="Z49" s="4"/>
      <c r="AA49" s="4"/>
      <c r="AD49" s="4"/>
      <c r="AE49" s="4"/>
      <c r="AF49" s="4"/>
      <c r="AG49" s="4"/>
      <c r="AH49" s="4"/>
      <c r="AI49" s="4"/>
      <c r="AJ49" s="4"/>
      <c r="AK49" s="4"/>
      <c r="AL49" s="4"/>
      <c r="AM49" s="4"/>
      <c r="AO49" s="4"/>
      <c r="AP49" s="4"/>
      <c r="AQ49" s="4"/>
      <c r="AS49" s="4"/>
      <c r="AT49" s="4"/>
      <c r="AU49" s="4"/>
      <c r="AW49" s="4"/>
      <c r="AX49" s="4"/>
      <c r="AY49" s="4"/>
      <c r="BA49" s="4"/>
      <c r="BB49" s="4"/>
      <c r="BC49" s="4"/>
    </row>
    <row r="50" spans="1:55">
      <c r="A50" s="4"/>
      <c r="B50" s="4"/>
      <c r="C50" s="4"/>
      <c r="D50" s="4"/>
      <c r="E50" s="4"/>
      <c r="F50" s="4"/>
      <c r="G50" s="4"/>
      <c r="J50" s="4"/>
      <c r="K50" s="4"/>
      <c r="L50" s="4"/>
      <c r="M50" s="4"/>
      <c r="N50" s="4"/>
      <c r="O50" s="4"/>
      <c r="P50" s="4"/>
      <c r="Q50" s="4"/>
      <c r="R50" s="4"/>
      <c r="S50" s="4"/>
      <c r="T50" s="4"/>
      <c r="U50" s="4"/>
      <c r="V50" s="4"/>
      <c r="W50" s="4"/>
      <c r="X50" s="4"/>
      <c r="Y50" s="4"/>
      <c r="Z50" s="4"/>
      <c r="AA50" s="4"/>
      <c r="AD50" s="4"/>
      <c r="AE50" s="4"/>
      <c r="AF50" s="4"/>
      <c r="AG50" s="4"/>
      <c r="AH50" s="4"/>
      <c r="AI50" s="4"/>
      <c r="AJ50" s="4"/>
      <c r="AK50" s="4"/>
      <c r="AL50" s="4"/>
      <c r="AM50" s="4"/>
      <c r="AO50" s="4"/>
      <c r="AP50" s="4"/>
      <c r="AQ50" s="4"/>
      <c r="AS50" s="4"/>
      <c r="AT50" s="4"/>
      <c r="AU50" s="4"/>
      <c r="AW50" s="4"/>
      <c r="AX50" s="4"/>
      <c r="AY50" s="4"/>
      <c r="BA50" s="4"/>
      <c r="BB50" s="4"/>
      <c r="BC50" s="4"/>
    </row>
    <row r="51" spans="1:55">
      <c r="A51" s="4"/>
      <c r="B51" s="4"/>
      <c r="C51" s="4"/>
      <c r="D51" s="4"/>
      <c r="E51" s="4"/>
      <c r="F51" s="4"/>
      <c r="G51" s="4"/>
      <c r="J51" s="4"/>
      <c r="K51" s="4"/>
      <c r="L51" s="4"/>
      <c r="M51" s="4"/>
      <c r="N51" s="4"/>
      <c r="O51" s="4"/>
      <c r="P51" s="4"/>
      <c r="Q51" s="4"/>
      <c r="R51" s="4"/>
      <c r="S51" s="4"/>
      <c r="T51" s="4"/>
      <c r="U51" s="4"/>
      <c r="V51" s="4"/>
      <c r="W51" s="4"/>
      <c r="X51" s="4"/>
      <c r="Y51" s="4"/>
      <c r="Z51" s="4"/>
      <c r="AA51" s="4"/>
      <c r="AD51" s="4"/>
      <c r="AE51" s="4"/>
      <c r="AF51" s="4"/>
      <c r="AG51" s="4"/>
      <c r="AH51" s="4"/>
      <c r="AI51" s="4"/>
      <c r="AJ51" s="4"/>
      <c r="AK51" s="4"/>
      <c r="AL51" s="4"/>
      <c r="AM51" s="4"/>
      <c r="AO51" s="4"/>
      <c r="AP51" s="4"/>
      <c r="AQ51" s="4"/>
      <c r="AS51" s="4"/>
      <c r="AT51" s="4"/>
      <c r="AU51" s="4"/>
      <c r="AW51" s="4"/>
      <c r="AX51" s="4"/>
      <c r="AY51" s="4"/>
      <c r="BA51" s="4"/>
      <c r="BB51" s="4"/>
      <c r="BC51" s="4"/>
    </row>
    <row r="52" spans="1:55">
      <c r="A52" s="4"/>
      <c r="B52" s="4"/>
      <c r="C52" s="4"/>
      <c r="D52" s="4"/>
      <c r="E52" s="4"/>
      <c r="F52" s="4"/>
      <c r="G52" s="4"/>
      <c r="J52" s="4"/>
      <c r="K52" s="4"/>
      <c r="L52" s="4"/>
      <c r="M52" s="4"/>
      <c r="N52" s="4"/>
      <c r="O52" s="4"/>
      <c r="P52" s="4"/>
      <c r="Q52" s="4"/>
      <c r="R52" s="4"/>
      <c r="S52" s="4"/>
      <c r="T52" s="4"/>
      <c r="U52" s="4"/>
      <c r="V52" s="4"/>
      <c r="W52" s="4"/>
      <c r="X52" s="4"/>
      <c r="Y52" s="4"/>
      <c r="Z52" s="4"/>
      <c r="AA52" s="4"/>
      <c r="AD52" s="4"/>
      <c r="AE52" s="4"/>
      <c r="AF52" s="4"/>
      <c r="AG52" s="4"/>
      <c r="AH52" s="4"/>
      <c r="AI52" s="4"/>
      <c r="AJ52" s="4"/>
      <c r="AK52" s="4"/>
      <c r="AL52" s="4"/>
      <c r="AM52" s="4"/>
      <c r="AO52" s="4"/>
      <c r="AP52" s="4"/>
      <c r="AQ52" s="4"/>
      <c r="AS52" s="4"/>
      <c r="AT52" s="4"/>
      <c r="AU52" s="4"/>
      <c r="AW52" s="4"/>
      <c r="AX52" s="4"/>
      <c r="AY52" s="4"/>
      <c r="BA52" s="4"/>
      <c r="BB52" s="4"/>
      <c r="BC52" s="4"/>
    </row>
    <row r="53" spans="1:55">
      <c r="A53" s="4"/>
      <c r="B53" s="4"/>
      <c r="C53" s="4"/>
      <c r="D53" s="4"/>
      <c r="E53" s="4"/>
      <c r="F53" s="4"/>
      <c r="G53" s="4"/>
      <c r="J53" s="4"/>
      <c r="K53" s="4"/>
      <c r="L53" s="4"/>
      <c r="M53" s="4"/>
      <c r="N53" s="4"/>
      <c r="O53" s="4"/>
      <c r="P53" s="4"/>
      <c r="Q53" s="4"/>
      <c r="R53" s="4"/>
      <c r="S53" s="4"/>
      <c r="T53" s="4"/>
      <c r="U53" s="4"/>
      <c r="V53" s="4"/>
      <c r="W53" s="4"/>
      <c r="X53" s="4"/>
      <c r="Y53" s="4"/>
      <c r="Z53" s="4"/>
      <c r="AA53" s="4"/>
      <c r="AD53" s="4"/>
      <c r="AE53" s="4"/>
      <c r="AF53" s="4"/>
      <c r="AG53" s="4"/>
      <c r="AH53" s="4"/>
      <c r="AI53" s="4"/>
      <c r="AJ53" s="4"/>
      <c r="AK53" s="4"/>
      <c r="AL53" s="4"/>
      <c r="AM53" s="4"/>
      <c r="AO53" s="4"/>
      <c r="AP53" s="4"/>
      <c r="AQ53" s="4"/>
      <c r="AS53" s="4"/>
      <c r="AT53" s="4"/>
      <c r="AU53" s="4"/>
      <c r="AW53" s="4"/>
      <c r="AX53" s="4"/>
      <c r="AY53" s="4"/>
      <c r="BA53" s="4"/>
      <c r="BB53" s="4"/>
      <c r="BC53" s="4"/>
    </row>
    <row r="54" spans="1:55">
      <c r="AD54" s="4"/>
      <c r="AE54" s="4"/>
      <c r="AF54" s="4"/>
      <c r="AG54" s="4"/>
      <c r="AH54" s="4"/>
      <c r="AI54" s="4"/>
      <c r="AJ54" s="4"/>
      <c r="AK54" s="4"/>
      <c r="AL54" s="4"/>
      <c r="AM54" s="4"/>
      <c r="AO54" s="4"/>
      <c r="AP54" s="4"/>
      <c r="AQ54" s="4"/>
      <c r="AS54" s="4"/>
      <c r="AT54" s="4"/>
      <c r="AU54" s="4"/>
      <c r="AW54" s="4"/>
      <c r="AX54" s="4"/>
      <c r="AY54" s="4"/>
      <c r="BA54" s="4"/>
      <c r="BB54" s="4"/>
      <c r="BC54" s="4"/>
    </row>
  </sheetData>
  <mergeCells count="53">
    <mergeCell ref="BB24:BC24"/>
    <mergeCell ref="AH24:AI24"/>
    <mergeCell ref="AL24:AM24"/>
    <mergeCell ref="AP24:AQ24"/>
    <mergeCell ref="AT24:AU24"/>
    <mergeCell ref="AX24:AY24"/>
    <mergeCell ref="AO17:AQ17"/>
    <mergeCell ref="AO18:AQ18"/>
    <mergeCell ref="AG16:AI16"/>
    <mergeCell ref="AG17:AI17"/>
    <mergeCell ref="AG18:AI18"/>
    <mergeCell ref="AK16:AM16"/>
    <mergeCell ref="BA16:BC16"/>
    <mergeCell ref="BA17:BC17"/>
    <mergeCell ref="BA18:BC18"/>
    <mergeCell ref="BA23:BC23"/>
    <mergeCell ref="AW18:AY18"/>
    <mergeCell ref="AK23:AM23"/>
    <mergeCell ref="AO23:AQ23"/>
    <mergeCell ref="AS23:AU23"/>
    <mergeCell ref="AW23:AY23"/>
    <mergeCell ref="AX14:AY14"/>
    <mergeCell ref="AP14:AQ14"/>
    <mergeCell ref="AT14:AU14"/>
    <mergeCell ref="AS16:AU16"/>
    <mergeCell ref="AS17:AU17"/>
    <mergeCell ref="AW15:AY15"/>
    <mergeCell ref="AW16:AY16"/>
    <mergeCell ref="AW17:AY17"/>
    <mergeCell ref="AK17:AM17"/>
    <mergeCell ref="AK18:AM18"/>
    <mergeCell ref="AS18:AU18"/>
    <mergeCell ref="AO16:AQ16"/>
    <mergeCell ref="AS15:AU15"/>
    <mergeCell ref="BB2:BC2"/>
    <mergeCell ref="BA3:BC3"/>
    <mergeCell ref="BB14:BC14"/>
    <mergeCell ref="BA15:BC15"/>
    <mergeCell ref="AX2:AY2"/>
    <mergeCell ref="AW3:AY3"/>
    <mergeCell ref="AL2:AM2"/>
    <mergeCell ref="AK3:AM3"/>
    <mergeCell ref="AT2:AU2"/>
    <mergeCell ref="AS3:AU3"/>
    <mergeCell ref="AH2:AI2"/>
    <mergeCell ref="AG3:AI3"/>
    <mergeCell ref="AP2:AQ2"/>
    <mergeCell ref="AO3:AQ3"/>
    <mergeCell ref="AG15:AI15"/>
    <mergeCell ref="AH14:AI14"/>
    <mergeCell ref="AL14:AM14"/>
    <mergeCell ref="AK15:AM15"/>
    <mergeCell ref="AO15:AQ15"/>
  </mergeCells>
  <phoneticPr fontId="57" type="noConversion"/>
  <conditionalFormatting sqref="S2:T2">
    <cfRule type="containsText" dxfId="54" priority="2" operator="containsText" text="Error! please choose width not higher than 1220">
      <formula>NOT(ISERROR(SEARCH("Error! please choose width not higher than 1220",S2)))</formula>
    </cfRule>
  </conditionalFormatting>
  <conditionalFormatting sqref="U2">
    <cfRule type="containsText" dxfId="53" priority="1" operator="containsText" text="Error! please choose width not higher than 1220">
      <formula>NOT(ISERROR(SEARCH("Error! please choose width not higher than 1220",U2)))</formula>
    </cfRule>
  </conditionalFormatting>
  <conditionalFormatting sqref="AH24:AI24">
    <cfRule type="containsText" dxfId="52" priority="3" operator="containsText" text="under MOQ">
      <formula>NOT(ISERROR(SEARCH("under MOQ",AH24)))</formula>
    </cfRule>
    <cfRule type="containsText" dxfId="51" priority="4" operator="containsText" text="fine from MOQ perspective">
      <formula>NOT(ISERROR(SEARCH("fine from MOQ perspective",AH24)))</formula>
    </cfRule>
  </conditionalFormatting>
  <conditionalFormatting sqref="AL24:AM24">
    <cfRule type="containsText" dxfId="50" priority="5" operator="containsText" text="under MOQ">
      <formula>NOT(ISERROR(SEARCH("under MOQ",AL24)))</formula>
    </cfRule>
    <cfRule type="containsText" dxfId="49" priority="6" operator="containsText" text="fine from MOQ perspective">
      <formula>NOT(ISERROR(SEARCH("fine from MOQ perspective",AL24)))</formula>
    </cfRule>
  </conditionalFormatting>
  <conditionalFormatting sqref="AP24:AQ24">
    <cfRule type="containsText" dxfId="48" priority="7" operator="containsText" text="under MOQ">
      <formula>NOT(ISERROR(SEARCH("under MOQ",AP24)))</formula>
    </cfRule>
    <cfRule type="containsText" dxfId="47" priority="8" operator="containsText" text="fine from MOQ perspective">
      <formula>NOT(ISERROR(SEARCH("fine from MOQ perspective",AP24)))</formula>
    </cfRule>
  </conditionalFormatting>
  <conditionalFormatting sqref="AT24:AU24">
    <cfRule type="containsText" dxfId="46" priority="9" operator="containsText" text="under MOQ">
      <formula>NOT(ISERROR(SEARCH("under MOQ",AT24)))</formula>
    </cfRule>
    <cfRule type="containsText" dxfId="45" priority="10" operator="containsText" text="fine from MOQ perspective">
      <formula>NOT(ISERROR(SEARCH("fine from MOQ perspective",AT24)))</formula>
    </cfRule>
  </conditionalFormatting>
  <conditionalFormatting sqref="AX24:AY24">
    <cfRule type="containsText" dxfId="44" priority="11" operator="containsText" text="under MOQ">
      <formula>NOT(ISERROR(SEARCH("under MOQ",AX24)))</formula>
    </cfRule>
    <cfRule type="containsText" dxfId="43" priority="12" operator="containsText" text="fine from MOQ perspective">
      <formula>NOT(ISERROR(SEARCH("fine from MOQ perspective",AX24)))</formula>
    </cfRule>
  </conditionalFormatting>
  <conditionalFormatting sqref="BB24:BC24">
    <cfRule type="containsText" dxfId="42" priority="13" operator="containsText" text="under MOQ">
      <formula>NOT(ISERROR(SEARCH("under MOQ",BB24)))</formula>
    </cfRule>
    <cfRule type="containsText" dxfId="41" priority="14" operator="containsText" text="fine from MOQ perspective">
      <formula>NOT(ISERROR(SEARCH("fine from MOQ perspective",BB24)))</formula>
    </cfRule>
  </conditionalFormatting>
  <dataValidations count="11">
    <dataValidation operator="greaterThan" allowBlank="1" showInputMessage="1" showErrorMessage="1" errorTitle="MOQ is 5K Meter" sqref="B43" xr:uid="{C24D7340-C97D-4CB3-A3CE-22506D8FBB5D}"/>
    <dataValidation type="list" allowBlank="1" showInputMessage="1" showErrorMessage="1" sqref="B45" xr:uid="{7BB512FF-29F0-45D5-AB41-D417080B7921}">
      <formula1>"Y,N"</formula1>
    </dataValidation>
    <dataValidation type="whole" operator="greaterThan" allowBlank="1" showInputMessage="1" showErrorMessage="1" errorTitle="Length of reel must be 500M+ " sqref="B46" xr:uid="{468E4B9D-D63A-498A-86BE-77F4588E6C06}">
      <formula1>500</formula1>
    </dataValidation>
    <dataValidation type="list" allowBlank="1" showInputMessage="1" showErrorMessage="1" sqref="AH4 AL4 AP4 AX4 BB4 AT4" xr:uid="{F4E5CFE5-9A51-447C-A324-6DBBF1D85851}">
      <formula1>"TIPA 302FG,TIPA 302FG W,TIPA 306M,TIPA 306W,TIPA 312 MFG,TIPA 312 MET,TIPA 312MFGW"</formula1>
    </dataValidation>
    <dataValidation type="list" allowBlank="1" showInputMessage="1" showErrorMessage="1" sqref="AX6 AH6 AL6 AP6 AT6" xr:uid="{57EFE91B-0FAA-4048-BCF3-145D95157798}">
      <formula1>"20,25,30,35,40,45,50,55,60"</formula1>
    </dataValidation>
    <dataValidation type="list" allowBlank="1" showInputMessage="1" showErrorMessage="1" sqref="BB10 AH10 AL10 AP10 AT10 AX10" xr:uid="{66724176-614B-449C-A56A-58FB52BD9A94}">
      <formula1>ShippingRoutes</formula1>
    </dataValidation>
    <dataValidation type="list" allowBlank="1" showInputMessage="1" showErrorMessage="1" sqref="BB21 AH21 AL21 AP21 AT21 AX21" xr:uid="{E1CF8401-7A65-4885-9E7C-32FFAF008743}">
      <formula1>"By Weight,By Length"</formula1>
    </dataValidation>
    <dataValidation type="list" allowBlank="1" showInputMessage="1" showErrorMessage="1" sqref="AH11 AL11 AP11 AT11 AX11 BB11" xr:uid="{C141A69F-5DFA-477B-A2ED-64283F0FB152}">
      <formula1>"Printed,Not Printed"</formula1>
    </dataValidation>
    <dataValidation type="list" allowBlank="1" showInputMessage="1" showErrorMessage="1" sqref="AT12 AX12 AH12 AL12 AP12 BB12" xr:uid="{77708764-FB03-4B47-B127-A09F58A933BB}">
      <formula1>"0,1-2,3-4,5-8"</formula1>
    </dataValidation>
    <dataValidation type="list" allowBlank="1" showInputMessage="1" showErrorMessage="1" sqref="AH13 AL13 AP13 AT13 AX13 BB13" xr:uid="{85C2F0F3-F99D-483F-997B-F0D5FE692D12}">
      <formula1>"Marma,Bastin"</formula1>
    </dataValidation>
    <dataValidation type="list" allowBlank="1" showInputMessage="1" showErrorMessage="1" sqref="AH7 AL7 AP7 AT7 AX7 BB7" xr:uid="{222EDEEF-15EB-4F67-B2F1-12AB7525AA4B}">
      <formula1>"1.25"</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0">
        <x14:dataValidation type="list" allowBlank="1" showInputMessage="1" showErrorMessage="1" xr:uid="{C3784390-7344-4E27-8922-752E0DEED8C6}">
          <x14:formula1>
            <xm:f>HELPER!$I$1:$I$12</xm:f>
          </x14:formula1>
          <xm:sqref>C23:C31</xm:sqref>
        </x14:dataValidation>
        <x14:dataValidation type="list" allowBlank="1" showInputMessage="1" showErrorMessage="1" xr:uid="{760E6BD7-5F6A-4B77-9F22-3BEBE02298C6}">
          <x14:formula1>
            <xm:f>HELPER!$K$1:$K$12</xm:f>
          </x14:formula1>
          <xm:sqref>D23:D31</xm:sqref>
        </x14:dataValidation>
        <x14:dataValidation type="list" allowBlank="1" showInputMessage="1" showErrorMessage="1" xr:uid="{47E22613-0193-4648-9BE2-8D03B06EB5C2}">
          <x14:formula1>
            <xm:f>HELPER!$M$2:$M$12</xm:f>
          </x14:formula1>
          <xm:sqref>P34:P37</xm:sqref>
        </x14:dataValidation>
        <x14:dataValidation type="list" allowBlank="1" showInputMessage="1" showErrorMessage="1" xr:uid="{DAE93EA2-D705-441A-ACA6-D1FD50A15E57}">
          <x14:formula1>
            <xm:f>HELPER!$O$2:$O$12</xm:f>
          </x14:formula1>
          <xm:sqref>J23:J37</xm:sqref>
        </x14:dataValidation>
        <x14:dataValidation type="list" allowBlank="1" showInputMessage="1" showErrorMessage="1" xr:uid="{C3602ACC-8F88-420D-9F5E-F763227A1034}">
          <x14:formula1>
            <xm:f>HELPER!$I$2:$I$13</xm:f>
          </x14:formula1>
          <xm:sqref>B49</xm:sqref>
        </x14:dataValidation>
        <x14:dataValidation type="list" allowBlank="1" showInputMessage="1" showErrorMessage="1" xr:uid="{17F1378E-5DDB-4BE4-8DCC-6589A1CC6C83}">
          <x14:formula1>
            <xm:f>HELPER!$BD$2:$BD$4</xm:f>
          </x14:formula1>
          <xm:sqref>B42</xm:sqref>
        </x14:dataValidation>
        <x14:dataValidation type="list" allowBlank="1" showInputMessage="1" showErrorMessage="1" xr:uid="{1C102E8A-5FB0-463A-9190-DEF1FED36403}">
          <x14:formula1>
            <xm:f>HELPER!$X$2:$X$7</xm:f>
          </x14:formula1>
          <xm:sqref>B48</xm:sqref>
        </x14:dataValidation>
        <x14:dataValidation type="list" allowBlank="1" showInputMessage="1" showErrorMessage="1" xr:uid="{B5451F2C-BAD3-4AAE-AA95-B732F105D623}">
          <x14:formula1>
            <xm:f>HELPER!$V$2:$V$3</xm:f>
          </x14:formula1>
          <xm:sqref>B47</xm:sqref>
        </x14:dataValidation>
        <x14:dataValidation type="list" allowBlank="1" showInputMessage="1" showErrorMessage="1" xr:uid="{3238ED12-B5C6-4924-93F2-D03968D5A4F4}">
          <x14:formula1>
            <xm:f>BOM!$Q$2:$Q$4</xm:f>
          </x14:formula1>
          <xm:sqref>A23:A37</xm:sqref>
        </x14:dataValidation>
        <x14:dataValidation type="list" allowBlank="1" showInputMessage="1" showErrorMessage="1" xr:uid="{7FB433F2-2B2D-4A30-B359-BE1670F552EF}">
          <x14:formula1>
            <xm:f>HELPER!$AV$2:$AV$170</xm:f>
          </x14:formula1>
          <xm:sqref>B41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806C-7995-4BA8-A494-40C3F50415D6}">
  <sheetPr>
    <tabColor rgb="FFFFFF00"/>
  </sheetPr>
  <dimension ref="A1:AQ54"/>
  <sheetViews>
    <sheetView zoomScale="85" zoomScaleNormal="85" workbookViewId="0">
      <selection activeCell="K24" sqref="K24"/>
    </sheetView>
  </sheetViews>
  <sheetFormatPr defaultRowHeight="15"/>
  <cols>
    <col min="1" max="9" width="11.28515625" customWidth="1"/>
    <col min="10" max="18" width="12.28515625" customWidth="1"/>
    <col min="19" max="19" width="43.7109375" bestFit="1" customWidth="1"/>
    <col min="20" max="29" width="12.28515625" customWidth="1"/>
    <col min="32" max="32" width="30.5703125" bestFit="1" customWidth="1"/>
    <col min="33" max="33" width="20.5703125" customWidth="1"/>
    <col min="34" max="34" width="17.5703125" customWidth="1"/>
    <col min="35" max="35" width="3.42578125" customWidth="1"/>
    <col min="36" max="36" width="25.140625" customWidth="1"/>
    <col min="37" max="37" width="20.5703125" customWidth="1"/>
    <col min="38" max="38" width="14.7109375" customWidth="1"/>
    <col min="39" max="39" width="3.42578125" customWidth="1"/>
    <col min="40" max="40" width="25.140625" customWidth="1"/>
    <col min="41" max="41" width="20.5703125" customWidth="1"/>
    <col min="42" max="42" width="16.140625" customWidth="1"/>
    <col min="43" max="44" width="3.42578125" customWidth="1"/>
    <col min="45" max="45" width="21.28515625" customWidth="1"/>
    <col min="46" max="46" width="15.5703125" customWidth="1"/>
    <col min="47" max="47" width="8.42578125" customWidth="1"/>
    <col min="48" max="48" width="3.42578125" customWidth="1"/>
    <col min="49" max="49" width="21.28515625" customWidth="1"/>
    <col min="50" max="50" width="15.5703125" customWidth="1"/>
    <col min="51" max="51" width="8.42578125" customWidth="1"/>
    <col min="52" max="52" width="3.42578125" customWidth="1"/>
    <col min="53" max="53" width="21.28515625" customWidth="1"/>
    <col min="54" max="54" width="15.5703125" customWidth="1"/>
    <col min="55" max="55" width="8.42578125" customWidth="1"/>
  </cols>
  <sheetData>
    <row r="1" spans="1:43" ht="15.75" thickBot="1">
      <c r="A1" s="448" t="s">
        <v>69</v>
      </c>
      <c r="B1" s="448" t="s">
        <v>70</v>
      </c>
      <c r="C1" s="448" t="s">
        <v>69</v>
      </c>
      <c r="D1" s="448"/>
      <c r="E1" s="448"/>
      <c r="F1" s="448"/>
      <c r="G1" s="448"/>
      <c r="H1" s="448"/>
      <c r="I1" s="448"/>
      <c r="J1" s="448"/>
      <c r="K1" s="448"/>
      <c r="L1" s="448"/>
      <c r="M1" s="448"/>
      <c r="N1" s="448"/>
      <c r="O1" s="448"/>
      <c r="P1" s="448"/>
      <c r="Q1" s="448"/>
      <c r="R1" s="448"/>
      <c r="S1" s="448"/>
      <c r="T1" s="448"/>
      <c r="U1" s="448"/>
      <c r="V1" s="447" t="s">
        <v>125</v>
      </c>
      <c r="W1" s="448"/>
      <c r="X1" s="448"/>
      <c r="Y1" s="448"/>
      <c r="Z1" s="448"/>
      <c r="AA1" s="448"/>
      <c r="AB1" s="449"/>
    </row>
    <row r="2" spans="1:43" ht="33.75" customHeight="1">
      <c r="A2" s="450" t="s">
        <v>54</v>
      </c>
      <c r="B2" s="451" t="s">
        <v>55</v>
      </c>
      <c r="C2" s="451" t="s">
        <v>4</v>
      </c>
      <c r="D2" s="451" t="s">
        <v>57</v>
      </c>
      <c r="E2" s="451" t="s">
        <v>101</v>
      </c>
      <c r="F2" s="451" t="s">
        <v>71</v>
      </c>
      <c r="G2" s="451" t="s">
        <v>56</v>
      </c>
      <c r="H2" s="452" t="s">
        <v>58</v>
      </c>
      <c r="I2" s="452" t="s">
        <v>59</v>
      </c>
      <c r="J2" s="451" t="s">
        <v>60</v>
      </c>
      <c r="K2" s="451" t="s">
        <v>61</v>
      </c>
      <c r="L2" s="451" t="s">
        <v>62</v>
      </c>
      <c r="M2" s="451" t="s">
        <v>63</v>
      </c>
      <c r="N2" s="451" t="s">
        <v>64</v>
      </c>
      <c r="O2" s="451" t="s">
        <v>65</v>
      </c>
      <c r="P2" s="451" t="s">
        <v>501</v>
      </c>
      <c r="Q2" s="451" t="s">
        <v>66</v>
      </c>
      <c r="R2" s="451" t="s">
        <v>222</v>
      </c>
      <c r="S2" s="453" t="s">
        <v>271</v>
      </c>
      <c r="T2" s="453" t="s">
        <v>847</v>
      </c>
      <c r="U2" s="453" t="s">
        <v>799</v>
      </c>
      <c r="V2" s="451" t="s">
        <v>67</v>
      </c>
      <c r="W2" s="451" t="s">
        <v>842</v>
      </c>
      <c r="X2" s="451" t="s">
        <v>465</v>
      </c>
      <c r="Y2" s="451" t="s">
        <v>466</v>
      </c>
      <c r="Z2" s="454" t="s">
        <v>68</v>
      </c>
      <c r="AA2" s="454" t="s">
        <v>219</v>
      </c>
      <c r="AB2" s="455" t="s">
        <v>467</v>
      </c>
      <c r="AC2" s="641" t="s">
        <v>1182</v>
      </c>
      <c r="AF2" s="1055" t="str">
        <f>"🧮 FILM CALCULATOR 1 — "&amp;AG3</f>
        <v>🧮 FILM CALCULATOR 1 — TIPA 302FG</v>
      </c>
      <c r="AG2" s="1056"/>
      <c r="AH2" s="1057"/>
      <c r="AI2" s="929"/>
      <c r="AJ2" s="1055" t="str">
        <f>"🧮 FILM CALCULATOR 2 — "&amp;AK3</f>
        <v>🧮 FILM CALCULATOR 2 — TIPA 302FG</v>
      </c>
      <c r="AK2" s="1056"/>
      <c r="AL2" s="1057"/>
      <c r="AM2" s="929"/>
      <c r="AN2" s="1055" t="str">
        <f>"🧮 FILM CALCULATOR 3 — "&amp;AO3</f>
        <v>🧮 FILM CALCULATOR 3 — TIPA 302FG</v>
      </c>
      <c r="AO2" s="1056"/>
      <c r="AP2" s="1057"/>
      <c r="AQ2" s="929"/>
    </row>
    <row r="3" spans="1:43" ht="24" customHeight="1">
      <c r="A3" s="456" t="str" cm="1">
        <f t="array" ref="A3">CHOOSE(ROW()-ROW(tblBagFilmPricing[#Headers]),$AG$3,$AK$3,$AO$3,$AT$4,$AX$4,$BB$4)</f>
        <v>TIPA 302FG</v>
      </c>
      <c r="B3" s="464" cm="1">
        <f t="array" ref="B3">CHOOSE(ROW()-ROW(tblBagFilmPricing[#Headers]),$AG$4,$AK$4,$AO$4,$AT$5,$AX$5,$BB$5)</f>
        <v>1270</v>
      </c>
      <c r="C3" s="464" cm="1">
        <f t="array" ref="C3">CHOOSE(ROW()-ROW(tblBagFilmPricing[#Headers]),$AG$5,$AK$5,$AO$5,$AT$6,$AX$6,$BB$6)</f>
        <v>50</v>
      </c>
      <c r="D3" s="467" cm="1">
        <f t="array" ref="D3">CHOOSE(ROW()-ROW(tblBagFilmPricing[#Headers]),$AG$6,$AK$6,$AO$6,$AT$7,$AX$7,$BB$7)</f>
        <v>1.25</v>
      </c>
      <c r="E3" s="464">
        <f t="shared" ref="E3:E5" si="0">IF(OR(A3="",A3="-"),"",IF(AND(G3&lt;&gt;"",H3&lt;&gt;""),G3*H3,""))</f>
        <v>952.5</v>
      </c>
      <c r="F3" s="464" cm="1">
        <f t="array" ref="F3">CHOOSE(ROW()-ROW(tblBagFilmPricing[#Headers]),IF($AG$20="By Length",$AG$21*$H$3,$AG$7),IF($AK$20="By Length",$AK$21*$H$4,$AK$7),IF($AO$20="By Length",$AO$21*$H$5,$AO$7),IF($AT$21="By Length",$AT$22*$H$6,$AT$8),IF($AX$21="By Length",$AX$22*$H$7,$AX$8),IF($BB$21="By Length",$BB$22*$H$8,$BB$8))</f>
        <v>952.5</v>
      </c>
      <c r="G3" s="464" cm="1">
        <f t="array" ref="G3">CHOOSE(ROW()-ROW(tblBagFilmPricing[#Headers]),$AG$8,$AK$8,$AO$8,$AT$9,$AX$9,$BB$9)</f>
        <v>12000</v>
      </c>
      <c r="H3" s="472">
        <f t="shared" ref="H3:H5" si="1">IF(OR(A3="",A3="-"),"",IF(AND(B3&lt;&gt;"",C3&lt;&gt;"",D3&lt;&gt;""),D3*(C3/1000)*(B3/1000),""))</f>
        <v>7.9375000000000001E-2</v>
      </c>
      <c r="I3" s="464">
        <f t="shared" ref="I3:I5" si="2">IF(OR(A3="",A3="-"),"",IF(F3&lt;&gt;"",F3,IF(AND(G3&lt;&gt;"",H3&lt;&gt;""),G3*H3,"")))</f>
        <v>952.5</v>
      </c>
      <c r="J3" s="471">
        <v>510</v>
      </c>
      <c r="K3" s="476">
        <f>IFERROR((tblBagFilmPricing[[#This Row],[Hourly rate]]*(tblBagFilmPricing[[#This Row],[Total Kg Produced]]/500))/tblBagFilmPricing[[#This Row],[Total Kg Produced]],0)+0.2</f>
        <v>1.22</v>
      </c>
      <c r="L3" s="477">
        <f>IFERROR(_xlfn.XLOOKUP(tblBagFilmPricing[[#This Row],[Film Type]],Table3[Film],Table3[Price (€/kg)],0),0)</f>
        <v>5.3805880000000004</v>
      </c>
      <c r="M3" s="476">
        <f t="shared" ref="M3:M5" si="3">IFERROR((L3+K3),0)</f>
        <v>6.6005880000000001</v>
      </c>
      <c r="N3" s="457">
        <f>IF(OR(I3="",I3=0),"",VLOOKUP(I3,HELPER!$AM$2:$AN$6,2,TRUE))</f>
        <v>0.2</v>
      </c>
      <c r="O3" s="476">
        <f t="shared" ref="O3:O5" si="4">IF(AND(M3&lt;&gt;"",N3&lt;&gt;""),M3*(1+N3),"")</f>
        <v>7.9207055999999998</v>
      </c>
      <c r="P3" s="476">
        <f>IF(AND(tblBagFilmPricing[[#This Row],[Thickness (µ)]]&lt;&gt;"",tblBagFilmPricing[[#This Row],[RM cost in 1 Kg]]&lt;&gt;""), VLOOKUP(tblBagFilmPricing[[#This Row],[Thickness (µ)]], HELPER!$BH$3:$BI$5, 2, TRUE) * tblBagFilmPricing[[#This Row],[RM cost in 1 Kg]], "")</f>
        <v>0</v>
      </c>
      <c r="Q3" s="476">
        <v>0.3</v>
      </c>
      <c r="R3" s="483" t="str" cm="1">
        <f t="array" ref="R3">CHOOSE(ROW()-ROW(tblBagFilmPricing[#Headers]),$AG$12,$AK$12,$AO$12,$AT$13,$AX$13,$BB$13)</f>
        <v>Hackbarth</v>
      </c>
      <c r="S3" s="483" t="str" cm="1">
        <f t="array" ref="S3">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f>
        <v>Error! please choose width not higher than 1220</v>
      </c>
      <c r="T3" s="483">
        <f>IFERROR(tblBagFilmPricing[[#This Row],[Printing]]*tblBagFilmPricing[[#This Row],[Length (Mr)]]/tblBagFilmPricing[[#This Row],[Weight Override]],0)</f>
        <v>0</v>
      </c>
      <c r="U3" s="483">
        <f>IF(tblBagFilmPricing[[#This Row],[Printing]]&gt;0,tblBagFilmPricing[[#This Row],[RM cost in 1 Kg]]*0.028,0)</f>
        <v>0.15065646400000002</v>
      </c>
      <c r="V3" s="476" cm="1">
        <f t="array" ref="V3">IF(tblBagFilmPricing[[#This Row],[RM cost in 1 Kg]]&gt;0,((1500+3000)/30000)*CHOOSE(ROW()-ROW(tblBagFilmPricing[#Headers]),$AG$31,$AK$31,$AO$31),0)</f>
        <v>0.15</v>
      </c>
      <c r="W3" s="483">
        <f>IF(AND(tblBagFilmPricing[[#This Row],[Weight Override]]&gt;0,ISNUMBER(SEARCH("W",tblBagFilmPricing[[#This Row],[Film Type]]))),1500/tblBagFilmPricing[[#This Row],[Weight Override]],0)</f>
        <v>0</v>
      </c>
      <c r="X3" s="458" t="str" cm="1">
        <f t="array" ref="X3">CHOOSE(ROW()-ROW(tblBagFilmPricing[#Headers]),$AG$9,$AK$9,$AO$9,$AT$10,$AX$10,$BB$10)</f>
        <v>EXW</v>
      </c>
      <c r="Y3" s="477">
        <f>IF(I3&lt;=0,"",IFERROR(IF(X3="Europe to US",IF(I3&lt;500,10,IF(I3&lt;1000,8,IF(I3&lt;2500,6,IF(I3&lt;5000,5,4)))),IF(X3="Europe to Canada",IF(I3&lt;1000,(I3/1000)*VLOOKUP(1000,HELPER!$AG$4:$AH$8,2,FALSE)/I3,VLOOKUP(I3,HELPER!$AG$4:$AH$8,2,TRUE)/I3),VLOOKUP(X3,HELPER!$AF$2:$AH$3,3,FALSE))),0))</f>
        <v>0.2</v>
      </c>
      <c r="Z3" s="489">
        <f>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f>
        <v>8.7213620640000009</v>
      </c>
      <c r="AA3" s="490" cm="1">
        <f t="array" ref="AA3">tblBagFilmPricing[[#This Row],[Total Cost]]/(1-CHOOSE(ROW()-ROW(tblBagFilmPricing[#Headers]),$AH$26,$AL$26,$AP$26))-tblBagFilmPricing[[#This Row],[Total Cost]]</f>
        <v>1.5390638936470591</v>
      </c>
      <c r="AB3" s="491" cm="1">
        <f t="array" ref="AB3">tblBagFilmPricing[[#This Row],[Total Cost]]/(1-CHOOSE(ROW()-ROW(tblBagFilmPricing[#Headers]),$AH$26,$AL$26,$AP$26))</f>
        <v>10.26042595764706</v>
      </c>
      <c r="AC3" s="635">
        <f>tblBagFilmPricing[[#This Row],[Total Cost and depreciation]]+tblBagFilmPricing[[#This Row],[Thickness waste]]+tblBagFilmPricing[[#This Row],[Other costs]]</f>
        <v>8.2207056000000005</v>
      </c>
      <c r="AF3" s="944" t="s">
        <v>487</v>
      </c>
      <c r="AG3" s="937" t="str">
        <f>AG29</f>
        <v>TIPA 302FG</v>
      </c>
      <c r="AH3" s="945"/>
      <c r="AI3" s="929"/>
      <c r="AJ3" s="944" t="s">
        <v>487</v>
      </c>
      <c r="AK3" s="937" t="str">
        <f>AK29</f>
        <v>TIPA 302FG</v>
      </c>
      <c r="AL3" s="945"/>
      <c r="AM3" s="929"/>
      <c r="AN3" s="944" t="s">
        <v>487</v>
      </c>
      <c r="AO3" s="937" t="str">
        <f>AO29</f>
        <v>TIPA 302FG</v>
      </c>
      <c r="AP3" s="945"/>
      <c r="AQ3" s="929"/>
    </row>
    <row r="4" spans="1:43">
      <c r="A4" s="459" t="str" cm="1">
        <f t="array" ref="A4">CHOOSE(ROW()-ROW(tblBagFilmPricing[#Headers]),$AG$3,$AK$3,$AO$3,$AT$4,$AX$4,$BB$4)</f>
        <v>TIPA 302FG</v>
      </c>
      <c r="B4" s="465" cm="1">
        <f t="array" ref="B4">CHOOSE(ROW()-ROW(tblBagFilmPricing[#Headers]),$AG$4,$AK$4,$AO$4,$AT$5,$AX$5,$BB$5)</f>
        <v>1270</v>
      </c>
      <c r="C4" s="465" cm="1">
        <f t="array" ref="C4">CHOOSE(ROW()-ROW(tblBagFilmPricing[#Headers]),$AG$5,$AK$5,$AO$5,$AT$6,$AX$6,$BB$6)</f>
        <v>20</v>
      </c>
      <c r="D4" s="468" cm="1">
        <f t="array" ref="D4">CHOOSE(ROW()-ROW(tblBagFilmPricing[#Headers]),$AG$6,$AK$6,$AO$6,$AT$7,$AX$7,$BB$7)</f>
        <v>1.25</v>
      </c>
      <c r="E4" s="465">
        <f t="shared" si="0"/>
        <v>95.25</v>
      </c>
      <c r="F4" s="465" cm="1">
        <f t="array" ref="F4">CHOOSE(ROW()-ROW(tblBagFilmPricing[#Headers]),IF($AG$20="By Length",$AG$21*$H$3,$AG$7),IF($AK$20="By Length",$AK$21*$H$4,$AK$7),IF($AO$20="By Length",$AO$21*$H$5,$AO$7),IF($AT$21="By Length",$AT$22*$H$6,$AT$8),IF($AX$21="By Length",$AX$22*$H$7,$AX$8),IF($BB$21="By Length",$BB$22*$H$8,$BB$8))</f>
        <v>95.25</v>
      </c>
      <c r="G4" s="470" cm="1">
        <f t="array" ref="G4">CHOOSE(ROW()-ROW(tblBagFilmPricing[#Headers]),$AG$8,$AK$8,$AO$8,$AT$9,$AX$9,$BB$9)</f>
        <v>3000</v>
      </c>
      <c r="H4" s="473">
        <f t="shared" si="1"/>
        <v>3.175E-2</v>
      </c>
      <c r="I4" s="465">
        <f t="shared" si="2"/>
        <v>95.25</v>
      </c>
      <c r="J4" s="470">
        <v>510</v>
      </c>
      <c r="K4" s="478">
        <f>IFERROR((tblBagFilmPricing[[#This Row],[Hourly rate]]*(tblBagFilmPricing[[#This Row],[Total Kg Produced]]/500))/tblBagFilmPricing[[#This Row],[Total Kg Produced]],0)+0.2</f>
        <v>1.22</v>
      </c>
      <c r="L4" s="479">
        <f>IFERROR(_xlfn.XLOOKUP(tblBagFilmPricing[[#This Row],[Film Type]],Table3[Film],Table3[Price (€/kg)],0),0)</f>
        <v>5.3805880000000004</v>
      </c>
      <c r="M4" s="478">
        <f t="shared" si="3"/>
        <v>6.6005880000000001</v>
      </c>
      <c r="N4" s="460">
        <f>IF(OR(I4="",I4=0),"",VLOOKUP(I4,HELPER!$AM$2:$AN$6,2,TRUE))</f>
        <v>0.25</v>
      </c>
      <c r="O4" s="478">
        <f t="shared" si="4"/>
        <v>8.2507350000000006</v>
      </c>
      <c r="P4" s="478">
        <f>IF(AND(tblBagFilmPricing[[#This Row],[Thickness (µ)]]&lt;&gt;"",tblBagFilmPricing[[#This Row],[RM cost in 1 Kg]]&lt;&gt;""), VLOOKUP(tblBagFilmPricing[[#This Row],[Thickness (µ)]], HELPER!$BH$3:$BI$5, 2, TRUE) * tblBagFilmPricing[[#This Row],[RM cost in 1 Kg]], "")</f>
        <v>0.40354410000000002</v>
      </c>
      <c r="Q4" s="478">
        <v>0.3</v>
      </c>
      <c r="R4" s="484" t="str" cm="1">
        <f t="array" ref="R4">CHOOSE(ROW()-ROW(tblBagFilmPricing[#Headers]),$AG$12,$AK$12,$AO$12,$AT$13,$AX$13,$BB$13)</f>
        <v>Bastin</v>
      </c>
      <c r="S4" s="484" t="str" cm="1">
        <f t="array" ref="S4">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f>
        <v>Error! please choose width not higher than 1220</v>
      </c>
      <c r="T4" s="484">
        <f>IFERROR(tblBagFilmPricing[[#This Row],[Printing]]*tblBagFilmPricing[[#This Row],[Length (Mr)]]/tblBagFilmPricing[[#This Row],[Weight Override]],0)</f>
        <v>0</v>
      </c>
      <c r="U4" s="484">
        <f>IF(tblBagFilmPricing[[#This Row],[Printing]]&gt;0,tblBagFilmPricing[[#This Row],[RM cost in 1 Kg]]*0.028,0)</f>
        <v>0.15065646400000002</v>
      </c>
      <c r="V4" s="478" cm="1">
        <f t="array" ref="V4">IF(tblBagFilmPricing[[#This Row],[RM cost in 1 Kg]]&gt;0,((1500+3000)/30000)*CHOOSE(ROW()-ROW(tblBagFilmPricing[#Headers]),$AG$31,$AK$31,$AO$31),0)</f>
        <v>0.15</v>
      </c>
      <c r="W4" s="484">
        <f>IF(AND(tblBagFilmPricing[[#This Row],[Weight Override]]&gt;0,ISNUMBER(SEARCH("W",tblBagFilmPricing[[#This Row],[Film Type]]))),1500/tblBagFilmPricing[[#This Row],[Weight Override]],0)</f>
        <v>0</v>
      </c>
      <c r="X4" s="461" t="str" cm="1">
        <f t="array" ref="X4">CHOOSE(ROW()-ROW(tblBagFilmPricing[#Headers]),$AG$9,$AK$9,$AO$9,$AT$10,$AX$10,$BB$10)</f>
        <v>EXW</v>
      </c>
      <c r="Y4" s="479">
        <f>IF(I4&lt;=0,"",IFERROR(IF(X4="Europe to US",IF(I4&lt;500,10,IF(I4&lt;1000,8,IF(I4&lt;2500,6,IF(I4&lt;5000,5,4)))),IF(X4="Europe to Canada",IF(I4&lt;1000,(I4/1000)*VLOOKUP(1000,HELPER!$AG$4:$AH$8,2,FALSE)/I4,VLOOKUP(I4,HELPER!$AG$4:$AH$8,2,TRUE)/I4),VLOOKUP(X4,HELPER!$AF$2:$AH$3,3,FALSE))),0))</f>
        <v>0.2</v>
      </c>
      <c r="Z4" s="492">
        <f>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f>
        <v>9.4549355640000012</v>
      </c>
      <c r="AA4" s="493" cm="1">
        <f t="array" ref="AA4">tblBagFilmPricing[[#This Row],[Total Cost]]/(1-CHOOSE(ROW()-ROW(tblBagFilmPricing[#Headers]),$AH$26,$AL$26,$AP$26))-tblBagFilmPricing[[#This Row],[Total Cost]]</f>
        <v>4.0521152417142865</v>
      </c>
      <c r="AB4" s="494" cm="1">
        <f t="array" ref="AB4">tblBagFilmPricing[[#This Row],[Total Cost]]/(1-CHOOSE(ROW()-ROW(tblBagFilmPricing[#Headers]),$AH$26,$AL$26,$AP$26))</f>
        <v>13.507050805714288</v>
      </c>
      <c r="AC4" s="635">
        <f>tblBagFilmPricing[[#This Row],[Total Cost and depreciation]]+tblBagFilmPricing[[#This Row],[Thickness waste]]+tblBagFilmPricing[[#This Row],[Other costs]]</f>
        <v>8.9542791000000008</v>
      </c>
      <c r="AF4" s="944" t="s">
        <v>488</v>
      </c>
      <c r="AG4" s="937">
        <f>IFERROR(IF(OR(AG28="Zipper bag",AG28="Resealable bag",AG28="SUP with zipper"),VALUE(TRIM(_xlfn.TEXTBEFORE(AG34,"×")))*2+VALUE(TRIM(_xlfn.TEXTBEFORE(AG35,"/")))+VALUE(TRIM(_xlfn.TEXTAFTER(AG35,"/")))*2,VALUE(TRIM(_xlfn.TEXTBEFORE(AG34,"×")))*2+VALUE(TRIM(_xlfn.TEXTAFTER(AG35,"/")))*2),0)</f>
        <v>1270</v>
      </c>
      <c r="AH4" s="945" t="s">
        <v>489</v>
      </c>
      <c r="AI4" s="929"/>
      <c r="AJ4" s="944" t="s">
        <v>488</v>
      </c>
      <c r="AK4" s="937">
        <f>IFERROR(IF(OR(AK28="Zipper bag",AK28="Resealable bag",AK28="SUP with zipper"),VALUE(TRIM(_xlfn.TEXTBEFORE(AK34,"×")))*2+VALUE(TRIM(_xlfn.TEXTBEFORE(AK35,"/")))+VALUE(TRIM(_xlfn.TEXTAFTER(AK35,"/")))*2,VALUE(TRIM(_xlfn.TEXTBEFORE(AK34,"×")))*2+VALUE(TRIM(_xlfn.TEXTAFTER(AK35,"/")))*2),0)</f>
        <v>1270</v>
      </c>
      <c r="AL4" s="945" t="s">
        <v>489</v>
      </c>
      <c r="AM4" s="929"/>
      <c r="AN4" s="944" t="s">
        <v>488</v>
      </c>
      <c r="AO4" s="937">
        <f>IFERROR(IF(OR(AO28="Zipper bag",AO28="Resealable bag",AO28="SUP with zipper"),VALUE(TRIM(_xlfn.TEXTBEFORE(AO34,"×")))*2+VALUE(TRIM(_xlfn.TEXTBEFORE(AO35,"/")))+VALUE(TRIM(_xlfn.TEXTAFTER(AO35,"/")))*2,VALUE(TRIM(_xlfn.TEXTBEFORE(AO34,"×")))*2+VALUE(TRIM(_xlfn.TEXTAFTER(AO35,"/")))*2),0)</f>
        <v>810</v>
      </c>
      <c r="AP4" s="945" t="s">
        <v>489</v>
      </c>
      <c r="AQ4" s="929"/>
    </row>
    <row r="5" spans="1:43">
      <c r="A5" s="456" t="str" cm="1">
        <f t="array" ref="A5">CHOOSE(ROW()-ROW(tblBagFilmPricing[#Headers]),$AG$3,$AK$3,$AO$3,$AT$4,$AX$4,$BB$4)</f>
        <v>TIPA 302FG</v>
      </c>
      <c r="B5" s="464" cm="1">
        <f t="array" ref="B5">CHOOSE(ROW()-ROW(tblBagFilmPricing[#Headers]),$AG$4,$AK$4,$AO$4,$AT$5,$AX$5,$BB$5)</f>
        <v>810</v>
      </c>
      <c r="C5" s="464" cm="1">
        <f t="array" ref="C5">CHOOSE(ROW()-ROW(tblBagFilmPricing[#Headers]),$AG$5,$AK$5,$AO$5,$AT$6,$AX$6,$BB$6)</f>
        <v>20</v>
      </c>
      <c r="D5" s="467" cm="1">
        <f t="array" ref="D5">CHOOSE(ROW()-ROW(tblBagFilmPricing[#Headers]),$AG$6,$AK$6,$AO$6,$AT$7,$AX$7,$BB$7)</f>
        <v>1.25</v>
      </c>
      <c r="E5" s="464">
        <f t="shared" si="0"/>
        <v>60.750000000000014</v>
      </c>
      <c r="F5" s="464" cm="1">
        <f t="array" ref="F5">CHOOSE(ROW()-ROW(tblBagFilmPricing[#Headers]),IF($AG$20="By Length",$AG$21*$H$3,$AG$7),IF($AK$20="By Length",$AK$21*$H$4,$AK$7),IF($AO$20="By Length",$AO$21*$H$5,$AO$7),IF($AT$21="By Length",$AT$22*$H$6,$AT$8),IF($AX$21="By Length",$AX$22*$H$7,$AX$8),IF($BB$21="By Length",$BB$22*$H$8,$BB$8))</f>
        <v>60.750000000000014</v>
      </c>
      <c r="G5" s="471" cm="1">
        <f t="array" ref="G5">CHOOSE(ROW()-ROW(tblBagFilmPricing[#Headers]),$AG$8,$AK$8,$AO$8,$AT$9,$AX$9,$BB$9)</f>
        <v>3000</v>
      </c>
      <c r="H5" s="472">
        <f t="shared" si="1"/>
        <v>2.0250000000000004E-2</v>
      </c>
      <c r="I5" s="464">
        <f t="shared" si="2"/>
        <v>60.750000000000014</v>
      </c>
      <c r="J5" s="471">
        <v>510</v>
      </c>
      <c r="K5" s="476">
        <f>IFERROR((tblBagFilmPricing[[#This Row],[Hourly rate]]*(tblBagFilmPricing[[#This Row],[Total Kg Produced]]/500))/tblBagFilmPricing[[#This Row],[Total Kg Produced]],0)+0.2</f>
        <v>1.22</v>
      </c>
      <c r="L5" s="477">
        <f>IFERROR(_xlfn.XLOOKUP(tblBagFilmPricing[[#This Row],[Film Type]],Table3[Film],Table3[Price (€/kg)],0),0)</f>
        <v>5.3805880000000004</v>
      </c>
      <c r="M5" s="476">
        <f t="shared" si="3"/>
        <v>6.6005880000000001</v>
      </c>
      <c r="N5" s="457">
        <f>IF(OR(I5="",I5=0),"",VLOOKUP(I5,HELPER!$AM$2:$AN$6,2,TRUE))</f>
        <v>0.25</v>
      </c>
      <c r="O5" s="476">
        <f t="shared" si="4"/>
        <v>8.2507350000000006</v>
      </c>
      <c r="P5" s="476">
        <f>IF(AND(tblBagFilmPricing[[#This Row],[Thickness (µ)]]&lt;&gt;"",tblBagFilmPricing[[#This Row],[RM cost in 1 Kg]]&lt;&gt;""), VLOOKUP(tblBagFilmPricing[[#This Row],[Thickness (µ)]], HELPER!$BH$3:$BI$5, 2, TRUE) * tblBagFilmPricing[[#This Row],[RM cost in 1 Kg]], "")</f>
        <v>0.40354410000000002</v>
      </c>
      <c r="Q5" s="476">
        <v>0.3</v>
      </c>
      <c r="R5" s="483" t="str" cm="1">
        <f t="array" ref="R5">CHOOSE(ROW()-ROW(tblBagFilmPricing[#Headers]),$AG$12,$AK$12,$AO$12,$AT$13,$AX$13,$BB$13)</f>
        <v>Bastin</v>
      </c>
      <c r="S5" s="483" cm="1">
        <f t="array" ref="S5">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f>
        <v>0.23155500000000001</v>
      </c>
      <c r="T5" s="483">
        <f>IFERROR(tblBagFilmPricing[[#This Row],[Printing]]*tblBagFilmPricing[[#This Row],[Length (Mr)]]/tblBagFilmPricing[[#This Row],[Weight Override]],0)</f>
        <v>11.434814814814814</v>
      </c>
      <c r="U5" s="483">
        <f>IF(tblBagFilmPricing[[#This Row],[Printing]]&gt;0,tblBagFilmPricing[[#This Row],[RM cost in 1 Kg]]*0.028,0)</f>
        <v>0.15065646400000002</v>
      </c>
      <c r="V5" s="476" cm="1">
        <f t="array" ref="V5">IF(tblBagFilmPricing[[#This Row],[RM cost in 1 Kg]]&gt;0,((1500+3000)/30000)*CHOOSE(ROW()-ROW(tblBagFilmPricing[#Headers]),$AG$31,$AK$31,$AO$31),0)</f>
        <v>0.15</v>
      </c>
      <c r="W5" s="483">
        <f>IF(AND(tblBagFilmPricing[[#This Row],[Weight Override]]&gt;0,ISNUMBER(SEARCH("W",tblBagFilmPricing[[#This Row],[Film Type]]))),1500/tblBagFilmPricing[[#This Row],[Weight Override]],0)</f>
        <v>0</v>
      </c>
      <c r="X5" s="458" t="str" cm="1">
        <f t="array" ref="X5">CHOOSE(ROW()-ROW(tblBagFilmPricing[#Headers]),$AG$9,$AK$9,$AO$9,$AT$10,$AX$10,$BB$10)</f>
        <v>EXW</v>
      </c>
      <c r="Y5" s="477">
        <f>IF(I5&lt;=0,"",IFERROR(IF(X5="Europe to US",IF(I5&lt;500,10,IF(I5&lt;1000,8,IF(I5&lt;2500,6,IF(I5&lt;5000,5,4)))),IF(X5="Europe to Canada",IF(I5&lt;1000,(I5/1000)*VLOOKUP(1000,HELPER!$AG$4:$AH$8,2,FALSE)/I5,VLOOKUP(I5,HELPER!$AG$4:$AH$8,2,TRUE)/I5),VLOOKUP(X5,HELPER!$AF$2:$AH$3,3,FALSE))),0))</f>
        <v>0.2</v>
      </c>
      <c r="Z5" s="489">
        <f>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f>
        <v>20.889750378814817</v>
      </c>
      <c r="AA5" s="490" cm="1">
        <f t="array" ref="AA5">tblBagFilmPricing[[#This Row],[Total Cost]]/(1-CHOOSE(ROW()-ROW(tblBagFilmPricing[#Headers]),$AH$26,$AL$26,$AP$26))-tblBagFilmPricing[[#This Row],[Total Cost]]</f>
        <v>8.9527501623492078</v>
      </c>
      <c r="AB5" s="491" cm="1">
        <f t="array" ref="AB5">tblBagFilmPricing[[#This Row],[Total Cost]]/(1-CHOOSE(ROW()-ROW(tblBagFilmPricing[#Headers]),$AH$26,$AL$26,$AP$26))</f>
        <v>29.842500541164025</v>
      </c>
      <c r="AC5" s="635">
        <f>tblBagFilmPricing[[#This Row],[Total Cost and depreciation]]+tblBagFilmPricing[[#This Row],[Thickness waste]]+tblBagFilmPricing[[#This Row],[Other costs]]</f>
        <v>8.9542791000000008</v>
      </c>
      <c r="AF5" s="944" t="s">
        <v>490</v>
      </c>
      <c r="AG5" s="937">
        <f>AG36</f>
        <v>50</v>
      </c>
      <c r="AH5" s="945" t="s">
        <v>108</v>
      </c>
      <c r="AI5" s="929"/>
      <c r="AJ5" s="944" t="s">
        <v>490</v>
      </c>
      <c r="AK5" s="937">
        <f>AK36</f>
        <v>20</v>
      </c>
      <c r="AL5" s="945" t="s">
        <v>108</v>
      </c>
      <c r="AM5" s="929"/>
      <c r="AN5" s="944" t="s">
        <v>490</v>
      </c>
      <c r="AO5" s="937">
        <f>AO36</f>
        <v>20</v>
      </c>
      <c r="AP5" s="945" t="s">
        <v>108</v>
      </c>
      <c r="AQ5" s="929"/>
    </row>
    <row r="6" spans="1:43">
      <c r="AF6" s="944" t="s">
        <v>491</v>
      </c>
      <c r="AG6" s="937">
        <f>IFERROR(_xlfn.XLOOKUP(AG3,HELPER!$AP$2:$AP$60,HELPER!$AQ$2:$AQ$60),1.25)</f>
        <v>1.25</v>
      </c>
      <c r="AH6" s="945" t="s">
        <v>492</v>
      </c>
      <c r="AI6" s="929"/>
      <c r="AJ6" s="944" t="s">
        <v>491</v>
      </c>
      <c r="AK6" s="937">
        <f>IFERROR(_xlfn.XLOOKUP(AK3,HELPER!$AP$2:$AP$60,HELPER!$AQ$2:$AQ$60),1.25)</f>
        <v>1.25</v>
      </c>
      <c r="AL6" s="945" t="s">
        <v>492</v>
      </c>
      <c r="AM6" s="929"/>
      <c r="AN6" s="944" t="s">
        <v>491</v>
      </c>
      <c r="AO6" s="937">
        <f>IFERROR(_xlfn.XLOOKUP(AO3,HELPER!$AP$2:$AP$60,HELPER!$AQ$2:$AQ$60),1.25)</f>
        <v>1.25</v>
      </c>
      <c r="AP6" s="945" t="s">
        <v>492</v>
      </c>
      <c r="AQ6" s="929"/>
    </row>
    <row r="7" spans="1:43">
      <c r="AF7" s="944" t="s">
        <v>493</v>
      </c>
      <c r="AG7" s="937">
        <f>IFERROR(AG33*(VALUE(TRIM(_xlfn.TEXTAFTER(AG34,"×")))/1000)*(IF(OR(AG28="Zipper bag",AG28="Resealable bag",AG28="SUP with zipper"),VALUE(TRIM(_xlfn.TEXTBEFORE(AG34,"×")))*2+VALUE(TRIM(_xlfn.TEXTBEFORE(AG35,"/")))+VALUE(TRIM(_xlfn.TEXTAFTER(AG35,"/")))*2,VALUE(TRIM(_xlfn.TEXTBEFORE(AG34,"×")))*2+VALUE(TRIM(_xlfn.TEXTAFTER(AG35,"/")))*2)/1000)*(AG36/1000)*AG6*(1+0.075+(300+IF(AG37="0",0,IF(AG37="1-2",300,IF(AG37="3-4",900,1500))))/MAX(1,AG33*VALUE(TRIM(_xlfn.TEXTAFTER(AG34,"×")))/1000)),0)</f>
        <v>1071.5625</v>
      </c>
      <c r="AH7" s="945" t="s">
        <v>203</v>
      </c>
      <c r="AI7" s="929"/>
      <c r="AJ7" s="944" t="s">
        <v>493</v>
      </c>
      <c r="AK7" s="937">
        <f>IFERROR(AK33*(VALUE(TRIM(_xlfn.TEXTAFTER(AK34,"×")))/1000)*(IF(OR(AK28="Zipper bag",AK28="Resealable bag",AK28="SUP with zipper"),VALUE(TRIM(_xlfn.TEXTBEFORE(AK34,"×")))*2+VALUE(TRIM(_xlfn.TEXTBEFORE(AK35,"/")))+VALUE(TRIM(_xlfn.TEXTAFTER(AK35,"/")))*2,VALUE(TRIM(_xlfn.TEXTBEFORE(AK34,"×")))*2+VALUE(TRIM(_xlfn.TEXTAFTER(AK35,"/")))*2)/1000)*(AK36/1000)*AK6*(1+0.075+(300+IF(AK37="0",0,IF(AK37="1-2",300,IF(AK37="3-4",900,1500))))/MAX(1,AK33*VALUE(TRIM(_xlfn.TEXTAFTER(AK34,"×")))/1000)),0)</f>
        <v>121.44374999999999</v>
      </c>
      <c r="AL7" s="945" t="s">
        <v>203</v>
      </c>
      <c r="AM7" s="929"/>
      <c r="AN7" s="944" t="s">
        <v>493</v>
      </c>
      <c r="AO7" s="937">
        <f>IFERROR(AO33*(VALUE(TRIM(_xlfn.TEXTAFTER(AO34,"×")))/1000)*(IF(OR(AO28="Zipper bag",AO28="Resealable bag",AO28="SUP with zipper"),VALUE(TRIM(_xlfn.TEXTBEFORE(AO34,"×")))*2+VALUE(TRIM(_xlfn.TEXTBEFORE(AO35,"/")))+VALUE(TRIM(_xlfn.TEXTAFTER(AO35,"/")))*2,VALUE(TRIM(_xlfn.TEXTBEFORE(AO34,"×")))*2+VALUE(TRIM(_xlfn.TEXTAFTER(AO35,"/")))*2)/1000)*(AO36/1000)*AO6*(1+0.075+(300+IF(AO37="0",0,IF(AO37="1-2",300,IF(AO37="3-4",900,1500))))/MAX(1,AO33*VALUE(TRIM(_xlfn.TEXTAFTER(AO34,"×")))/1000)),0)</f>
        <v>77.456249999999997</v>
      </c>
      <c r="AP7" s="945" t="s">
        <v>203</v>
      </c>
      <c r="AQ7" s="929"/>
    </row>
    <row r="8" spans="1:43">
      <c r="AF8" s="944" t="s">
        <v>494</v>
      </c>
      <c r="AG8" s="937">
        <f>IFERROR(AG33*VALUE(TRIM(_xlfn.TEXTAFTER(AG34,"×")))/1000,0)</f>
        <v>12000</v>
      </c>
      <c r="AH8" s="945" t="s">
        <v>495</v>
      </c>
      <c r="AI8" s="929"/>
      <c r="AJ8" s="944" t="s">
        <v>494</v>
      </c>
      <c r="AK8" s="937">
        <f>IFERROR(AK33*VALUE(TRIM(_xlfn.TEXTAFTER(AK34,"×")))/1000,0)</f>
        <v>3000</v>
      </c>
      <c r="AL8" s="945" t="s">
        <v>495</v>
      </c>
      <c r="AM8" s="929"/>
      <c r="AN8" s="944" t="s">
        <v>494</v>
      </c>
      <c r="AO8" s="937">
        <f>IFERROR(AO33*VALUE(TRIM(_xlfn.TEXTAFTER(AO34,"×")))/1000,0)</f>
        <v>3000</v>
      </c>
      <c r="AP8" s="945" t="s">
        <v>495</v>
      </c>
      <c r="AQ8" s="929"/>
    </row>
    <row r="9" spans="1:43">
      <c r="A9" s="167"/>
      <c r="B9" s="167"/>
      <c r="C9" s="167"/>
      <c r="D9" s="167"/>
      <c r="E9" s="167"/>
      <c r="F9" s="167"/>
      <c r="G9" s="167"/>
      <c r="H9" s="167"/>
      <c r="I9" s="167"/>
      <c r="J9" s="9"/>
      <c r="L9" s="8"/>
      <c r="M9" s="64"/>
      <c r="N9" s="5"/>
      <c r="O9" s="64"/>
      <c r="AC9" s="167"/>
      <c r="AF9" s="944" t="s">
        <v>2386</v>
      </c>
      <c r="AG9" s="937" t="s">
        <v>2387</v>
      </c>
      <c r="AH9" s="945"/>
      <c r="AI9" s="929"/>
      <c r="AJ9" s="944" t="s">
        <v>2386</v>
      </c>
      <c r="AK9" s="937" t="s">
        <v>2387</v>
      </c>
      <c r="AL9" s="945"/>
      <c r="AM9" s="929"/>
      <c r="AN9" s="944" t="s">
        <v>2386</v>
      </c>
      <c r="AO9" s="937" t="s">
        <v>2387</v>
      </c>
      <c r="AP9" s="945"/>
      <c r="AQ9" s="929"/>
    </row>
    <row r="10" spans="1:43">
      <c r="A10" s="167"/>
      <c r="B10" s="167"/>
      <c r="C10" s="167"/>
      <c r="D10" s="167"/>
      <c r="E10" s="167"/>
      <c r="F10" s="167"/>
      <c r="G10" s="167"/>
      <c r="H10" s="167"/>
      <c r="I10" s="167"/>
      <c r="J10" s="9"/>
      <c r="L10" s="8"/>
      <c r="M10" s="64"/>
      <c r="N10" s="5"/>
      <c r="O10" s="64"/>
      <c r="AF10" s="944" t="s">
        <v>573</v>
      </c>
      <c r="AG10" s="937" t="str">
        <f>IF(AG37="0","Not Printed","Printed")</f>
        <v>Printed</v>
      </c>
      <c r="AH10" s="945"/>
      <c r="AI10" s="929"/>
      <c r="AJ10" s="944" t="s">
        <v>573</v>
      </c>
      <c r="AK10" s="937" t="str">
        <f>IF(AK37="0","Not Printed","Printed")</f>
        <v>Printed</v>
      </c>
      <c r="AL10" s="945"/>
      <c r="AM10" s="929"/>
      <c r="AN10" s="944" t="s">
        <v>573</v>
      </c>
      <c r="AO10" s="937" t="str">
        <f>IF(AO37="0","Not Printed","Printed")</f>
        <v>Printed</v>
      </c>
      <c r="AP10" s="945"/>
      <c r="AQ10" s="929"/>
    </row>
    <row r="11" spans="1:43">
      <c r="A11" s="167"/>
      <c r="B11" s="167"/>
      <c r="C11" s="167"/>
      <c r="D11" s="167"/>
      <c r="E11" s="167"/>
      <c r="F11" s="167"/>
      <c r="G11" s="167"/>
      <c r="H11" s="167"/>
      <c r="I11" s="8"/>
      <c r="J11" s="9"/>
      <c r="L11" s="8"/>
      <c r="M11" s="64"/>
      <c r="N11" s="5"/>
      <c r="O11" s="64"/>
      <c r="AF11" s="944" t="s">
        <v>2305</v>
      </c>
      <c r="AG11" s="937" t="str">
        <f>AG37</f>
        <v>1-2</v>
      </c>
      <c r="AH11" s="945"/>
      <c r="AI11" s="929"/>
      <c r="AJ11" s="944" t="s">
        <v>2305</v>
      </c>
      <c r="AK11" s="937" t="str">
        <f>AK37</f>
        <v>1-2</v>
      </c>
      <c r="AL11" s="945"/>
      <c r="AM11" s="929"/>
      <c r="AN11" s="944" t="s">
        <v>2305</v>
      </c>
      <c r="AO11" s="937" t="str">
        <f>AO37</f>
        <v>1-2</v>
      </c>
      <c r="AP11" s="945"/>
      <c r="AQ11" s="929"/>
    </row>
    <row r="12" spans="1:43">
      <c r="A12" s="167"/>
      <c r="B12" s="167"/>
      <c r="C12" s="167"/>
      <c r="D12" s="167"/>
      <c r="E12" s="167"/>
      <c r="F12" s="167"/>
      <c r="G12" s="167"/>
      <c r="H12" s="167"/>
      <c r="I12" s="167"/>
      <c r="J12" s="9"/>
      <c r="L12" s="8"/>
      <c r="M12" s="64"/>
      <c r="N12" s="5"/>
      <c r="O12" s="64"/>
      <c r="AF12" s="944" t="s">
        <v>2388</v>
      </c>
      <c r="AG12" s="937" t="str">
        <f>AG38</f>
        <v>Hackbarth</v>
      </c>
      <c r="AH12" s="945"/>
      <c r="AI12" s="929"/>
      <c r="AJ12" s="944" t="s">
        <v>2388</v>
      </c>
      <c r="AK12" s="937" t="str">
        <f>AK38</f>
        <v>Bastin</v>
      </c>
      <c r="AL12" s="945"/>
      <c r="AM12" s="929"/>
      <c r="AN12" s="944" t="s">
        <v>2388</v>
      </c>
      <c r="AO12" s="937" t="str">
        <f>AO38</f>
        <v>Bastin</v>
      </c>
      <c r="AP12" s="945"/>
      <c r="AQ12" s="929"/>
    </row>
    <row r="13" spans="1:43">
      <c r="A13" s="167"/>
      <c r="B13" s="167"/>
      <c r="C13" s="167"/>
      <c r="D13" s="167"/>
      <c r="E13" s="167"/>
      <c r="F13" s="167"/>
      <c r="G13" s="167"/>
      <c r="H13" s="167"/>
      <c r="I13" s="167"/>
      <c r="J13" s="9"/>
      <c r="L13" s="8"/>
      <c r="M13" s="64"/>
      <c r="N13" s="5"/>
      <c r="O13" s="64"/>
      <c r="AF13" s="944" t="s">
        <v>497</v>
      </c>
      <c r="AG13" s="937">
        <f>Z3</f>
        <v>8.7213620640000009</v>
      </c>
      <c r="AH13" s="945"/>
      <c r="AI13" s="929"/>
      <c r="AJ13" s="944" t="s">
        <v>497</v>
      </c>
      <c r="AK13" s="937">
        <f>Z4</f>
        <v>9.4549355640000012</v>
      </c>
      <c r="AL13" s="945"/>
      <c r="AM13" s="929"/>
      <c r="AN13" s="944" t="s">
        <v>497</v>
      </c>
      <c r="AO13" s="937">
        <f>Z5</f>
        <v>20.889750378814817</v>
      </c>
      <c r="AP13" s="945"/>
      <c r="AQ13" s="929"/>
    </row>
    <row r="14" spans="1:43" ht="9.9499999999999993" customHeight="1">
      <c r="A14" s="167"/>
      <c r="B14" s="167"/>
      <c r="C14" s="167"/>
      <c r="D14" s="167"/>
      <c r="E14" s="167"/>
      <c r="F14" s="167"/>
      <c r="G14" s="167"/>
      <c r="H14" s="167"/>
      <c r="I14" s="167"/>
      <c r="J14" s="9"/>
      <c r="K14" s="233"/>
      <c r="L14" s="8"/>
      <c r="M14" s="64"/>
      <c r="N14" s="5"/>
      <c r="O14" s="64"/>
      <c r="AF14" s="931"/>
      <c r="AG14" s="933"/>
      <c r="AH14" s="934"/>
      <c r="AI14" s="929"/>
      <c r="AJ14" s="931"/>
      <c r="AK14" s="933"/>
      <c r="AL14" s="934"/>
      <c r="AM14" s="929"/>
      <c r="AN14" s="931"/>
      <c r="AO14" s="933"/>
      <c r="AP14" s="934"/>
      <c r="AQ14" s="929"/>
    </row>
    <row r="15" spans="1:43" ht="24" customHeight="1">
      <c r="A15" s="167"/>
      <c r="B15" s="167"/>
      <c r="C15" s="167"/>
      <c r="D15" s="167"/>
      <c r="E15" s="167"/>
      <c r="F15" s="167"/>
      <c r="G15" s="167"/>
      <c r="H15" s="167"/>
      <c r="I15" s="167"/>
      <c r="J15" s="9"/>
      <c r="L15" s="8"/>
      <c r="M15" s="64"/>
      <c r="N15" s="5"/>
      <c r="O15" s="64"/>
      <c r="AF15" s="1061" t="s">
        <v>2320</v>
      </c>
      <c r="AG15" s="1062"/>
      <c r="AH15" s="1063"/>
      <c r="AI15" s="929"/>
      <c r="AJ15" s="1061" t="s">
        <v>2320</v>
      </c>
      <c r="AK15" s="1062"/>
      <c r="AL15" s="1063"/>
      <c r="AM15" s="929"/>
      <c r="AN15" s="1061" t="s">
        <v>2320</v>
      </c>
      <c r="AO15" s="1062"/>
      <c r="AP15" s="1063"/>
      <c r="AQ15" s="929"/>
    </row>
    <row r="16" spans="1:43" ht="32.1" customHeight="1">
      <c r="A16" s="167"/>
      <c r="B16" s="167"/>
      <c r="C16" s="167"/>
      <c r="D16" s="167"/>
      <c r="E16" s="167"/>
      <c r="F16" s="167"/>
      <c r="G16" s="167"/>
      <c r="H16" s="167"/>
      <c r="I16" s="167"/>
      <c r="J16" s="9"/>
      <c r="L16" s="8"/>
      <c r="M16" s="64"/>
      <c r="N16" s="5"/>
      <c r="O16" s="64"/>
      <c r="AF16" s="1058">
        <f>AG13</f>
        <v>8.7213620640000009</v>
      </c>
      <c r="AG16" s="1059"/>
      <c r="AH16" s="1060"/>
      <c r="AI16" s="929"/>
      <c r="AJ16" s="1058">
        <f>AK13</f>
        <v>9.4549355640000012</v>
      </c>
      <c r="AK16" s="1059"/>
      <c r="AL16" s="1060"/>
      <c r="AM16" s="929"/>
      <c r="AN16" s="1058">
        <f>AO13</f>
        <v>20.889750378814817</v>
      </c>
      <c r="AO16" s="1059"/>
      <c r="AP16" s="1060"/>
      <c r="AQ16" s="929"/>
    </row>
    <row r="17" spans="1:43" ht="9.9499999999999993" customHeight="1">
      <c r="A17" s="167"/>
      <c r="B17" s="167"/>
      <c r="C17" s="167"/>
      <c r="D17" s="167"/>
      <c r="E17" s="167"/>
      <c r="F17" s="167"/>
      <c r="G17" s="167"/>
      <c r="H17" s="167"/>
      <c r="I17" s="167"/>
      <c r="J17" s="9"/>
      <c r="L17" s="8"/>
      <c r="AF17" s="931"/>
      <c r="AG17" s="933"/>
      <c r="AH17" s="934"/>
      <c r="AI17" s="929"/>
      <c r="AJ17" s="931"/>
      <c r="AK17" s="933"/>
      <c r="AL17" s="934"/>
      <c r="AM17" s="929"/>
      <c r="AN17" s="931"/>
      <c r="AO17" s="933"/>
      <c r="AP17" s="934"/>
      <c r="AQ17" s="929"/>
    </row>
    <row r="18" spans="1:43">
      <c r="A18" s="167"/>
      <c r="B18" s="167"/>
      <c r="C18" s="167"/>
      <c r="D18" s="167"/>
      <c r="E18" s="167"/>
      <c r="F18" s="167"/>
      <c r="G18" s="167"/>
      <c r="H18" s="167"/>
      <c r="I18" s="167"/>
      <c r="L18" s="8"/>
      <c r="AF18" s="944" t="s">
        <v>2306</v>
      </c>
      <c r="AG18" s="937">
        <f>AF16*HELPER!$AK$2</f>
        <v>10.11677999424</v>
      </c>
      <c r="AH18" s="945" t="s">
        <v>270</v>
      </c>
      <c r="AI18" s="929"/>
      <c r="AJ18" s="944" t="s">
        <v>2306</v>
      </c>
      <c r="AK18" s="937">
        <f>AJ16*HELPER!$AK$2</f>
        <v>10.967725254240001</v>
      </c>
      <c r="AL18" s="945" t="s">
        <v>270</v>
      </c>
      <c r="AM18" s="929"/>
      <c r="AN18" s="944" t="s">
        <v>2306</v>
      </c>
      <c r="AO18" s="937">
        <f>AN16*HELPER!$AK$2</f>
        <v>24.232110439425185</v>
      </c>
      <c r="AP18" s="945" t="s">
        <v>270</v>
      </c>
      <c r="AQ18" s="929"/>
    </row>
    <row r="19" spans="1:43">
      <c r="A19" s="167"/>
      <c r="B19" s="167"/>
      <c r="C19" s="167"/>
      <c r="D19" s="167"/>
      <c r="E19" s="167"/>
      <c r="F19" s="167"/>
      <c r="G19" s="167"/>
      <c r="H19" s="167"/>
      <c r="I19" s="167"/>
      <c r="L19" s="8"/>
      <c r="AF19" s="944" t="s">
        <v>1198</v>
      </c>
      <c r="AG19" s="937">
        <f>750</f>
        <v>750</v>
      </c>
      <c r="AH19" s="945" t="s">
        <v>203</v>
      </c>
      <c r="AI19" s="929"/>
      <c r="AJ19" s="944" t="s">
        <v>1198</v>
      </c>
      <c r="AK19" s="937">
        <f>750</f>
        <v>750</v>
      </c>
      <c r="AL19" s="945" t="s">
        <v>203</v>
      </c>
      <c r="AM19" s="929"/>
      <c r="AN19" s="944" t="s">
        <v>1198</v>
      </c>
      <c r="AO19" s="937">
        <f>750</f>
        <v>750</v>
      </c>
      <c r="AP19" s="945" t="s">
        <v>203</v>
      </c>
      <c r="AQ19" s="929"/>
    </row>
    <row r="20" spans="1:43">
      <c r="A20" s="167"/>
      <c r="B20" s="167"/>
      <c r="C20" s="167"/>
      <c r="D20" s="167"/>
      <c r="E20" s="167"/>
      <c r="F20" s="167"/>
      <c r="G20" s="167"/>
      <c r="H20" s="167"/>
      <c r="I20" s="167"/>
      <c r="J20" s="4"/>
      <c r="K20" s="4"/>
      <c r="L20" s="4"/>
      <c r="AF20" s="944" t="s">
        <v>2389</v>
      </c>
      <c r="AG20" s="937" t="str">
        <f>"By Length"</f>
        <v>By Length</v>
      </c>
      <c r="AH20" s="945"/>
      <c r="AI20" s="929"/>
      <c r="AJ20" s="944" t="s">
        <v>2389</v>
      </c>
      <c r="AK20" s="937" t="str">
        <f>"By Length"</f>
        <v>By Length</v>
      </c>
      <c r="AL20" s="945"/>
      <c r="AM20" s="929"/>
      <c r="AN20" s="944" t="s">
        <v>2389</v>
      </c>
      <c r="AO20" s="937" t="str">
        <f>"By Length"</f>
        <v>By Length</v>
      </c>
      <c r="AP20" s="945"/>
      <c r="AQ20" s="929"/>
    </row>
    <row r="21" spans="1:43">
      <c r="A21" s="167"/>
      <c r="B21" s="167"/>
      <c r="C21" s="167"/>
      <c r="D21" s="167"/>
      <c r="E21" s="167"/>
      <c r="F21" s="167"/>
      <c r="G21" s="167"/>
      <c r="H21" s="167"/>
      <c r="I21" s="167"/>
      <c r="J21" s="4"/>
      <c r="K21" s="4"/>
      <c r="L21" s="4"/>
      <c r="AF21" s="944" t="s">
        <v>564</v>
      </c>
      <c r="AG21" s="937">
        <f>IFERROR(AG33*VALUE(TRIM(_xlfn.TEXTAFTER(AG34,"×")))/1000,0)</f>
        <v>12000</v>
      </c>
      <c r="AH21" s="945" t="s">
        <v>495</v>
      </c>
      <c r="AI21" s="929"/>
      <c r="AJ21" s="944" t="s">
        <v>564</v>
      </c>
      <c r="AK21" s="937">
        <f>IFERROR(AK33*VALUE(TRIM(_xlfn.TEXTAFTER(AK34,"×")))/1000,0)</f>
        <v>3000</v>
      </c>
      <c r="AL21" s="945" t="s">
        <v>495</v>
      </c>
      <c r="AM21" s="929"/>
      <c r="AN21" s="944" t="s">
        <v>564</v>
      </c>
      <c r="AO21" s="937">
        <f>IFERROR(AO33*VALUE(TRIM(_xlfn.TEXTAFTER(AO34,"×")))/1000,0)</f>
        <v>3000</v>
      </c>
      <c r="AP21" s="945" t="s">
        <v>495</v>
      </c>
      <c r="AQ21" s="929"/>
    </row>
    <row r="22" spans="1:43">
      <c r="A22" s="4"/>
      <c r="B22" s="4"/>
      <c r="C22" s="4"/>
      <c r="D22" s="4"/>
      <c r="E22" s="4"/>
      <c r="F22" s="4"/>
      <c r="G22" s="4"/>
      <c r="H22" s="4"/>
      <c r="I22" s="4"/>
      <c r="J22" s="4"/>
      <c r="K22" s="4"/>
      <c r="L22" s="4"/>
      <c r="AF22" s="944"/>
      <c r="AG22" s="937"/>
      <c r="AH22" s="945"/>
      <c r="AI22" s="929"/>
      <c r="AJ22" s="944"/>
      <c r="AK22" s="937"/>
      <c r="AL22" s="945"/>
      <c r="AM22" s="929"/>
      <c r="AN22" s="944"/>
      <c r="AO22" s="937"/>
      <c r="AP22" s="945"/>
      <c r="AQ22" s="929"/>
    </row>
    <row r="23" spans="1:43">
      <c r="A23" s="4"/>
      <c r="B23" s="4"/>
      <c r="C23" s="4"/>
      <c r="D23" s="4"/>
      <c r="E23" s="4"/>
      <c r="F23" s="4"/>
      <c r="G23" s="4"/>
      <c r="H23" s="4"/>
      <c r="I23" s="4"/>
      <c r="J23" s="4"/>
      <c r="K23" s="4"/>
      <c r="L23" s="4"/>
      <c r="AF23" s="944" t="s">
        <v>1211</v>
      </c>
      <c r="AG23" s="937" t="str">
        <f>IF(IF(AG20="By Length",IF(AG21="",0,AG21*$H$3),AG7)&lt;AG19,"under MOQ","fine from MOQ perspective")</f>
        <v>fine from MOQ perspective</v>
      </c>
      <c r="AH23" s="945"/>
      <c r="AI23" s="929"/>
      <c r="AJ23" s="944" t="s">
        <v>1211</v>
      </c>
      <c r="AK23" s="937" t="str">
        <f>IF(IF(AK20="By Length",IF(AK21="",0,AK21*$H$4),AK7)&lt;AK19,"under MOQ","fine from MOQ perspective")</f>
        <v>under MOQ</v>
      </c>
      <c r="AL23" s="945"/>
      <c r="AM23" s="929"/>
      <c r="AN23" s="944" t="s">
        <v>1211</v>
      </c>
      <c r="AO23" s="937" t="str">
        <f>IF(IF(AO20="By Length",IF(AO21="",0,AO21*$H$5),AO7)&lt;AO19,"under MOQ","fine from MOQ perspective")</f>
        <v>under MOQ</v>
      </c>
      <c r="AP23" s="945"/>
      <c r="AQ23" s="929"/>
    </row>
    <row r="24" spans="1:43" ht="27" customHeight="1" thickBot="1">
      <c r="A24" s="4"/>
      <c r="B24" s="4"/>
      <c r="C24" s="4"/>
      <c r="D24" s="4"/>
      <c r="E24" s="4"/>
      <c r="F24" s="4"/>
      <c r="G24" s="4"/>
      <c r="H24" s="4"/>
      <c r="I24" s="4"/>
      <c r="J24" s="4"/>
      <c r="K24" s="4"/>
      <c r="L24" s="4"/>
      <c r="AD24" s="4"/>
      <c r="AE24" s="4"/>
      <c r="AF24" s="946" t="s">
        <v>1212</v>
      </c>
      <c r="AG24" s="947">
        <f>IFERROR(AG19/$H$3,0)</f>
        <v>9448.8188976377951</v>
      </c>
      <c r="AH24" s="948" t="s">
        <v>495</v>
      </c>
      <c r="AI24" s="929"/>
      <c r="AJ24" s="946" t="s">
        <v>1212</v>
      </c>
      <c r="AK24" s="947">
        <f>IFERROR(AK19/$H$4,0)</f>
        <v>23622.047244094487</v>
      </c>
      <c r="AL24" s="948" t="s">
        <v>495</v>
      </c>
      <c r="AM24" s="929"/>
      <c r="AN24" s="946" t="s">
        <v>1212</v>
      </c>
      <c r="AO24" s="947">
        <f>IFERROR(AO19/$H$5,0)</f>
        <v>37037.037037037029</v>
      </c>
      <c r="AP24" s="948" t="s">
        <v>495</v>
      </c>
      <c r="AQ24" s="929"/>
    </row>
    <row r="25" spans="1:43" ht="9.9499999999999993" customHeight="1" thickBot="1">
      <c r="A25" s="4"/>
      <c r="B25" s="4"/>
      <c r="C25" s="4"/>
      <c r="D25" s="4"/>
      <c r="E25" s="4"/>
      <c r="F25" s="4"/>
      <c r="G25" s="4"/>
      <c r="H25" s="4"/>
      <c r="I25" s="4"/>
      <c r="J25" s="4"/>
      <c r="K25" s="4"/>
      <c r="L25" s="4"/>
      <c r="AD25" s="4"/>
      <c r="AE25" s="4"/>
      <c r="AF25" s="932"/>
      <c r="AG25" s="933"/>
      <c r="AH25" s="933"/>
      <c r="AI25" s="929"/>
      <c r="AJ25" s="932"/>
      <c r="AK25" s="933"/>
      <c r="AL25" s="933"/>
      <c r="AM25" s="929"/>
      <c r="AN25" s="932"/>
      <c r="AO25" s="933"/>
      <c r="AP25" s="933"/>
      <c r="AQ25" s="929"/>
    </row>
    <row r="26" spans="1:43" ht="30" customHeight="1">
      <c r="AF26" s="935" t="s">
        <v>851</v>
      </c>
      <c r="AG26" s="936"/>
      <c r="AH26" s="949">
        <v>0.15</v>
      </c>
      <c r="AI26" s="929"/>
      <c r="AJ26" s="935" t="s">
        <v>851</v>
      </c>
      <c r="AK26" s="936"/>
      <c r="AL26" s="949">
        <v>0.3</v>
      </c>
      <c r="AM26" s="929"/>
      <c r="AN26" s="935" t="s">
        <v>851</v>
      </c>
      <c r="AO26" s="936"/>
      <c r="AP26" s="949">
        <v>0.3</v>
      </c>
      <c r="AQ26" s="928"/>
    </row>
    <row r="27" spans="1:43" ht="24" customHeight="1">
      <c r="AF27" s="1052" t="str">
        <f>"👜 BAG CALCULATOR 1 — "&amp;AG28&amp;" / "&amp;AG29</f>
        <v>👜 BAG CALCULATOR 1 — Resealable bag / TIPA 302FG</v>
      </c>
      <c r="AG27" s="1053"/>
      <c r="AH27" s="1054"/>
      <c r="AI27" s="929"/>
      <c r="AJ27" s="1052" t="str">
        <f>"👜 BAG CALCULATOR 2 — "&amp;AK28&amp;" / "&amp;AK29</f>
        <v>👜 BAG CALCULATOR 2 — Resealable bag / TIPA 302FG</v>
      </c>
      <c r="AK27" s="1053"/>
      <c r="AL27" s="1054"/>
      <c r="AM27" s="929"/>
      <c r="AN27" s="1052" t="str">
        <f>"👜 BAG CALCULATOR 3 — "&amp;AO28&amp;" / "&amp;AO29</f>
        <v>👜 BAG CALCULATOR 3 — Resealable bag / TIPA 302FG</v>
      </c>
      <c r="AO27" s="1053"/>
      <c r="AP27" s="1054"/>
      <c r="AQ27" s="929"/>
    </row>
    <row r="28" spans="1:43" ht="18.95" customHeight="1">
      <c r="AF28" s="950" t="s">
        <v>2307</v>
      </c>
      <c r="AG28" s="938" t="s">
        <v>118</v>
      </c>
      <c r="AH28" s="945"/>
      <c r="AI28" s="929"/>
      <c r="AJ28" s="950" t="s">
        <v>2307</v>
      </c>
      <c r="AK28" s="938" t="s">
        <v>118</v>
      </c>
      <c r="AL28" s="945"/>
      <c r="AM28" s="929"/>
      <c r="AN28" s="950" t="s">
        <v>2307</v>
      </c>
      <c r="AO28" s="938" t="s">
        <v>118</v>
      </c>
      <c r="AP28" s="945"/>
      <c r="AQ28" s="929"/>
    </row>
    <row r="29" spans="1:43" ht="18.95" customHeight="1">
      <c r="AF29" s="950" t="s">
        <v>2308</v>
      </c>
      <c r="AG29" s="938" t="s">
        <v>0</v>
      </c>
      <c r="AH29" s="945"/>
      <c r="AI29" s="929"/>
      <c r="AJ29" s="950" t="s">
        <v>2308</v>
      </c>
      <c r="AK29" s="938" t="s">
        <v>0</v>
      </c>
      <c r="AL29" s="945"/>
      <c r="AM29" s="929"/>
      <c r="AN29" s="950" t="s">
        <v>2308</v>
      </c>
      <c r="AO29" s="938" t="s">
        <v>0</v>
      </c>
      <c r="AP29" s="945"/>
      <c r="AQ29" s="929"/>
    </row>
    <row r="30" spans="1:43" ht="18.95" customHeight="1">
      <c r="AF30" s="950" t="s">
        <v>2309</v>
      </c>
      <c r="AG30" s="938" t="s">
        <v>120</v>
      </c>
      <c r="AH30" s="951" t="s">
        <v>2321</v>
      </c>
      <c r="AI30" s="929"/>
      <c r="AJ30" s="950" t="s">
        <v>2309</v>
      </c>
      <c r="AK30" s="938" t="s">
        <v>120</v>
      </c>
      <c r="AL30" s="951" t="s">
        <v>2321</v>
      </c>
      <c r="AM30" s="929"/>
      <c r="AN30" s="950" t="s">
        <v>2309</v>
      </c>
      <c r="AO30" s="938" t="s">
        <v>121</v>
      </c>
      <c r="AP30" s="951" t="s">
        <v>2321</v>
      </c>
      <c r="AQ30" s="929"/>
    </row>
    <row r="31" spans="1:43" ht="18.95" customHeight="1">
      <c r="AF31" s="950" t="s">
        <v>2382</v>
      </c>
      <c r="AG31" s="938">
        <v>1</v>
      </c>
      <c r="AH31" s="945" t="s">
        <v>2383</v>
      </c>
      <c r="AI31" s="929"/>
      <c r="AJ31" s="950" t="s">
        <v>2382</v>
      </c>
      <c r="AK31" s="938">
        <v>1</v>
      </c>
      <c r="AL31" s="945" t="s">
        <v>2383</v>
      </c>
      <c r="AM31" s="929"/>
      <c r="AN31" s="950" t="s">
        <v>2382</v>
      </c>
      <c r="AO31" s="938">
        <v>1</v>
      </c>
      <c r="AP31" s="945" t="s">
        <v>2383</v>
      </c>
      <c r="AQ31" s="929"/>
    </row>
    <row r="32" spans="1:43" ht="18.95" customHeight="1">
      <c r="AF32" s="950" t="s">
        <v>2386</v>
      </c>
      <c r="AG32" s="938" t="s">
        <v>2387</v>
      </c>
      <c r="AH32" s="945"/>
      <c r="AI32" s="929"/>
      <c r="AJ32" s="950" t="s">
        <v>2386</v>
      </c>
      <c r="AK32" s="938" t="s">
        <v>2387</v>
      </c>
      <c r="AL32" s="945"/>
      <c r="AM32" s="929"/>
      <c r="AN32" s="950" t="s">
        <v>2386</v>
      </c>
      <c r="AO32" s="938" t="s">
        <v>2387</v>
      </c>
      <c r="AP32" s="945"/>
      <c r="AQ32" s="929"/>
    </row>
    <row r="33" spans="29:43" ht="18.95" customHeight="1">
      <c r="AF33" s="950" t="s">
        <v>2310</v>
      </c>
      <c r="AG33" s="939">
        <v>20000</v>
      </c>
      <c r="AH33" s="945" t="s">
        <v>1076</v>
      </c>
      <c r="AI33" s="929"/>
      <c r="AJ33" s="950" t="s">
        <v>2310</v>
      </c>
      <c r="AK33" s="939">
        <v>12000</v>
      </c>
      <c r="AL33" s="945" t="s">
        <v>1076</v>
      </c>
      <c r="AM33" s="929"/>
      <c r="AN33" s="950" t="s">
        <v>2310</v>
      </c>
      <c r="AO33" s="939">
        <v>12000</v>
      </c>
      <c r="AP33" s="945" t="s">
        <v>1076</v>
      </c>
      <c r="AQ33" s="929"/>
    </row>
    <row r="34" spans="29:43" ht="18.95" customHeight="1">
      <c r="AF34" s="950" t="s">
        <v>2311</v>
      </c>
      <c r="AG34" s="938" t="s">
        <v>2323</v>
      </c>
      <c r="AH34" s="945" t="s">
        <v>489</v>
      </c>
      <c r="AI34" s="929"/>
      <c r="AJ34" s="950" t="s">
        <v>2311</v>
      </c>
      <c r="AK34" s="938" t="s">
        <v>1255</v>
      </c>
      <c r="AL34" s="945" t="s">
        <v>489</v>
      </c>
      <c r="AM34" s="929"/>
      <c r="AN34" s="950" t="s">
        <v>2311</v>
      </c>
      <c r="AO34" s="938" t="s">
        <v>1257</v>
      </c>
      <c r="AP34" s="945" t="s">
        <v>489</v>
      </c>
      <c r="AQ34" s="929"/>
    </row>
    <row r="35" spans="29:43" ht="18.95" customHeight="1">
      <c r="AF35" s="950" t="s">
        <v>2312</v>
      </c>
      <c r="AG35" s="938" t="s">
        <v>1258</v>
      </c>
      <c r="AH35" s="945" t="s">
        <v>489</v>
      </c>
      <c r="AI35" s="929"/>
      <c r="AJ35" s="950" t="s">
        <v>2312</v>
      </c>
      <c r="AK35" s="938" t="s">
        <v>1256</v>
      </c>
      <c r="AL35" s="945" t="s">
        <v>489</v>
      </c>
      <c r="AM35" s="929"/>
      <c r="AN35" s="950" t="s">
        <v>2312</v>
      </c>
      <c r="AO35" s="938" t="s">
        <v>1258</v>
      </c>
      <c r="AP35" s="945" t="s">
        <v>489</v>
      </c>
      <c r="AQ35" s="929"/>
    </row>
    <row r="36" spans="29:43" ht="18.95" customHeight="1">
      <c r="AF36" s="950" t="s">
        <v>490</v>
      </c>
      <c r="AG36" s="938">
        <v>50</v>
      </c>
      <c r="AH36" s="945" t="s">
        <v>108</v>
      </c>
      <c r="AI36" s="929"/>
      <c r="AJ36" s="950" t="s">
        <v>490</v>
      </c>
      <c r="AK36" s="938">
        <v>20</v>
      </c>
      <c r="AL36" s="945" t="s">
        <v>108</v>
      </c>
      <c r="AM36" s="929"/>
      <c r="AN36" s="950" t="s">
        <v>490</v>
      </c>
      <c r="AO36" s="938">
        <v>20</v>
      </c>
      <c r="AP36" s="945" t="s">
        <v>108</v>
      </c>
      <c r="AQ36" s="929"/>
    </row>
    <row r="37" spans="29:43" ht="18.95" customHeight="1">
      <c r="AF37" s="950" t="s">
        <v>2305</v>
      </c>
      <c r="AG37" s="940" t="s">
        <v>591</v>
      </c>
      <c r="AH37" s="945"/>
      <c r="AI37" s="929"/>
      <c r="AJ37" s="950" t="s">
        <v>2305</v>
      </c>
      <c r="AK37" s="940" t="s">
        <v>591</v>
      </c>
      <c r="AL37" s="945"/>
      <c r="AM37" s="929"/>
      <c r="AN37" s="950" t="s">
        <v>2305</v>
      </c>
      <c r="AO37" s="940" t="s">
        <v>591</v>
      </c>
      <c r="AP37" s="945"/>
      <c r="AQ37" s="929"/>
    </row>
    <row r="38" spans="29:43" ht="18.95" customHeight="1">
      <c r="AF38" s="950" t="s">
        <v>2391</v>
      </c>
      <c r="AG38" s="976" t="s">
        <v>2322</v>
      </c>
      <c r="AH38" s="945"/>
      <c r="AI38" s="929"/>
      <c r="AJ38" s="950" t="s">
        <v>2391</v>
      </c>
      <c r="AK38" s="938" t="s">
        <v>240</v>
      </c>
      <c r="AL38" s="945"/>
      <c r="AM38" s="929"/>
      <c r="AN38" s="950" t="s">
        <v>2391</v>
      </c>
      <c r="AO38" s="938" t="s">
        <v>240</v>
      </c>
      <c r="AP38" s="945"/>
      <c r="AQ38" s="929"/>
    </row>
    <row r="39" spans="29:43" ht="20.100000000000001" customHeight="1">
      <c r="AF39" s="952" t="s">
        <v>2313</v>
      </c>
      <c r="AG39" s="941">
        <f>IFERROR(AG7,0)</f>
        <v>1071.5625</v>
      </c>
      <c r="AH39" s="953" t="s">
        <v>203</v>
      </c>
      <c r="AI39" s="929"/>
      <c r="AJ39" s="952" t="s">
        <v>2313</v>
      </c>
      <c r="AK39" s="941">
        <f>IFERROR(AK7,0)</f>
        <v>121.44374999999999</v>
      </c>
      <c r="AL39" s="953" t="s">
        <v>203</v>
      </c>
      <c r="AM39" s="929"/>
      <c r="AN39" s="952" t="s">
        <v>2313</v>
      </c>
      <c r="AO39" s="941">
        <f>IFERROR(AO7,0)</f>
        <v>77.456249999999997</v>
      </c>
      <c r="AP39" s="953" t="s">
        <v>203</v>
      </c>
      <c r="AQ39" s="929"/>
    </row>
    <row r="40" spans="29:43" ht="20.100000000000001" customHeight="1">
      <c r="AF40" s="952" t="s">
        <v>2314</v>
      </c>
      <c r="AG40" s="942">
        <f>IFERROR(_xlfn.LET(
     _xlpm.bagType,IF(AG28="Zipper bag","Zipper pouch",IF(AG28="Open Bag","Open pouch",IF(AG28="Resealable bag","SUP with zipper",AG28))),
     _xlpm.bagWidth,VALUE(TRIM(_xlfn.TEXTAFTER(AG34,"×"))),
     _xlpm.webWidth,IF(OR(AG28="Zipper bag",AG28="Resealable bag",AG28="SUP with zipper"),VALUE(TRIM(_xlfn.TEXTBEFORE(AG34,"×")))*2+VALUE(TRIM(_xlfn.TEXTBEFORE(AG35,"/")))+VALUE(TRIM(_xlfn.TEXTAFTER(AG35,"/")))*2,VALUE(TRIM(_xlfn.TEXTBEFORE(AG34,"×")))*2+VALUE(TRIM(_xlfn.TEXTAFTER(AG35,"/")))*2),
     _xlpm.wasteFactor,1+0.075+(300+IF(AG37="0",0,IF(AG37="1-2",300,IF(AG37="3-4",900,1500))))/MAX(1,AG33*_xlpm.bagWidth/1000),
     _xlpm.filmKgPerBag,(_xlpm.bagWidth/1000)*(_xlpm.webWidth/1000)*(AG36/1000)*1.25*_xlpm.wasteFactor,
     _xlpm.materialCost,_xlpm.filmKgPerBag*AF16,
     _xlpm.widthTier,IF(_xlpm.bagWidth&lt;=100,"100 MM width",IF(_xlpm.bagWidth&lt;=150,"150 MM width",IF(_xlpm.bagWidth&lt;=200,"200 MM width",IF(_xlpm.bagWidth&lt;=300,"300 MM width",IF(_xlpm.bagWidth&lt;=400,"400 MM width",IF(_xlpm.bagWidth&lt;=500,"500 MM width","")))))),
     _xlpm.qtyTier,IF(AG33&lt;=25000,1,IF(AG33&lt;=50000,2,IF(AG33&lt;=100000,3,IF(AG33&lt;=250000,4,IF(AG33&lt;=500000,5,IF(AG33&lt;=1000000,6,7)))))),
     _xlpm.tableProduction,IF(_xlpm.widthTier="",0,IFERROR(SUMIFS(INDEX('Converting- Marma &amp; Bastin '!$D$3:$J$38,0,_xlpm.qtyTier),'Converting- Marma &amp; Bastin '!$A$3:$A$38,AG38,'Converting- Marma &amp; Bastin '!$B$3:$B$38,_xlpm.bagType,'Converting- Marma &amp; Bastin '!$C$3:$C$38,_xlpm.widthTier),0)),
     _xlpm.helperProduction,IFERROR(_xlfn.XLOOKUP(AG38,HELPER!$DM$2:$DM$4,HELPER!$DO$2:$DO$4,0),0),
     _xlpm.productionCost,IF(_xlpm.helperProduction&gt;0,_xlpm.helperProduction,_xlpm.tableProduction),
     _xlpm.materialCost+_xlpm.productionCost
   ),0)</f>
        <v>0.63227422683525014</v>
      </c>
      <c r="AH40" s="953" t="s">
        <v>1233</v>
      </c>
      <c r="AI40" s="929"/>
      <c r="AJ40" s="952" t="s">
        <v>2314</v>
      </c>
      <c r="AK40" s="942">
        <f>IFERROR(_xlfn.LET(
     _xlpm.bagType,IF(AK28="Zipper bag","Zipper pouch",IF(AK28="Open Bag","Open pouch",IF(AK28="Resealable bag","SUP with zipper",AK28))),
     _xlpm.bagWidth,VALUE(TRIM(_xlfn.TEXTAFTER(AK34,"×"))),
     _xlpm.webWidth,IF(OR(AK28="Zipper bag",AK28="Resealable bag",AK28="SUP with zipper"),VALUE(TRIM(_xlfn.TEXTBEFORE(AK34,"×")))*2+VALUE(TRIM(_xlfn.TEXTBEFORE(AK35,"/")))+VALUE(TRIM(_xlfn.TEXTAFTER(AK35,"/")))*2,VALUE(TRIM(_xlfn.TEXTBEFORE(AK34,"×")))*2+VALUE(TRIM(_xlfn.TEXTAFTER(AK35,"/")))*2),
     _xlpm.wasteFactor,1+0.075+(300+IF(AK37="0",0,IF(AK37="1-2",300,IF(AK37="3-4",900,1500))))/MAX(1,AK33*_xlpm.bagWidth/1000),
     _xlpm.filmKgPerBag,(_xlpm.bagWidth/1000)*(_xlpm.webWidth/1000)*(AK36/1000)*1.25*_xlpm.wasteFactor,
     _xlpm.materialCost,_xlpm.filmKgPerBag*AJ16,
     _xlpm.widthTier,IF(_xlpm.bagWidth&lt;=100,"100 MM width",IF(_xlpm.bagWidth&lt;=150,"150 MM width",IF(_xlpm.bagWidth&lt;=200,"200 MM width",IF(_xlpm.bagWidth&lt;=300,"300 MM width",IF(_xlpm.bagWidth&lt;=400,"400 MM width",IF(_xlpm.bagWidth&lt;=500,"500 MM width","")))))),
     _xlpm.qtyTier,IF(AK33&lt;=25000,1,IF(AK33&lt;=50000,2,IF(AK33&lt;=100000,3,IF(AK33&lt;=250000,4,IF(AK33&lt;=500000,5,IF(AK33&lt;=1000000,6,7)))))),
     _xlpm.tableProduction,IF(_xlpm.widthTier="",0,IFERROR(SUMIFS(INDEX('Converting- Marma &amp; Bastin '!$D$3:$J$38,0,_xlpm.qtyTier),'Converting- Marma &amp; Bastin '!$A$3:$A$38,AK38,'Converting- Marma &amp; Bastin '!$B$3:$B$38,_xlpm.bagType,'Converting- Marma &amp; Bastin '!$C$3:$C$38,_xlpm.widthTier),0)),
     _xlpm.helperProduction,IFERROR(_xlfn.XLOOKUP(AK38,HELPER!$DM$2:$DM$4,HELPER!$DO$2:$DO$4,0),0),
     _xlpm.productionCost,IF(_xlpm.helperProduction&gt;0,_xlpm.helperProduction,_xlpm.tableProduction),
     _xlpm.materialCost+_xlpm.productionCost
   ),0)</f>
        <v>1.0956869025750438</v>
      </c>
      <c r="AL40" s="953" t="s">
        <v>1233</v>
      </c>
      <c r="AM40" s="929"/>
      <c r="AN40" s="952" t="s">
        <v>2314</v>
      </c>
      <c r="AO40" s="942">
        <f>IFERROR(_xlfn.LET(
     _xlpm.bagType,IF(AO28="Zipper bag","Zipper pouch",IF(AO28="Open Bag","Open pouch",IF(AO28="Resealable bag","SUP with zipper",AO28))),
     _xlpm.bagWidth,VALUE(TRIM(_xlfn.TEXTAFTER(AO34,"×"))),
     _xlpm.webWidth,IF(OR(AO28="Zipper bag",AO28="Resealable bag",AO28="SUP with zipper"),VALUE(TRIM(_xlfn.TEXTBEFORE(AO34,"×")))*2+VALUE(TRIM(_xlfn.TEXTBEFORE(AO35,"/")))+VALUE(TRIM(_xlfn.TEXTAFTER(AO35,"/")))*2,VALUE(TRIM(_xlfn.TEXTBEFORE(AO34,"×")))*2+VALUE(TRIM(_xlfn.TEXTAFTER(AO35,"/")))*2),
     _xlpm.wasteFactor,1+0.075+(300+IF(AO37="0",0,IF(AO37="1-2",300,IF(AO37="3-4",900,1500))))/MAX(1,AO33*_xlpm.bagWidth/1000),
     _xlpm.filmKgPerBag,(_xlpm.bagWidth/1000)*(_xlpm.webWidth/1000)*(AO36/1000)*1.25*_xlpm.wasteFactor,
     _xlpm.materialCost,_xlpm.filmKgPerBag*AN16,
     _xlpm.widthTier,IF(_xlpm.bagWidth&lt;=100,"100 MM width",IF(_xlpm.bagWidth&lt;=150,"150 MM width",IF(_xlpm.bagWidth&lt;=200,"200 MM width",IF(_xlpm.bagWidth&lt;=300,"300 MM width",IF(_xlpm.bagWidth&lt;=400,"400 MM width",IF(_xlpm.bagWidth&lt;=500,"500 MM width","")))))),
     _xlpm.qtyTier,IF(AO33&lt;=25000,1,IF(AO33&lt;=50000,2,IF(AO33&lt;=100000,3,IF(AO33&lt;=250000,4,IF(AO33&lt;=500000,5,IF(AO33&lt;=1000000,6,7)))))),
     _xlpm.tableProduction,IF(_xlpm.widthTier="",0,IFERROR(SUMIFS(INDEX('Converting- Marma &amp; Bastin '!$D$3:$J$38,0,_xlpm.qtyTier),'Converting- Marma &amp; Bastin '!$A$3:$A$38,AO38,'Converting- Marma &amp; Bastin '!$B$3:$B$38,_xlpm.bagType,'Converting- Marma &amp; Bastin '!$C$3:$C$38,_xlpm.widthTier),0)),
     _xlpm.helperProduction,IFERROR(_xlfn.XLOOKUP(AO38,HELPER!$DM$2:$DM$4,HELPER!$DO$2:$DO$4,0),0),
     _xlpm.productionCost,IF(_xlpm.helperProduction&gt;0,_xlpm.helperProduction,_xlpm.tableProduction),
     _xlpm.materialCost+_xlpm.productionCost
   ),0)</f>
        <v>1.1348368106482563</v>
      </c>
      <c r="AP40" s="953" t="s">
        <v>1233</v>
      </c>
      <c r="AQ40" s="929"/>
    </row>
    <row r="41" spans="29:43" ht="20.100000000000001" customHeight="1">
      <c r="AF41" s="954" t="s">
        <v>2335</v>
      </c>
      <c r="AG41" s="943">
        <f>AG40*HELPER!$AK$2</f>
        <v>0.73343810312889013</v>
      </c>
      <c r="AH41" s="955" t="s">
        <v>1243</v>
      </c>
      <c r="AI41" s="929"/>
      <c r="AJ41" s="954" t="s">
        <v>2335</v>
      </c>
      <c r="AK41" s="943">
        <f>AK40*HELPER!$AK$2</f>
        <v>1.2709968069870508</v>
      </c>
      <c r="AL41" s="955" t="s">
        <v>1243</v>
      </c>
      <c r="AM41" s="929"/>
      <c r="AN41" s="954" t="s">
        <v>2335</v>
      </c>
      <c r="AO41" s="943">
        <f>AO40*HELPER!$AK$2</f>
        <v>1.3164107003519772</v>
      </c>
      <c r="AP41" s="955" t="s">
        <v>1243</v>
      </c>
      <c r="AQ41" s="929"/>
    </row>
    <row r="42" spans="29:43" ht="20.100000000000001" customHeight="1">
      <c r="AC42">
        <v>0.74385203157088253</v>
      </c>
      <c r="AF42" s="967" t="s">
        <v>2315</v>
      </c>
      <c r="AG42" s="968">
        <f>IF(AG40=0,0,AG40/(1-AH26))</f>
        <v>0.74385203157088253</v>
      </c>
      <c r="AH42" s="969" t="s">
        <v>1233</v>
      </c>
      <c r="AI42" s="929"/>
      <c r="AJ42" s="967" t="s">
        <v>2315</v>
      </c>
      <c r="AK42" s="968">
        <f>IF(AK40=0,0,AK40/(1-AL26))</f>
        <v>1.565267003678634</v>
      </c>
      <c r="AL42" s="969" t="s">
        <v>1233</v>
      </c>
      <c r="AM42" s="929"/>
      <c r="AN42" s="967" t="s">
        <v>2315</v>
      </c>
      <c r="AO42" s="968">
        <f>IF(AO40=0,0,AO40/(1-AP26))</f>
        <v>1.6211954437832232</v>
      </c>
      <c r="AP42" s="969" t="s">
        <v>1233</v>
      </c>
      <c r="AQ42" s="929"/>
    </row>
    <row r="43" spans="29:43" ht="20.100000000000001" customHeight="1">
      <c r="AC43">
        <v>0.86286835662222372</v>
      </c>
      <c r="AF43" s="967" t="s">
        <v>2316</v>
      </c>
      <c r="AG43" s="968">
        <f>AG42*HELPER!$AK$2</f>
        <v>0.86286835662222372</v>
      </c>
      <c r="AH43" s="969" t="s">
        <v>1243</v>
      </c>
      <c r="AI43" s="929"/>
      <c r="AJ43" s="967" t="s">
        <v>2316</v>
      </c>
      <c r="AK43" s="968">
        <f>AK42*HELPER!$AK$2</f>
        <v>1.8157097242672153</v>
      </c>
      <c r="AL43" s="969" t="s">
        <v>1243</v>
      </c>
      <c r="AM43" s="929"/>
      <c r="AN43" s="967" t="s">
        <v>2316</v>
      </c>
      <c r="AO43" s="968">
        <f>AO42*HELPER!$AK$2</f>
        <v>1.8805867147885389</v>
      </c>
      <c r="AP43" s="969" t="s">
        <v>1243</v>
      </c>
      <c r="AQ43" s="929"/>
    </row>
    <row r="44" spans="29:43" ht="20.100000000000001" customHeight="1">
      <c r="AF44" s="1049" t="s">
        <v>2317</v>
      </c>
      <c r="AG44" s="1050"/>
      <c r="AH44" s="1051"/>
      <c r="AI44" s="929"/>
      <c r="AJ44" s="1049" t="s">
        <v>2317</v>
      </c>
      <c r="AK44" s="1050"/>
      <c r="AL44" s="1051"/>
      <c r="AM44" s="929"/>
      <c r="AN44" s="1049" t="s">
        <v>2317</v>
      </c>
      <c r="AO44" s="1050"/>
      <c r="AP44" s="1051"/>
      <c r="AQ44" s="929"/>
    </row>
    <row r="45" spans="29:43" ht="20.100000000000001" customHeight="1">
      <c r="AF45" s="970" t="s">
        <v>2318</v>
      </c>
      <c r="AG45" s="971">
        <f>AG33*AG42</f>
        <v>14877.040631417651</v>
      </c>
      <c r="AH45" s="972" t="s">
        <v>1244</v>
      </c>
      <c r="AI45" s="930"/>
      <c r="AJ45" s="970" t="s">
        <v>2318</v>
      </c>
      <c r="AK45" s="971">
        <f>AK33*AK42</f>
        <v>18783.204044143607</v>
      </c>
      <c r="AL45" s="972" t="s">
        <v>1244</v>
      </c>
      <c r="AM45" s="930"/>
      <c r="AN45" s="970" t="s">
        <v>2318</v>
      </c>
      <c r="AO45" s="971">
        <f>AO33*AO42</f>
        <v>19454.345325398677</v>
      </c>
      <c r="AP45" s="972" t="s">
        <v>1244</v>
      </c>
      <c r="AQ45" s="929"/>
    </row>
    <row r="46" spans="29:43" ht="15.75" thickBot="1">
      <c r="AF46" s="973" t="s">
        <v>2319</v>
      </c>
      <c r="AG46" s="975">
        <f>AG33*AG43</f>
        <v>17257.367132444473</v>
      </c>
      <c r="AH46" s="974" t="s">
        <v>145</v>
      </c>
      <c r="AJ46" s="973" t="s">
        <v>2319</v>
      </c>
      <c r="AK46" s="975">
        <f>AK33*AK43</f>
        <v>21788.516691206583</v>
      </c>
      <c r="AL46" s="974" t="s">
        <v>145</v>
      </c>
      <c r="AN46" s="973" t="s">
        <v>2319</v>
      </c>
      <c r="AO46" s="975">
        <f>AO33*AO43</f>
        <v>22567.040577462467</v>
      </c>
      <c r="AP46" s="974" t="s">
        <v>145</v>
      </c>
    </row>
    <row r="47" spans="29:43" ht="24" customHeight="1"/>
    <row r="48" spans="29:43" ht="20.100000000000001" customHeight="1">
      <c r="AF48" s="1048" t="s">
        <v>2327</v>
      </c>
      <c r="AG48" s="1048"/>
      <c r="AH48" s="1048"/>
      <c r="AJ48" s="1048" t="s">
        <v>2327</v>
      </c>
      <c r="AK48" s="1048"/>
      <c r="AL48" s="1048"/>
      <c r="AN48" s="1048" t="s">
        <v>2327</v>
      </c>
      <c r="AO48" s="1048"/>
      <c r="AP48" s="1048"/>
    </row>
    <row r="49" spans="32:42" ht="20.100000000000001" customHeight="1">
      <c r="AF49" s="960" t="s">
        <v>2328</v>
      </c>
      <c r="AG49" s="961"/>
      <c r="AH49" s="962" t="s">
        <v>1233</v>
      </c>
      <c r="AJ49" s="960" t="s">
        <v>2328</v>
      </c>
      <c r="AK49" s="961"/>
      <c r="AL49" s="962" t="s">
        <v>1233</v>
      </c>
      <c r="AN49" s="960" t="s">
        <v>2328</v>
      </c>
      <c r="AO49" s="961"/>
      <c r="AP49" s="962" t="s">
        <v>1233</v>
      </c>
    </row>
    <row r="50" spans="32:42" ht="20.100000000000001" customHeight="1">
      <c r="AF50" s="960" t="s">
        <v>2329</v>
      </c>
      <c r="AG50" s="963">
        <v>0.87</v>
      </c>
      <c r="AH50" s="962" t="s">
        <v>1243</v>
      </c>
      <c r="AJ50" s="960" t="s">
        <v>2329</v>
      </c>
      <c r="AK50" s="963"/>
      <c r="AL50" s="962" t="s">
        <v>1243</v>
      </c>
      <c r="AN50" s="960" t="s">
        <v>2329</v>
      </c>
      <c r="AO50" s="963"/>
      <c r="AP50" s="962" t="s">
        <v>1243</v>
      </c>
    </row>
    <row r="51" spans="32:42" ht="20.100000000000001" customHeight="1">
      <c r="AF51" s="960" t="s">
        <v>2330</v>
      </c>
      <c r="AG51" s="964" t="str">
        <f>IF(AG49="","",AG49-AG42)</f>
        <v/>
      </c>
      <c r="AH51" s="962" t="s">
        <v>1233</v>
      </c>
      <c r="AJ51" s="960" t="s">
        <v>2330</v>
      </c>
      <c r="AK51" s="964" t="str">
        <f>IF(AK49="","",AK49-AK42)</f>
        <v/>
      </c>
      <c r="AL51" s="962" t="s">
        <v>1233</v>
      </c>
      <c r="AN51" s="960" t="s">
        <v>2330</v>
      </c>
      <c r="AO51" s="964" t="str">
        <f>IF(AO49="","",AO49-AO42)</f>
        <v/>
      </c>
      <c r="AP51" s="962" t="s">
        <v>1233</v>
      </c>
    </row>
    <row r="52" spans="32:42" ht="20.100000000000001" customHeight="1">
      <c r="AF52" s="960" t="s">
        <v>2331</v>
      </c>
      <c r="AG52" s="965">
        <f>IF(AG50="","",AG50-AG43)</f>
        <v>7.1316433777762755E-3</v>
      </c>
      <c r="AH52" s="962" t="s">
        <v>1243</v>
      </c>
      <c r="AJ52" s="960" t="s">
        <v>2331</v>
      </c>
      <c r="AK52" s="965" t="str">
        <f>IF(AK50="","",AK50-AK43)</f>
        <v/>
      </c>
      <c r="AL52" s="962" t="s">
        <v>1243</v>
      </c>
      <c r="AN52" s="960" t="s">
        <v>2331</v>
      </c>
      <c r="AO52" s="965" t="str">
        <f>IF(AO50="","",AO50-AO43)</f>
        <v/>
      </c>
      <c r="AP52" s="962" t="s">
        <v>1243</v>
      </c>
    </row>
    <row r="53" spans="32:42" ht="20.100000000000001" customHeight="1">
      <c r="AF53" s="960" t="s">
        <v>2334</v>
      </c>
      <c r="AG53" s="966">
        <f>IF(AG49&lt;&gt;"",IFERROR((AG49-AG40)/AG49,""),IF(AG50&lt;&gt;"",IFERROR((AG50-(AG40*HELPER!$AK$2))/AG50,""),""))</f>
        <v>0.15696769755299986</v>
      </c>
      <c r="AH53" s="962" t="s">
        <v>1152</v>
      </c>
      <c r="AJ53" s="960" t="s">
        <v>2334</v>
      </c>
      <c r="AK53" s="966" t="str">
        <f>IF(AK49&lt;&gt;"",IFERROR((AK49-AK40)/AK49,""),IF(AK50&lt;&gt;"",IFERROR((AK50-(AK40*HELPER!$AK$2))/AK50,""),""))</f>
        <v/>
      </c>
      <c r="AL53" s="962" t="s">
        <v>1152</v>
      </c>
      <c r="AN53" s="960" t="s">
        <v>2334</v>
      </c>
      <c r="AO53" s="966" t="str">
        <f>IF(AO49&lt;&gt;"",IFERROR((AO49-AO40)/AO49,""),IF(AO50&lt;&gt;"",IFERROR((AO50-(AO40*HELPER!$AK$2))/AO50,""),""))</f>
        <v/>
      </c>
      <c r="AP53" s="962" t="s">
        <v>1152</v>
      </c>
    </row>
    <row r="54" spans="32:42">
      <c r="AF54" s="960" t="s">
        <v>2332</v>
      </c>
      <c r="AG54" s="966">
        <f>IF(AG53="","",AG53-AH26)</f>
        <v>6.967697552999863E-3</v>
      </c>
      <c r="AH54" s="962" t="s">
        <v>2333</v>
      </c>
      <c r="AJ54" s="960" t="s">
        <v>2332</v>
      </c>
      <c r="AK54" s="966" t="str">
        <f>IF(AK53="","",AK53-AL26)</f>
        <v/>
      </c>
      <c r="AL54" s="962" t="s">
        <v>2333</v>
      </c>
      <c r="AN54" s="960" t="s">
        <v>2332</v>
      </c>
      <c r="AO54" s="966" t="str">
        <f>IF(AO53="","",AO53-AP26)</f>
        <v/>
      </c>
      <c r="AP54" s="962" t="s">
        <v>2333</v>
      </c>
    </row>
  </sheetData>
  <mergeCells count="18">
    <mergeCell ref="AJ27:AL27"/>
    <mergeCell ref="AN27:AP27"/>
    <mergeCell ref="AF2:AH2"/>
    <mergeCell ref="AJ2:AL2"/>
    <mergeCell ref="AN2:AP2"/>
    <mergeCell ref="AF16:AH16"/>
    <mergeCell ref="AJ16:AL16"/>
    <mergeCell ref="AN16:AP16"/>
    <mergeCell ref="AF15:AH15"/>
    <mergeCell ref="AJ15:AL15"/>
    <mergeCell ref="AN15:AP15"/>
    <mergeCell ref="AF27:AH27"/>
    <mergeCell ref="AF48:AH48"/>
    <mergeCell ref="AJ48:AL48"/>
    <mergeCell ref="AN48:AP48"/>
    <mergeCell ref="AF44:AH44"/>
    <mergeCell ref="AJ44:AL44"/>
    <mergeCell ref="AN44:AP44"/>
  </mergeCells>
  <conditionalFormatting sqref="S2:T2">
    <cfRule type="containsText" dxfId="40" priority="2" operator="containsText" text="Error! please choose width not higher than 1220">
      <formula>NOT(ISERROR(SEARCH("Error! please choose width not higher than 1220",S2)))</formula>
    </cfRule>
  </conditionalFormatting>
  <conditionalFormatting sqref="U2">
    <cfRule type="containsText" dxfId="39" priority="1" operator="containsText" text="Error! please choose width not higher than 1220">
      <formula>NOT(ISERROR(SEARCH("Error! please choose width not higher than 1220",U2)))</formula>
    </cfRule>
  </conditionalFormatting>
  <dataValidations count="10">
    <dataValidation type="list" allowBlank="1" showInputMessage="1" showErrorMessage="1" sqref="AG32 AK32 AO32" xr:uid="{938F8EF5-E088-4C66-9B69-8E747C5BF305}">
      <formula1>ShippingRoutes</formula1>
    </dataValidation>
    <dataValidation type="list" allowBlank="1" showInputMessage="1" showErrorMessage="1" sqref="AG28 AK28 AO28" xr:uid="{013920D0-C297-4972-B0E5-55723C74258D}">
      <formula1>BagNamesDropdown</formula1>
    </dataValidation>
    <dataValidation type="list" allowBlank="1" showInputMessage="1" showErrorMessage="1" sqref="AG29 AK29 AO29" xr:uid="{617F9E49-378C-4608-BB10-F03FDB1D954F}">
      <formula1>FilmNamesDropdown</formula1>
    </dataValidation>
    <dataValidation type="list" allowBlank="1" showInputMessage="1" showErrorMessage="1" sqref="AG36 AK36 AO36" xr:uid="{1978FA59-CAF3-4277-A9A2-7AC352C1DFEF}">
      <formula1>ThicknessDropdown</formula1>
    </dataValidation>
    <dataValidation type="list" allowBlank="1" showInputMessage="1" showErrorMessage="1" sqref="AG37 AK37 AO37" xr:uid="{0CCE689F-86A6-4480-95A6-AC9831744941}">
      <formula1>ColorBandsDropdown</formula1>
    </dataValidation>
    <dataValidation type="list" allowBlank="1" showInputMessage="1" showErrorMessage="1" sqref="AG38 AK38 AO38" xr:uid="{1A6524BC-C9EF-4F3A-A951-2CBB0BA73767}">
      <formula1>ConverterDropdown</formula1>
    </dataValidation>
    <dataValidation type="list" allowBlank="1" showInputMessage="1" showErrorMessage="1" sqref="AG30 AK30 AO30" xr:uid="{891D8476-8723-4479-81B1-BAB390006F54}">
      <formula1>"Cast,Blown"</formula1>
    </dataValidation>
    <dataValidation type="list" allowBlank="1" showInputMessage="1" showErrorMessage="1" sqref="AG31 AK31 AO31" xr:uid="{11B966D4-4B2D-4E1A-A2DB-077B229A37EE}">
      <formula1>"1,2,3,4,5,6,7,8"</formula1>
    </dataValidation>
    <dataValidation type="decimal" allowBlank="1" showInputMessage="1" showErrorMessage="1" sqref="AH26 AL26 AP26" xr:uid="{F996CCD0-5BB2-4758-97D4-9C477A98F09E}">
      <formula1>0</formula1>
      <formula2>0.95</formula2>
    </dataValidation>
    <dataValidation type="decimal" operator="greaterThan" allowBlank="1" showInputMessage="1" showErrorMessage="1" sqref="AG49:AG50 AK49:AK50 AO49:AO50" xr:uid="{20907232-A5AB-4F2C-989E-0A168C00EF64}">
      <formula1>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59F87A29-31EC-4C6B-923A-0A9A4D5450FB}">
          <x14:formula1>
            <xm:f>BOM!$Q$2:$Q$4</xm:f>
          </x14:formula1>
          <xm:sqref>A23:A25</xm:sqref>
        </x14:dataValidation>
        <x14:dataValidation type="list" allowBlank="1" showInputMessage="1" showErrorMessage="1" xr:uid="{1D1ACAAF-D105-4780-9AFE-D46D68481551}">
          <x14:formula1>
            <xm:f>HELPER!$O$2:$O$12</xm:f>
          </x14:formula1>
          <xm:sqref>J23:J25</xm:sqref>
        </x14:dataValidation>
        <x14:dataValidation type="list" allowBlank="1" showInputMessage="1" showErrorMessage="1" xr:uid="{B7BF137E-49BC-4177-A4F6-6E9BB50CE88C}">
          <x14:formula1>
            <xm:f>HELPER!$K$1:$K$12</xm:f>
          </x14:formula1>
          <xm:sqref>D23:D25</xm:sqref>
        </x14:dataValidation>
        <x14:dataValidation type="list" allowBlank="1" showInputMessage="1" showErrorMessage="1" xr:uid="{AFA3ED16-C8D2-4AAB-B855-B0EB75C28A68}">
          <x14:formula1>
            <xm:f>HELPER!$I$1:$I$12</xm:f>
          </x14:formula1>
          <xm:sqref>C23:C25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646E-31A2-4F37-9EA6-0B37A52997B3}">
  <sheetPr>
    <tabColor rgb="FFFFFF00"/>
    <pageSetUpPr autoPageBreaks="0"/>
  </sheetPr>
  <dimension ref="A1:AW178"/>
  <sheetViews>
    <sheetView topLeftCell="AF1" zoomScaleNormal="100" zoomScaleSheetLayoutView="85" workbookViewId="0">
      <selection activeCell="AL26" sqref="AL26"/>
    </sheetView>
  </sheetViews>
  <sheetFormatPr defaultRowHeight="15" outlineLevelRow="1" outlineLevelCol="2"/>
  <cols>
    <col min="1" max="1" width="17.140625" style="74" hidden="1" customWidth="1" outlineLevel="2"/>
    <col min="2" max="2" width="17.140625" hidden="1" customWidth="1" outlineLevel="2"/>
    <col min="3" max="3" width="27.140625" hidden="1" customWidth="1" outlineLevel="2"/>
    <col min="4" max="4" width="18.140625" hidden="1" customWidth="1" outlineLevel="2"/>
    <col min="5" max="5" width="17.28515625" hidden="1" customWidth="1" outlineLevel="2"/>
    <col min="6" max="6" width="19.5703125" hidden="1" customWidth="1" outlineLevel="2"/>
    <col min="7" max="7" width="29.7109375" hidden="1" customWidth="1" outlineLevel="2"/>
    <col min="8" max="9" width="17.140625" hidden="1" customWidth="1" outlineLevel="2"/>
    <col min="10" max="10" width="24.5703125" hidden="1" customWidth="1" outlineLevel="2"/>
    <col min="11" max="11" width="13.42578125" hidden="1" customWidth="1" outlineLevel="2"/>
    <col min="12" max="13" width="13.140625" hidden="1" customWidth="1" outlineLevel="2"/>
    <col min="14" max="14" width="17.42578125" hidden="1" customWidth="1" outlineLevel="2"/>
    <col min="15" max="15" width="20.5703125" hidden="1" customWidth="1" outlineLevel="2"/>
    <col min="16" max="16" width="15.140625" hidden="1" customWidth="1" outlineLevel="2"/>
    <col min="17" max="17" width="17.140625" hidden="1" customWidth="1" outlineLevel="2"/>
    <col min="18" max="19" width="24" style="119" hidden="1" customWidth="1" outlineLevel="2"/>
    <col min="20" max="20" width="14.5703125" style="119" hidden="1" customWidth="1" outlineLevel="2"/>
    <col min="21" max="21" width="24" style="119" hidden="1" customWidth="1" outlineLevel="2"/>
    <col min="22" max="23" width="14.5703125" hidden="1" customWidth="1" outlineLevel="2"/>
    <col min="24" max="24" width="8.85546875" hidden="1" customWidth="1" outlineLevel="2"/>
    <col min="25" max="25" width="15.42578125" hidden="1" customWidth="1" outlineLevel="2"/>
    <col min="26" max="26" width="21.42578125" hidden="1" customWidth="1" outlineLevel="2"/>
    <col min="27" max="27" width="15.42578125" style="595" hidden="1" customWidth="1" outlineLevel="2"/>
    <col min="28" max="28" width="11.85546875" style="95" hidden="1" customWidth="1" outlineLevel="2"/>
    <col min="29" max="29" width="11.28515625" style="624" hidden="1" customWidth="1" outlineLevel="2"/>
    <col min="30" max="30" width="11.28515625" style="95" customWidth="1" collapsed="1"/>
    <col min="31" max="31" width="12.7109375" style="95" customWidth="1"/>
    <col min="32" max="32" width="16.42578125" style="95" customWidth="1"/>
    <col min="33" max="33" width="31" bestFit="1" customWidth="1"/>
    <col min="34" max="34" width="25.85546875" bestFit="1" customWidth="1"/>
    <col min="35" max="35" width="24.140625" customWidth="1"/>
    <col min="36" max="36" width="14.5703125" customWidth="1"/>
    <col min="37" max="37" width="35.140625" customWidth="1"/>
    <col min="38" max="38" width="17.85546875" bestFit="1" customWidth="1"/>
    <col min="39" max="39" width="15.42578125" bestFit="1" customWidth="1"/>
    <col min="40" max="40" width="3.85546875" customWidth="1"/>
    <col min="41" max="41" width="23.5703125" customWidth="1"/>
    <col min="42" max="42" width="17.85546875" customWidth="1"/>
    <col min="43" max="43" width="15.42578125" bestFit="1" customWidth="1"/>
    <col min="45" max="45" width="19.5703125" bestFit="1" customWidth="1"/>
    <col min="46" max="46" width="4.140625" bestFit="1" customWidth="1"/>
    <col min="47" max="48" width="12.28515625" bestFit="1" customWidth="1"/>
    <col min="49" max="49" width="2.7109375" style="653" customWidth="1"/>
    <col min="51" max="51" width="4.140625" bestFit="1" customWidth="1"/>
    <col min="52" max="53" width="12.28515625" bestFit="1" customWidth="1"/>
  </cols>
  <sheetData>
    <row r="1" spans="1:48" ht="15.75" thickBot="1">
      <c r="A1" s="241" t="s">
        <v>848</v>
      </c>
      <c r="B1" s="241" t="s">
        <v>848</v>
      </c>
      <c r="C1" s="241" t="s">
        <v>590</v>
      </c>
      <c r="D1" s="499"/>
      <c r="E1" s="500"/>
      <c r="F1" s="241" t="s">
        <v>848</v>
      </c>
      <c r="G1" s="241" t="s">
        <v>125</v>
      </c>
      <c r="H1" s="241" t="s">
        <v>848</v>
      </c>
      <c r="I1" s="241" t="s">
        <v>848</v>
      </c>
      <c r="J1" s="241" t="s">
        <v>849</v>
      </c>
      <c r="K1" s="242" t="s">
        <v>125</v>
      </c>
      <c r="L1" s="241" t="s">
        <v>125</v>
      </c>
      <c r="M1" s="241" t="s">
        <v>125</v>
      </c>
      <c r="N1" s="242" t="s">
        <v>125</v>
      </c>
      <c r="O1" s="241" t="s">
        <v>848</v>
      </c>
      <c r="P1" s="241" t="s">
        <v>125</v>
      </c>
      <c r="Q1" s="241" t="s">
        <v>848</v>
      </c>
      <c r="R1" s="243" t="s">
        <v>850</v>
      </c>
      <c r="S1" s="243" t="s">
        <v>850</v>
      </c>
      <c r="T1" s="240" t="s">
        <v>125</v>
      </c>
      <c r="U1" s="243" t="s">
        <v>850</v>
      </c>
      <c r="V1" s="243" t="s">
        <v>125</v>
      </c>
      <c r="W1" s="243" t="s">
        <v>125</v>
      </c>
      <c r="X1" s="241"/>
      <c r="Y1" s="241" t="s">
        <v>125</v>
      </c>
      <c r="Z1" s="206" t="s">
        <v>838</v>
      </c>
      <c r="AA1" s="621" t="s">
        <v>848</v>
      </c>
      <c r="AB1" s="622" t="s">
        <v>125</v>
      </c>
      <c r="AC1" s="623" t="s">
        <v>125</v>
      </c>
      <c r="AG1" s="655" t="s">
        <v>851</v>
      </c>
      <c r="AH1" s="656">
        <v>0.15</v>
      </c>
      <c r="AI1" s="594"/>
      <c r="AK1" s="655" t="s">
        <v>851</v>
      </c>
      <c r="AL1" s="656">
        <v>0.15</v>
      </c>
      <c r="AM1" s="594"/>
      <c r="AO1" s="655" t="s">
        <v>851</v>
      </c>
      <c r="AP1" s="656">
        <v>0.15</v>
      </c>
      <c r="AQ1" s="594"/>
    </row>
    <row r="2" spans="1:48" ht="18.95" customHeight="1" thickBot="1">
      <c r="A2" s="72" t="s">
        <v>205</v>
      </c>
      <c r="B2" s="72" t="s">
        <v>158</v>
      </c>
      <c r="C2" s="70" t="s">
        <v>159</v>
      </c>
      <c r="D2" s="72" t="s">
        <v>856</v>
      </c>
      <c r="E2" s="72" t="s">
        <v>1012</v>
      </c>
      <c r="F2" s="72" t="s">
        <v>217</v>
      </c>
      <c r="G2" s="72" t="s">
        <v>161</v>
      </c>
      <c r="H2" s="70" t="s">
        <v>162</v>
      </c>
      <c r="I2" s="72" t="s">
        <v>585</v>
      </c>
      <c r="J2" s="501" t="s">
        <v>1013</v>
      </c>
      <c r="K2" s="70" t="s">
        <v>4</v>
      </c>
      <c r="L2" s="70" t="s">
        <v>57</v>
      </c>
      <c r="M2" s="72" t="s">
        <v>165</v>
      </c>
      <c r="N2" s="70" t="s">
        <v>166</v>
      </c>
      <c r="O2" s="72" t="s">
        <v>128</v>
      </c>
      <c r="P2" s="72" t="s">
        <v>113</v>
      </c>
      <c r="Q2" s="96" t="s">
        <v>222</v>
      </c>
      <c r="R2" s="117" t="s">
        <v>269</v>
      </c>
      <c r="S2" s="117" t="s">
        <v>271</v>
      </c>
      <c r="T2" s="117" t="s">
        <v>847</v>
      </c>
      <c r="U2" s="118" t="s">
        <v>800</v>
      </c>
      <c r="V2" s="118" t="s">
        <v>594</v>
      </c>
      <c r="W2" s="118" t="s">
        <v>595</v>
      </c>
      <c r="X2" s="70" t="s">
        <v>167</v>
      </c>
      <c r="Y2" s="207" t="s">
        <v>839</v>
      </c>
      <c r="Z2" s="118" t="s">
        <v>750</v>
      </c>
      <c r="AA2" s="621" t="s">
        <v>1147</v>
      </c>
      <c r="AB2" s="622" t="s">
        <v>1148</v>
      </c>
      <c r="AC2" s="623" t="s">
        <v>1149</v>
      </c>
      <c r="AG2" s="1085" t="str">
        <f>"📊 LAMINATE CALCULATOR 1-"&amp;AH3&amp;" Laminate"</f>
        <v>📊 LAMINATE CALCULATOR 1-428 Laminate</v>
      </c>
      <c r="AH2" s="1086"/>
      <c r="AI2" s="1087"/>
      <c r="AK2" s="1085" t="str">
        <f>"📊 LAMINATE CALCULATOR 2-"&amp;AL3&amp;" Laminate"</f>
        <v>📊 LAMINATE CALCULATOR 2-428 Laminate</v>
      </c>
      <c r="AL2" s="1086"/>
      <c r="AM2" s="1087"/>
      <c r="AO2" s="1085" t="str">
        <f>"📊 LAMINATE CALCULATOR 3-"&amp;AP3&amp;" Laminate"</f>
        <v>📊 LAMINATE CALCULATOR 3-428 Laminate</v>
      </c>
      <c r="AP2" s="1086"/>
      <c r="AQ2" s="1087"/>
    </row>
    <row r="3" spans="1:48" ht="15.75">
      <c r="A3" s="1081">
        <f>IF(AH13="By Length",IF(AH14&lt;&gt;"",IFERROR(AH14*$M$8*($D3/$J3),""),""),IF(OR(AH13="By Imp",AH13="IMP"),IFERROR(AH41*$M$8*($D3/$J3),""),IF(AH6="","",AH6)))</f>
        <v>503.51512780800005</v>
      </c>
      <c r="B3" s="1077">
        <f>AH3</f>
        <v>428</v>
      </c>
      <c r="C3" t="str" cm="1">
        <f t="array" ref="C3:C6">IFERROR(_xlfn.LET(_xlpm.lam,TEXT(B3,"0"),_xlpm.thick,AH4,_xlfn.TAKE(_xlfn._xlws.FILTER(HELPER!$BW$2:$BW$250,(TEXT(HELPER!$BZ$2:$BZ$250,"0")=_xlpm.lam)*(HELPER!$CC$2:$CC$250=_xlpm.thick)*(HELPER!$BW$2:$BW$250&lt;&gt;""),"No match"),6)),"")</f>
        <v>NK</v>
      </c>
      <c r="D3" s="1077">
        <f>AH5</f>
        <v>352</v>
      </c>
      <c r="E3" s="1082">
        <f>IF(D3="","",_xlfn.LET(_xlpm.cap,IF($Q3="Quantum",760,1220),IF(D3+50&gt;_xlpm.cap,"ERROR: Lamination Width &gt; "&amp;_xlpm.cap,D3*MAX(1,MIN(MAX(2,INT(900/D3)),INT((_xlpm.cap-50)/D3))))))</f>
        <v>704</v>
      </c>
      <c r="F3" s="1077"/>
      <c r="G3" s="1083">
        <f>IF(OR(AH13="IMP",AH13="By Imp",AH13="By Length"),IFERROR(AH16,""),IFERROR(IF(OR(A3="",A3=0,$D3="",$D3=0,$J3="",$M$8="",$M$8=0,A3&lt;=5),"",(A3-5)/$M$8*($J3/$D3)),""))</f>
        <v>13939.2</v>
      </c>
      <c r="H3" s="1077" t="str">
        <f>AH7</f>
        <v>Printed</v>
      </c>
      <c r="I3" s="1084" t="str">
        <f>IF(H3="Not Printed",0,AH8)</f>
        <v>3-4</v>
      </c>
      <c r="J3" s="502">
        <f>IF(C3="","",$E$3+16)</f>
        <v>720</v>
      </c>
      <c r="K3" cm="1">
        <f t="array" ref="K3">_xlfn.LET(_xlpm.baseThick,IFERROR(INDEX(HELPER!$BX$2:$BX$250,MATCH(1,(TEXT(HELPER!$BZ$2:$BZ$250,"0")=TEXT($B$3,"0"))*(HELPER!$CC$2:$CC$250=$AH$4)*(HELPER!$BW$2:$BW$250=C3),0)),""),IF(_xlpm.baseThick="","",_xlpm.baseThick))</f>
        <v>23</v>
      </c>
      <c r="L3">
        <f>IFERROR(VLOOKUP(C3,HELPER!$AP$1:$AQ$25,2,FALSE),"")</f>
        <v>1.44</v>
      </c>
      <c r="M3" s="248">
        <f>IF(C3="","",IF(ISNUMBER(SEARCH("paper",C3)),42/1000*(J3/1000),IF(OR(L3="",L3=0),"",L3*1000*(K3/1000000)*(J3/1000))))</f>
        <v>2.3846399999999997E-2</v>
      </c>
      <c r="N3" s="203" cm="1">
        <f t="array" ref="N3">IF($C3="","",_xlfn.LET(
    _xlpm.mat,TRIM($C3),
    _xlpm.matKey,UPPER(SUBSTITUTE(_xlpm.mat," ","")),
    _xlpm.pr,IFERROR(LOOKUP(2,1/($H$3:H3&lt;&gt;""),$H$3:H3),""),
    _xlpm.widthActual,IFERROR(LOOKUP(2,1/($E$3:E3&lt;&gt;""),$E$3:E3),$E3),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3" s="1077" t="str">
        <f>AH11</f>
        <v>EXW</v>
      </c>
      <c r="P3" s="73">
        <f>IF(OR(C3="",A$3&lt;=0),"",IFERROR(IF(O$3="Europe to US",IF(A$3&lt;500,10,IF(A$3&lt;1000,8,IF(A$3&lt;2500,6,IF(A$3&lt;5000,5,4)))),VLOOKUP(O$3,HELPER!$AF$2:$AH$3,3,FALSE)),0))</f>
        <v>0.2</v>
      </c>
      <c r="Q3" s="1077" t="str">
        <f>AH12</f>
        <v>Marma</v>
      </c>
      <c r="R3" s="1088" cm="1">
        <f t="array" ref="R3">IF(OR($Q3="",$G3=""),"",IF($J3&gt;IF($Q3="Quantum",760,1220),"Error! lamination width exceeds supplier maximum",_xlfn.LET(_xlpm.struct,$C$3:$C$8,_xlpm.realLayers,SUMPRODUCT(--(_xlpm.struct&lt;&gt;""),--ISERROR(SEARCH("EPOTAL",_xlpm.struct&amp;"")),--ISERROR(SEARCH("BASONAT",_xlpm.struct&amp;"")),--ISERROR(SEARCH("ADH",_xlpm.struct&amp;"")),--ISERROR(SEARCH("HARDENER",_xlpm.struct&amp;""))),_xlpm.lamSteps,MAX(0,_xlpm.realLayers-1),_xlpm.len,$G3,_xlpm.colNum,IF(_xlpm.len&lt;3000,1,IF(_xlpm.len&lt;10000,2,IF(_xlpm.len&lt;25000,3,IF(_xlpm.len&lt;50000,4,IF(_xlpm.len&lt;100000,5,IF(_xlpm.len&lt;250000,6,7)))))),_xlpm.widthRow,IF($E3&lt;900,0,5),_xlpm.supplierRow,IF($Q3="Marma",3,IF(OR($Q3="Bastin",$Q3="Quantum"),13,0)),_xlpm.baseRate,IF(_xlpm.supplierRow=0,"",INDEX('Lmntn &amp; Prntng- Marma &amp; Bastin '!$D$1:$K$22,_xlpm.supplierRow+_xlpm.widthRow,_xlpm.colNum)),IF(_xlpm.realLayers=0,"",_xlpm.baseRate*_xlpm.lamSteps))))</f>
        <v>0.18306</v>
      </c>
      <c r="S3" s="1074" cm="1">
        <f t="array" ref="S3">IF($Q3="Quantum",IF(OR($Q3="",$I3=0,$I3="0"),"",IF($J3&gt;IF($Q3="Quantum",760,1220),"Error! lamination width exceeds supplier maximum",IF($E3&gt;1200,"Data is missing",_xlfn.LET(_xlpm.len,$G3,_xlpm.colors,$I3,_xlpm.qWidth,IF($E3&lt;=450,450,IF($E3&lt;=760,760,1200)),_xlpm.band,IF(_xlpm.colors=1,"1",IF(OR(_xlpm.colors=2,_xlpm.colors=3),"2-3",IF(OR(_xlpm.colors=4,_xlpm.colors=5),"4-5","6-8"))),_xlpm.widths,'Digital_per_meter-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3="",$I3=0,$I3="0"),"",IF($J3&gt;IF($Q3="Quantum",760,1220),"Error! lamination width exceeds supplier maximum",_xlfn.LET(_xlpm.len,$AH$22,_xlpm.colors,$I3,_xlpm.colNum,IF(_xlpm.len&lt;3000,1,IF(_xlpm.len&lt;10000,2,IF(_xlpm.len&lt;25000,3,IF(_xlpm.len&lt;50000,4,IF(_xlpm.len&lt;100000,5,IF(_xlpm.len&lt;250000,6,IF(_xlpm.len&lt;500000,7,8))))))),_xlpm.widthRow,IF($E3&lt;900,0,5),_xlpm.colorOffset,IF(OR(_xlpm.colors=1,_xlpm.colors=2,_xlpm.colors="1-2"),1,IF(OR(_xlpm.colors=3,_xlpm.colors=4,_xlpm.colors="3-4"),2,IF(OR(_xlpm.colors&gt;=5,_xlpm.colors="5-6",_xlpm.colors="5-8"),3,0))),_xlpm.supplierRow,IF($Q3="Marma",3,IF($Q3="Bastin",13,0)),IF(OR(_xlpm.supplierRow=0,_xlpm.colorOffset=0),"",INDEX('Lmntn &amp; Prntng- Marma &amp; Bastin '!$D$1:$K$22,_xlpm.supplierRow+_xlpm.widthRow+_xlpm.colorOffset,_xlpm.colNum))))))</f>
        <v>0.17702000000000001</v>
      </c>
      <c r="T3" s="1075">
        <f>IF(OR($S3="",$K3=""),"",IFERROR($S3*(1/$M$8)*($J3/($D3*MAX(1,ROUNDDOWN(760/$D3,0)))),""))</f>
        <v>2.4502910118530852</v>
      </c>
      <c r="U3" s="1089" cm="1">
        <f t="array" ref="U3">IF($Q3="","",IF($J3&gt;IF($Q3="Quantum",760,1220),"Error! lamination width exceeds supplier maximum",_xlfn.LET(_xlpm.len,$G3,_xlpm.colNum,IF(_xlpm.len&lt;3000,1,IF(_xlpm.len&lt;10000,2,IF(_xlpm.len&lt;25000,3,IF(_xlpm.len&lt;50000,4,IF(_xlpm.len&lt;100000,5,IF(_xlpm.len&lt;250000,6,7)))))),_xlpm.widthRow,IF($E3&lt;900,0,5),_xlpm.supplierRow,IF($Q3="Marma",7,IF(OR($Q3="Bastin",$Q3="Quantum"),17,0)),IF(_xlpm.supplierRow=0,"",INDEX('Lmntn &amp; Prntng- Marma &amp; Bastin '!$D$1:$K$22,_xlpm.supplierRow+_xlpm.widthRow,_xlpm.colNum)))))</f>
        <v>2.5920000000000002E-2</v>
      </c>
      <c r="V3" s="1076">
        <f>IFERROR(IF(AH23="","",IF($K8&gt;31,(5%+250/$G$3)*AH23,VLOOKUP($K8,HELPER!$BH$3:$BI$5,2,TRUE)*AH23)),"")</f>
        <v>0.58016289910926222</v>
      </c>
      <c r="W3" s="1079">
        <f>IF(OR($H3&lt;&gt;"Printed",$I3=0,$I3="0"),0,IFERROR(AH23*0.028,0)+IFERROR(AH44,0))</f>
        <v>1.0650531928232772</v>
      </c>
      <c r="X3" s="205">
        <f t="shared" ref="X3:X19" si="0">IF($K3="","",IFERROR($M3*($N3+$P3),""))</f>
        <v>0.19434815999999999</v>
      </c>
      <c r="Y3" s="1080">
        <f>IFERROR((SUM(X3:X8)+SUM(R3:S3,U3))*(1/M8)*(J3/E3)+V3+W3,"")</f>
        <v>15.732696817103513</v>
      </c>
      <c r="Z3" s="247">
        <f>IF($M3="","",IFERROR(($N3+$P3)*$M3/$M$8,""))</f>
        <v>2.630364451374001</v>
      </c>
      <c r="AA3" s="595">
        <f>AH9</f>
        <v>1</v>
      </c>
      <c r="AB3" s="95">
        <f>IF(OR(AH13="IMP",AH13="By Imp"),IFERROR(AH14/AA3,""),"")</f>
        <v>52800</v>
      </c>
      <c r="AC3" s="624">
        <f>AH43</f>
        <v>0.33333333333333331</v>
      </c>
      <c r="AG3" s="514" t="s">
        <v>569</v>
      </c>
      <c r="AH3" s="174">
        <v>428</v>
      </c>
      <c r="AI3" s="515"/>
      <c r="AK3" s="514" t="s">
        <v>569</v>
      </c>
      <c r="AL3" s="174">
        <v>428</v>
      </c>
      <c r="AM3" s="515"/>
      <c r="AO3" s="514" t="s">
        <v>569</v>
      </c>
      <c r="AP3" s="174">
        <v>428</v>
      </c>
      <c r="AQ3" s="515"/>
    </row>
    <row r="4" spans="1:48" ht="15.75">
      <c r="A4" s="1081"/>
      <c r="B4" s="1077"/>
      <c r="C4" t="str">
        <v>TIPA 312 MET</v>
      </c>
      <c r="D4" s="1077"/>
      <c r="E4" s="1077"/>
      <c r="F4" s="1077"/>
      <c r="G4" s="1083"/>
      <c r="H4" s="1077"/>
      <c r="I4" s="1077"/>
      <c r="J4" s="502">
        <f t="shared" ref="J4:J8" si="1">IF(C4="","",$E$3+16)</f>
        <v>720</v>
      </c>
      <c r="K4" cm="1">
        <f t="array" ref="K4">_xlfn.LET(_xlpm.baseThick,IFERROR(INDEX(HELPER!$BX$2:$BX$250,MATCH(1,(TEXT(HELPER!$BZ$2:$BZ$250,"0")=TEXT($B$3,"0"))*(HELPER!$CC$2:$CC$250=$AH$4)*(HELPER!$BW$2:$BW$250=C4),0)),""),IF(_xlpm.baseThick="","",_xlpm.baseThick))</f>
        <v>25</v>
      </c>
      <c r="L4">
        <f>IFERROR(VLOOKUP(C4,HELPER!$AP$1:$AQ$25,2,FALSE),"")</f>
        <v>1.25</v>
      </c>
      <c r="M4" s="248">
        <f>IF(C4="","",IF(ISNUMBER(SEARCH("paper",C4)),42/1000*(J4/1000),IF(OR(L4="",L4=0),"",L4*1000*(K4/1000000)*(J4/1000))))</f>
        <v>2.2499999999999999E-2</v>
      </c>
      <c r="N4" s="498" cm="1">
        <f t="array" ref="N4">IF($C4="","",_xlfn.LET(
    _xlpm.mat,TRIM($C4),
    _xlpm.matKey,UPPER(SUBSTITUTE(_xlpm.mat," ","")),
    _xlpm.pr,IFERROR(LOOKUP(2,1/($H$3:H4&lt;&gt;""),$H$3:H4),""),
    _xlpm.widthActual,IFERROR(LOOKUP(2,1/($E$3:E4&lt;&gt;""),$E$3:E4),$E4),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4" s="1077"/>
      <c r="P4" s="73">
        <f>IF(OR(C4="",A$3&lt;=0),"",IFERROR(IF(O$3="Europe to US",IF(A$3&lt;500,10,IF(A$3&lt;1000,8,IF(A$3&lt;2500,6,IF(A$3&lt;5000,5,4)))),VLOOKUP(O$3,HELPER!$AF$2:$AH$3,3,FALSE)),0))</f>
        <v>0.2</v>
      </c>
      <c r="Q4" s="1077"/>
      <c r="R4" s="1088"/>
      <c r="S4" s="1074"/>
      <c r="T4" s="1075"/>
      <c r="U4" s="1089"/>
      <c r="V4" s="1090"/>
      <c r="W4" s="1079"/>
      <c r="X4" s="205">
        <f t="shared" si="0"/>
        <v>0.20597127974999999</v>
      </c>
      <c r="Y4" s="1080"/>
      <c r="Z4" s="246">
        <f>IF($M4="","",IFERROR(($N4+$P4)*$M4/$M$8,""))</f>
        <v>2.787675130335217</v>
      </c>
      <c r="AG4" s="514" t="s">
        <v>570</v>
      </c>
      <c r="AH4" s="592">
        <v>80</v>
      </c>
      <c r="AI4" s="515" t="s">
        <v>108</v>
      </c>
      <c r="AK4" s="514" t="s">
        <v>570</v>
      </c>
      <c r="AL4" s="592">
        <v>80</v>
      </c>
      <c r="AM4" s="515" t="s">
        <v>108</v>
      </c>
      <c r="AO4" s="514" t="s">
        <v>570</v>
      </c>
      <c r="AP4" s="592">
        <v>80</v>
      </c>
      <c r="AQ4" s="515" t="s">
        <v>108</v>
      </c>
    </row>
    <row r="5" spans="1:48" ht="15.75">
      <c r="A5" s="1081"/>
      <c r="B5" s="1077"/>
      <c r="C5" t="str">
        <v>TIPA 312 MET</v>
      </c>
      <c r="D5" s="1077"/>
      <c r="E5" s="1077"/>
      <c r="F5" s="1077"/>
      <c r="G5" s="1083"/>
      <c r="H5" s="1077"/>
      <c r="I5" s="1077"/>
      <c r="J5" s="502">
        <f t="shared" si="1"/>
        <v>720</v>
      </c>
      <c r="K5" cm="1">
        <f t="array" ref="K5">_xlfn.LET(_xlpm.baseThick,IFERROR(INDEX(HELPER!$BX$2:$BX$250,MATCH(1,(TEXT(HELPER!$BZ$2:$BZ$250,"0")=TEXT($B$3,"0"))*(HELPER!$CC$2:$CC$250=$AH$4)*(HELPER!$BW$2:$BW$250=C5),0)),""),IF(_xlpm.baseThick="","",_xlpm.baseThick))</f>
        <v>25</v>
      </c>
      <c r="L5">
        <f>IFERROR(VLOOKUP(C5,HELPER!$AP$1:$AQ$25,2,FALSE),"")</f>
        <v>1.25</v>
      </c>
      <c r="M5" s="248">
        <f>IF(C5="","",IF(ISNUMBER(SEARCH("paper",C5)),42/1000*(J5/1000),IF(OR(L5="",L5=0),"",L5*1000*(K5/1000000)*(J5/1000))))</f>
        <v>2.2499999999999999E-2</v>
      </c>
      <c r="N5" s="204" cm="1">
        <f t="array" ref="N5">IF($C5="","",_xlfn.LET(
    _xlpm.mat,TRIM($C5),
    _xlpm.matKey,UPPER(SUBSTITUTE(_xlpm.mat," ","")),
    _xlpm.pr,IFERROR(LOOKUP(2,1/($H$3:H5&lt;&gt;""),$H$3:H5),""),
    _xlpm.widthActual,IFERROR(LOOKUP(2,1/($E$3:E5&lt;&gt;""),$E$3:E5),$E5),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5" s="1077"/>
      <c r="P5" s="73">
        <f>IF(OR(C5="",A$3&lt;=0),"",IFERROR(IF(O$3="Europe to US",IF(A$3&lt;500,10,IF(A$3&lt;1000,8,IF(A$3&lt;2500,6,IF(A$3&lt;5000,5,4)))),VLOOKUP(O$3,HELPER!$AF$2:$AH$3,3,FALSE)),0))</f>
        <v>0.2</v>
      </c>
      <c r="Q5" s="1077"/>
      <c r="R5" s="1088"/>
      <c r="S5" s="1074"/>
      <c r="T5" s="1075"/>
      <c r="U5" s="1089"/>
      <c r="V5" s="1090"/>
      <c r="W5" s="1079"/>
      <c r="X5" s="205">
        <f t="shared" si="0"/>
        <v>0.20597127974999999</v>
      </c>
      <c r="Y5" s="1080"/>
      <c r="Z5" s="201">
        <f>IF($M5="","",IFERROR(($N5+$P5)*$M5/$M$8,""))</f>
        <v>2.787675130335217</v>
      </c>
      <c r="AG5" s="514" t="s">
        <v>571</v>
      </c>
      <c r="AH5" s="174">
        <v>352</v>
      </c>
      <c r="AI5" s="515" t="s">
        <v>489</v>
      </c>
      <c r="AK5" s="514" t="s">
        <v>571</v>
      </c>
      <c r="AL5" s="174">
        <v>352</v>
      </c>
      <c r="AM5" s="515" t="s">
        <v>489</v>
      </c>
      <c r="AO5" s="514" t="s">
        <v>571</v>
      </c>
      <c r="AP5" s="174">
        <v>352</v>
      </c>
      <c r="AQ5" s="515" t="s">
        <v>489</v>
      </c>
    </row>
    <row r="6" spans="1:48" ht="15.75">
      <c r="A6" s="1081"/>
      <c r="B6" s="1077"/>
      <c r="C6" t="str">
        <v>RM G Epotal ECO 3675</v>
      </c>
      <c r="D6" s="1077"/>
      <c r="E6" s="1077"/>
      <c r="F6" s="1077"/>
      <c r="G6" s="1083"/>
      <c r="H6" s="1077"/>
      <c r="I6" s="1077"/>
      <c r="J6" s="502">
        <f t="shared" si="1"/>
        <v>720</v>
      </c>
      <c r="K6" cm="1">
        <f t="array" ref="K6">_xlfn.LET(_xlpm.baseThick,IFERROR(INDEX(HELPER!$BX$2:$BX$250,MATCH(1,(TEXT(HELPER!$BZ$2:$BZ$250,"0")=TEXT($B$3,"0"))*(HELPER!$CC$2:$CC$250=$AH$4)*(HELPER!$BW$2:$BW$250=C6),0)),""),IF(_xlpm.baseThick="","",_xlpm.baseThick))</f>
        <v>7</v>
      </c>
      <c r="L6">
        <f>IFERROR(VLOOKUP(C6,HELPER!$AP$1:$AQ$25,2,FALSE),"")</f>
        <v>1</v>
      </c>
      <c r="M6" s="248">
        <f>IF(C6="","",IF(ISNUMBER(SEARCH("paper",C6)),42/1000*(J6/1000),IF(OR(L6="",L6=0),"",L6*1000*(K6/1000000)*(J6/1000))))</f>
        <v>5.0400000000000002E-3</v>
      </c>
      <c r="N6" s="203" cm="1">
        <f t="array" ref="N6">IF($C6="","",_xlfn.LET(
    _xlpm.mat,TRIM($C6),
    _xlpm.matKey,UPPER(SUBSTITUTE(_xlpm.mat," ","")),
    _xlpm.pr,IFERROR(LOOKUP(2,1/($H$3:H6&lt;&gt;""),$H$3:H6),""),
    _xlpm.widthActual,IFERROR(LOOKUP(2,1/($E$3:E6&lt;&gt;""),$E$3:E6),$E6),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 s="1077"/>
      <c r="P6" s="73">
        <f>IF(OR(C6="",A$3&lt;=0),"",IFERROR(IF(O$3="Europe to US",IF(A$3&lt;500,10,IF(A$3&lt;1000,8,IF(A$3&lt;2500,6,IF(A$3&lt;5000,5,4)))),VLOOKUP(O$3,HELPER!$AF$2:$AH$3,3,FALSE)),0))</f>
        <v>0.2</v>
      </c>
      <c r="Q6" s="1077"/>
      <c r="R6" s="1088"/>
      <c r="S6" s="1074"/>
      <c r="T6" s="1075"/>
      <c r="U6" s="1089"/>
      <c r="V6" s="1090"/>
      <c r="W6" s="1079"/>
      <c r="X6" s="205">
        <f t="shared" si="0"/>
        <v>2.5452000000000006E-2</v>
      </c>
      <c r="Y6" s="1080"/>
      <c r="Z6" s="245">
        <f>IF($M6="","",IFERROR(($N6+$P6)*$M6/$M$8,""))</f>
        <v>0.344474761255116</v>
      </c>
      <c r="AG6" s="514" t="s">
        <v>572</v>
      </c>
      <c r="AH6" s="174"/>
      <c r="AI6" s="515" t="s">
        <v>203</v>
      </c>
      <c r="AK6" s="514" t="s">
        <v>572</v>
      </c>
      <c r="AL6" s="174"/>
      <c r="AM6" s="515" t="s">
        <v>203</v>
      </c>
      <c r="AO6" s="514" t="s">
        <v>572</v>
      </c>
      <c r="AP6" s="174"/>
      <c r="AQ6" s="515" t="s">
        <v>203</v>
      </c>
    </row>
    <row r="7" spans="1:48" ht="15.75">
      <c r="A7" s="1081"/>
      <c r="B7" s="1077"/>
      <c r="C7" s="73"/>
      <c r="D7" s="1077"/>
      <c r="E7" s="1077"/>
      <c r="F7" s="1077"/>
      <c r="G7" s="1083"/>
      <c r="H7" s="1077"/>
      <c r="I7" s="1077"/>
      <c r="J7" s="502" t="str">
        <f t="shared" si="1"/>
        <v/>
      </c>
      <c r="K7" t="str" cm="1">
        <f t="array" ref="K7">_xlfn.LET(_xlpm.baseThick,IFERROR(INDEX(HELPER!$BX$2:$BX$250,MATCH(1,(TEXT(HELPER!$BZ$2:$BZ$250,"0")=TEXT($B$3,"0"))*(HELPER!$CC$2:$CC$250=$AH$4)*(HELPER!$BW$2:$BW$250=C7),0)),""),IF(_xlpm.baseThick="","",_xlpm.baseThick))</f>
        <v/>
      </c>
      <c r="L7" t="str">
        <f>IFERROR(VLOOKUP(C7,HELPER!$AP$1:$AQ$25,2,FALSE),"")</f>
        <v/>
      </c>
      <c r="M7" s="248" t="str">
        <f>IF(C7="","",IF(ISNUMBER(SEARCH("paper",C7)),42/1000*(J7/1000),IF(OR(L7="",L7=0),"",L7*1000*(K7/1000000)*(J7/1000))))</f>
        <v/>
      </c>
      <c r="N7" s="203" t="str" cm="1">
        <f t="array" ref="N7">IF($C7="","",_xlfn.LET(
    _xlpm.mat,TRIM($C7),
    _xlpm.matKey,UPPER(SUBSTITUTE(_xlpm.mat," ","")),
    _xlpm.pr,IFERROR(LOOKUP(2,1/($H$3:H7&lt;&gt;""),$H$3:H7),""),
    _xlpm.widthActual,IFERROR(LOOKUP(2,1/($E$3:E7&lt;&gt;""),$E$3:E7),$E7),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7" s="1077"/>
      <c r="P7" s="63" t="str">
        <f>IF(OR(C7="",A$3&lt;=0),"",IFERROR(IF(O$3="Europe to US",IF(A$3&lt;500,10,IF(A$3&lt;1000,8,IF(A$3&lt;2500,6,IF(A$3&lt;5000,5,4)))),VLOOKUP(O$3,HELPER!$AF$2:$AH$3,3,FALSE)),0))</f>
        <v/>
      </c>
      <c r="Q7" s="1077"/>
      <c r="R7" s="1088"/>
      <c r="S7" s="1074"/>
      <c r="T7" s="1075"/>
      <c r="U7" s="1089"/>
      <c r="V7" s="1090"/>
      <c r="W7" s="1079"/>
      <c r="X7" s="254" t="str">
        <f t="shared" si="0"/>
        <v/>
      </c>
      <c r="Y7" s="1080"/>
      <c r="Z7" s="201" t="str">
        <f>IF($M7="","",IFERROR(($N7+$P7)*$M7/$M$8,""))</f>
        <v/>
      </c>
      <c r="AG7" s="514" t="s">
        <v>573</v>
      </c>
      <c r="AH7" s="174" t="s">
        <v>123</v>
      </c>
      <c r="AI7" s="515"/>
      <c r="AK7" s="514" t="s">
        <v>573</v>
      </c>
      <c r="AL7" s="174" t="s">
        <v>123</v>
      </c>
      <c r="AM7" s="515"/>
      <c r="AO7" s="514" t="s">
        <v>573</v>
      </c>
      <c r="AP7" s="174" t="s">
        <v>123</v>
      </c>
      <c r="AQ7" s="515"/>
    </row>
    <row r="8" spans="1:48" ht="15.75">
      <c r="A8" s="1081"/>
      <c r="B8" s="1077"/>
      <c r="C8" s="38"/>
      <c r="D8" s="1077"/>
      <c r="E8" s="1077"/>
      <c r="F8" s="1077"/>
      <c r="G8" s="1083"/>
      <c r="H8" s="1077"/>
      <c r="I8" s="1077"/>
      <c r="J8" s="502" t="str">
        <f t="shared" si="1"/>
        <v/>
      </c>
      <c r="K8" s="170">
        <f>AH4</f>
        <v>80</v>
      </c>
      <c r="L8" t="str">
        <f>IFERROR(VLOOKUP(C8,HELPER!$AP$1:$AQ$25,2,FALSE),"")</f>
        <v/>
      </c>
      <c r="M8" s="249">
        <f>SUM(M3:M7)</f>
        <v>7.3886400000000005E-2</v>
      </c>
      <c r="N8" s="203" t="str" cm="1">
        <f t="array" ref="N8">IF($C8="","",_xlfn.LET(
    _xlpm.mat,TRIM($C8),
    _xlpm.matKey,UPPER(SUBSTITUTE(_xlpm.mat," ","")),
    _xlpm.pr,IFERROR(LOOKUP(2,1/($H$3:H8&lt;&gt;""),$H$3:H8),""),
    _xlpm.widthActual,IFERROR(LOOKUP(2,1/($E$3:E8&lt;&gt;""),$E$3:E8),$E8),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8" s="1077"/>
      <c r="P8" s="73" t="str">
        <f>IF(OR(C8="",A$3&lt;=0),"",IFERROR(IF(O$3="Europe to US",IF(A$3&lt;500,10,IF(A$3&lt;1000,8,IF(A$3&lt;2500,6,IF(A$3&lt;5000,5,4)))),VLOOKUP(O$3,HELPER!$AF$2:$AH$3,3,FALSE)),0))</f>
        <v/>
      </c>
      <c r="Q8" s="1077"/>
      <c r="R8" s="1088"/>
      <c r="S8" s="1074"/>
      <c r="T8" s="1075"/>
      <c r="U8" s="1089"/>
      <c r="V8" s="1090"/>
      <c r="W8" s="1079"/>
      <c r="X8" s="202" t="str">
        <f t="shared" si="0"/>
        <v/>
      </c>
      <c r="Y8" s="1080"/>
      <c r="Z8" s="201"/>
      <c r="AG8" s="514" t="s">
        <v>798</v>
      </c>
      <c r="AH8" s="175" t="s">
        <v>122</v>
      </c>
      <c r="AI8" s="515"/>
      <c r="AK8" s="514" t="s">
        <v>798</v>
      </c>
      <c r="AL8" s="175" t="s">
        <v>122</v>
      </c>
      <c r="AM8" s="515"/>
      <c r="AO8" s="514" t="s">
        <v>798</v>
      </c>
      <c r="AP8" s="175" t="s">
        <v>122</v>
      </c>
      <c r="AQ8" s="515"/>
    </row>
    <row r="9" spans="1:48" ht="15.75">
      <c r="A9" s="1081">
        <f>IF(AL13="By Length",IF(AL14&lt;&gt;"",IFERROR(AL14*$M$14*($D9/$J9),""),""),IF(OR(AL13="By Imp",AL13="IMP"),IFERROR(AL41*$M$14*($D9/$J9),""),IF(AL6="","",AL6)))</f>
        <v>2517.5756390400002</v>
      </c>
      <c r="B9" s="1077">
        <f>AL3</f>
        <v>428</v>
      </c>
      <c r="C9" t="str" cm="1">
        <f t="array" ref="C9:C12">IFERROR(_xlfn.LET(_xlpm.lam,TEXT(B9,"0"),_xlpm.thick,AL4,_xlfn.TAKE(_xlfn._xlws.FILTER(HELPER!$BW$2:$BW$250,(TEXT(HELPER!$BZ$2:$BZ$250,"0")=_xlpm.lam)*(HELPER!$CC$2:$CC$250=_xlpm.thick)*(HELPER!$BW$2:$BW$250&lt;&gt;""),"No match"),6)),"")</f>
        <v>NK</v>
      </c>
      <c r="D9" s="1077">
        <f>AL5</f>
        <v>352</v>
      </c>
      <c r="E9" s="1082">
        <f>IF(D9="","",_xlfn.LET(_xlpm.cap,IF($Q9="Quantum",760,1220),IF(D9+50&gt;_xlpm.cap,"ERROR: Lamination Width &gt; "&amp;_xlpm.cap,D9*MAX(1,MIN(MAX(2,INT(900/D9)),INT((_xlpm.cap-50)/D9))))))</f>
        <v>704</v>
      </c>
      <c r="F9" s="1077"/>
      <c r="G9" s="1083">
        <f>IF(OR(AL13="IMP",AL13="By Imp",AL13="By Length"),IFERROR(AL16,""),IFERROR(IF(OR(A9="",A9=0,$D9="",$D9=0,$J9="",$M$14="",$M$14=0,A9&lt;=5),"",(A9-5)/$M$14*($J9/$D9)),""))</f>
        <v>69696</v>
      </c>
      <c r="H9" s="1077" t="str">
        <f>AL7</f>
        <v>Printed</v>
      </c>
      <c r="I9" s="1084" t="str">
        <f>IF(H9="Not Printed",0,AL8)</f>
        <v>3-4</v>
      </c>
      <c r="J9" s="502">
        <f>IF(C9="","",$E$9+16)</f>
        <v>720</v>
      </c>
      <c r="K9" cm="1">
        <f t="array" ref="K9">_xlfn.LET(_xlpm.baseThick,IFERROR(INDEX(HELPER!$BX$2:$BX$250,MATCH(1,(TEXT(HELPER!$BZ$2:$BZ$250,"0")=TEXT($B$9,"0"))*(HELPER!$CC$2:$CC$250=$AL$4)*(HELPER!$BW$2:$BW$250=C9),0)),""),IF(_xlpm.baseThick="","",_xlpm.baseThick))</f>
        <v>23</v>
      </c>
      <c r="L9">
        <f>IFERROR(VLOOKUP(C9,HELPER!$AP$1:$AQ$25,2,FALSE),"")</f>
        <v>1.44</v>
      </c>
      <c r="M9" s="248">
        <f>IF(C9="","",IF(ISNUMBER(SEARCH("paper",C9)),42/1000*(J9/1000),IF(OR(L9="",L9=0),"",L9*1000*(K9/1000000)*(J9/1000))))</f>
        <v>2.3846399999999997E-2</v>
      </c>
      <c r="N9" s="203" cm="1">
        <f t="array" ref="N9">IF($C9="","",_xlfn.LET(
    _xlpm.mat,TRIM($C9),
    _xlpm.matKey,UPPER(SUBSTITUTE(_xlpm.mat," ","")),
    _xlpm.pr,IFERROR(LOOKUP(2,1/($H$3:H9&lt;&gt;""),$H$3:H9),""),
    _xlpm.widthActual,IFERROR(LOOKUP(2,1/($E$3:E9&lt;&gt;""),$E$3:E9),$E9),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9" s="1077" t="str">
        <f>AL11</f>
        <v>EXW</v>
      </c>
      <c r="P9" s="73">
        <f>IF(OR(C9="",A$9&lt;=0),"",IFERROR(IF(O$9="Europe to US",IF(A$9&lt;500,10,IF(A$9&lt;1000,8,IF(A$9&lt;2500,6,IF(A$9&lt;5000,5,4)))),VLOOKUP(O$9,HELPER!$AF$2:$AH$3,3,FALSE)),0))</f>
        <v>0.2</v>
      </c>
      <c r="Q9" s="1077" t="str">
        <f>AL12</f>
        <v>Marma</v>
      </c>
      <c r="R9" s="1074" cm="1">
        <f t="array" ref="R9">IF(OR($Q9="",$G9=""),"",IF($J9&gt;IF($Q9="Quantum",760,1220),"Error! lamination width exceeds supplier maximum",_xlfn.LET(_xlpm.struct,$C$9:$C$14,_xlpm.realLayers,SUMPRODUCT(--(_xlpm.struct&lt;&gt;""),--ISERROR(SEARCH("EPOTAL",_xlpm.struct&amp;"")),--ISERROR(SEARCH("BASONAT",_xlpm.struct&amp;"")),--ISERROR(SEARCH("ADH",_xlpm.struct&amp;"")),--ISERROR(SEARCH("HARDENER",_xlpm.struct&amp;""))),_xlpm.lamSteps,MAX(0,_xlpm.realLayers-1),_xlpm.len,$G9,_xlpm.colNum,IF(_xlpm.len&lt;3000,1,IF(_xlpm.len&lt;10000,2,IF(_xlpm.len&lt;25000,3,IF(_xlpm.len&lt;50000,4,IF(_xlpm.len&lt;100000,5,IF(_xlpm.len&lt;250000,6,7)))))),_xlpm.widthRow,IF($E9&lt;900,0,5),_xlpm.supplierRow,IF($Q9="Marma",3,IF(OR($Q9="Bastin",$Q9="Quantum"),13,0)),_xlpm.baseRate,IF(_xlpm.supplierRow=0,"",INDEX('Lmntn &amp; Prntng- Marma &amp; Bastin '!$D$1:$K$22,_xlpm.supplierRow+_xlpm.widthRow,_xlpm.colNum)),IF(_xlpm.realLayers=0,"",_xlpm.baseRate*_xlpm.lamSteps))))</f>
        <v>0.16961999999999999</v>
      </c>
      <c r="S9" s="1074" cm="1">
        <f t="array" ref="S9">IF($Q9="Quantum",IF(OR($Q9="",$I9=0,$I9="0"),"",IF($J9&gt;IF($Q9="Quantum",760,1220),"Error! lamination width exceeds supplier maximum",IF($E9&gt;1200,"Data is missing",_xlfn.LET(_xlpm.len,$G9,_xlpm.colors,$I9,_xlpm.qWidth,IF($E9&lt;=450,450,IF($E9&lt;=760,760,1200)),_xlpm.band,IF(_xlpm.colors=1,"1",IF(OR(_xlpm.colors=2,_xlpm.colors=3),"2-3",IF(OR(_xlpm.colors=4,_xlpm.colors=5),"4-5","6-8"))),_xlpm.widths,'Digital_per_meter-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9="",$I9=0,$I9="0"),"",IF($J9&gt;IF($Q9="Quantum",760,1220),"Error! lamination width exceeds supplier maximum",_xlfn.LET(_xlpm.len,$AL$22,_xlpm.colors,$I9,_xlpm.colNum,IF(_xlpm.len&lt;3000,1,IF(_xlpm.len&lt;10000,2,IF(_xlpm.len&lt;25000,3,IF(_xlpm.len&lt;50000,4,IF(_xlpm.len&lt;100000,5,IF(_xlpm.len&lt;250000,6,IF(_xlpm.len&lt;500000,7,8))))))),_xlpm.widthRow,IF($E9&lt;900,0,5),_xlpm.colorOffset,IF(OR(_xlpm.colors=1,_xlpm.colors=2,_xlpm.colors="1-2"),1,IF(OR(_xlpm.colors=3,_xlpm.colors=4,_xlpm.colors="3-4"),2,IF(OR(_xlpm.colors&gt;=5,_xlpm.colors="5-6",_xlpm.colors="5-8"),3,0))),_xlpm.supplierRow,IF($Q9="Marma",3,IF($Q9="Bastin",13,0)),IF(OR(_xlpm.supplierRow=0,_xlpm.colorOffset=0),"",INDEX('Lmntn &amp; Prntng- Marma &amp; Bastin '!$D$1:$K$22,_xlpm.supplierRow+_xlpm.widthRow+_xlpm.colorOffset,_xlpm.colNum))))))</f>
        <v>0.12662000000000001</v>
      </c>
      <c r="T9" s="1075">
        <f>IF(OR($S9="",$K9=""),"",IFERROR($S9*(1/$M$14)*($J9/($D9*MAX(1,ROUNDDOWN(760/$D9,0)))),""))</f>
        <v>1.7526598571960099</v>
      </c>
      <c r="U9" s="1074" cm="1">
        <f t="array" ref="U9">IF($Q9="","",IF($J9&gt;IF($Q9="Quantum",760,1220),"Error! lamination width exceeds supplier maximum",_xlfn.LET(_xlpm.len,$G9,_xlpm.colNum,IF(_xlpm.len&lt;3000,1,IF(_xlpm.len&lt;10000,2,IF(_xlpm.len&lt;25000,3,IF(_xlpm.len&lt;50000,4,IF(_xlpm.len&lt;100000,5,IF(_xlpm.len&lt;250000,6,7)))))),_xlpm.widthRow,IF($E9&lt;900,0,5),_xlpm.supplierRow,IF($Q9="Marma",7,IF(OR($Q9="Bastin",$Q9="Quantum"),17,0)),IF(_xlpm.supplierRow=0,"",INDEX('Lmntn &amp; Prntng- Marma &amp; Bastin '!$D$1:$K$22,_xlpm.supplierRow+_xlpm.widthRow,_xlpm.colNum)))))</f>
        <v>2.3519999999999999E-2</v>
      </c>
      <c r="V9" s="1076">
        <f>IFERROR(IF(AL23="","",IF($K14&gt;31,(5%+250/$G$9)*AL23,VLOOKUP($K14,HELPER!$BH$3:$BI$5,2,TRUE)*AL23)),"")</f>
        <v>0.45763124009319772</v>
      </c>
      <c r="W9" s="1079">
        <f>IF(OR($H9&lt;&gt;"Printed",$I9=0,$I9="0"),0,IFERROR(AL23*0.028,0)+IFERROR(AL44,0))</f>
        <v>0.40561555628905882</v>
      </c>
      <c r="X9" s="202">
        <f t="shared" si="0"/>
        <v>0.19434815999999999</v>
      </c>
      <c r="Y9" s="1080">
        <f>IFERROR((SUM(X9:X14)+SUM(R9:S9,U9))*(1/M14)*(J9/E9)+V9+W9,"")</f>
        <v>14.033840861146786</v>
      </c>
      <c r="Z9" s="201">
        <f>IF($M9="","",IFERROR(($N9+$P9)*$M9/$M$14,""))</f>
        <v>2.630364451374001</v>
      </c>
      <c r="AA9" s="595">
        <f>AL9</f>
        <v>1</v>
      </c>
      <c r="AB9" s="95">
        <f>IF(OR(AL13="IMP",AL13="By Imp"),IFERROR(AL14/AA9,""),"")</f>
        <v>264000</v>
      </c>
      <c r="AC9" s="624">
        <f>AL43</f>
        <v>0.33333333333333331</v>
      </c>
      <c r="AG9" s="514" t="s">
        <v>2382</v>
      </c>
      <c r="AH9" s="592">
        <v>1</v>
      </c>
      <c r="AI9" s="515"/>
      <c r="AJ9" s="38"/>
      <c r="AK9" s="514" t="s">
        <v>2382</v>
      </c>
      <c r="AL9" s="592">
        <v>1</v>
      </c>
      <c r="AM9" s="515"/>
      <c r="AN9" s="38"/>
      <c r="AO9" s="514" t="s">
        <v>2382</v>
      </c>
      <c r="AP9" s="592">
        <v>1</v>
      </c>
      <c r="AQ9" s="515"/>
    </row>
    <row r="10" spans="1:48" ht="15.75">
      <c r="A10" s="1081"/>
      <c r="B10" s="1077"/>
      <c r="C10" t="str">
        <v>TIPA 312 MET</v>
      </c>
      <c r="D10" s="1077"/>
      <c r="E10" s="1077"/>
      <c r="F10" s="1077"/>
      <c r="G10" s="1081"/>
      <c r="H10" s="1077"/>
      <c r="I10" s="1077"/>
      <c r="J10" s="502">
        <f t="shared" ref="J10:J14" si="2">IF(C10="","",$E$9+16)</f>
        <v>720</v>
      </c>
      <c r="K10" cm="1">
        <f t="array" ref="K10">_xlfn.LET(_xlpm.baseThick,IFERROR(INDEX(HELPER!$BX$2:$BX$250,MATCH(1,(TEXT(HELPER!$BZ$2:$BZ$250,"0")=TEXT($B$9,"0"))*(HELPER!$CC$2:$CC$250=$AL$4)*(HELPER!$BW$2:$BW$250=C10),0)),""),IF(_xlpm.baseThick="","",_xlpm.baseThick))</f>
        <v>25</v>
      </c>
      <c r="L10">
        <f>IFERROR(VLOOKUP(C10,HELPER!$AP$1:$AQ$25,2,FALSE),"")</f>
        <v>1.25</v>
      </c>
      <c r="M10" s="248">
        <f>IF(C10="","",IF(ISNUMBER(SEARCH("paper",C10)),42/1000*(J10/1000),IF(OR(L10="",L10=0),"",L10*1000*(K10/1000000)*(J10/1000))))</f>
        <v>2.2499999999999999E-2</v>
      </c>
      <c r="N10" s="204" cm="1">
        <f t="array" ref="N10">IF($C10="","",_xlfn.LET(
    _xlpm.mat,TRIM($C10),
    _xlpm.matKey,UPPER(SUBSTITUTE(_xlpm.mat," ","")),
    _xlpm.pr,IFERROR(LOOKUP(2,1/($H$3:H10&lt;&gt;""),$H$3:H10),""),
    _xlpm.widthActual,IFERROR(LOOKUP(2,1/($E$3:E10&lt;&gt;""),$E$3:E10),$E10),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0" s="1077"/>
      <c r="P10" s="73">
        <f>IF(OR(C10="",A$9&lt;=0),"",IFERROR(IF(O$9="Europe to US",IF(A$9&lt;500,10,IF(A$9&lt;1000,8,IF(A$9&lt;2500,6,IF(A$9&lt;5000,5,4)))),VLOOKUP(O$9,HELPER!$AF$2:$AH$3,3,FALSE)),0))</f>
        <v>0.2</v>
      </c>
      <c r="Q10" s="1077"/>
      <c r="R10" s="1074"/>
      <c r="S10" s="1074"/>
      <c r="T10" s="1075"/>
      <c r="U10" s="1074"/>
      <c r="V10" s="1077"/>
      <c r="W10" s="1079"/>
      <c r="X10" s="202">
        <f t="shared" si="0"/>
        <v>0.20597127974999999</v>
      </c>
      <c r="Y10" s="1080"/>
      <c r="Z10" s="201">
        <f>IF($M10="","",IFERROR(($N10+$P10)*$M10/$M$14,""))</f>
        <v>2.787675130335217</v>
      </c>
      <c r="AG10" s="514" t="s">
        <v>2384</v>
      </c>
      <c r="AH10" s="592" t="s">
        <v>2385</v>
      </c>
      <c r="AI10" s="515"/>
      <c r="AJ10" s="38"/>
      <c r="AK10" s="514" t="s">
        <v>2384</v>
      </c>
      <c r="AL10" s="592" t="s">
        <v>2385</v>
      </c>
      <c r="AM10" s="515"/>
      <c r="AN10" s="38"/>
      <c r="AO10" s="514" t="s">
        <v>2384</v>
      </c>
      <c r="AP10" s="592" t="s">
        <v>2385</v>
      </c>
      <c r="AQ10" s="515"/>
      <c r="AS10">
        <f>100/(1-15%)</f>
        <v>117.64705882352942</v>
      </c>
    </row>
    <row r="11" spans="1:48" ht="15.75">
      <c r="A11" s="1081"/>
      <c r="B11" s="1077"/>
      <c r="C11" t="str">
        <v>TIPA 312 MET</v>
      </c>
      <c r="D11" s="1077"/>
      <c r="E11" s="1077"/>
      <c r="F11" s="1077"/>
      <c r="G11" s="1081"/>
      <c r="H11" s="1077"/>
      <c r="I11" s="1077"/>
      <c r="J11" s="502">
        <f t="shared" si="2"/>
        <v>720</v>
      </c>
      <c r="K11" cm="1">
        <f t="array" ref="K11">_xlfn.LET(_xlpm.baseThick,IFERROR(INDEX(HELPER!$BX$2:$BX$250,MATCH(1,(TEXT(HELPER!$BZ$2:$BZ$250,"0")=TEXT($B$9,"0"))*(HELPER!$CC$2:$CC$250=$AL$4)*(HELPER!$BW$2:$BW$250=C11),0)),""),IF(_xlpm.baseThick="","",_xlpm.baseThick))</f>
        <v>25</v>
      </c>
      <c r="L11">
        <f>IFERROR(VLOOKUP(C11,HELPER!$AP$1:$AQ$25,2,FALSE),"")</f>
        <v>1.25</v>
      </c>
      <c r="M11" s="248">
        <f>IF(C11="","",IF(ISNUMBER(SEARCH("paper",C11)),42/1000*(J11/1000),IF(OR(L11="",L11=0),"",L11*1000*(K11/1000000)*(J11/1000))))</f>
        <v>2.2499999999999999E-2</v>
      </c>
      <c r="N11" s="203" cm="1">
        <f t="array" ref="N11">IF($C11="","",_xlfn.LET(
    _xlpm.mat,TRIM($C11),
    _xlpm.matKey,UPPER(SUBSTITUTE(_xlpm.mat," ","")),
    _xlpm.pr,IFERROR(LOOKUP(2,1/($H$3:H11&lt;&gt;""),$H$3:H11),""),
    _xlpm.widthActual,IFERROR(LOOKUP(2,1/($E$3:E11&lt;&gt;""),$E$3:E11),$E11),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1" s="1077"/>
      <c r="P11" s="73">
        <f>IF(OR(C11="",A$9&lt;=0),"",IFERROR(IF(O$9="Europe to US",IF(A$9&lt;500,10,IF(A$9&lt;1000,8,IF(A$9&lt;2500,6,IF(A$9&lt;5000,5,4)))),VLOOKUP(O$9,HELPER!$AF$2:$AH$3,3,FALSE)),0))</f>
        <v>0.2</v>
      </c>
      <c r="Q11" s="1077"/>
      <c r="R11" s="1074"/>
      <c r="S11" s="1074"/>
      <c r="T11" s="1075"/>
      <c r="U11" s="1074"/>
      <c r="V11" s="1077"/>
      <c r="W11" s="1079"/>
      <c r="X11" s="202">
        <f t="shared" si="0"/>
        <v>0.20597127974999999</v>
      </c>
      <c r="Y11" s="1080"/>
      <c r="Z11" s="201">
        <f>IF($M11="","",IFERROR(($N11+$P11)*$M11/$M$14,""))</f>
        <v>2.787675130335217</v>
      </c>
      <c r="AG11" s="514" t="s">
        <v>2386</v>
      </c>
      <c r="AH11" s="174" t="s">
        <v>2387</v>
      </c>
      <c r="AI11" s="515"/>
      <c r="AK11" s="514" t="s">
        <v>2386</v>
      </c>
      <c r="AL11" s="174" t="s">
        <v>2387</v>
      </c>
      <c r="AM11" s="515"/>
      <c r="AO11" s="514" t="s">
        <v>2386</v>
      </c>
      <c r="AP11" s="174" t="s">
        <v>2387</v>
      </c>
      <c r="AQ11" s="515"/>
    </row>
    <row r="12" spans="1:48" ht="15.75">
      <c r="A12" s="1081"/>
      <c r="B12" s="1077"/>
      <c r="C12" t="str">
        <v>RM G Epotal ECO 3675</v>
      </c>
      <c r="D12" s="1077"/>
      <c r="E12" s="1077"/>
      <c r="F12" s="1077"/>
      <c r="G12" s="1081"/>
      <c r="H12" s="1077"/>
      <c r="I12" s="1077"/>
      <c r="J12" s="502">
        <f t="shared" si="2"/>
        <v>720</v>
      </c>
      <c r="K12" cm="1">
        <f t="array" ref="K12">_xlfn.LET(_xlpm.baseThick,IFERROR(INDEX(HELPER!$BX$2:$BX$250,MATCH(1,(TEXT(HELPER!$BZ$2:$BZ$250,"0")=TEXT($B$9,"0"))*(HELPER!$CC$2:$CC$250=$AL$4)*(HELPER!$BW$2:$BW$250=C12),0)),""),IF(_xlpm.baseThick="","",_xlpm.baseThick))</f>
        <v>7</v>
      </c>
      <c r="L12">
        <f>IFERROR(VLOOKUP(C12,HELPER!$AP$1:$AQ$25,2,FALSE),"")</f>
        <v>1</v>
      </c>
      <c r="M12" s="248">
        <f>IF(C12="","",IF(ISNUMBER(SEARCH("paper",C12)),42/1000*(J12/1000),IF(OR(L12="",L12=0),"",L12*1000*(K12/1000000)*(J12/1000))))</f>
        <v>5.0400000000000002E-3</v>
      </c>
      <c r="N12" s="203" cm="1">
        <f t="array" ref="N12">IF($C12="","",_xlfn.LET(
    _xlpm.mat,TRIM($C12),
    _xlpm.matKey,UPPER(SUBSTITUTE(_xlpm.mat," ","")),
    _xlpm.pr,IFERROR(LOOKUP(2,1/($H$3:H12&lt;&gt;""),$H$3:H12),""),
    _xlpm.widthActual,IFERROR(LOOKUP(2,1/($E$3:E12&lt;&gt;""),$E$3:E12),$E12),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12" s="1077"/>
      <c r="P12" s="73">
        <f>IF(OR(C12="",A$9&lt;=0),"",IFERROR(IF(O$9="Europe to US",IF(A$9&lt;500,10,IF(A$9&lt;1000,8,IF(A$9&lt;2500,6,IF(A$9&lt;5000,5,4)))),VLOOKUP(O$9,HELPER!$AF$2:$AH$3,3,FALSE)),0))</f>
        <v>0.2</v>
      </c>
      <c r="Q12" s="1077"/>
      <c r="R12" s="1074"/>
      <c r="S12" s="1074"/>
      <c r="T12" s="1075"/>
      <c r="U12" s="1074"/>
      <c r="V12" s="1077"/>
      <c r="W12" s="1079"/>
      <c r="X12" s="202">
        <f t="shared" si="0"/>
        <v>2.5452000000000006E-2</v>
      </c>
      <c r="Y12" s="1080"/>
      <c r="Z12" s="201">
        <f>IF($M12="","",IFERROR(($N12+$P12)*$M12/$M$14,""))</f>
        <v>0.344474761255116</v>
      </c>
      <c r="AG12" s="514" t="s">
        <v>2388</v>
      </c>
      <c r="AH12" s="174" t="s">
        <v>250</v>
      </c>
      <c r="AI12" s="515"/>
      <c r="AK12" s="514" t="s">
        <v>2388</v>
      </c>
      <c r="AL12" s="174" t="s">
        <v>250</v>
      </c>
      <c r="AM12" s="515"/>
      <c r="AO12" s="514" t="s">
        <v>2388</v>
      </c>
      <c r="AP12" s="174" t="s">
        <v>250</v>
      </c>
      <c r="AQ12" s="515"/>
      <c r="AS12" s="253"/>
    </row>
    <row r="13" spans="1:48" ht="15.75">
      <c r="A13" s="1081"/>
      <c r="B13" s="1077"/>
      <c r="D13" s="1077"/>
      <c r="E13" s="1077"/>
      <c r="F13" s="1077"/>
      <c r="G13" s="1081"/>
      <c r="H13" s="1077"/>
      <c r="I13" s="1077"/>
      <c r="J13" s="502" t="str">
        <f t="shared" si="2"/>
        <v/>
      </c>
      <c r="K13" t="str" cm="1">
        <f t="array" ref="K13">_xlfn.LET(_xlpm.baseThick,IFERROR(INDEX(HELPER!$BX$2:$BX$250,MATCH(1,(TEXT(HELPER!$BZ$2:$BZ$250,"0")=TEXT($B$9,"0"))*(HELPER!$CC$2:$CC$250=$AL$4)*(HELPER!$BW$2:$BW$250=C13),0)),""),IF(_xlpm.baseThick="","",_xlpm.baseThick))</f>
        <v/>
      </c>
      <c r="L13" t="str">
        <f>IFERROR(VLOOKUP(C13,HELPER!$AP$1:$AQ$25,2,FALSE),"")</f>
        <v/>
      </c>
      <c r="M13" s="248" t="str">
        <f>IF(C13="","",IF(ISNUMBER(SEARCH("paper",C13)),42/1000*(J13/1000),IF(OR(L13="",L13=0),"",L13*1000*(K13/1000000)*(J13/1000))))</f>
        <v/>
      </c>
      <c r="N13" s="203" t="str" cm="1">
        <f t="array" ref="N13">IF($C13="","",_xlfn.LET(
    _xlpm.mat,TRIM($C13),
    _xlpm.matKey,UPPER(SUBSTITUTE(_xlpm.mat," ","")),
    _xlpm.pr,IFERROR(LOOKUP(2,1/($H$3:H13&lt;&gt;""),$H$3:H13),""),
    _xlpm.widthActual,IFERROR(LOOKUP(2,1/($E$3:E13&lt;&gt;""),$E$3:E13),$E13),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3" s="1077"/>
      <c r="P13" s="73" t="str">
        <f>IF(OR(C13="",A$9&lt;=0),"",IFERROR(IF(O$9="Europe to US",IF(A$9&lt;500,10,IF(A$9&lt;1000,8,IF(A$9&lt;2500,6,IF(A$9&lt;5000,5,4)))),VLOOKUP(O$9,HELPER!$AF$2:$AH$3,3,FALSE)),0))</f>
        <v/>
      </c>
      <c r="Q13" s="1077"/>
      <c r="R13" s="1074"/>
      <c r="S13" s="1074"/>
      <c r="T13" s="1075"/>
      <c r="U13" s="1074"/>
      <c r="V13" s="1077"/>
      <c r="W13" s="1079"/>
      <c r="X13" s="202" t="str">
        <f t="shared" si="0"/>
        <v/>
      </c>
      <c r="Y13" s="1080"/>
      <c r="Z13" s="201"/>
      <c r="AG13" s="1170" t="s">
        <v>2389</v>
      </c>
      <c r="AH13" s="634" t="s">
        <v>1040</v>
      </c>
      <c r="AI13" s="516"/>
      <c r="AJ13" s="235"/>
      <c r="AK13" s="528" t="s">
        <v>2389</v>
      </c>
      <c r="AL13" s="634" t="s">
        <v>1040</v>
      </c>
      <c r="AM13" s="516"/>
      <c r="AO13" s="528" t="s">
        <v>2389</v>
      </c>
      <c r="AP13" s="634" t="s">
        <v>1040</v>
      </c>
      <c r="AQ13" s="516"/>
    </row>
    <row r="14" spans="1:48" ht="15.75">
      <c r="A14" s="1081"/>
      <c r="B14" s="1077"/>
      <c r="C14" s="38"/>
      <c r="D14" s="1077"/>
      <c r="E14" s="1077"/>
      <c r="F14" s="1077"/>
      <c r="G14" s="1081"/>
      <c r="H14" s="1077"/>
      <c r="I14" s="1077"/>
      <c r="J14" s="502" t="str">
        <f t="shared" si="2"/>
        <v/>
      </c>
      <c r="K14" s="170">
        <f>AL4</f>
        <v>80</v>
      </c>
      <c r="L14" t="str">
        <f>IFERROR(VLOOKUP(C14,HELPER!$AP$1:$AQ$25,2,FALSE),"")</f>
        <v/>
      </c>
      <c r="M14" s="249">
        <f>SUM(M9:M13)</f>
        <v>7.3886400000000005E-2</v>
      </c>
      <c r="N14" s="203" t="str" cm="1">
        <f t="array" ref="N14">IF($C14="","",_xlfn.LET(
    _xlpm.mat,TRIM($C14),
    _xlpm.matKey,UPPER(SUBSTITUTE(_xlpm.mat," ","")),
    _xlpm.pr,IFERROR(LOOKUP(2,1/($H$3:H14&lt;&gt;""),$H$3:H14),""),
    _xlpm.widthActual,IFERROR(LOOKUP(2,1/($E$3:E14&lt;&gt;""),$E$3:E14),$E14),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4" s="1077"/>
      <c r="P14" s="73" t="str">
        <f>IF(OR(C14="",A$9&lt;=0),"",IFERROR(IF(O$9="Europe to US",IF(A$9&lt;500,10,IF(A$9&lt;1000,8,IF(A$9&lt;2500,6,IF(A$9&lt;5000,5,4)))),VLOOKUP(O$9,HELPER!$AF$2:$AH$3,3,FALSE)),0))</f>
        <v/>
      </c>
      <c r="Q14" s="1077"/>
      <c r="R14" s="1074"/>
      <c r="S14" s="1074"/>
      <c r="T14" s="1075"/>
      <c r="U14" s="1074"/>
      <c r="V14" s="1077"/>
      <c r="W14" s="1079"/>
      <c r="X14" s="202" t="str">
        <f t="shared" si="0"/>
        <v/>
      </c>
      <c r="Y14" s="1080"/>
      <c r="Z14" s="201"/>
      <c r="AG14" s="1170" t="s">
        <v>2390</v>
      </c>
      <c r="AH14" s="512">
        <v>52800</v>
      </c>
      <c r="AI14" s="527" t="str">
        <f>IF(AH13="IMP","IMP",IF(AH13="By Length","m",""))</f>
        <v/>
      </c>
      <c r="AJ14" s="513"/>
      <c r="AK14" s="528" t="s">
        <v>2390</v>
      </c>
      <c r="AL14" s="512">
        <v>264000</v>
      </c>
      <c r="AM14" s="527" t="str">
        <f>IF(AL13="IMP","IMP",IF(AL13="By Length","m",""))</f>
        <v/>
      </c>
      <c r="AN14" s="513"/>
      <c r="AO14" s="528" t="s">
        <v>2390</v>
      </c>
      <c r="AP14" s="512">
        <v>528000</v>
      </c>
      <c r="AQ14" s="527" t="str">
        <f>IF(AP13="IMP","IMP",IF(AP13="By Length","m",""))</f>
        <v/>
      </c>
    </row>
    <row r="15" spans="1:48" ht="15.75">
      <c r="A15" s="1081">
        <f>IF(AP13="By Length",IF(AP14&lt;&gt;"",IFERROR(AP14*$M$20*($D15/$J15),""),""),IF(OR(AP13="By Imp",AP13="IMP"),IFERROR(AP41*$M$20*($D15/$J15),""),IF(AP6="","",AP6)))</f>
        <v>5035.1512780800003</v>
      </c>
      <c r="B15" s="1077">
        <f>AP3</f>
        <v>428</v>
      </c>
      <c r="C15" t="str" cm="1">
        <f t="array" ref="C15:C18">IFERROR(_xlfn.LET(_xlpm.lam,TEXT(B15,"0"),_xlpm.thick,AP4,_xlfn.TAKE(_xlfn._xlws.FILTER(HELPER!$BW$2:$BW$250,(TEXT(HELPER!$BZ$2:$BZ$250,"0")=_xlpm.lam)*(HELPER!$CC$2:$CC$250=_xlpm.thick)*(HELPER!$BW$2:$BW$250&lt;&gt;""),"No match"),6)),"")</f>
        <v>NK</v>
      </c>
      <c r="D15" s="1077">
        <f>AP5</f>
        <v>352</v>
      </c>
      <c r="E15" s="1082">
        <f>IF(D15="","",_xlfn.LET(_xlpm.cap,IF($Q15="Quantum",760,1220),IF(D15+50&gt;_xlpm.cap,"ERROR: Lamination Width &gt; "&amp;_xlpm.cap,D15*MAX(1,MIN(MAX(2,INT(900/D15)),INT((_xlpm.cap-50)/D15))))))</f>
        <v>704</v>
      </c>
      <c r="F15" s="1077"/>
      <c r="G15" s="1083">
        <f>IF(OR(AP13="IMP",AP13="By Imp",AP13="By Length"),IFERROR(AP16,""),IFERROR(IF(OR(A15="",A15=0,$D15="",$D15=0,$J15="",$M$20="",$M$20=0,A15&lt;=5),"",(A15-5)/$M$20*($J15/$D15)),""))</f>
        <v>139392</v>
      </c>
      <c r="H15" s="1077" t="str">
        <f>AP7</f>
        <v>Printed</v>
      </c>
      <c r="I15" s="1084" t="str">
        <f>IF(H15="Not Printed",0,AP8)</f>
        <v>3-4</v>
      </c>
      <c r="J15" s="502">
        <f>IF(C15="","",$E$15+16)</f>
        <v>720</v>
      </c>
      <c r="K15" cm="1">
        <f t="array" ref="K15">_xlfn.LET(_xlpm.baseThick,IFERROR(INDEX(HELPER!$BX$2:$BX$250,MATCH(1,(TEXT(HELPER!$BZ$2:$BZ$250,"0")=TEXT($B$15,"0"))*(HELPER!$CC$2:$CC$250=$AP$4)*(HELPER!$BW$2:$BW$250=C15),0)),""),IF(_xlpm.baseThick="","",_xlpm.baseThick))</f>
        <v>23</v>
      </c>
      <c r="L15">
        <f>IFERROR(VLOOKUP(C15,HELPER!$AP$1:$AQ$25,2,FALSE),"")</f>
        <v>1.44</v>
      </c>
      <c r="M15" s="250">
        <f>IF(C15="","",IF(ISNUMBER(SEARCH("paper",C15)),42/1000*(J15/1000),IF(OR(L15="",L15=0),"",L15*1000*(K15/1000000)*(J15/1000))))</f>
        <v>2.3846399999999997E-2</v>
      </c>
      <c r="N15" s="203" cm="1">
        <f t="array" ref="N15">IF($C15="","",_xlfn.LET(
    _xlpm.mat,TRIM($C15),
    _xlpm.matKey,UPPER(SUBSTITUTE(_xlpm.mat," ","")),
    _xlpm.pr,IFERROR(LOOKUP(2,1/($H$3:H15&lt;&gt;""),$H$3:H15),""),
    _xlpm.widthActual,IFERROR(LOOKUP(2,1/($E$3:E15&lt;&gt;""),$E$3:E15),$E15),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15" s="1077" t="str">
        <f>AP11</f>
        <v>EXW</v>
      </c>
      <c r="P15" s="73">
        <f>IF(OR(C15="",A$15&lt;=0),"",IFERROR(IF(O$15="Europe to US",IF(A$15&lt;500,10,IF(A$15&lt;1000,8,IF(A$15&lt;2500,6,IF(A$15&lt;5000,5,4)))),VLOOKUP(O$15,HELPER!$AF$2:$AH$3,3,FALSE)),0))</f>
        <v>0.2</v>
      </c>
      <c r="Q15" s="1077" t="str">
        <f>AP12</f>
        <v>Marma</v>
      </c>
      <c r="R15" s="1074" cm="1">
        <f t="array" ref="R15">IF(OR($Q15="",$G15=""),"",IF($J15&gt;IF($Q15="Quantum",760,1220),"Error! lamination width exceeds supplier maximum",_xlfn.LET(_xlpm.struct,$C$15:$C$20,_xlpm.realLayers,SUMPRODUCT(--(_xlpm.struct&lt;&gt;""),--ISERROR(SEARCH("EPOTAL",_xlpm.struct&amp;"")),--ISERROR(SEARCH("BASONAT",_xlpm.struct&amp;"")),--ISERROR(SEARCH("ADH",_xlpm.struct&amp;"")),--ISERROR(SEARCH("HARDENER",_xlpm.struct&amp;""))),_xlpm.lamSteps,MAX(0,_xlpm.realLayers-1),_xlpm.len,$G15,_xlpm.colNum,IF(_xlpm.len&lt;3000,1,IF(_xlpm.len&lt;10000,2,IF(_xlpm.len&lt;25000,3,IF(_xlpm.len&lt;50000,4,IF(_xlpm.len&lt;100000,5,IF(_xlpm.len&lt;250000,6,7)))))),_xlpm.widthRow,IF($E15&lt;900,0,5),_xlpm.supplierRow,IF($Q15="Marma",3,IF(OR($Q15="Bastin",$Q15="Quantum"),13,0)),_xlpm.baseRate,IF(_xlpm.supplierRow=0,"",INDEX('Lmntn &amp; Prntng- Marma &amp; Bastin '!$D$1:$K$22,_xlpm.supplierRow+_xlpm.widthRow,_xlpm.colNum)),IF(_xlpm.realLayers=0,"",_xlpm.baseRate*_xlpm.lamSteps))))</f>
        <v>0.16794000000000001</v>
      </c>
      <c r="S15" s="1074" cm="1">
        <f t="array" ref="S15">IF($Q15="Quantum",IF(OR($Q15="",$I15=0,$I15="0"),"",IF($J15&gt;IF($Q15="Quantum",760,1220),"Error! lamination width exceeds supplier maximum",IF($E15&gt;1200,"Data is missing",_xlfn.LET(_xlpm.len,$G15,_xlpm.colors,$I15,_xlpm.qWidth,IF($E15&lt;=450,450,IF($E15&lt;=760,760,1200)),_xlpm.band,IF(_xlpm.colors=1,"1",IF(OR(_xlpm.colors=2,_xlpm.colors=3),"2-3",IF(OR(_xlpm.colors=4,_xlpm.colors=5),"4-5","6-8"))),_xlpm.widths,'Digital_per_meter-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15="",$I15=0,$I15="0"),"",IF($J15&gt;IF($Q15="Quantum",760,1220),"Error! lamination width exceeds supplier maximum",_xlfn.LET(_xlpm.len,$G15,_xlpm.colors,$I15,_xlpm.colNum,IF(_xlpm.len&lt;3000,1,IF(_xlpm.len&lt;10000,2,IF(_xlpm.len&lt;25000,3,IF(_xlpm.len&lt;50000,4,IF(_xlpm.len&lt;100000,5,IF(_xlpm.len&lt;250000,6,IF(_xlpm.len&lt;500000,7,8))))))),_xlpm.widthRow,IF($E15&lt;900,0,5),_xlpm.colorOffset,IF(OR(_xlpm.colors=1,_xlpm.colors=2,_xlpm.colors="1-2"),1,IF(OR(_xlpm.colors=3,_xlpm.colors=4,_xlpm.colors="3-4"),2,IF(OR(_xlpm.colors&gt;=5,_xlpm.colors="5-6",_xlpm.colors="5-8"),3,0))),_xlpm.supplierRow,IF($Q15="Marma",3,IF($Q15="Bastin",13,0)),IF(OR(_xlpm.supplierRow=0,_xlpm.colorOffset=0),"",INDEX('Lmntn &amp; Prntng- Marma &amp; Bastin '!$D$1:$K$22,_xlpm.supplierRow+_xlpm.widthRow+_xlpm.colorOffset,_xlpm.colNum))))))</f>
        <v>9.6379999999999993E-2</v>
      </c>
      <c r="T15" s="1075">
        <f>IF(OR($S15="",$K15=""),"",IFERROR($S15*(1/$M$20)*($J15/($D15*MAX(1,ROUNDDOWN(760/$D15,0)))),""))</f>
        <v>1.3340811644017645</v>
      </c>
      <c r="U15" s="1074" cm="1">
        <f t="array" ref="U15">IF($Q15="","",IF($J15&gt;IF($Q15="Quantum",760,1220),"Error! lamination width exceeds supplier maximum",_xlfn.LET(_xlpm.len,$G15,_xlpm.colNum,IF(_xlpm.len&lt;3000,1,IF(_xlpm.len&lt;10000,2,IF(_xlpm.len&lt;25000,3,IF(_xlpm.len&lt;50000,4,IF(_xlpm.len&lt;100000,5,IF(_xlpm.len&lt;250000,6,7)))))),_xlpm.widthRow,IF($E15&lt;900,0,5),_xlpm.supplierRow,IF($Q15="Marma",7,IF(OR($Q15="Bastin",$Q15="Quantum"),17,0)),IF(_xlpm.supplierRow=0,"",INDEX('Lmntn &amp; Prntng- Marma &amp; Bastin '!$D$1:$K$22,_xlpm.supplierRow+_xlpm.widthRow,_xlpm.colNum)))))</f>
        <v>2.3219999999999998E-2</v>
      </c>
      <c r="V15" s="1076">
        <f>IFERROR(IF(AP23="","",IF($K20&gt;31,(5%+250/$G$15)*AP23,VLOOKUP($K20,HELPER!$BH$3:$BI$5,2,TRUE)*AP23)),"")</f>
        <v>0.44231478271618963</v>
      </c>
      <c r="W15" s="1079">
        <f>IF(OR($H15&lt;&gt;"Printed",$I15=0,$I15="0"),0,IFERROR(AP23*0.028,0)+IFERROR(AP44,0))</f>
        <v>0.32244989430734494</v>
      </c>
      <c r="X15" s="202">
        <f t="shared" si="0"/>
        <v>0.19434815999999999</v>
      </c>
      <c r="Y15" s="1080">
        <f>IFERROR((SUM(X15:X20)+SUM(R15:S15,U15))*(1/M20)*(J15/E15)+V15+W15,"")</f>
        <v>13.48937311077515</v>
      </c>
      <c r="Z15" s="201">
        <f>IF(OR($M15="",$M$20=""),"",IFERROR(($N15+$P15)*$M15/$M$20,""))</f>
        <v>2.630364451374001</v>
      </c>
      <c r="AA15" s="595">
        <f>AP9</f>
        <v>1</v>
      </c>
      <c r="AB15" s="95">
        <f>IF(OR(AP13="IMP",AP13="By Imp"),IFERROR(AP14/AA15,""),"")</f>
        <v>528000</v>
      </c>
      <c r="AC15" s="624">
        <f>AP43</f>
        <v>0.33333333333333331</v>
      </c>
      <c r="AG15" s="1170" t="s">
        <v>1214</v>
      </c>
      <c r="AH15" s="658">
        <v>528</v>
      </c>
      <c r="AI15" s="552">
        <v>352</v>
      </c>
      <c r="AK15" s="517" t="s">
        <v>1214</v>
      </c>
      <c r="AL15" s="658">
        <v>528</v>
      </c>
      <c r="AM15" s="552">
        <v>352</v>
      </c>
      <c r="AO15" s="517" t="s">
        <v>1214</v>
      </c>
      <c r="AP15" s="658">
        <v>528</v>
      </c>
      <c r="AQ15" s="552">
        <v>352</v>
      </c>
    </row>
    <row r="16" spans="1:48" ht="15.75">
      <c r="A16" s="1081"/>
      <c r="B16" s="1077"/>
      <c r="C16" t="str">
        <v>TIPA 312 MET</v>
      </c>
      <c r="D16" s="1077"/>
      <c r="E16" s="1077"/>
      <c r="F16" s="1077"/>
      <c r="G16" s="1081"/>
      <c r="H16" s="1077"/>
      <c r="I16" s="1077"/>
      <c r="J16" s="502">
        <f t="shared" ref="J16:J20" si="3">IF(C16="","",$E$15+16)</f>
        <v>720</v>
      </c>
      <c r="K16" cm="1">
        <f t="array" ref="K16">_xlfn.LET(_xlpm.baseThick,IFERROR(INDEX(HELPER!$BX$2:$BX$250,MATCH(1,(TEXT(HELPER!$BZ$2:$BZ$250,"0")=TEXT($B$15,"0"))*(HELPER!$CC$2:$CC$250=$AP$4)*(HELPER!$BW$2:$BW$250=C16),0)),""),IF(_xlpm.baseThick="","",_xlpm.baseThick))</f>
        <v>25</v>
      </c>
      <c r="L16">
        <f>IFERROR(VLOOKUP(C16,HELPER!$AP$1:$AQ$25,2,FALSE),"")</f>
        <v>1.25</v>
      </c>
      <c r="M16" s="250">
        <f>IF(C16="","",IF(ISNUMBER(SEARCH("paper",C16)),42/1000*(J16/1000),IF(OR(L16="",L16=0),"",L16*1000*(K16/1000000)*(J16/1000))))</f>
        <v>2.2499999999999999E-2</v>
      </c>
      <c r="N16" s="204" cm="1">
        <f t="array" ref="N16">IF($C16="","",_xlfn.LET(
    _xlpm.mat,TRIM($C16),
    _xlpm.matKey,UPPER(SUBSTITUTE(_xlpm.mat," ","")),
    _xlpm.pr,IFERROR(LOOKUP(2,1/($H$3:H16&lt;&gt;""),$H$3:H16),""),
    _xlpm.widthActual,IFERROR(LOOKUP(2,1/($E$3:E16&lt;&gt;""),$E$3:E16),$E16),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6" s="1077"/>
      <c r="P16" s="73">
        <f>IF(OR(C16="",A$15&lt;=0),"",IFERROR(IF(O$15="Europe to US",IF(A$15&lt;500,10,IF(A$15&lt;1000,8,IF(A$15&lt;2500,6,IF(A$15&lt;5000,5,4)))),VLOOKUP(O$15,HELPER!$AF$2:$AH$3,3,FALSE)),0))</f>
        <v>0.2</v>
      </c>
      <c r="Q16" s="1077"/>
      <c r="R16" s="1074"/>
      <c r="S16" s="1074"/>
      <c r="T16" s="1075"/>
      <c r="U16" s="1074"/>
      <c r="V16" s="1077"/>
      <c r="W16" s="1079"/>
      <c r="X16" s="202">
        <f t="shared" si="0"/>
        <v>0.20597127974999999</v>
      </c>
      <c r="Y16" s="1080"/>
      <c r="Z16" s="201">
        <f>IF(OR($M16="",$M$20=""),"",IFERROR(($N16+$P16)*$M16/$M$20,""))</f>
        <v>2.787675130335217</v>
      </c>
      <c r="AG16" s="518" t="s">
        <v>575</v>
      </c>
      <c r="AH16" s="654" cm="1">
        <f t="array" ref="AH16">IF(OR(AH13="IMP",AH13="By Imp"),IFERROR(AH14/2*(AH15/1000),""),IF(AH13="By Length",IFERROR(AH14,""),IF(AH13="By Weight",IFERROR(ROUND(INDEX($G$3:$G$20,MATCH(1,($B$3:$B$20=AH3)*($D$3:$D$20=AH5)*($A$3:$A$20=IF(AH6&lt;&gt;"",AH6,A3))*($O$3:$O$20=AH11)*($K$8:$K$25=AH4),0)),0),""),"")))</f>
        <v>13939.2</v>
      </c>
      <c r="AI16" s="519" t="s">
        <v>580</v>
      </c>
      <c r="AK16" s="518" t="s">
        <v>575</v>
      </c>
      <c r="AL16" s="654" cm="1">
        <f t="array" ref="AL16">IF(OR(AL13="IMP",AL13="By Imp"),IFERROR(AL14/2*(AL15/1000),""),IF(AL13="By Length",IFERROR(AL14,""),IF(AL13="By Weight",IFERROR(ROUND(INDEX($G$3:$G$20,MATCH(1,($B$3:$B$20=AL3)*($D$3:$D$20=AL5)*($A$3:$A$20=IF(AL6&lt;&gt;"",AL6,A9))*($O$3:$O$20=AL11)*($K$8:$K$25=AL4),0)),0),""),"")))</f>
        <v>69696</v>
      </c>
      <c r="AM16" s="519" t="s">
        <v>580</v>
      </c>
      <c r="AO16" s="518" t="s">
        <v>575</v>
      </c>
      <c r="AP16" s="654" cm="1">
        <f t="array" ref="AP16">IF(OR(AP13="IMP",AP13="By Imp"),IFERROR(AP14/2*(AP15/1000),""),IF(AP13="By Length",IFERROR(AP14,""),IF(AP13="By Weight",IFERROR(ROUND(INDEX($G$3:$G$20,MATCH(1,($B$3:$B$20=AP3)*($D$3:$D$20=AP5)*($A$3:$A$20=IF(AP6&lt;&gt;"",AP6,A15))*($O$3:$O$20=AP11),0)),0),""),"")))</f>
        <v>139392</v>
      </c>
      <c r="AQ16" s="519" t="s">
        <v>580</v>
      </c>
      <c r="AV16" s="74"/>
    </row>
    <row r="17" spans="1:49" ht="15.75">
      <c r="A17" s="1081"/>
      <c r="B17" s="1077"/>
      <c r="C17" t="str">
        <v>TIPA 312 MET</v>
      </c>
      <c r="D17" s="1077"/>
      <c r="E17" s="1077"/>
      <c r="F17" s="1077"/>
      <c r="G17" s="1081"/>
      <c r="H17" s="1077"/>
      <c r="I17" s="1077"/>
      <c r="J17" s="502">
        <f t="shared" si="3"/>
        <v>720</v>
      </c>
      <c r="K17" cm="1">
        <f t="array" ref="K17">_xlfn.LET(_xlpm.baseThick,IFERROR(INDEX(HELPER!$BX$2:$BX$250,MATCH(1,(TEXT(HELPER!$BZ$2:$BZ$250,"0")=TEXT($B$15,"0"))*(HELPER!$CC$2:$CC$250=$AP$4)*(HELPER!$BW$2:$BW$250=C17),0)),""),IF(_xlpm.baseThick="","",_xlpm.baseThick))</f>
        <v>25</v>
      </c>
      <c r="L17">
        <f>IFERROR(VLOOKUP(C17,HELPER!$AP$1:$AQ$25,2,FALSE),"")</f>
        <v>1.25</v>
      </c>
      <c r="M17" s="250">
        <f>IF(C17="","",IF(ISNUMBER(SEARCH("paper",C17)),42/1000*(J17/1000),IF(OR(L17="",L17=0),"",L17*1000*(K17/1000000)*(J17/1000))))</f>
        <v>2.2499999999999999E-2</v>
      </c>
      <c r="N17" s="203" cm="1">
        <f t="array" ref="N17">IF($C17="","",_xlfn.LET(
    _xlpm.mat,TRIM($C17),
    _xlpm.matKey,UPPER(SUBSTITUTE(_xlpm.mat," ","")),
    _xlpm.pr,IFERROR(LOOKUP(2,1/($H$3:H17&lt;&gt;""),$H$3:H17),""),
    _xlpm.widthActual,IFERROR(LOOKUP(2,1/($E$3:E17&lt;&gt;""),$E$3:E17),$E17),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7" s="1077"/>
      <c r="P17" s="73">
        <f>IF(OR(C17="",A$15&lt;=0),"",IFERROR(IF(O$15="Europe to US",IF(A$15&lt;500,10,IF(A$15&lt;1000,8,IF(A$15&lt;2500,6,IF(A$15&lt;5000,5,4)))),VLOOKUP(O$15,HELPER!$AF$2:$AH$3,3,FALSE)),0))</f>
        <v>0.2</v>
      </c>
      <c r="Q17" s="1077"/>
      <c r="R17" s="1074"/>
      <c r="S17" s="1074"/>
      <c r="T17" s="1075"/>
      <c r="U17" s="1074"/>
      <c r="V17" s="1077"/>
      <c r="W17" s="1079"/>
      <c r="X17" s="202">
        <f t="shared" si="0"/>
        <v>0.20597127974999999</v>
      </c>
      <c r="Y17" s="1080"/>
      <c r="Z17" s="201">
        <f>IF(OR($M17="",$M$20=""),"",IFERROR(($N17+$P17)*$M17/$M$20,""))</f>
        <v>2.787675130335217</v>
      </c>
      <c r="AE17" s="858"/>
      <c r="AF17" s="3"/>
      <c r="AG17" s="520" t="s">
        <v>576</v>
      </c>
      <c r="AH17" s="196">
        <f>IF(AH39&lt;&gt;"",IFERROR(AH39*AH19,""),"")</f>
        <v>8000.3143327139087</v>
      </c>
      <c r="AI17" s="521" t="s">
        <v>496</v>
      </c>
      <c r="AK17" s="520" t="s">
        <v>576</v>
      </c>
      <c r="AL17" s="196">
        <f>IF(AL39&lt;&gt;"",IFERROR(AL39*AL19,""),"")</f>
        <v>35401.425078493026</v>
      </c>
      <c r="AM17" s="521" t="s">
        <v>496</v>
      </c>
      <c r="AO17" s="520" t="s">
        <v>576</v>
      </c>
      <c r="AP17" s="196">
        <f>IF(AP39&lt;&gt;"",IFERROR(AP39*AP19,""),"")</f>
        <v>67988.481124771366</v>
      </c>
      <c r="AQ17" s="521" t="s">
        <v>496</v>
      </c>
      <c r="AV17" s="74"/>
    </row>
    <row r="18" spans="1:49" ht="15.75">
      <c r="A18" s="1081"/>
      <c r="B18" s="1077"/>
      <c r="C18" t="str">
        <v>RM G Epotal ECO 3675</v>
      </c>
      <c r="D18" s="1077"/>
      <c r="E18" s="1077"/>
      <c r="F18" s="1077"/>
      <c r="G18" s="1081"/>
      <c r="H18" s="1077"/>
      <c r="I18" s="1077"/>
      <c r="J18" s="502">
        <f t="shared" si="3"/>
        <v>720</v>
      </c>
      <c r="K18" cm="1">
        <f t="array" ref="K18">_xlfn.LET(_xlpm.baseThick,IFERROR(INDEX(HELPER!$BX$2:$BX$250,MATCH(1,(TEXT(HELPER!$BZ$2:$BZ$250,"0")=TEXT($B$15,"0"))*(HELPER!$CC$2:$CC$250=$AP$4)*(HELPER!$BW$2:$BW$250=C18),0)),""),IF(_xlpm.baseThick="","",_xlpm.baseThick))</f>
        <v>7</v>
      </c>
      <c r="L18">
        <f>IFERROR(VLOOKUP(C18,HELPER!$AP$1:$AQ$25,2,FALSE),"")</f>
        <v>1</v>
      </c>
      <c r="M18" s="250">
        <f>IF(C18="","",IF(ISNUMBER(SEARCH("paper",C18)),42/1000*(J18/1000),IF(OR(L18="",L18=0),"",L18*1000*(K18/1000000)*(J18/1000))))</f>
        <v>5.0400000000000002E-3</v>
      </c>
      <c r="N18" s="203" cm="1">
        <f t="array" ref="N18">IF($C18="","",_xlfn.LET(
    _xlpm.mat,TRIM($C18),
    _xlpm.matKey,UPPER(SUBSTITUTE(_xlpm.mat," ","")),
    _xlpm.pr,IFERROR(LOOKUP(2,1/($H$3:H18&lt;&gt;""),$H$3:H18),""),
    _xlpm.widthActual,IFERROR(LOOKUP(2,1/($E$3:E18&lt;&gt;""),$E$3:E18),$E18),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18" s="1077"/>
      <c r="P18" s="73">
        <f>IF(OR(C18="",A$15&lt;=0),"",IFERROR(IF(O$15="Europe to US",IF(A$15&lt;500,10,IF(A$15&lt;1000,8,IF(A$15&lt;2500,6,IF(A$15&lt;5000,5,4)))),VLOOKUP(O$15,HELPER!$AF$2:$AH$3,3,FALSE)),0))</f>
        <v>0.2</v>
      </c>
      <c r="Q18" s="1077"/>
      <c r="R18" s="1074"/>
      <c r="S18" s="1074"/>
      <c r="T18" s="1075"/>
      <c r="U18" s="1074"/>
      <c r="V18" s="1077"/>
      <c r="W18" s="1079"/>
      <c r="X18" s="202">
        <f t="shared" si="0"/>
        <v>2.5452000000000006E-2</v>
      </c>
      <c r="Y18" s="1080"/>
      <c r="Z18" s="201">
        <f>IF(OR($M18="",$M$20=""),"",IFERROR(($N18+$P18)*$M18/$M$20,""))</f>
        <v>0.344474761255116</v>
      </c>
      <c r="AG18" s="520" t="s">
        <v>577</v>
      </c>
      <c r="AH18" s="197">
        <f>IF(AH17&lt;&gt;"",IFERROR(AH17*1.16,""),"")</f>
        <v>9280.3646259481338</v>
      </c>
      <c r="AI18" s="521" t="s">
        <v>270</v>
      </c>
      <c r="AK18" s="520" t="s">
        <v>577</v>
      </c>
      <c r="AL18" s="197">
        <f>IF(AL17&lt;&gt;"",IFERROR(AL17*1.16,""),"")</f>
        <v>41065.653091051907</v>
      </c>
      <c r="AM18" s="521" t="s">
        <v>270</v>
      </c>
      <c r="AO18" s="520" t="s">
        <v>577</v>
      </c>
      <c r="AP18" s="197">
        <f>IF(AP17&lt;&gt;"",IFERROR(AP17*1.16,""),"")</f>
        <v>78866.638104734782</v>
      </c>
      <c r="AQ18" s="521" t="s">
        <v>270</v>
      </c>
      <c r="AV18" s="74"/>
    </row>
    <row r="19" spans="1:49" ht="15.75">
      <c r="A19" s="1081"/>
      <c r="B19" s="1077"/>
      <c r="D19" s="1077"/>
      <c r="E19" s="1077"/>
      <c r="F19" s="1077"/>
      <c r="G19" s="1081"/>
      <c r="H19" s="1077"/>
      <c r="I19" s="1077"/>
      <c r="J19" s="502" t="str">
        <f t="shared" si="3"/>
        <v/>
      </c>
      <c r="K19" t="str" cm="1">
        <f t="array" ref="K19">_xlfn.LET(_xlpm.baseThick,IFERROR(INDEX(HELPER!$BX$2:$BX$250,MATCH(1,(TEXT(HELPER!$BZ$2:$BZ$250,"0")=TEXT($B$15,"0"))*(HELPER!$CC$2:$CC$250=$AP$4)*(HELPER!$BW$2:$BW$250=C19),0)),""),IF(_xlpm.baseThick="","",_xlpm.baseThick))</f>
        <v/>
      </c>
      <c r="L19" t="str">
        <f>IFERROR(VLOOKUP(C19,HELPER!$AP$1:$AQ$25,2,FALSE),"")</f>
        <v/>
      </c>
      <c r="M19" s="250" t="str">
        <f>IF(C19="","",IF(ISNUMBER(SEARCH("paper",C19)),42/1000*(J19/1000),IF(OR(L19="",L19=0),"",L19*1000*(K19/1000000)*(J19/1000))))</f>
        <v/>
      </c>
      <c r="N19" s="203" t="str" cm="1">
        <f t="array" ref="N19">IF($C19="","",_xlfn.LET(
    _xlpm.mat,TRIM($C19),
    _xlpm.matKey,UPPER(SUBSTITUTE(_xlpm.mat," ","")),
    _xlpm.pr,IFERROR(LOOKUP(2,1/($H$3:H19&lt;&gt;""),$H$3:H19),""),
    _xlpm.widthActual,IFERROR(LOOKUP(2,1/($E$3:E19&lt;&gt;""),$E$3:E19),$E19),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9" s="1077"/>
      <c r="P19" s="73" t="str">
        <f>IF(OR(C19="",A$15&lt;=0),"",IFERROR(IF(O$15="Europe to US",IF(A$15&lt;500,10,IF(A$15&lt;1000,8,IF(A$15&lt;2500,6,IF(A$15&lt;5000,5,4)))),VLOOKUP(O$15,HELPER!$AF$2:$AH$3,3,FALSE)),0))</f>
        <v/>
      </c>
      <c r="Q19" s="1077"/>
      <c r="R19" s="1074"/>
      <c r="S19" s="1074"/>
      <c r="T19" s="1075"/>
      <c r="U19" s="1074"/>
      <c r="V19" s="1077"/>
      <c r="W19" s="1079"/>
      <c r="X19" s="202" t="str">
        <f t="shared" si="0"/>
        <v/>
      </c>
      <c r="Y19" s="1080"/>
      <c r="Z19" s="201"/>
      <c r="AG19" s="522" t="s">
        <v>578</v>
      </c>
      <c r="AH19" s="200" cm="1">
        <f t="array" ref="AH19">_xlfn.LET(_xlpm.base,IF(OR(AND(AH13="By Weight",AH6&lt;&gt;""),AND(AH13="By Length",AH14&lt;&gt;""),AND(OR(AH13="IMP",AH13="By Imp"),AH14&lt;&gt;"",AH15&lt;&gt;"")),IFERROR(_xlfn.LET(_xlpm.r,MATCH(1,($B$3:$B$20=AH3)*($D$3:$D$20=AH5)*($A$3:$A$20=IF(AH6&lt;&gt;"",AH6,A3))*($O$3:$O$20=AH11)*($K$8:$K$25=AH4),0)+2,SUM(AH23:AH24,AH26)+INDEX($V$3:$V$20,_xlpm.r-2)),""),""),IF(_xlpm.base="","",_xlpm.base+IF(AH10="3''",HELPER!$DQ$1,0)))</f>
        <v>15.732696817103513</v>
      </c>
      <c r="AI19" s="523" t="s">
        <v>496</v>
      </c>
      <c r="AK19" s="522" t="s">
        <v>578</v>
      </c>
      <c r="AL19" s="200" cm="1">
        <f t="array" ref="AL19">_xlfn.LET(_xlpm.base,IF(OR(AND(AL13="By Weight",AL6&lt;&gt;""),AND(AL13="By Length",AL14&lt;&gt;""),AND(OR(AL13="IMP",AL13="By Imp"),AL14&lt;&gt;"",AL15&lt;&gt;"")),IFERROR(_xlfn.LET(_xlpm.r,MATCH(1,($B$3:$B$20=AL3)*($D$3:$D$20=AL5)*($A$3:$A$20=IF(AL6&lt;&gt;"",AL6,A9))*($O$3:$O$20=AL11)*($K$8:$K$25=AL4),0)+2,SUM(AL23:AL24,AL26)+INDEX($V$3:$V$20,_xlpm.r-2)),""),""),IF(_xlpm.base="","",_xlpm.base+IF(AL10="3''",HELPER!$DQ$1,0)))</f>
        <v>14.033840861146787</v>
      </c>
      <c r="AM19" s="523" t="s">
        <v>496</v>
      </c>
      <c r="AO19" s="522" t="s">
        <v>578</v>
      </c>
      <c r="AP19" s="200" cm="1">
        <f t="array" ref="AP19">_xlfn.LET(_xlpm.base,IF(OR(AND(AP13="By Weight",AP6&lt;&gt;""),AND(AP13="By Length",AP14&lt;&gt;""),AND(OR(AP13="IMP",AP13="By Imp"),AP14&lt;&gt;"",AP15&lt;&gt;"")),IFERROR(_xlfn.LET(_xlpm.r,MATCH(1,($B$3:$B$20=AP3)*($D$3:$D$20=AP5)*($A$3:$A$20=IF(AP6&lt;&gt;"",AP6,A15))*($O$3:$O$20=AP11),0)+2,SUM(AP23:AP24,AP26)+INDEX($V$3:$V$20,_xlpm.r-2)),""),""),IF(_xlpm.base="","",_xlpm.base+IF(AP10="3''",HELPER!$DQ$1,0)))</f>
        <v>13.489373110775151</v>
      </c>
      <c r="AQ19" s="523" t="s">
        <v>496</v>
      </c>
      <c r="AV19" s="74"/>
    </row>
    <row r="20" spans="1:49" ht="15.75">
      <c r="A20" s="1081"/>
      <c r="B20" s="1077"/>
      <c r="D20" s="1077"/>
      <c r="E20" s="1077"/>
      <c r="F20" s="1077"/>
      <c r="G20" s="1081"/>
      <c r="H20" s="1077"/>
      <c r="I20" s="1077"/>
      <c r="J20" s="502" t="str">
        <f t="shared" si="3"/>
        <v/>
      </c>
      <c r="K20" s="170">
        <f>AP4</f>
        <v>80</v>
      </c>
      <c r="L20" t="str">
        <f>IFERROR(VLOOKUP(C20,HELPER!$AP$1:$AQ$25,2,FALSE),"")</f>
        <v/>
      </c>
      <c r="M20" s="251">
        <f>SUM(M15:M19)</f>
        <v>7.3886400000000005E-2</v>
      </c>
      <c r="N20" s="203" t="str" cm="1">
        <f t="array" ref="N20">IF($C20="","",_xlfn.LET(
    _xlpm.mat,TRIM($C20),
    _xlpm.matKey,UPPER(SUBSTITUTE(_xlpm.mat," ","")),
    _xlpm.pr,IFERROR(LOOKUP(2,1/($H$3:H20&lt;&gt;""),$H$3:H20),""),
    _xlpm.widthActual,IFERROR(LOOKUP(2,1/($E$3:E20&lt;&gt;""),$E$3:E20),$E20),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20" s="1077"/>
      <c r="P20" s="73" t="str">
        <f>IF(OR(C20="",A$15&lt;=0),"",IFERROR(IF(O$15="Europe to US",IF(A$15&lt;500,10,IF(A$15&lt;1000,8,IF(A$15&lt;2500,6,IF(A$15&lt;5000,5,4)))),VLOOKUP(O$15,HELPER!$AF$2:$AH$3,3,FALSE)),0))</f>
        <v/>
      </c>
      <c r="Q20" s="1077"/>
      <c r="R20" s="1074"/>
      <c r="S20" s="1074"/>
      <c r="T20" s="1075"/>
      <c r="U20" s="1074"/>
      <c r="V20" s="1077"/>
      <c r="W20" s="1079"/>
      <c r="X20" s="202"/>
      <c r="Y20" s="1080"/>
      <c r="AG20" s="520" t="s">
        <v>579</v>
      </c>
      <c r="AH20" s="197">
        <f>IF(AH19&lt;&gt;"",IFERROR(AH19*1.16,""),"")</f>
        <v>18.249928307840072</v>
      </c>
      <c r="AI20" s="521" t="s">
        <v>270</v>
      </c>
      <c r="AJ20" s="236"/>
      <c r="AK20" s="520" t="s">
        <v>579</v>
      </c>
      <c r="AL20" s="197">
        <f>IF(AL19&lt;&gt;"",IFERROR(AL19*1.16,""),"")</f>
        <v>16.279255398930271</v>
      </c>
      <c r="AM20" s="521" t="s">
        <v>270</v>
      </c>
      <c r="AO20" s="520" t="s">
        <v>579</v>
      </c>
      <c r="AP20" s="197">
        <f>IF(AP19&lt;&gt;"",IFERROR(AP19*1.16,""),"")</f>
        <v>15.647672808499175</v>
      </c>
      <c r="AQ20" s="521" t="s">
        <v>270</v>
      </c>
      <c r="AV20" s="74"/>
    </row>
    <row r="21" spans="1:49" ht="16.5" thickBot="1">
      <c r="A21"/>
      <c r="C21" s="38"/>
      <c r="G21">
        <f>85772/(ROUNDDOWN(J3/D3,0))</f>
        <v>42886</v>
      </c>
      <c r="J21" s="502" t="str">
        <f t="shared" ref="J15:J26" si="4">IF($C21="","",IF($E$15="","",IF(ISNUMBER($E$15),_xlfn.LET(_xlpm.cap,IF($Q$15="Quantum",760,1220),IF($E$15+50&gt;_xlpm.cap,"ERROR: Lamination Width &gt; "&amp;_xlpm.cap,$E$15+50)),$E$15)))</f>
        <v/>
      </c>
      <c r="K21" s="169">
        <v>202</v>
      </c>
      <c r="M21" s="250"/>
      <c r="N21" s="203" t="str" cm="1">
        <f t="array" ref="N21">IF($C21="","",_xlfn.LET(
    _xlpm.mat,TRIM($C21),
    _xlpm.matKey,UPPER(SUBSTITUTE(_xlpm.mat," ","")),
    _xlpm.pr,IFERROR(LOOKUP(2,1/($H$3:H21&lt;&gt;""),$H$3:H21),""),
    _xlpm.widthActual,IFERROR(LOOKUP(2,1/($E$3:E21&lt;&gt;""),$E$3:E21),$E21),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1"/>
      <c r="S21"/>
      <c r="T21" s="1073" t="str">
        <f>IF(OR($S21="",$K21=""),"",IFERROR($S21*(1/$M$26)*($J21/($D21*MAX(1,ROUNDDOWN(760/$D21,0)))),""))</f>
        <v/>
      </c>
      <c r="U21"/>
      <c r="X21" s="202"/>
      <c r="Y21" s="202"/>
      <c r="Z21" s="201"/>
      <c r="AG21" s="524" t="s">
        <v>836</v>
      </c>
      <c r="AH21" s="525">
        <f>IF(AH39&lt;&gt;"",IFERROR(AH17/AH39,""),"")</f>
        <v>15.732696817103514</v>
      </c>
      <c r="AI21" s="526" t="s">
        <v>837</v>
      </c>
      <c r="AK21" s="524" t="s">
        <v>836</v>
      </c>
      <c r="AL21" s="525">
        <f>IF(AL39&lt;&gt;"",IFERROR(AL17/AL39,""),"")</f>
        <v>14.033840861146789</v>
      </c>
      <c r="AM21" s="526" t="s">
        <v>837</v>
      </c>
      <c r="AO21" s="524" t="s">
        <v>836</v>
      </c>
      <c r="AP21" s="525">
        <f>IF(AP39&lt;&gt;"",IFERROR(AP17/AP39,""),"")</f>
        <v>13.489373110775151</v>
      </c>
      <c r="AQ21" s="526" t="s">
        <v>837</v>
      </c>
    </row>
    <row r="22" spans="1:49">
      <c r="A22"/>
      <c r="J22" s="502" t="str">
        <f t="shared" si="4"/>
        <v/>
      </c>
      <c r="M22" s="250"/>
      <c r="N22" s="203" t="str" cm="1">
        <f t="array" ref="N22">IF($C22="","",_xlfn.LET(
    _xlpm.mat,TRIM($C22),
    _xlpm.matKey,UPPER(SUBSTITUTE(_xlpm.mat," ","")),
    _xlpm.pr,IFERROR(LOOKUP(2,1/($H$3:H22&lt;&gt;""),$H$3:H22),""),
    _xlpm.widthActual,IFERROR(LOOKUP(2,1/($E$3:E22&lt;&gt;""),$E$3:E22),$E22),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2"/>
      <c r="S22">
        <v>0.18306</v>
      </c>
      <c r="T22" s="1073"/>
      <c r="U22"/>
      <c r="X22" s="64"/>
      <c r="Y22" s="64" t="s">
        <v>508</v>
      </c>
      <c r="AG22" t="s">
        <v>1213</v>
      </c>
      <c r="AH22" s="74">
        <f>IFERROR(AH41*AH43,"")</f>
        <v>4646.3999999999996</v>
      </c>
      <c r="AI22" t="s">
        <v>580</v>
      </c>
      <c r="AK22" t="s">
        <v>1213</v>
      </c>
      <c r="AL22" s="74">
        <f>IFERROR(AL41*AL43,"")</f>
        <v>23232</v>
      </c>
      <c r="AM22" t="s">
        <v>580</v>
      </c>
      <c r="AO22" t="s">
        <v>1213</v>
      </c>
      <c r="AP22" s="74">
        <f>IFERROR(AP41*AP43,"")</f>
        <v>46464</v>
      </c>
      <c r="AQ22" t="s">
        <v>580</v>
      </c>
    </row>
    <row r="23" spans="1:49">
      <c r="A23"/>
      <c r="J23" s="502" t="str">
        <f t="shared" si="4"/>
        <v/>
      </c>
      <c r="M23" s="250"/>
      <c r="N23" s="203" t="str" cm="1">
        <f t="array" ref="N23">IF($C23="","",_xlfn.LET(
    _xlpm.mat,TRIM($C23),
    _xlpm.matKey,UPPER(SUBSTITUTE(_xlpm.mat," ","")),
    _xlpm.pr,IFERROR(LOOKUP(2,1/($H$3:H23&lt;&gt;""),$H$3:H23),""),
    _xlpm.widthActual,IFERROR(LOOKUP(2,1/($E$3:E23&lt;&gt;""),$E$3:E23),$E23),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3"/>
      <c r="S23"/>
      <c r="T23" s="1073"/>
      <c r="U23"/>
      <c r="Z23" s="445"/>
      <c r="AG23" t="s">
        <v>581</v>
      </c>
      <c r="AH23" s="253" cm="1">
        <f t="array" ref="AH23">IF(OR(AND(AH13="By Weight",AH6&lt;&gt;""),AND(AH13="By Length",AH14&lt;&gt;""),AND(OR(AH13="IMP",AH13="By Imp"),AH14&lt;&gt;"",AH15&lt;&gt;"")),IFERROR(_xlfn.LET(_xlpm.r,MATCH(1,($B$3:$B$20=AH3)*($D$3:$D$20=AH5)*($A$3:$A$20=IF(AH6&lt;&gt;"",AH6,A3))*($O$3:$O$20=AH11)*($K$8:$K$25=AH4),0)+2,SUMPRODUCT(INDEX($N$3:$N$20,_xlpm.r-2):INDEX($N$3:$N$20,_xlpm.r+3),INDEX($M$3:$M$20,_xlpm.r-2):INDEX($M$3:$M$20,_xlpm.r+3))*(1/INDEX($M$3:$M$20,MATCH(1,($B$3:$B$20=AH3)*($D$3:$D$20=AH5)*($A$3:$A$20=IF(AH6&lt;&gt;"",AH6,A3))*($O$3:$O$20=AH11)*($K$8:$K$25=AH4),0)+5))*(INDEX($J$3:$J$20,_xlpm.r-2)/INDEX($E$3:$E$20,_xlpm.r-2))),""),"")</f>
        <v>8.5399665067836317</v>
      </c>
      <c r="AK23" t="s">
        <v>587</v>
      </c>
      <c r="AL23" s="253" cm="1">
        <f t="array" ref="AL23">IF(OR(AND(AL13="By Weight",AL6&lt;&gt;""),AND(AL13="By Length",AL14&lt;&gt;""),AND(OR(AL13="IMP",AL13="By Imp"),AL14&lt;&gt;"",AL15&lt;&gt;"")),IFERROR(_xlfn.LET(_xlpm.r,MATCH(1,($B$3:$B$20=AL3)*($D$3:$D$20=AL5)*($A$3:$A$20=IF(AL6&lt;&gt;"",AL6,A9))*($O$3:$O$20=AL11)*($K$8:$K$25=AL4),0)+2,SUMPRODUCT(INDEX($N$3:$N$20,_xlpm.r-2):INDEX($N$3:$N$20,_xlpm.r+3),INDEX($M$3:$M$20,_xlpm.r-2):INDEX($M$3:$M$20,_xlpm.r+3))*(1/INDEX($M$3:$M$20,MATCH(1,($B$3:$B$20=AL3)*($D$3:$D$20=AL5)*($A$3:$A$20=IF(AL6&lt;&gt;"",AL6,A9))*($O$3:$O$20=AL11)*($K$8:$K$25=AL4),0)+5))*(INDEX($J$3:$J$20,_xlpm.r-2)/INDEX($E$3:$E$20,_xlpm.r-2))),""),"")</f>
        <v>8.5399665067836317</v>
      </c>
      <c r="AO23" t="s">
        <v>587</v>
      </c>
      <c r="AP23" s="253" cm="1">
        <f t="array" ref="AP23">IF(OR(AND(AP13="By Weight",AP6&lt;&gt;""),AND(AP13="By Length",AP14&lt;&gt;""),AND(OR(AP13="IMP",AP13="By Imp"),AP14&lt;&gt;"",AP15&lt;&gt;"")),IFERROR(_xlfn.LET(_xlpm.r,MATCH(1,($B$3:$B$20=AP3)*($D$3:$D$20=AP5)*($A$3:$A$20=IF(AP6&lt;&gt;"",AP6,A15))*($O$3:$O$20=AP11),0)+2,SUMPRODUCT(INDEX($N$3:$N$20,_xlpm.r-2):INDEX($N$3:$N$20,_xlpm.r+3),INDEX($M$3:$M$20,_xlpm.r-2):INDEX($M$3:$M$20,_xlpm.r+3))*(1/INDEX($M$3:$M$20,MATCH(1,($B$3:$B$20=AP3)*($D$3:$D$20=AP5)*($A$3:$A$20=IF(AP6&lt;&gt;"",AP6,A15))*($O$3:$O$20=AP11),0)+5))*(INDEX($J$3:$J$20,_xlpm.r-2)/INDEX($E$3:$E$20,_xlpm.r-2))),""),"")</f>
        <v>8.5399665067836317</v>
      </c>
    </row>
    <row r="24" spans="1:49">
      <c r="A24"/>
      <c r="J24" s="502" t="str">
        <f t="shared" si="4"/>
        <v/>
      </c>
      <c r="M24" s="250"/>
      <c r="N24" s="203" t="str" cm="1">
        <f t="array" ref="N24">IF($C24="","",_xlfn.LET(
    _xlpm.mat,TRIM($C24),
    _xlpm.matKey,UPPER(SUBSTITUTE(_xlpm.mat," ","")),
    _xlpm.pr,IFERROR(LOOKUP(2,1/($H$3:H24&lt;&gt;""),$H$3:H24),""),
    _xlpm.widthActual,IFERROR(LOOKUP(2,1/($E$3:E24&lt;&gt;""),$E$3:E24),$E24),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4"/>
      <c r="S24"/>
      <c r="T24" s="1073"/>
      <c r="U24"/>
      <c r="AG24" t="s">
        <v>582</v>
      </c>
      <c r="AH24" s="253" cm="1">
        <f t="array" ref="AH24">IF(OR(AND(AH13="By Weight",AH6&lt;&gt;""),AND(AH13="By Length",AH14&lt;&gt;""),AND(OR(AH13="IMP",AH13="By Imp"),AH14&lt;&gt;"",AH15&lt;&gt;"")),IFERROR(_xlfn.LET(_xlpm.r,MATCH(1,($B$3:$B$20=AH3)*($D$3:$D$20=AH5)*($A$3:$A$20=IF(AH6&lt;&gt;"",AH6,A3))*($O$3:$O$20=AH11)*($K$8:$K$25=AH4),0)+2,SUMPRODUCT(INDEX($P$3:$P$20,_xlpm.r-2):INDEX($P$3:$P$20,_xlpm.r+3),INDEX($M$3:$M$20,_xlpm.r-2):INDEX($M$3:$M$20,_xlpm.r+3))*(1/INDEX($M$3:$M$20,MATCH(1,($B$3:$B$20=AH3)*($D$3:$D$20=AH5)*($A$3:$A$20=IF(AH6&lt;&gt;"",AH6,A3))*($O$3:$O$20=AH11)*($K$8:$K$25=AH4),0)+5))*(INDEX($J$3:$J$20,_xlpm.r-2)/INDEX($E$3:$E$20,_xlpm.r-2))),""),"")</f>
        <v>0.2045454545454545</v>
      </c>
      <c r="AK24" t="s">
        <v>588</v>
      </c>
      <c r="AL24" s="253" cm="1">
        <f t="array" ref="AL24">IF(OR(AND(AL13="By Weight",AL6&lt;&gt;""),AND(AL13="By Length",AL14&lt;&gt;""),AND(OR(AL13="IMP",AL13="By Imp"),AL14&lt;&gt;"",AL15&lt;&gt;"")),IFERROR(_xlfn.LET(_xlpm.r,MATCH(1,($B$3:$B$20=AL3)*($D$3:$D$20=AL5)*($A$3:$A$20=IF(AL6&lt;&gt;"",AL6,A9))*($O$3:$O$20=AL11)*($K$8:$K$25=AL4),0)+2,SUMPRODUCT(INDEX($P$3:$P$20,_xlpm.r-2):INDEX($P$3:$P$20,_xlpm.r+3),INDEX($M$3:$M$20,_xlpm.r-2):INDEX($M$3:$M$20,_xlpm.r+3))*(1/INDEX($M$3:$M$20,MATCH(1,($B$3:$B$20=AL3)*($D$3:$D$20=AL5)*($A$3:$A$20=IF(AL6&lt;&gt;"",AL6,A9))*($O$3:$O$20=AL11)*($K$8:$K$25=AL4),0)+5))*(INDEX($J$3:$J$20,_xlpm.r-2)/INDEX($E$3:$E$20,_xlpm.r-2))),""),"")</f>
        <v>0.2045454545454545</v>
      </c>
      <c r="AO24" t="s">
        <v>588</v>
      </c>
      <c r="AP24" s="253" cm="1">
        <f t="array" ref="AP24">IF(OR(AND(AP13="By Weight",AP6&lt;&gt;""),AND(AP13="By Length",AP14&lt;&gt;""),AND(OR(AP13="IMP",AP13="By Imp"),AP14&lt;&gt;"",AP15&lt;&gt;"")),IFERROR(_xlfn.LET(_xlpm.r,MATCH(1,($B$3:$B$20=AP3)*($D$3:$D$20=AP5)*($A$3:$A$20=IF(AP6&lt;&gt;"",AP6,A15))*($O$3:$O$20=AP11),0)+2,SUMPRODUCT(INDEX($P$3:$P$20,_xlpm.r-2):INDEX($P$3:$P$20,_xlpm.r+3),INDEX($M$3:$M$20,_xlpm.r-2):INDEX($M$3:$M$20,_xlpm.r+3))*(1/INDEX($M$3:$M$20,MATCH(1,($B$3:$B$20=AP3)*($D$3:$D$20=AP5)*($A$3:$A$20=IF(AP6&lt;&gt;"",AP6,A15))*($O$3:$O$20=AP11),0)+5))*(INDEX($J$3:$J$20,_xlpm.r-2)/INDEX($E$3:$E$20,_xlpm.r-2))),""),"")</f>
        <v>0.2045454545454545</v>
      </c>
    </row>
    <row r="25" spans="1:49">
      <c r="A25"/>
      <c r="J25" s="502" t="str">
        <f t="shared" si="4"/>
        <v/>
      </c>
      <c r="M25" s="250"/>
      <c r="N25" s="203" t="str" cm="1">
        <f t="array" ref="N25">IF($C25="","",_xlfn.LET(
    _xlpm.mat,TRIM($C25),
    _xlpm.matKey,UPPER(SUBSTITUTE(_xlpm.mat," ","")),
    _xlpm.pr,IFERROR(LOOKUP(2,1/($H$3:H25&lt;&gt;""),$H$3:H25),""),
    _xlpm.widthActual,IFERROR(LOOKUP(2,1/($E$3:E25&lt;&gt;""),$E$3:E25),$E25),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5"/>
      <c r="S25"/>
      <c r="T25" s="1073"/>
      <c r="U25"/>
      <c r="AD25" s="808"/>
      <c r="AG25" t="s">
        <v>583</v>
      </c>
      <c r="AH25" s="253" cm="1">
        <f t="array" ref="AH25">IF(OR(AND(AH13="By Weight",AH6&lt;&gt;""),AND(AH13="By Length",AH14&lt;&gt;""),AND(OR(AH13="IMP",AH13="By Imp"),AH14&lt;&gt;"",AH15&lt;&gt;"")),IFERROR(_xlfn.LET(_xlpm.r,MATCH(1,($B$3:$B$20=AH3)*($D$3:$D$20=AH5)*($A$3:$A$20=IF(AH6&lt;&gt;"",AH6,A3))*($O$3:$O$20=AH11)*($K$8:$K$25=AH4),0)+2,INDEX($R$3:$R$20,_xlpm.r-2)*(1/INDEX($M$3:$M$20,MATCH(1,($B$3:$B$20=AH3)*($D$3:$D$20=AH5)*($A$3:$A$20=IF(AH6&lt;&gt;"",AH6,A3))*($O$3:$O$20=AH11)*($K$8:$K$25=AH4),0)+5))*(INDEX($J$3:$J$20,_xlpm.r-2)/INDEX($E$3:$E$20,_xlpm.r-2))),""),"")</f>
        <v>2.5338960153080206</v>
      </c>
      <c r="AK25" t="s">
        <v>589</v>
      </c>
      <c r="AL25" s="253" cm="1">
        <f t="array" ref="AL25">IF(OR(AND(AL13="By Weight",AL6&lt;&gt;""),AND(AL13="By Length",AL14&lt;&gt;""),AND(OR(AL13="IMP",AL13="By Imp"),AL14&lt;&gt;"",AL15&lt;&gt;"")),IFERROR(_xlfn.LET(_xlpm.r,MATCH(1,($B$3:$B$20=AL3)*($D$3:$D$20=AL5)*($A$3:$A$20=IF(AL6&lt;&gt;"",AL6,A9))*($O$3:$O$20=AL11)*($K$8:$K$25=AL4),0)+2,INDEX($R$3:$R$20,_xlpm.r-2)*(1/INDEX($M$3:$M$20,MATCH(1,($B$3:$B$20=AL3)*($D$3:$D$20=AL5)*($A$3:$A$20=IF(AL6&lt;&gt;"",AL6,A9))*($O$3:$O$20=AL11)*($K$8:$K$25=AL4),0)+5))*(INDEX($J$3:$J$20,_xlpm.r-2)/INDEX($E$3:$E$20,_xlpm.r-2))),""),"")</f>
        <v>2.3478610407328002</v>
      </c>
      <c r="AO25" t="s">
        <v>589</v>
      </c>
      <c r="AP25" s="253" cm="1">
        <f t="array" ref="AP25">IF(OR(AND(AP13="By Weight",AP6&lt;&gt;""),AND(AP13="By Length",AP14&lt;&gt;""),AND(OR(AP13="IMP",AP13="By Imp"),AP14&lt;&gt;"",AP15&lt;&gt;"")),IFERROR(_xlfn.LET(_xlpm.r,MATCH(1,($B$3:$B$20=AP3)*($D$3:$D$20=AP5)*($A$3:$A$20=IF(AP6&lt;&gt;"",AP6,A15))*($O$3:$O$20=AP11),0)+2,INDEX($R$3:$R$20,_xlpm.r-2)*(1/INDEX($M$3:$M$20,MATCH(1,($B$3:$B$20=AP3)*($D$3:$D$20=AP5)*($A$3:$A$20=IF(AP6&lt;&gt;"",AP6,A15))*($O$3:$O$20=AP11),0)+5))*(INDEX($J$3:$J$20,_xlpm.r-2)/INDEX($E$3:$E$20,_xlpm.r-2))),""),"")</f>
        <v>2.324606668910898</v>
      </c>
    </row>
    <row r="26" spans="1:49" ht="15.75" thickBot="1">
      <c r="A26"/>
      <c r="J26" s="502" t="str">
        <f t="shared" si="4"/>
        <v/>
      </c>
      <c r="M26" s="250"/>
      <c r="N26" s="203" t="str" cm="1">
        <f t="array" ref="N26">IF($C26="","",_xlfn.LET(
    _xlpm.mat,TRIM($C26),
    _xlpm.matKey,UPPER(SUBSTITUTE(_xlpm.mat," ","")),
    _xlpm.pr,IFERROR(LOOKUP(2,1/($H$3:H26&lt;&gt;""),$H$3:H26),""),
    _xlpm.widthActual,IFERROR(LOOKUP(2,1/($E$3:E26&lt;&gt;""),$E$3:E26),$E26),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6"/>
      <c r="S26"/>
      <c r="T26" s="1073"/>
      <c r="U26"/>
      <c r="AD26" s="808"/>
      <c r="AG26" t="s">
        <v>840</v>
      </c>
      <c r="AH26" s="253" cm="1">
        <f t="array" ref="AH26">IF(OR(AND(AH13="By Weight",AH6&lt;&gt;""),AND(AH13="By Length",AH14&lt;&gt;""),AND(OR(AH13="IMP",AH13="By Imp"),AH14&lt;&gt;"",AH15&lt;&gt;"")),IFERROR(_xlfn.LET(_xlpm.r,MATCH(1,($B$3:$B$20=AH3)*($D$3:$D$20=AH5)*($A$3:$A$20=IF(AH6&lt;&gt;"",AH6,A3))*($O$3:$O$20=AH11)*($K$8:$K$25=AH4),0)+2,(SUM(INDEX($R$3:$S$20,_xlpm.r-2,1):INDEX($R$3:$S$20,_xlpm.r-2,2))+INDEX($U$3:$U$20,_xlpm.r-2))*(1/INDEX($M$3:$M$20,MATCH(1,($B$3:$B$20=AH3)*($D$3:$D$20=AH5)*($A$3:$A$20=IF(AH6&lt;&gt;"",AH6,A3))*($O$3:$O$20=AH11)*($K$8:$K$25=AH4),0)+5))*(INDEX($J$3:$J$20,_xlpm.r-2)/INDEX($E$3:$E$20,_xlpm.r-2))+INDEX($W$3:$W$20,_xlpm.r-2)),""),"")</f>
        <v>6.4080219566651646</v>
      </c>
      <c r="AK26" t="s">
        <v>841</v>
      </c>
      <c r="AL26" s="253" cm="1">
        <f t="array" ref="AL26">IF(OR(AND(AL13="By Weight",AL6&lt;&gt;""),AND(AL13="By Length",AL14&lt;&gt;""),AND(OR(AL13="IMP",AL13="By Imp"),AL14&lt;&gt;"",AL15&lt;&gt;"")),IFERROR(_xlfn.LET(_xlpm.r,MATCH(1,($B$3:$B$20=AL3)*($D$3:$D$20=AL5)*($A$3:$A$20=IF(AL6&lt;&gt;"",AL6,A9))*($O$3:$O$20=AL11)*($K$8:$K$25=AL4),0)+2,(SUM(INDEX($R$3:$S$20,_xlpm.r-2,1):INDEX($R$3:$S$20,_xlpm.r-2,2))+INDEX($U$3:$U$20,_xlpm.r-2))*(1/INDEX($M$3:$M$20,MATCH(1,($B$3:$B$20=AL3)*($D$3:$D$20=AL5)*($A$3:$A$20=IF(AL6&lt;&gt;"",AL6,A9))*($O$3:$O$20=AL11)*($K$8:$K$25=AL4),0)+5))*(INDEX($J$3:$J$20,_xlpm.r-2)/INDEX($E$3:$E$20,_xlpm.r-2))+INDEX($W$3:$W$20,_xlpm.r-2)),""),"")</f>
        <v>4.8316976597245036</v>
      </c>
      <c r="AO26" t="s">
        <v>841</v>
      </c>
      <c r="AP26" s="253" cm="1">
        <f t="array" ref="AP26">IF(OR(AND(AP13="By Weight",AP6&lt;&gt;""),AND(AP13="By Length",AP14&lt;&gt;""),AND(OR(AP13="IMP",AP13="By Imp"),AP14&lt;&gt;"",AP15&lt;&gt;"")),IFERROR(_xlfn.LET(_xlpm.r,MATCH(1,($B$3:$B$20=AP3)*($D$3:$D$20=AP5)*($A$3:$A$20=IF(AP6&lt;&gt;"",AP6,A15))*($O$3:$O$20=AP11),0)+2,(SUM(INDEX($R$3:$S$20,_xlpm.r-2,1):INDEX($R$3:$S$20,_xlpm.r-2,2))+INDEX($U$3:$U$20,_xlpm.r-2))*(1/INDEX($M$3:$M$20,MATCH(1,($B$3:$B$20=AP3)*($D$3:$D$20=AP5)*($A$3:$A$20=IF(AP6&lt;&gt;"",AP6,A15))*($O$3:$O$20=AP11),0)+5))*(INDEX($J$3:$J$20,_xlpm.r-2)/INDEX($E$3:$E$20,_xlpm.r-2))+INDEX($W$3:$W$20,_xlpm.r-2)),""),"")</f>
        <v>4.3025463667298744</v>
      </c>
    </row>
    <row r="27" spans="1:49" ht="15.75">
      <c r="A27"/>
      <c r="J27" s="502"/>
      <c r="M27" s="250"/>
      <c r="N27" s="203"/>
      <c r="R27"/>
      <c r="S27"/>
      <c r="T27" s="509"/>
      <c r="U27"/>
      <c r="AA27" s="3"/>
      <c r="AE27" s="858"/>
      <c r="AG27" s="1064" t="s">
        <v>997</v>
      </c>
      <c r="AH27" s="1065"/>
      <c r="AI27" s="1066"/>
      <c r="AK27" s="1064" t="s">
        <v>997</v>
      </c>
      <c r="AL27" s="1065"/>
      <c r="AM27" s="1066"/>
      <c r="AO27" s="1064" t="s">
        <v>997</v>
      </c>
      <c r="AP27" s="1065"/>
      <c r="AQ27" s="1066"/>
    </row>
    <row r="28" spans="1:49" ht="21">
      <c r="A28"/>
      <c r="J28" s="502"/>
      <c r="M28" s="250"/>
      <c r="N28" s="203"/>
      <c r="R28"/>
      <c r="S28"/>
      <c r="T28" s="509"/>
      <c r="U28"/>
      <c r="AC28" s="244"/>
      <c r="AE28" s="858"/>
      <c r="AG28" s="1067">
        <f>IF(AH39&lt;&gt;"",IFERROR(AH19/(1-AH1),""),"")</f>
        <v>18.509055078945309</v>
      </c>
      <c r="AH28" s="1171"/>
      <c r="AI28" s="1069"/>
      <c r="AK28" s="1067">
        <f>IF(AL39&lt;&gt;"",IFERROR(AL19/(1-AL1),""),"")</f>
        <v>16.510401013113867</v>
      </c>
      <c r="AL28" s="1171"/>
      <c r="AM28" s="1069"/>
      <c r="AO28" s="1067">
        <f>IF(AP39&lt;&gt;"",IFERROR(AP19/(1-AP1),""),"")</f>
        <v>15.869850718559002</v>
      </c>
      <c r="AP28" s="1171"/>
      <c r="AQ28" s="1069"/>
      <c r="AS28" s="119"/>
    </row>
    <row r="29" spans="1:49">
      <c r="A29"/>
      <c r="J29" s="502" t="str">
        <f>IF($C29="","",IF($E$15="","",IF(ISNUMBER($E$15),_xlfn.LET(_xlpm.cap,IF($Q$15="Quantum",760,1220),IF($E$15+50&gt;_xlpm.cap,"ERROR: Lamination Width &gt; "&amp;_xlpm.cap,$E$15+50)),$E$15)))</f>
        <v/>
      </c>
      <c r="M29" s="250"/>
      <c r="N29" s="203" t="str" cm="1">
        <f t="array" ref="N29">IF($C29="","",_xlfn.LET(
    _xlpm.mat,TRIM($C29),
    _xlpm.matKey,UPPER(SUBSTITUTE(_xlpm.mat," ","")),
    _xlpm.pr,IFERROR(LOOKUP(2,1/($H$3:H29&lt;&gt;""),$H$3:H29),""),
    _xlpm.widthActual,IFERROR(LOOKUP(2,1/($E$3:E29&lt;&gt;""),$E$3:E29),$E29),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9"/>
      <c r="S29"/>
      <c r="T29" t="str">
        <f>IF(OR($S29="",$K29=""),"",IFERROR($S29*(1/$M$37)*($J29/($D29*MAX(1,ROUNDDOWN(760/$D29,0)))),""))</f>
        <v/>
      </c>
      <c r="U29"/>
      <c r="AE29" s="858"/>
      <c r="AG29" s="531" t="s">
        <v>1041</v>
      </c>
      <c r="AH29" s="1172">
        <f>IF(OR(AH16="",AH39=""),"",IFERROR(AG28*AH39/AH16,""))</f>
        <v>0.67522773968916328</v>
      </c>
      <c r="AI29" s="532" t="s">
        <v>998</v>
      </c>
      <c r="AK29" s="531" t="s">
        <v>1041</v>
      </c>
      <c r="AL29" s="1172">
        <f>IF(OR(AL16="",AL39=""),"",IFERROR(AK28*AL39/AL16,""))</f>
        <v>0.59757712618317238</v>
      </c>
      <c r="AM29" s="532" t="s">
        <v>998</v>
      </c>
      <c r="AO29" s="531" t="s">
        <v>1041</v>
      </c>
      <c r="AP29" s="1172">
        <f>IF(OR(AP16="",AP39=""),"",IFERROR(AO28*AP39/AP16,""))</f>
        <v>0.57382380898533603</v>
      </c>
      <c r="AQ29" s="532" t="s">
        <v>998</v>
      </c>
    </row>
    <row r="30" spans="1:49">
      <c r="A30"/>
      <c r="J30" s="502"/>
      <c r="M30" s="250"/>
      <c r="N30" s="203"/>
      <c r="R30"/>
      <c r="S30"/>
      <c r="T30"/>
      <c r="U30"/>
      <c r="AE30" s="858"/>
      <c r="AG30" s="531" t="s">
        <v>1042</v>
      </c>
      <c r="AH30" s="1173">
        <f>IFERROR(AG28,"")</f>
        <v>18.509055078945309</v>
      </c>
      <c r="AI30" s="532" t="s">
        <v>837</v>
      </c>
      <c r="AK30" s="531" t="s">
        <v>1042</v>
      </c>
      <c r="AL30" s="1173">
        <f>IFERROR(AK28,"")</f>
        <v>16.510401013113867</v>
      </c>
      <c r="AM30" s="532" t="s">
        <v>837</v>
      </c>
      <c r="AO30" s="531" t="s">
        <v>1042</v>
      </c>
      <c r="AP30" s="1173">
        <f>IFERROR(AO28,"")</f>
        <v>15.869850718559002</v>
      </c>
      <c r="AQ30" s="532" t="s">
        <v>837</v>
      </c>
    </row>
    <row r="31" spans="1:49">
      <c r="A31"/>
      <c r="J31" s="502"/>
      <c r="M31" s="250"/>
      <c r="N31" s="203"/>
      <c r="R31"/>
      <c r="S31"/>
      <c r="T31"/>
      <c r="U31"/>
      <c r="AE31" s="858"/>
      <c r="AG31" s="531" t="s">
        <v>1043</v>
      </c>
      <c r="AH31" s="1172" t="str">
        <f>IF(OR(AH29="",AH5="",AH15="",AI15=""),"",IFERROR(AH29*(AI15/1000)/ROUNDDOWN(AH5/AH15,0),""))</f>
        <v/>
      </c>
      <c r="AI31" s="532" t="s">
        <v>1044</v>
      </c>
      <c r="AK31" s="531" t="s">
        <v>1043</v>
      </c>
      <c r="AL31" s="1172" t="str">
        <f>IF(OR(AL29="",AL5="",AL15="",AM15=""),"",IFERROR(AL29*(AM15/1000)/ROUNDDOWN(AL5/AL15,0),""))</f>
        <v/>
      </c>
      <c r="AM31" s="532" t="s">
        <v>1044</v>
      </c>
      <c r="AO31" s="531" t="s">
        <v>1043</v>
      </c>
      <c r="AP31" s="1172" t="str">
        <f>IF(OR(AP29="",AP5="",AP15="",AQ15=""),"",IFERROR(AP29*(AQ15/1000)/ROUNDDOWN(AP5/AP15,0),""))</f>
        <v/>
      </c>
      <c r="AQ31" s="532" t="s">
        <v>1044</v>
      </c>
      <c r="AW31"/>
    </row>
    <row r="32" spans="1:49">
      <c r="A32"/>
      <c r="J32" s="502" t="str">
        <f>IF($C32="","",IF($E$15="","",IF(ISNUMBER($E$15),_xlfn.LET(_xlpm.cap,IF($Q$15="Quantum",760,1220),IF($E$15+50&gt;_xlpm.cap,"ERROR: Lamination Width &gt; "&amp;_xlpm.cap,$E$15+50)),$E$15)))</f>
        <v/>
      </c>
      <c r="M32" s="250"/>
      <c r="N32" s="203" t="str" cm="1">
        <f t="array" ref="N32">IF($C32="","",_xlfn.LET(
    _xlpm.mat,TRIM($C32),
    _xlpm.matKey,UPPER(SUBSTITUTE(_xlpm.mat," ","")),
    _xlpm.pr,IFERROR(LOOKUP(2,1/($H$3:H32&lt;&gt;""),$H$3:H32),""),
    _xlpm.widthActual,IFERROR(LOOKUP(2,1/($E$3:E32&lt;&gt;""),$E$3:E32),$E32),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2"/>
      <c r="S32"/>
      <c r="T32"/>
      <c r="U32"/>
      <c r="AG32" s="533" t="s">
        <v>1045</v>
      </c>
      <c r="AH32" s="1174">
        <f>IFERROR(AH29*1.16,"")</f>
        <v>0.78326417803942938</v>
      </c>
      <c r="AI32" s="534" t="s">
        <v>1046</v>
      </c>
      <c r="AK32" s="533" t="s">
        <v>1045</v>
      </c>
      <c r="AL32" s="1174">
        <f>IFERROR(AL29*1.16,"")</f>
        <v>0.69318946637247991</v>
      </c>
      <c r="AM32" s="534" t="s">
        <v>1046</v>
      </c>
      <c r="AO32" s="533" t="s">
        <v>1045</v>
      </c>
      <c r="AP32" s="1174">
        <f>IFERROR(AP29*1.16,"")</f>
        <v>0.66563561842298979</v>
      </c>
      <c r="AQ32" s="534" t="s">
        <v>1046</v>
      </c>
      <c r="AW32"/>
    </row>
    <row r="33" spans="1:49">
      <c r="A33"/>
      <c r="J33" s="502"/>
      <c r="M33" s="250"/>
      <c r="N33" s="203"/>
      <c r="R33"/>
      <c r="S33"/>
      <c r="T33"/>
      <c r="U33"/>
      <c r="AG33" s="533" t="s">
        <v>1047</v>
      </c>
      <c r="AH33" s="1175">
        <f>IFERROR(AH30*1.16,"")</f>
        <v>21.470503891576556</v>
      </c>
      <c r="AI33" s="534" t="s">
        <v>1038</v>
      </c>
      <c r="AK33" s="533" t="s">
        <v>1047</v>
      </c>
      <c r="AL33" s="1175">
        <f>IFERROR(AL30*1.16,"")</f>
        <v>19.152065175212083</v>
      </c>
      <c r="AM33" s="534" t="s">
        <v>1038</v>
      </c>
      <c r="AO33" s="533" t="s">
        <v>1047</v>
      </c>
      <c r="AP33" s="1175">
        <f>IFERROR(AP30*1.16,"")</f>
        <v>18.40902683352844</v>
      </c>
      <c r="AQ33" s="534" t="s">
        <v>1038</v>
      </c>
      <c r="AW33"/>
    </row>
    <row r="34" spans="1:49">
      <c r="A34"/>
      <c r="J34" s="502" t="str">
        <f t="shared" ref="J34:J45" si="5">IF($C34="","",IF($E$15="","",IF(ISNUMBER($E$15),_xlfn.LET(_xlpm.cap,IF($Q$15="Quantum",760,1220),IF($E$15+50&gt;_xlpm.cap,"ERROR: Lamination Width &gt; "&amp;_xlpm.cap,$E$15+50)),$E$15)))</f>
        <v/>
      </c>
      <c r="M34" s="250"/>
      <c r="N34" s="203" t="str" cm="1">
        <f t="array" ref="N34">IF($C34="","",_xlfn.LET(
    _xlpm.mat,TRIM($C34),
    _xlpm.matKey,UPPER(SUBSTITUTE(_xlpm.mat," ","")),
    _xlpm.pr,IFERROR(LOOKUP(2,1/($H$3:H34&lt;&gt;""),$H$3:H34),""),
    _xlpm.widthActual,IFERROR(LOOKUP(2,1/($E$3:E34&lt;&gt;""),$E$3:E34),$E34),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4"/>
      <c r="S34"/>
      <c r="T34"/>
      <c r="U34"/>
      <c r="AG34" s="533" t="s">
        <v>1048</v>
      </c>
      <c r="AH34" s="1174">
        <f>IF(OR(AH32="",AH5="",AH15="",AI15=""),"",IFERROR(AH32*(AI15/1000)/(AH5/AH15),""))</f>
        <v>0.41356348600481874</v>
      </c>
      <c r="AI34" s="534" t="s">
        <v>1037</v>
      </c>
      <c r="AK34" s="533" t="s">
        <v>1048</v>
      </c>
      <c r="AL34" s="1174">
        <f>IF(OR(AL32="",AL5="",AL15="",AM15=""),"",IFERROR(AL32*(AM15/1000)/(AL5/AL15),""))</f>
        <v>0.36600403824466937</v>
      </c>
      <c r="AM34" s="534" t="s">
        <v>1037</v>
      </c>
      <c r="AO34" s="533" t="s">
        <v>1048</v>
      </c>
      <c r="AP34" s="1174">
        <f>IF(OR(AP32="",AP5="",AP15="",AQ15=""),"",IFERROR(AP32*(AQ15/1000)/(AP5/AP15),""))</f>
        <v>0.35145560652733865</v>
      </c>
      <c r="AQ34" s="534" t="s">
        <v>1037</v>
      </c>
      <c r="AW34"/>
    </row>
    <row r="35" spans="1:49">
      <c r="A35"/>
      <c r="J35" s="502" t="str">
        <f t="shared" si="5"/>
        <v/>
      </c>
      <c r="M35" s="250"/>
      <c r="N35" s="203" t="str" cm="1">
        <f t="array" ref="N35">IF($C35="","",_xlfn.LET(
    _xlpm.mat,TRIM($C35),
    _xlpm.matKey,UPPER(SUBSTITUTE(_xlpm.mat," ","")),
    _xlpm.pr,IFERROR(LOOKUP(2,1/($H$3:H35&lt;&gt;""),$H$3:H35),""),
    _xlpm.widthActual,IFERROR(LOOKUP(2,1/($E$3:E35&lt;&gt;""),$E$3:E35),$E35),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5"/>
      <c r="S35"/>
      <c r="T35"/>
      <c r="U35"/>
      <c r="AG35" s="535" t="s">
        <v>1049</v>
      </c>
      <c r="AH35" s="1176" t="str" cm="1">
        <f t="array" ref="AH35">IFERROR(_xlfn.SWITCH(AH13,"By Imp",AH14*AH31,"IMP",AH14*AH31,"By Length",AH14*AH29,"By Weight",AH14*AH30,AG28*AH39),"")</f>
        <v/>
      </c>
      <c r="AI35" s="534" t="s">
        <v>1050</v>
      </c>
      <c r="AK35" s="535" t="s">
        <v>1049</v>
      </c>
      <c r="AL35" s="1176" t="str" cm="1">
        <f t="array" ref="AL35">IFERROR(_xlfn.SWITCH(AL13,"By Imp",AL14*AL31,"IMP",AL14*AL31,"By Length",AL14*AL29,"By Weight",AL14*AL30,AK28*AL39),"")</f>
        <v/>
      </c>
      <c r="AM35" s="534" t="s">
        <v>1050</v>
      </c>
      <c r="AO35" s="535" t="s">
        <v>1049</v>
      </c>
      <c r="AP35" s="1176" t="str" cm="1">
        <f t="array" ref="AP35">IFERROR(_xlfn.SWITCH(AP13,"By Imp",AP14*AP31,"IMP",AP14*AP31,"By Length",AP14*AP29,"By Weight",AP14*AP30,AO28*AP39),"")</f>
        <v/>
      </c>
      <c r="AQ35" s="534" t="s">
        <v>1050</v>
      </c>
      <c r="AW35"/>
    </row>
    <row r="36" spans="1:49">
      <c r="A36"/>
      <c r="J36" s="502" t="str">
        <f t="shared" si="5"/>
        <v/>
      </c>
      <c r="M36" s="250"/>
      <c r="N36" s="203" t="str" cm="1">
        <f t="array" ref="N36">IF($C36="","",_xlfn.LET(
    _xlpm.mat,TRIM($C36),
    _xlpm.matKey,UPPER(SUBSTITUTE(_xlpm.mat," ","")),
    _xlpm.pr,IFERROR(LOOKUP(2,1/($H$3:H36&lt;&gt;""),$H$3:H36),""),
    _xlpm.widthActual,IFERROR(LOOKUP(2,1/($E$3:E36&lt;&gt;""),$E$3:E36),$E36),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6"/>
      <c r="S36"/>
      <c r="T36"/>
      <c r="U36"/>
      <c r="AG36" s="535" t="s">
        <v>1051</v>
      </c>
      <c r="AH36" s="1175" cm="1">
        <f t="array" ref="AH36">IFERROR(_xlfn.SWITCH(AH13,"By Imp",AH14*AH34,"IMP",AH14*AH34,"By Length",AH14*AH32,"By Weight",AH14*AH33,AG28*AH39*1.16),"")</f>
        <v>21836.152061054428</v>
      </c>
      <c r="AI36" s="534" t="s">
        <v>1052</v>
      </c>
      <c r="AK36" s="535" t="s">
        <v>1051</v>
      </c>
      <c r="AL36" s="1175" cm="1">
        <f t="array" ref="AL36">IFERROR(_xlfn.SWITCH(AL13,"By Imp",AL14*AL34,"IMP",AL14*AL34,"By Length",AL14*AL32,"By Weight",AL14*AL33,AK28*AL39*1.16),"")</f>
        <v>96625.066096592709</v>
      </c>
      <c r="AM36" s="534" t="s">
        <v>1052</v>
      </c>
      <c r="AO36" s="535" t="s">
        <v>1051</v>
      </c>
      <c r="AP36" s="1175" cm="1">
        <f t="array" ref="AP36">IFERROR(_xlfn.SWITCH(AP13,"By Imp",AP14*AP34,"IMP",AP14*AP34,"By Length",AP14*AP32,"By Weight",AP14*AP33,AO28*AP39*1.16),"")</f>
        <v>185568.56024643482</v>
      </c>
      <c r="AQ36" s="534" t="s">
        <v>1052</v>
      </c>
      <c r="AW36"/>
    </row>
    <row r="37" spans="1:49">
      <c r="A37"/>
      <c r="J37" s="502" t="str">
        <f t="shared" si="5"/>
        <v/>
      </c>
      <c r="M37" s="250"/>
      <c r="N37" s="203" t="str" cm="1">
        <f t="array" ref="N37">IF($C37="","",_xlfn.LET(
    _xlpm.mat,TRIM($C37),
    _xlpm.matKey,UPPER(SUBSTITUTE(_xlpm.mat," ","")),
    _xlpm.pr,IFERROR(LOOKUP(2,1/($H$3:H37&lt;&gt;""),$H$3:H37),""),
    _xlpm.widthActual,IFERROR(LOOKUP(2,1/($E$3:E37&lt;&gt;""),$E$3:E37),$E37),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7"/>
      <c r="S37"/>
      <c r="T37"/>
      <c r="U37"/>
      <c r="AG37" s="536" t="s">
        <v>844</v>
      </c>
      <c r="AH37" s="1177">
        <f>IFERROR(AH38/($M$8*($D$3/$J$3))+5,"")</f>
        <v>13846.887989227689</v>
      </c>
      <c r="AI37" s="538" t="s">
        <v>580</v>
      </c>
      <c r="AK37" s="536" t="s">
        <v>844</v>
      </c>
      <c r="AL37" s="1177">
        <f>IFERROR(AL38/($M$14*($D$9/$J$9))+5,"")</f>
        <v>13846.887989227689</v>
      </c>
      <c r="AM37" s="538" t="s">
        <v>580</v>
      </c>
      <c r="AO37" s="536" t="s">
        <v>844</v>
      </c>
      <c r="AP37" s="1177">
        <f>IFERROR(AP38/($M$20*($D$15/$J$15))+5,"")</f>
        <v>13846.887989227689</v>
      </c>
      <c r="AQ37" s="538" t="s">
        <v>580</v>
      </c>
      <c r="AW37"/>
    </row>
    <row r="38" spans="1:49" outlineLevel="1">
      <c r="J38" s="502" t="str">
        <f t="shared" si="5"/>
        <v/>
      </c>
      <c r="M38" s="250"/>
      <c r="N38" s="203" t="str" cm="1">
        <f t="array" ref="N38">IF($C38="","",_xlfn.LET(
    _xlpm.mat,TRIM($C38),
    _xlpm.matKey,UPPER(SUBSTITUTE(_xlpm.mat," ","")),
    _xlpm.pr,IFERROR(LOOKUP(2,1/($H$3:H38&lt;&gt;""),$H$3:H38),""),
    _xlpm.widthActual,IFERROR(LOOKUP(2,1/($E$3:E38&lt;&gt;""),$E$3:E38),$E38),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8"/>
      <c r="T38" t="str">
        <f>IF(OR($S38="",$K38=""),"",IFERROR($S38*(1/$M$41)*($J38/($D38*MAX(1,ROUNDDOWN(760/$D38,0)))),""))</f>
        <v/>
      </c>
      <c r="U38"/>
      <c r="AG38" s="536" t="s">
        <v>845</v>
      </c>
      <c r="AH38" s="1177">
        <f>_xlfn.LET(_xlpm.lam,UPPER(SUBSTITUTE(AH3&amp;"","LAMINATE","")),IF(_xlpm.lam="608W",2000,IF(_xlpm.lam="608",750,500)))</f>
        <v>500</v>
      </c>
      <c r="AI38" s="538" t="s">
        <v>203</v>
      </c>
      <c r="AK38" s="536" t="s">
        <v>845</v>
      </c>
      <c r="AL38" s="1177">
        <f>_xlfn.LET(_xlpm.lam,UPPER(SUBSTITUTE(AL3&amp;"","LAMINATE","")),IF(_xlpm.lam="608W",2000,IF(_xlpm.lam="608",750,500)))</f>
        <v>500</v>
      </c>
      <c r="AM38" s="538" t="s">
        <v>203</v>
      </c>
      <c r="AO38" s="536" t="s">
        <v>845</v>
      </c>
      <c r="AP38" s="1177">
        <f>_xlfn.LET(_xlpm.lam,UPPER(SUBSTITUTE(AP3&amp;"","LAMINATE","")),IF(_xlpm.lam="608W",2000,IF(_xlpm.lam="608",750,500)))</f>
        <v>500</v>
      </c>
      <c r="AQ38" s="538" t="s">
        <v>203</v>
      </c>
      <c r="AW38"/>
    </row>
    <row r="39" spans="1:49" ht="15.75" outlineLevel="1" thickBot="1">
      <c r="J39" s="502" t="str">
        <f t="shared" si="5"/>
        <v/>
      </c>
      <c r="M39" s="250"/>
      <c r="N39" s="203" t="str" cm="1">
        <f t="array" ref="N39">IF($C39="","",_xlfn.LET(
    _xlpm.mat,TRIM($C39),
    _xlpm.matKey,UPPER(SUBSTITUTE(_xlpm.mat," ","")),
    _xlpm.pr,IFERROR(LOOKUP(2,1/($H$3:H39&lt;&gt;""),$H$3:H39),""),
    _xlpm.widthActual,IFERROR(LOOKUP(2,1/($E$3:E39&lt;&gt;""),$E$3:E39),$E39),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9"/>
      <c r="T39"/>
      <c r="U39"/>
      <c r="AG39" s="539" t="s">
        <v>846</v>
      </c>
      <c r="AH39" s="540">
        <f>IF(OR(AH13="IMP",AH13="By Imp"),IFERROR(AH16*$M$8*($D$3/$J$3)+5,""),IF(AH13="By Length",IFERROR(AH14*$M$8*($D$3/$J$3)+5,""),IF(AH13="By Weight",IFERROR(IF(AH6&lt;&gt;"",AH6,A3),""),"")))</f>
        <v>508.51512780800005</v>
      </c>
      <c r="AI39" s="541" t="s">
        <v>203</v>
      </c>
      <c r="AJ39" s="237"/>
      <c r="AK39" s="539" t="s">
        <v>846</v>
      </c>
      <c r="AL39" s="540">
        <f>IF(OR(AL13="IMP",AL13="By Imp"),IFERROR(AL16*$M$14*($D$9/$J$9)+5,""),IF(AL13="By Length",IFERROR(AL14*$M$14*($D$9/$J$9)+5,""),IF(AL13="By Weight",IFERROR(IF(AL6&lt;&gt;"",AL6,A9),""),"")))</f>
        <v>2522.5756390400002</v>
      </c>
      <c r="AM39" s="541" t="s">
        <v>203</v>
      </c>
      <c r="AN39" s="237"/>
      <c r="AO39" s="539" t="s">
        <v>846</v>
      </c>
      <c r="AP39" s="540">
        <f>IF(OR(AP13="IMP",AP13="By Imp"),IFERROR(AP16*$M$20*($D$15/$J$15)+5,""),IF(AP13="By Length",IFERROR(AP14*$M$20*($D$15/$J$15)+5,""),IF(AP13="By Weight",IFERROR(IF(AP6&lt;&gt;"",AP6,A15),""),"")))</f>
        <v>5040.1512780800003</v>
      </c>
      <c r="AQ39" s="541" t="s">
        <v>203</v>
      </c>
      <c r="AW39"/>
    </row>
    <row r="40" spans="1:49" ht="15.75" outlineLevel="1" thickBot="1">
      <c r="J40" s="502" t="str">
        <f t="shared" si="5"/>
        <v/>
      </c>
      <c r="M40" s="250"/>
      <c r="N40" s="203" t="str" cm="1">
        <f t="array" ref="N40">IF($C40="","",_xlfn.LET(
    _xlpm.mat,TRIM($C40),
    _xlpm.matKey,UPPER(SUBSTITUTE(_xlpm.mat," ","")),
    _xlpm.pr,IFERROR(LOOKUP(2,1/($H$3:H40&lt;&gt;""),$H$3:H40),""),
    _xlpm.widthActual,IFERROR(LOOKUP(2,1/($E$3:E40&lt;&gt;""),$E$3:E40),$E40),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0"/>
      <c r="T40"/>
      <c r="U40"/>
      <c r="AG40" s="1070" t="s">
        <v>1039</v>
      </c>
      <c r="AH40" s="1071"/>
      <c r="AI40" s="1072"/>
      <c r="AK40" s="1070" t="s">
        <v>1039</v>
      </c>
      <c r="AL40" s="1071"/>
      <c r="AM40" s="1072"/>
      <c r="AO40" s="1070" t="s">
        <v>1039</v>
      </c>
      <c r="AP40" s="1071"/>
      <c r="AQ40" s="1072"/>
      <c r="AW40"/>
    </row>
    <row r="41" spans="1:49">
      <c r="J41" s="502" t="str">
        <f t="shared" si="5"/>
        <v/>
      </c>
      <c r="M41" s="250"/>
      <c r="N41" s="203" t="str" cm="1">
        <f t="array" ref="N41">IF($C41="","",_xlfn.LET(
    _xlpm.mat,TRIM($C41),
    _xlpm.matKey,UPPER(SUBSTITUTE(_xlpm.mat," ","")),
    _xlpm.pr,IFERROR(LOOKUP(2,1/($H$3:H41&lt;&gt;""),$H$3:H41),""),
    _xlpm.widthActual,IFERROR(LOOKUP(2,1/($E$3:E41&lt;&gt;""),$E$3:E41),$E41),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1"/>
      <c r="T41"/>
      <c r="U41"/>
      <c r="AG41" s="1178" t="s">
        <v>1036</v>
      </c>
      <c r="AH41" s="1179">
        <f>IF(OR(AH13="IMP",AH13="By Imp"),IFERROR(AH14/2*(AH15/1000),""),IFERROR(AH14,""))</f>
        <v>13939.2</v>
      </c>
      <c r="AI41" s="1180" t="s">
        <v>580</v>
      </c>
      <c r="AK41" s="1178" t="s">
        <v>1036</v>
      </c>
      <c r="AL41" s="1179">
        <f>IF(OR(AL13="IMP",AL13="By Imp"),IFERROR(AL14/2*(AL15/1000),""),IFERROR(AL14,""))</f>
        <v>69696</v>
      </c>
      <c r="AM41" s="1180" t="s">
        <v>580</v>
      </c>
      <c r="AO41" s="1178" t="s">
        <v>1036</v>
      </c>
      <c r="AP41" s="1179">
        <f>IF(OR(AP13="IMP",AP13="By Imp"),IFERROR(AP14/2*(AP15/1000),""),IFERROR(AP14,""))</f>
        <v>139392</v>
      </c>
      <c r="AQ41" s="1180" t="s">
        <v>580</v>
      </c>
    </row>
    <row r="42" spans="1:49">
      <c r="J42" s="502" t="str">
        <f t="shared" si="5"/>
        <v/>
      </c>
      <c r="M42" s="250"/>
      <c r="N42" s="203" t="str" cm="1">
        <f t="array" ref="N42">IF($C42="","",_xlfn.LET(
    _xlpm.mat,TRIM($C42),
    _xlpm.matKey,UPPER(SUBSTITUTE(_xlpm.mat," ","")),
    _xlpm.pr,IFERROR(LOOKUP(2,1/($H$3:H42&lt;&gt;""),$H$3:H42),""),
    _xlpm.widthActual,IFERROR(LOOKUP(2,1/($E$3:E42&lt;&gt;""),$E$3:E42),$E42),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2"/>
      <c r="T42" t="str">
        <f>IF(OR($S42="",$K42=""),"",IFERROR($S42*(1/$M$47)*($J42/($D42*MAX(1,ROUNDDOWN(760/$D42,0)))),""))</f>
        <v/>
      </c>
      <c r="U42"/>
      <c r="Y42" t="str">
        <f>IFERROR((SUM(X42:X47)+SUM(R42:S42,U42))*(1/M47)*(J42/(D42*MAX(1,ROUNDDOWN(760/D42,0))))+W42,"")</f>
        <v/>
      </c>
      <c r="AG42" s="1178" t="s">
        <v>1150</v>
      </c>
      <c r="AH42" s="1181">
        <f>IF(OR(AH13="IMP",AH13="By Imp"),IFERROR(AH14/AH9,""),"")</f>
        <v>52800</v>
      </c>
      <c r="AI42" s="1182" t="s">
        <v>1031</v>
      </c>
      <c r="AK42" s="1178" t="s">
        <v>1150</v>
      </c>
      <c r="AL42" s="1181">
        <f>IF(OR(AL13="IMP",AL13="By Imp"),IFERROR(AL14/AL9,""),"")</f>
        <v>264000</v>
      </c>
      <c r="AM42" s="1182" t="s">
        <v>1031</v>
      </c>
      <c r="AO42" s="1178" t="s">
        <v>1150</v>
      </c>
      <c r="AP42" s="1181">
        <f>IF(OR(AP13="IMP",AP13="By Imp"),IFERROR(AP14/AP9,""),"")</f>
        <v>528000</v>
      </c>
      <c r="AQ42" s="1182" t="s">
        <v>1031</v>
      </c>
    </row>
    <row r="43" spans="1:49">
      <c r="J43" s="502" t="str">
        <f t="shared" si="5"/>
        <v/>
      </c>
      <c r="M43" s="250"/>
      <c r="N43" s="203" t="str" cm="1">
        <f t="array" ref="N43">IF($C43="","",_xlfn.LET(
    _xlpm.mat,TRIM($C43),
    _xlpm.matKey,UPPER(SUBSTITUTE(_xlpm.mat," ","")),
    _xlpm.pr,IFERROR(LOOKUP(2,1/($H$3:H43&lt;&gt;""),$H$3:H43),""),
    _xlpm.widthActual,IFERROR(LOOKUP(2,1/($E$3:E43&lt;&gt;""),$E$3:E43),$E43),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3"/>
      <c r="T43"/>
      <c r="U43"/>
      <c r="AG43" s="1178" t="s">
        <v>1151</v>
      </c>
      <c r="AH43" s="1183" cm="1">
        <f t="array" ref="AH43">_xlfn.LET(_xlpm.lam,TEXT(AH3,"0"),_xlpm.thick,AH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I43" s="1182" t="s">
        <v>1152</v>
      </c>
      <c r="AK43" s="1178" t="s">
        <v>1151</v>
      </c>
      <c r="AL43" s="1191" cm="1">
        <f t="array" ref="AL43">_xlfn.LET(_xlpm.lam,TEXT(AL3,"0"),_xlpm.thick,AL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M43" s="1182" t="s">
        <v>1152</v>
      </c>
      <c r="AO43" s="1178" t="s">
        <v>1151</v>
      </c>
      <c r="AP43" s="1191" cm="1">
        <f t="array" ref="AP43">_xlfn.LET(_xlpm.lam,TEXT(AP3,"0"),_xlpm.thick,AP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43" s="1182" t="s">
        <v>1152</v>
      </c>
    </row>
    <row r="44" spans="1:49">
      <c r="J44" s="502" t="str">
        <f t="shared" si="5"/>
        <v/>
      </c>
      <c r="N44" s="203" t="str" cm="1">
        <f t="array" ref="N44">IF($C44="","",_xlfn.LET(
    _xlpm.mat,TRIM($C44),
    _xlpm.matKey,UPPER(SUBSTITUTE(_xlpm.mat," ","")),
    _xlpm.pr,IFERROR(LOOKUP(2,1/($H$3:H44&lt;&gt;""),$H$3:H44),""),
    _xlpm.widthActual,IFERROR(LOOKUP(2,1/($E$3:E44&lt;&gt;""),$E$3:E44),$E44),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4"/>
      <c r="T44"/>
      <c r="U44"/>
      <c r="AC44"/>
      <c r="AG44" s="1178" t="s">
        <v>1153</v>
      </c>
      <c r="AH44" s="1184">
        <f>IF(OR(AH7&lt;&gt;"Printed",AH8=0,AH8="0",AH8=""),0,IFERROR(IF(AH12="Quantum",S3*100*MAX(1,IFERROR(AH9,0))/AH39,_xlfn.LET(_xlpm.colors,AH8,_xlpm.numColors,IF(ISNUMBER(_xlpm.colors),_xlpm.colors,IFERROR(--RIGHT(_xlpm.colors,LEN(_xlpm.colors)-FIND("-",_xlpm.colors)),IFERROR(--_xlpm.colors,0))),HELPER!$DB$1*_xlpm.numColors*MAX(1,IFERROR(AH9,0))*1.05*AH43/AH39)),0))</f>
        <v>0.82593413063333554</v>
      </c>
      <c r="AI44" s="1182" t="s">
        <v>837</v>
      </c>
      <c r="AK44" s="1178" t="s">
        <v>1153</v>
      </c>
      <c r="AL44" s="1184">
        <f>IF(OR(AL7&lt;&gt;"Printed",AL8=0,AL8="0",AL8=""),0,IFERROR(IF(AL12="Quantum",S9*100*MAX(1,IFERROR(AL9,0))/AL39,_xlfn.LET(_xlpm.colors,AL8,_xlpm.numColors,IF(ISNUMBER(_xlpm.colors),_xlpm.colors,IFERROR(--RIGHT(_xlpm.colors,LEN(_xlpm.colors)-FIND("-",_xlpm.colors)),IFERROR(--_xlpm.colors,0))),HELPER!$DB$1*_xlpm.numColors*MAX(1,IFERROR(AL9,0))*1.05*AL43/AL39)),0))</f>
        <v>0.16649649409911713</v>
      </c>
      <c r="AM44" s="1182" t="s">
        <v>837</v>
      </c>
      <c r="AO44" s="1178" t="s">
        <v>1153</v>
      </c>
      <c r="AP44" s="1184">
        <f>IF(OR(AP7&lt;&gt;"Printed",AP8=0,AP8="0",AP8=""),0,IFERROR(IF(AP12="Quantum",S15*100*MAX(1,IFERROR(AP9,0))/AP39,_xlfn.LET(_xlpm.colors,AP8,_xlpm.numColors,IF(ISNUMBER(_xlpm.colors),_xlpm.colors,IFERROR(--RIGHT(_xlpm.colors,LEN(_xlpm.colors)-FIND("-",_xlpm.colors)),IFERROR(--_xlpm.colors,0))),HELPER!$DB$1*_xlpm.numColors*MAX(1,IFERROR(AP9,0))*1.05*AP43/AP39)),0))</f>
        <v>8.3330832117403261E-2</v>
      </c>
      <c r="AQ44" s="1182" t="s">
        <v>837</v>
      </c>
    </row>
    <row r="45" spans="1:49">
      <c r="J45" s="502" t="str">
        <f t="shared" si="5"/>
        <v/>
      </c>
      <c r="N45" s="203" t="str" cm="1">
        <f t="array" ref="N45">IF($C45="","",_xlfn.LET(
    _xlpm.mat,TRIM($C45),
    _xlpm.matKey,UPPER(SUBSTITUTE(_xlpm.mat," ","")),
    _xlpm.pr,IFERROR(LOOKUP(2,1/($H$3:H45&lt;&gt;""),$H$3:H45),""),
    _xlpm.widthActual,IFERROR(LOOKUP(2,1/($E$3:E45&lt;&gt;""),$E$3:E45),$E45),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5"/>
      <c r="T45"/>
      <c r="U45"/>
      <c r="AG45" s="1185" t="s">
        <v>1154</v>
      </c>
      <c r="AH45" s="1181">
        <f>IFERROR(IF(OR(AH13="IMP",AH13="By Imp"),AH14/2*(AH15/1000),AH14)*AH43,"")</f>
        <v>4646.3999999999996</v>
      </c>
      <c r="AI45" s="1182" t="s">
        <v>580</v>
      </c>
      <c r="AK45" s="1178" t="s">
        <v>1154</v>
      </c>
      <c r="AL45" s="1181">
        <f>IFERROR(IF(OR(AL13="IMP",AL13="By Imp"),AL14/2*(AL15/1000),AL14)*AL43,"")</f>
        <v>23232</v>
      </c>
      <c r="AM45" s="1182" t="s">
        <v>580</v>
      </c>
      <c r="AO45" s="1178" t="s">
        <v>1154</v>
      </c>
      <c r="AP45" s="1181">
        <f>IFERROR(IF(OR(AP13="IMP",AP13="By Imp"),AP14/2*(AP15/1000),AP14)*AP43,"")</f>
        <v>46464</v>
      </c>
      <c r="AQ45" s="1182" t="s">
        <v>580</v>
      </c>
    </row>
    <row r="46" spans="1:49">
      <c r="S46"/>
      <c r="T46"/>
      <c r="U46"/>
      <c r="AF46" s="5"/>
      <c r="AG46" s="1178" t="s">
        <v>1154</v>
      </c>
      <c r="AH46" s="1181">
        <f>IFERROR(IF(OR(AH13="IMP",AH13="By Imp"),AH14/2*(AH15/1000),AH16)*AH43,"")</f>
        <v>4646.3999999999996</v>
      </c>
      <c r="AI46" s="1182" t="s">
        <v>580</v>
      </c>
      <c r="AK46" s="1178" t="s">
        <v>1154</v>
      </c>
      <c r="AL46" s="1181">
        <f>IFERROR(IF(OR(AL13="IMP",AL13="By Imp"),AL14/2*(AL15/1000),AL16)*AL43,"")</f>
        <v>23232</v>
      </c>
      <c r="AM46" s="1182" t="s">
        <v>580</v>
      </c>
      <c r="AO46" s="1178" t="s">
        <v>1154</v>
      </c>
      <c r="AP46" s="1181">
        <f>IFERROR(IF(OR(AP13="IMP",AP13="By Imp"),AP14/2*(AP15/1000),AP16)*AP43,"")</f>
        <v>46464</v>
      </c>
      <c r="AQ46" s="1182" t="s">
        <v>580</v>
      </c>
    </row>
    <row r="47" spans="1:49">
      <c r="S47"/>
      <c r="T47"/>
      <c r="U47"/>
      <c r="AG47" s="1186" t="s">
        <v>1309</v>
      </c>
      <c r="AH47" s="870">
        <f>IFERROR(AH29*645.16/AH5,"")</f>
        <v>1.2375850242552857</v>
      </c>
      <c r="AI47" s="1187">
        <f>IFERROR(AH32*645.16/AH5,"")</f>
        <v>1.4355986281361313</v>
      </c>
      <c r="AK47" s="1186" t="s">
        <v>1309</v>
      </c>
      <c r="AL47" s="870">
        <f>IFERROR(AL29*645.16/AL5,"")</f>
        <v>1.0952638032054987</v>
      </c>
      <c r="AM47" s="1187">
        <f>IFERROR(AL32*645.16/AL5,"")</f>
        <v>1.2705060117183782</v>
      </c>
      <c r="AN47" s="647"/>
      <c r="AO47" s="1192" t="s">
        <v>1309</v>
      </c>
      <c r="AP47" s="1193">
        <f>IFERROR(AP29*645.16/AP5,"")</f>
        <v>1.0517277517186914</v>
      </c>
      <c r="AQ47" s="1194">
        <f>IFERROR(AP32*645.16/AP5,"")</f>
        <v>1.2200041919936819</v>
      </c>
    </row>
    <row r="48" spans="1:49" ht="18" customHeight="1" thickBot="1">
      <c r="S48"/>
      <c r="T48"/>
      <c r="U48"/>
      <c r="AE48"/>
      <c r="AF48"/>
      <c r="AG48" s="1188" t="s">
        <v>1196</v>
      </c>
      <c r="AH48" s="1189">
        <f>IF(AH29="","",AH29*1000)</f>
        <v>675.22773968916329</v>
      </c>
      <c r="AI48" s="1190" t="s">
        <v>1197</v>
      </c>
      <c r="AJ48" s="640"/>
      <c r="AK48" s="1188" t="s">
        <v>1196</v>
      </c>
      <c r="AL48" s="1189">
        <f>IF(AL29="","",AL29*1000)</f>
        <v>597.57712618317237</v>
      </c>
      <c r="AM48" s="1190" t="s">
        <v>1197</v>
      </c>
      <c r="AO48" s="1188" t="s">
        <v>1196</v>
      </c>
      <c r="AP48" s="1189">
        <f>IF(AP29="","",AP29*1000)</f>
        <v>573.82380898533597</v>
      </c>
      <c r="AQ48" s="1190" t="s">
        <v>1197</v>
      </c>
    </row>
    <row r="49" spans="1:43" ht="18" hidden="1" customHeight="1" outlineLevel="1" thickBot="1">
      <c r="A49" s="241" t="s">
        <v>848</v>
      </c>
      <c r="B49" s="241" t="s">
        <v>848</v>
      </c>
      <c r="C49" s="241" t="s">
        <v>590</v>
      </c>
      <c r="D49" s="499"/>
      <c r="E49" s="500"/>
      <c r="F49" s="241" t="s">
        <v>848</v>
      </c>
      <c r="G49" s="241" t="s">
        <v>125</v>
      </c>
      <c r="H49" s="241" t="s">
        <v>848</v>
      </c>
      <c r="I49" s="241" t="s">
        <v>848</v>
      </c>
      <c r="J49" s="241" t="s">
        <v>849</v>
      </c>
      <c r="K49" s="242" t="s">
        <v>125</v>
      </c>
      <c r="L49" s="241" t="s">
        <v>125</v>
      </c>
      <c r="M49" s="241" t="s">
        <v>125</v>
      </c>
      <c r="N49" s="242" t="s">
        <v>125</v>
      </c>
      <c r="O49" s="241" t="s">
        <v>848</v>
      </c>
      <c r="P49" s="241" t="s">
        <v>125</v>
      </c>
      <c r="Q49" s="241" t="s">
        <v>848</v>
      </c>
      <c r="R49" s="243" t="s">
        <v>850</v>
      </c>
      <c r="S49" s="243" t="s">
        <v>850</v>
      </c>
      <c r="T49" s="240" t="s">
        <v>125</v>
      </c>
      <c r="U49" s="243" t="s">
        <v>850</v>
      </c>
      <c r="V49" s="243" t="s">
        <v>125</v>
      </c>
      <c r="W49" s="243" t="s">
        <v>125</v>
      </c>
      <c r="X49" s="241"/>
      <c r="Y49" s="241" t="s">
        <v>125</v>
      </c>
      <c r="Z49" s="206" t="s">
        <v>838</v>
      </c>
      <c r="AA49" s="621" t="s">
        <v>848</v>
      </c>
      <c r="AB49" s="622" t="s">
        <v>125</v>
      </c>
      <c r="AC49" s="623" t="s">
        <v>125</v>
      </c>
    </row>
    <row r="50" spans="1:43" ht="18" hidden="1" customHeight="1" outlineLevel="1" thickBot="1">
      <c r="A50" s="72" t="s">
        <v>205</v>
      </c>
      <c r="B50" s="72" t="s">
        <v>158</v>
      </c>
      <c r="C50" s="70" t="s">
        <v>159</v>
      </c>
      <c r="D50" s="72" t="s">
        <v>856</v>
      </c>
      <c r="E50" s="72" t="s">
        <v>1012</v>
      </c>
      <c r="F50" s="72" t="s">
        <v>217</v>
      </c>
      <c r="G50" s="72" t="s">
        <v>161</v>
      </c>
      <c r="H50" s="70" t="s">
        <v>162</v>
      </c>
      <c r="I50" s="72" t="s">
        <v>585</v>
      </c>
      <c r="J50" s="501" t="s">
        <v>1013</v>
      </c>
      <c r="K50" s="70" t="s">
        <v>4</v>
      </c>
      <c r="L50" s="70" t="s">
        <v>57</v>
      </c>
      <c r="M50" s="72" t="s">
        <v>165</v>
      </c>
      <c r="N50" s="70" t="s">
        <v>166</v>
      </c>
      <c r="O50" s="72" t="s">
        <v>128</v>
      </c>
      <c r="P50" s="72" t="s">
        <v>113</v>
      </c>
      <c r="Q50" s="96" t="s">
        <v>222</v>
      </c>
      <c r="R50" s="117" t="s">
        <v>269</v>
      </c>
      <c r="S50" s="117" t="s">
        <v>271</v>
      </c>
      <c r="T50" s="117" t="s">
        <v>847</v>
      </c>
      <c r="U50" s="118" t="s">
        <v>800</v>
      </c>
      <c r="V50" s="118" t="s">
        <v>594</v>
      </c>
      <c r="W50" s="118" t="s">
        <v>595</v>
      </c>
      <c r="X50" s="70" t="s">
        <v>167</v>
      </c>
      <c r="Y50" s="207" t="s">
        <v>839</v>
      </c>
      <c r="Z50" s="118" t="s">
        <v>750</v>
      </c>
      <c r="AA50" s="621" t="s">
        <v>1147</v>
      </c>
      <c r="AB50" s="622" t="s">
        <v>1148</v>
      </c>
      <c r="AC50" s="623" t="s">
        <v>1149</v>
      </c>
      <c r="AG50" s="655" t="s">
        <v>851</v>
      </c>
      <c r="AH50" s="656">
        <v>0.2</v>
      </c>
      <c r="AI50" s="594"/>
      <c r="AK50" s="655" t="s">
        <v>851</v>
      </c>
      <c r="AL50" s="656">
        <v>0.2</v>
      </c>
      <c r="AM50" s="594"/>
      <c r="AO50" s="655" t="s">
        <v>851</v>
      </c>
      <c r="AP50" s="656">
        <v>0.2</v>
      </c>
      <c r="AQ50" s="594"/>
    </row>
    <row r="51" spans="1:43" ht="18" hidden="1" customHeight="1" outlineLevel="1">
      <c r="A51" s="1081">
        <f>IF(AH62="By Length",IF(AH63&lt;&gt;"",IFERROR(AH63*$M$56*($D51/$J51),""),""),IF(OR(AH62="By Imp",AH62="IMP"),IFERROR(AH90*$M$56*($D51/$J51),""),IF(AH55="","",AH55)))</f>
        <v>5000</v>
      </c>
      <c r="B51" s="1077">
        <f>AH52</f>
        <v>428</v>
      </c>
      <c r="C51" t="str" cm="1">
        <f t="array" ref="C51">IFERROR(_xlfn.LET(_xlpm.lam,TEXT(B51,"0"),_xlpm.thick,AH53,_xlfn.TAKE(_xlfn._xlws.FILTER(HELPER!$BW$2:$BW$250,(TEXT(HELPER!$BZ$2:$BZ$250,"0")=_xlpm.lam)*(HELPER!$CC$2:$CC$250=_xlpm.thick)*(HELPER!$BW$2:$BW$250&lt;&gt;""),"No match"),6)),"")</f>
        <v>No match</v>
      </c>
      <c r="D51" s="1077">
        <f>AH54</f>
        <v>250</v>
      </c>
      <c r="E51" s="1082">
        <f>IF(D51="","",_xlfn.LET(_xlpm.cap,IF($Q51="Quantum",760,1220),IF(D51+50&gt;_xlpm.cap,"ERROR: Lamination Width &gt; "&amp;_xlpm.cap,D51*MAX(1,MIN(MAX(2,INT(900/D51)),INT((_xlpm.cap-50)/D51))))))</f>
        <v>750</v>
      </c>
      <c r="F51" s="1077"/>
      <c r="G51" s="1083" t="str">
        <f>IF(OR(AH62="IMP",AH62="By Imp",AH62="By Length"),IFERROR(AH65,""),IFERROR(IF(OR(A51="",A51=0,$D51="",$D51=0,$J51="",$M$56="",$M$56=0,A51&lt;=5),"",(A51-5)/$M$56*($J51/$D51)),""))</f>
        <v/>
      </c>
      <c r="H51" s="1077" t="str">
        <f>AH56</f>
        <v>Not Printed</v>
      </c>
      <c r="I51" s="1084">
        <f>IF(H51="Not Printed",0,AH57)</f>
        <v>0</v>
      </c>
      <c r="J51" s="502">
        <f t="shared" ref="J51:J56" si="6">IF($C51="","",IF($E$51="","",IF(ISNUMBER($E$51),_xlfn.LET(_xlpm.cap,IF($Q$51="Quantum",760,1220),IF($E$51+50&gt;_xlpm.cap,"ERROR: Lamination Width &gt; "&amp;_xlpm.cap,$E$51+50)),$E$51)))</f>
        <v>800</v>
      </c>
      <c r="K51" t="str" cm="1">
        <f t="array" ref="K51">_xlfn.LET(_xlpm.baseThick,IFERROR(INDEX(HELPER!$BX$2:$BX$250,MATCH(1,(TEXT(HELPER!$BZ$2:$BZ$250,"0")=TEXT($B$51,"0"))*(HELPER!$CC$2:$CC$250=$AH$53)*(HELPER!$BW$2:$BW$250=C51),0)),""),IF(_xlpm.baseThick="","",_xlpm.baseThick))</f>
        <v/>
      </c>
      <c r="L51" t="str">
        <f>IFERROR(VLOOKUP(C51,HELPER!$AP$1:$AQ$25,2,FALSE),"")</f>
        <v/>
      </c>
      <c r="M51" s="248" t="str">
        <f>IF(C51="","",IF(ISNUMBER(SEARCH("paper",C51)),42/1000*(J51/1000),IF(OR(L51="",L51=0),"",L51*1000*(K51/1000000)*(J51/1000))))</f>
        <v/>
      </c>
      <c r="N51" s="203" t="str" cm="1">
        <f t="array" ref="N51">IF($C51="","",_xlfn.LET(
    _xlpm.mat,TRIM($C51),
    _xlpm.matKey,UPPER(SUBSTITUTE(_xlpm.mat," ","")),
    _xlpm.pr,IFERROR(LOOKUP(2,1/($H$51:H51&lt;&gt;""),$H$51:H51),""),
    _xlpm.widthActual,IFERROR(LOOKUP(2,1/($E$51:E51&lt;&gt;""),$E$51:E51),$E51),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",""))=_xlpm.matKey)*(_xlpm.summaryThick=$K51)*(_xlpm.summaryCosts&gt;0))),INDEX(_xlfn._xlws.FILTER(_xlpm.summaryCosts,(UPPER(SUBSTITUTE(_xlpm.summaryNames," ",""))=_xlpm.matKey)*(_xlpm.summaryThick=$K51)*(_xlpm.summaryCosts&gt;0)),1)),""),""),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1" s="1077" t="str">
        <f>AH60</f>
        <v>EXW</v>
      </c>
      <c r="P51" s="73">
        <f>IF(OR(C51="",A$51&lt;=0),"",IFERROR(IF(O$51="Europe to US",IF(A$51&lt;500,10,IF(A$51&lt;1000,8,IF(A$51&lt;2500,6,IF(A$51&lt;5000,5,4)))),VLOOKUP(O$51,HELPER!$AF$2:$AH$3,3,FALSE)),0))</f>
        <v>0.2</v>
      </c>
      <c r="Q51" s="1077" t="str">
        <f>AH61</f>
        <v>Bastin</v>
      </c>
      <c r="R51" s="1088" t="str" cm="1">
        <f t="array" ref="R51">IF(OR($Q51="",$G51=""),"",IF($J51&gt;IF($Q51="Quantum",760,1220),"Error! lamination width exceeds supplier maximum",_xlfn.LET(_xlpm.struct,$C$51:$C$56,_xlpm.realLayers,SUMPRODUCT(--(_xlpm.struct&lt;&gt;""),--ISERROR(SEARCH("EPOTAL",_xlpm.struct&amp;"")),--ISERROR(SEARCH("BASONAT",_xlpm.struct&amp;"")),--ISERROR(SEARCH("ADH",_xlpm.struct&amp;"")),--ISERROR(SEARCH("HARDENER",_xlpm.struct&amp;""))),_xlpm.lamSteps,MAX(0,_xlpm.realLayers-1),_xlpm.len,$G51,_xlpm.colNum,IF(_xlpm.len&lt;3000,1,IF(_xlpm.len&lt;10000,2,IF(_xlpm.len&lt;25000,3,IF(_xlpm.len&lt;50000,4,IF(_xlpm.len&lt;100000,5,IF(_xlpm.len&lt;250000,6,7)))))),_xlpm.widthRow,IF(AND($D51&gt;=710,$D51&lt;=760),0,IF($D51&lt;900,0,5)),_xlpm.supplierRow,IF($Q51="Marma",3,IF(OR($Q51="Bastin",$Q51="Quantum"),13,0)),_xlpm.baseRate,IF(_xlpm.supplierRow=0,"",INDEX('Lmntn &amp; Prntng- Marma &amp; Bastin '!$D$1:$K$22,_xlpm.supplierRow+_xlpm.widthRow,_xlpm.colNum)),IF(_xlpm.realLayers=0,"",_xlpm.baseRate*_xlpm.lamSteps))))</f>
        <v/>
      </c>
      <c r="S51" s="1074" t="str" cm="1">
        <f t="array" ref="S51">IF($Q51="Quantum",IF(OR($Q51="",$I51=0,$I51="0"),"",IF($J51&gt;IF($Q51="Quantum",760,1220),"Error! lamination width exceeds supplier maximum",IF($E51&gt;1200,"Data is missing",_xlfn.LET(_xlpm.len,$G51,_xlpm.colors,$I51,_xlpm.qWidth,IF($E51&lt;=450,450,IF($E51&lt;=760,760,1200)),_xlpm.band,IF(_xlpm.colors=1,"1",IF(OR(_xlpm.colors=2,_xlpm.colors=3),"2-3",IF(OR(_xlpm.colors=4,_xlpm.colors=5),"4-5","6-8"))),_xlpm.widths,'Digital_per_meter-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51="",$I51=0,$I51="0"),"",IF($J51&gt;IF($Q51="Quantum",760,1220),"Error! lamination width exceeds supplier maximum",_xlfn.LET(_xlpm.len,$AH$71,_xlpm.colors,$I51,_xlpm.colNum,IF(_xlpm.len&lt;3000,1,IF(_xlpm.len&lt;10000,2,IF(_xlpm.len&lt;25000,3,IF(_xlpm.len&lt;50000,4,IF(_xlpm.len&lt;100000,5,IF(_xlpm.len&lt;250000,6,IF(_xlpm.len&lt;500000,7,8))))))),_xlpm.widthRow,IF($E51&lt;900,0,5),_xlpm.colorOffset,IF(OR(_xlpm.colors=1,_xlpm.colors=2,_xlpm.colors="1-2"),1,IF(OR(_xlpm.colors=3,_xlpm.colors=4,_xlpm.colors="3-4"),2,IF(OR(_xlpm.colors&gt;=5,_xlpm.colors="5-6",_xlpm.colors="5-8"),3,0))),_xlpm.supplierRow,IF($Q51="Marma",3,IF($Q51="Bastin",13,0)),IF(OR(_xlpm.supplierRow=0,_xlpm.colorOffset=0),"",INDEX('Lmntn &amp; Prntng- Marma &amp; Bastin '!$D$1:$K$22,_xlpm.supplierRow+_xlpm.widthRow+_xlpm.colorOffset,_xlpm.colNum))))))</f>
        <v/>
      </c>
      <c r="T51" s="1075" t="str">
        <f>IF(OR($S51="",$K51=""),"",IFERROR($S51*(1/$M$56)*($J51/($D51*MAX(1,ROUNDDOWN(760/$D51,0)))),""))</f>
        <v/>
      </c>
      <c r="U51" s="1089" cm="1">
        <f t="array" ref="U51">IF($Q51="","",IF($J51&gt;IF($Q51="Quantum",760,1220),"Error! lamination width exceeds supplier maximum",_xlfn.LET(_xlpm.len,$G51,_xlpm.colNum,IF(_xlpm.len&lt;3000,1,IF(_xlpm.len&lt;10000,2,IF(_xlpm.len&lt;25000,3,IF(_xlpm.len&lt;50000,4,IF(_xlpm.len&lt;100000,5,IF(_xlpm.len&lt;250000,6,7)))))),_xlpm.widthRow,IF($E51&lt;900,0,5),_xlpm.supplierRow,IF($Q51="Marma",7,IF(OR($Q51="Bastin",$Q51="Quantum"),17,0)),IF(_xlpm.supplierRow=0,"",INDEX('Lmntn &amp; Prntng- Marma &amp; Bastin '!$D$1:$K$22,_xlpm.supplierRow+_xlpm.widthRow,_xlpm.colNum)))))</f>
        <v>2.9951999999999999E-2</v>
      </c>
      <c r="V51" s="1076" t="str">
        <f>IFERROR(IF(AH72="","",IF($K56&gt;31,(5%+250/$G$51)*AH72,VLOOKUP($K56,HELPER!$BH$3:$BI$5,2,TRUE)*AH72)),"")</f>
        <v/>
      </c>
      <c r="W51" s="1079">
        <f>IF(OR($H51&lt;&gt;"Printed",$I51=0,$I51="0"),0,IFERROR(AH72*0.028,0)+IFERROR(AH93,0))</f>
        <v>0</v>
      </c>
      <c r="X51" s="205" t="str">
        <f t="shared" ref="X51:X67" si="7">IF($K51="","",IFERROR($M51*($N51+$P51),""))</f>
        <v/>
      </c>
      <c r="Y51" s="1080" t="str">
        <f>IFERROR((SUM(X51:X56)+SUM(R51:S51,U51))*(1/M56)*(J51/E51)+V51+W51,"")</f>
        <v/>
      </c>
      <c r="Z51" s="247" t="str">
        <f>IF($M51="","",IFERROR(($N51+$P51)*$M51/$M$56,""))</f>
        <v/>
      </c>
      <c r="AA51" s="595" t="str">
        <f>AH58</f>
        <v>1</v>
      </c>
      <c r="AB51" s="95" t="str">
        <f>IF(OR(AH62="IMP",AH62="By Imp"),IFERROR(AH63/AA51,""),"")</f>
        <v/>
      </c>
      <c r="AC51" s="624">
        <f>AH92</f>
        <v>0</v>
      </c>
      <c r="AG51" s="1085" t="str">
        <f>"📊 LAMINATE CALCULATOR 4-"&amp;AH52&amp;" Laminate"</f>
        <v>📊 LAMINATE CALCULATOR 4-428 Laminate</v>
      </c>
      <c r="AH51" s="1086"/>
      <c r="AI51" s="1087"/>
      <c r="AK51" s="1085" t="str">
        <f>"📊 LAMINATE CALCULATOR 5-"&amp;AL52&amp;" Laminate"</f>
        <v>📊 LAMINATE CALCULATOR 5-821M Laminate</v>
      </c>
      <c r="AL51" s="1086"/>
      <c r="AM51" s="1087"/>
      <c r="AO51" s="1085" t="str">
        <f>"📊 LAMINATE CALCULATOR 6-"&amp;AP52&amp;" Laminate"</f>
        <v>📊 LAMINATE CALCULATOR 6-819 Laminate</v>
      </c>
      <c r="AP51" s="1086"/>
      <c r="AQ51" s="1087"/>
    </row>
    <row r="52" spans="1:43" ht="18" hidden="1" customHeight="1" outlineLevel="1">
      <c r="A52" s="1081"/>
      <c r="B52" s="1077"/>
      <c r="D52" s="1077"/>
      <c r="E52" s="1077"/>
      <c r="F52" s="1077"/>
      <c r="G52" s="1083"/>
      <c r="H52" s="1077"/>
      <c r="I52" s="1077"/>
      <c r="J52" s="502" t="str">
        <f t="shared" si="6"/>
        <v/>
      </c>
      <c r="K52" t="str" cm="1">
        <f t="array" ref="K52">_xlfn.LET(_xlpm.baseThick,IFERROR(INDEX(HELPER!$BX$2:$BX$250,MATCH(1,(TEXT(HELPER!$BZ$2:$BZ$250,"0")=TEXT($B$51,"0"))*(HELPER!$CC$2:$CC$250=$AH$53)*(HELPER!$BW$2:$BW$250=C52),0)),""),IF(_xlpm.baseThick="","",_xlpm.baseThick))</f>
        <v/>
      </c>
      <c r="L52" t="str">
        <f>IFERROR(VLOOKUP(C52,HELPER!$AP$1:$AQ$25,2,FALSE),"")</f>
        <v/>
      </c>
      <c r="M52" s="248" t="str">
        <f>IF(C52="","",IF(ISNUMBER(SEARCH("paper",C52)),42/1000*(J52/1000),IF(OR(L52="",L52=0),"",L52*1000*(K52/1000000)*(J52/1000))))</f>
        <v/>
      </c>
      <c r="N52" s="498" t="str" cm="1">
        <f t="array" ref="N52">IF($C52="","",_xlfn.LET(
    _xlpm.mat,TRIM($C52),
    _xlpm.matKey,UPPER(SUBSTITUTE(_xlpm.mat," ","")),
    _xlpm.pr,IFERROR(LOOKUP(2,1/($H$51:H52&lt;&gt;""),$H$51:H52),""),
    _xlpm.widthActual,IFERROR(LOOKUP(2,1/($E$51:E52&lt;&gt;""),$E$51:E52),$E52),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",""))=_xlpm.matKey)*(_xlpm.summaryThick=$K52)*(_xlpm.summaryCosts&gt;0))),INDEX(_xlfn._xlws.FILTER(_xlpm.summaryCosts,(UPPER(SUBSTITUTE(_xlpm.summaryNames," ",""))=_xlpm.matKey)*(_xlpm.summaryThick=$K52)*(_xlpm.summaryCosts&gt;0)),1)),""),""),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2" s="1077"/>
      <c r="P52" s="73" t="str">
        <f>IF(OR(C52="",A$51&lt;=0),"",IFERROR(IF(O$51="Europe to US",IF(A$51&lt;500,10,IF(A$51&lt;1000,8,IF(A$51&lt;2500,6,IF(A$51&lt;5000,5,4)))),VLOOKUP(O$51,HELPER!$AF$2:$AH$3,3,FALSE)),0))</f>
        <v/>
      </c>
      <c r="Q52" s="1077"/>
      <c r="R52" s="1088"/>
      <c r="S52" s="1074"/>
      <c r="T52" s="1075"/>
      <c r="U52" s="1089"/>
      <c r="V52" s="1090"/>
      <c r="W52" s="1079"/>
      <c r="X52" s="205" t="str">
        <f t="shared" si="7"/>
        <v/>
      </c>
      <c r="Y52" s="1080"/>
      <c r="Z52" s="246" t="str">
        <f>IF($M52="","",IFERROR(($N52+$P52)*$M52/$M$56,""))</f>
        <v/>
      </c>
      <c r="AG52" s="514" t="s">
        <v>569</v>
      </c>
      <c r="AH52" s="174">
        <v>428</v>
      </c>
      <c r="AI52" s="515"/>
      <c r="AK52" s="514" t="s">
        <v>569</v>
      </c>
      <c r="AL52" s="174" t="s">
        <v>1053</v>
      </c>
      <c r="AM52" s="515"/>
      <c r="AO52" s="514" t="s">
        <v>569</v>
      </c>
      <c r="AP52" s="174">
        <v>819</v>
      </c>
      <c r="AQ52" s="515"/>
    </row>
    <row r="53" spans="1:43" ht="15.75" hidden="1" outlineLevel="1">
      <c r="A53" s="1081"/>
      <c r="B53" s="1077"/>
      <c r="D53" s="1077"/>
      <c r="E53" s="1077"/>
      <c r="F53" s="1077"/>
      <c r="G53" s="1083"/>
      <c r="H53" s="1077"/>
      <c r="I53" s="1077"/>
      <c r="J53" s="502" t="str">
        <f t="shared" si="6"/>
        <v/>
      </c>
      <c r="K53" t="str" cm="1">
        <f t="array" ref="K53">_xlfn.LET(_xlpm.baseThick,IFERROR(INDEX(HELPER!$BX$2:$BX$250,MATCH(1,(TEXT(HELPER!$BZ$2:$BZ$250,"0")=TEXT($B$51,"0"))*(HELPER!$CC$2:$CC$250=$AH$53)*(HELPER!$BW$2:$BW$250=C53),0)),""),IF(_xlpm.baseThick="","",_xlpm.baseThick))</f>
        <v/>
      </c>
      <c r="L53" t="str">
        <f>IFERROR(VLOOKUP(C53,HELPER!$AP$1:$AQ$25,2,FALSE),"")</f>
        <v/>
      </c>
      <c r="M53" s="248" t="str">
        <f>IF(C53="","",IF(ISNUMBER(SEARCH("paper",C53)),42/1000*(J53/1000),IF(OR(L53="",L53=0),"",L53*1000*(K53/1000000)*(J53/1000))))</f>
        <v/>
      </c>
      <c r="N53" s="204" t="str" cm="1">
        <f t="array" ref="N53">IF($C53="","",_xlfn.LET(
    _xlpm.mat,TRIM($C53),
    _xlpm.matKey,UPPER(SUBSTITUTE(_xlpm.mat," ","")),
    _xlpm.pr,IFERROR(LOOKUP(2,1/($H$51:H53&lt;&gt;""),$H$51:H53),""),
    _xlpm.widthActual,IFERROR(LOOKUP(2,1/($E$51:E53&lt;&gt;""),$E$51:E53),$E53),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",""))=_xlpm.matKey)*(_xlpm.summaryThick=$K53)*(_xlpm.summaryCosts&gt;0))),INDEX(_xlfn._xlws.FILTER(_xlpm.summaryCosts,(UPPER(SUBSTITUTE(_xlpm.summaryNames," ",""))=_xlpm.matKey)*(_xlpm.summaryThick=$K53)*(_xlpm.summaryCosts&gt;0)),1)),""),""),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3" s="1077"/>
      <c r="P53" s="73" t="str">
        <f>IF(OR(C53="",A$51&lt;=0),"",IFERROR(IF(O$51="Europe to US",IF(A$51&lt;500,10,IF(A$51&lt;1000,8,IF(A$51&lt;2500,6,IF(A$51&lt;5000,5,4)))),VLOOKUP(O$51,HELPER!$AF$2:$AH$3,3,FALSE)),0))</f>
        <v/>
      </c>
      <c r="Q53" s="1077"/>
      <c r="R53" s="1088"/>
      <c r="S53" s="1074"/>
      <c r="T53" s="1075"/>
      <c r="U53" s="1089"/>
      <c r="V53" s="1090"/>
      <c r="W53" s="1079"/>
      <c r="X53" s="205" t="str">
        <f t="shared" si="7"/>
        <v/>
      </c>
      <c r="Y53" s="1080"/>
      <c r="Z53" s="201" t="str">
        <f>IF($M53="","",IFERROR(($N53+$P53)*$M53/$M$56,""))</f>
        <v/>
      </c>
      <c r="AG53" s="514" t="s">
        <v>570</v>
      </c>
      <c r="AH53" s="592">
        <v>79</v>
      </c>
      <c r="AI53" s="515" t="s">
        <v>108</v>
      </c>
      <c r="AK53" s="514" t="s">
        <v>570</v>
      </c>
      <c r="AL53" s="592">
        <v>79</v>
      </c>
      <c r="AM53" s="515" t="s">
        <v>108</v>
      </c>
      <c r="AO53" s="514" t="s">
        <v>570</v>
      </c>
      <c r="AP53" s="592">
        <v>121</v>
      </c>
      <c r="AQ53" s="515" t="s">
        <v>108</v>
      </c>
    </row>
    <row r="54" spans="1:43" ht="15.75" hidden="1" outlineLevel="1">
      <c r="A54" s="1081"/>
      <c r="B54" s="1077"/>
      <c r="D54" s="1077"/>
      <c r="E54" s="1077"/>
      <c r="F54" s="1077"/>
      <c r="G54" s="1083"/>
      <c r="H54" s="1077"/>
      <c r="I54" s="1077"/>
      <c r="J54" s="502" t="str">
        <f t="shared" si="6"/>
        <v/>
      </c>
      <c r="K54" t="str" cm="1">
        <f t="array" ref="K54">_xlfn.LET(_xlpm.baseThick,IFERROR(INDEX(HELPER!$BX$2:$BX$250,MATCH(1,(TEXT(HELPER!$BZ$2:$BZ$250,"0")=TEXT($B$51,"0"))*(HELPER!$CC$2:$CC$250=$AH$53)*(HELPER!$BW$2:$BW$250=C54),0)),""),IF(_xlpm.baseThick="","",_xlpm.baseThick))</f>
        <v/>
      </c>
      <c r="L54" t="str">
        <f>IFERROR(VLOOKUP(C54,HELPER!$AP$1:$AQ$25,2,FALSE),"")</f>
        <v/>
      </c>
      <c r="M54" s="248" t="str">
        <f>IF(C54="","",IF(ISNUMBER(SEARCH("paper",C54)),42/1000*(J54/1000),IF(OR(L54="",L54=0),"",L54*1000*(K54/1000000)*(J54/1000))))</f>
        <v/>
      </c>
      <c r="N54" s="203" t="str" cm="1">
        <f t="array" ref="N54">IF($C54="","",_xlfn.LET(
    _xlpm.mat,TRIM($C54),
    _xlpm.matKey,UPPER(SUBSTITUTE(_xlpm.mat," ","")),
    _xlpm.pr,IFERROR(LOOKUP(2,1/($H$51:H54&lt;&gt;""),$H$51:H54),""),
    _xlpm.widthActual,IFERROR(LOOKUP(2,1/($E$51:E54&lt;&gt;""),$E$51:E54),$E54),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",""))=_xlpm.matKey)*(_xlpm.summaryThick=$K54)*(_xlpm.summaryCosts&gt;0))),INDEX(_xlfn._xlws.FILTER(_xlpm.summaryCosts,(UPPER(SUBSTITUTE(_xlpm.summaryNames," ",""))=_xlpm.matKey)*(_xlpm.summaryThick=$K54)*(_xlpm.summaryCosts&gt;0)),1)),""),""),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4" s="1077"/>
      <c r="P54" s="73" t="str">
        <f>IF(OR(C54="",A$51&lt;=0),"",IFERROR(IF(O$51="Europe to US",IF(A$51&lt;500,10,IF(A$51&lt;1000,8,IF(A$51&lt;2500,6,IF(A$51&lt;5000,5,4)))),VLOOKUP(O$51,HELPER!$AF$2:$AH$3,3,FALSE)),0))</f>
        <v/>
      </c>
      <c r="Q54" s="1077"/>
      <c r="R54" s="1088"/>
      <c r="S54" s="1074"/>
      <c r="T54" s="1075"/>
      <c r="U54" s="1089"/>
      <c r="V54" s="1090"/>
      <c r="W54" s="1079"/>
      <c r="X54" s="205" t="str">
        <f t="shared" si="7"/>
        <v/>
      </c>
      <c r="Y54" s="1080"/>
      <c r="Z54" s="245" t="str">
        <f>IF($M54="","",IFERROR(($N54+$P54)*$M54/$M$56,""))</f>
        <v/>
      </c>
      <c r="AG54" s="514" t="s">
        <v>571</v>
      </c>
      <c r="AH54" s="174">
        <v>250</v>
      </c>
      <c r="AI54" s="515" t="s">
        <v>489</v>
      </c>
      <c r="AK54" s="514" t="s">
        <v>571</v>
      </c>
      <c r="AL54" s="174">
        <v>250</v>
      </c>
      <c r="AM54" s="515" t="s">
        <v>489</v>
      </c>
      <c r="AO54" s="514" t="s">
        <v>571</v>
      </c>
      <c r="AP54" s="174">
        <v>750</v>
      </c>
      <c r="AQ54" s="515" t="s">
        <v>489</v>
      </c>
    </row>
    <row r="55" spans="1:43" ht="15.75" hidden="1" outlineLevel="1">
      <c r="A55" s="1081"/>
      <c r="B55" s="1077"/>
      <c r="C55" s="73"/>
      <c r="D55" s="1077"/>
      <c r="E55" s="1077"/>
      <c r="F55" s="1077"/>
      <c r="G55" s="1083"/>
      <c r="H55" s="1077"/>
      <c r="I55" s="1077"/>
      <c r="J55" s="502" t="str">
        <f t="shared" si="6"/>
        <v/>
      </c>
      <c r="K55" t="str" cm="1">
        <f t="array" ref="K55">_xlfn.LET(_xlpm.baseThick,IFERROR(INDEX(HELPER!$BX$2:$BX$250,MATCH(1,(TEXT(HELPER!$BZ$2:$BZ$250,"0")=TEXT($B$51,"0"))*(HELPER!$CC$2:$CC$250=$AH$53)*(HELPER!$BW$2:$BW$250=C55),0)),""),IF(_xlpm.baseThick="","",_xlpm.baseThick))</f>
        <v/>
      </c>
      <c r="L55" t="str">
        <f>IFERROR(VLOOKUP(C55,HELPER!$AP$1:$AQ$25,2,FALSE),"")</f>
        <v/>
      </c>
      <c r="M55" s="248" t="str">
        <f>IF(C55="","",IF(ISNUMBER(SEARCH("paper",C55)),42/1000*(J55/1000),IF(OR(L55="",L55=0),"",L55*1000*(K55/1000000)*(J55/1000))))</f>
        <v/>
      </c>
      <c r="N55" s="203" t="str" cm="1">
        <f t="array" ref="N55">IF($C55="","",_xlfn.LET(
    _xlpm.mat,TRIM($C55),
    _xlpm.matKey,UPPER(SUBSTITUTE(_xlpm.mat," ","")),
    _xlpm.pr,IFERROR(LOOKUP(2,1/($H$51:H55&lt;&gt;""),$H$51:H55),""),
    _xlpm.widthActual,IFERROR(LOOKUP(2,1/($E$51:E55&lt;&gt;""),$E$51:E55),$E55),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",""))=_xlpm.matKey)*(_xlpm.summaryThick=$K55)*(_xlpm.summaryCosts&gt;0))),INDEX(_xlfn._xlws.FILTER(_xlpm.summaryCosts,(UPPER(SUBSTITUTE(_xlpm.summaryNames," ",""))=_xlpm.matKey)*(_xlpm.summaryThick=$K55)*(_xlpm.summaryCosts&gt;0)),1)),""),""),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5" s="1077"/>
      <c r="P55" s="63" t="str">
        <f>IF(OR(C55="",A$51&lt;=0),"",IFERROR(IF(O$51="Europe to US",IF(A$51&lt;500,10,IF(A$51&lt;1000,8,IF(A$51&lt;2500,6,IF(A$51&lt;5000,5,4)))),VLOOKUP(O$51,HELPER!$AF$2:$AH$3,3,FALSE)),0))</f>
        <v/>
      </c>
      <c r="Q55" s="1077"/>
      <c r="R55" s="1088"/>
      <c r="S55" s="1074"/>
      <c r="T55" s="1075"/>
      <c r="U55" s="1089"/>
      <c r="V55" s="1090"/>
      <c r="W55" s="1079"/>
      <c r="X55" s="254" t="str">
        <f t="shared" si="7"/>
        <v/>
      </c>
      <c r="Y55" s="1080"/>
      <c r="Z55" s="201" t="str">
        <f>IF($M55="","",IFERROR(($N55+$P55)*$M55/$M$56,""))</f>
        <v/>
      </c>
      <c r="AG55" s="514" t="s">
        <v>572</v>
      </c>
      <c r="AH55" s="174">
        <v>5000</v>
      </c>
      <c r="AI55" s="515" t="s">
        <v>203</v>
      </c>
      <c r="AK55" s="514" t="s">
        <v>572</v>
      </c>
      <c r="AL55" s="174"/>
      <c r="AM55" s="515" t="s">
        <v>203</v>
      </c>
      <c r="AO55" s="514" t="s">
        <v>572</v>
      </c>
      <c r="AP55" s="174"/>
      <c r="AQ55" s="515" t="s">
        <v>203</v>
      </c>
    </row>
    <row r="56" spans="1:43" ht="15.75" hidden="1" outlineLevel="1">
      <c r="A56" s="1081"/>
      <c r="B56" s="1077"/>
      <c r="C56" s="38"/>
      <c r="D56" s="1077"/>
      <c r="E56" s="1077"/>
      <c r="F56" s="1077"/>
      <c r="G56" s="1083"/>
      <c r="H56" s="1077"/>
      <c r="I56" s="1077"/>
      <c r="J56" s="502" t="str">
        <f t="shared" si="6"/>
        <v/>
      </c>
      <c r="K56" s="170">
        <f>AH53</f>
        <v>79</v>
      </c>
      <c r="L56" t="str">
        <f>IFERROR(VLOOKUP(C56,HELPER!$AP$1:$AQ$25,2,FALSE),"")</f>
        <v/>
      </c>
      <c r="M56" s="249">
        <f>SUM(M51:M55)</f>
        <v>0</v>
      </c>
      <c r="N56" s="203" t="str" cm="1">
        <f t="array" ref="N56">IF($C56="","",_xlfn.LET(
    _xlpm.mat,TRIM($C56),
    _xlpm.matKey,UPPER(SUBSTITUTE(_xlpm.mat," ","")),
    _xlpm.pr,IFERROR(LOOKUP(2,1/($H$51:H56&lt;&gt;""),$H$51:H56),""),
    _xlpm.widthActual,IFERROR(LOOKUP(2,1/($E$51:E56&lt;&gt;""),$E$51:E56),$E56),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",""))=_xlpm.matKey)*(_xlpm.summaryThick=$K56)*(_xlpm.summaryCosts&gt;0))),INDEX(_xlfn._xlws.FILTER(_xlpm.summaryCosts,(UPPER(SUBSTITUTE(_xlpm.summaryNames," ",""))=_xlpm.matKey)*(_xlpm.summaryThick=$K56)*(_xlpm.summaryCosts&gt;0)),1)),""),""),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56" s="1077"/>
      <c r="P56" s="73" t="str">
        <f>IF(OR(C56="",A$51&lt;=0),"",IFERROR(IF(O$51="Europe to US",IF(A$51&lt;500,10,IF(A$51&lt;1000,8,IF(A$51&lt;2500,6,IF(A$51&lt;5000,5,4)))),VLOOKUP(O$51,HELPER!$AF$2:$AH$3,3,FALSE)),0))</f>
        <v/>
      </c>
      <c r="Q56" s="1077"/>
      <c r="R56" s="1088"/>
      <c r="S56" s="1074"/>
      <c r="T56" s="1075"/>
      <c r="U56" s="1089"/>
      <c r="V56" s="1090"/>
      <c r="W56" s="1079"/>
      <c r="X56" s="202" t="str">
        <f t="shared" si="7"/>
        <v/>
      </c>
      <c r="Y56" s="1080"/>
      <c r="Z56" s="201"/>
      <c r="AG56" s="514" t="s">
        <v>573</v>
      </c>
      <c r="AH56" s="174" t="s">
        <v>124</v>
      </c>
      <c r="AI56" s="515"/>
      <c r="AK56" s="514" t="s">
        <v>573</v>
      </c>
      <c r="AL56" s="174" t="s">
        <v>124</v>
      </c>
      <c r="AM56" s="515"/>
      <c r="AO56" s="514" t="s">
        <v>573</v>
      </c>
      <c r="AP56" s="174" t="s">
        <v>123</v>
      </c>
      <c r="AQ56" s="515"/>
    </row>
    <row r="57" spans="1:43" ht="15.75" hidden="1" outlineLevel="1">
      <c r="A57" s="1081">
        <f>IF(AL62="By Length",IF(AL63&lt;&gt;"",IFERROR(AL63*$M$62*($D57/$J57),""),""),IF(OR(AL62="By Imp",AL62="IMP"),IFERROR(AL90*$M$62*($D57/$J57),""),IF(AL55="","",AL55)))</f>
        <v>52.465000000000003</v>
      </c>
      <c r="B57" s="1077" t="str">
        <f>AL52</f>
        <v>821M</v>
      </c>
      <c r="C57" t="str" cm="1">
        <f t="array" ref="C57:C60">IFERROR(_xlfn.LET(_xlpm.lam,TEXT(B57,"0"),_xlpm.thick,AL53,_xlfn.TAKE(_xlfn._xlws.FILTER(HELPER!$BW$2:$BW$250,(TEXT(HELPER!$BZ$2:$BZ$250,"0")=_xlpm.lam)*(HELPER!$CC$2:$CC$250=_xlpm.thick)*(HELPER!$BW$2:$BW$250&lt;&gt;""),"No match"),6)),"")</f>
        <v>TIPA 302FG</v>
      </c>
      <c r="D57" s="1077">
        <f>AL54</f>
        <v>250</v>
      </c>
      <c r="E57" s="1082">
        <f>IF(D57="","",_xlfn.LET(_xlpm.cap,IF($Q57="Quantum",760,1220),IF(D57+50&gt;_xlpm.cap,"ERROR: Lamination Width &gt; "&amp;_xlpm.cap,D57*MAX(1,MIN(MAX(2,INT(900/D57)),INT((_xlpm.cap-50)/D57))))))</f>
        <v>750</v>
      </c>
      <c r="F57" s="1077"/>
      <c r="G57" s="1083">
        <f>IF(OR(AL62="IMP",AL62="By Imp",AL62="By Length"),IFERROR(AL65,""),IFERROR(IF(OR(A57="",A57=0,$D57="",$D57=0,$J57="",$M$62="",$M$62=0,A57&lt;=5),"",(A57-5)/$M$62*($J57/$D57)),""))</f>
        <v>2000</v>
      </c>
      <c r="H57" s="1077" t="str">
        <f>AL56</f>
        <v>Not Printed</v>
      </c>
      <c r="I57" s="1084">
        <f>IF(H57="Not Printed",0,AL57)</f>
        <v>0</v>
      </c>
      <c r="J57" s="502">
        <f t="shared" ref="J57:J62" si="8">IF($C57="","",IF($E$57="","",IF(ISNUMBER($E$57),_xlfn.LET(_xlpm.cap,IF($Q$57="Quantum",760,1220),IF($E$57+50&gt;_xlpm.cap,"ERROR: Lamination Width &gt; "&amp;_xlpm.cap,$E$57+50)),$E$57)))</f>
        <v>800</v>
      </c>
      <c r="K57" cm="1">
        <f t="array" ref="K57">_xlfn.LET(_xlpm.baseThick,IFERROR(INDEX(HELPER!$BX$2:$BX$250,MATCH(1,(TEXT(HELPER!$BZ$2:$BZ$250,"0")=TEXT($B$57,"0"))*(HELPER!$CC$2:$CC$250=$AL$53)*(HELPER!$BW$2:$BW$250=C57),0)),""),IF(_xlpm.baseThick="","",_xlpm.baseThick))</f>
        <v>25</v>
      </c>
      <c r="L57">
        <f>IFERROR(VLOOKUP(C57,HELPER!$AP$1:$AQ$25,2,FALSE),"")</f>
        <v>1.25</v>
      </c>
      <c r="M57" s="248">
        <f>IF(C57="","",IF(ISNUMBER(SEARCH("paper",C57)),42/1000*(J57/1000),IF(OR(L57="",L57=0),"",L57*1000*(K57/1000000)*(J57/1000))))</f>
        <v>2.5000000000000001E-2</v>
      </c>
      <c r="N57" s="203" cm="1">
        <f t="array" ref="N57">IF($C57="","",_xlfn.LET(
    _xlpm.mat,TRIM($C57),
    _xlpm.matKey,UPPER(SUBSTITUTE(_xlpm.mat," ","")),
    _xlpm.pr,IFERROR(LOOKUP(2,1/($H$57:H57&lt;&gt;""),$H$57:H57),""),
    _xlpm.widthActual,IFERROR(LOOKUP(2,1/($E$57:E57&lt;&gt;""),$E$57:E57),$E57),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",""))=_xlpm.matKey)*(_xlpm.summaryThick=$K57)*(_xlpm.summaryCosts&gt;0))),INDEX(_xlfn._xlws.FILTER(_xlpm.summaryCosts,(UPPER(SUBSTITUTE(_xlpm.summaryNames," ",""))=_xlpm.matKey)*(_xlpm.summaryThick=$K57)*(_xlpm.summaryCosts&gt;0)),1)),""),""),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6.6535064000000004</v>
      </c>
      <c r="O57" s="1077" t="str">
        <f>AL60</f>
        <v>EXW</v>
      </c>
      <c r="P57" s="73">
        <f>IF(OR(C57="",A$57&lt;=0),"",IFERROR(IF(O$57="Europe to US",IF(A$57&lt;500,10,IF(A$57&lt;1000,8,IF(A$57&lt;2500,6,IF(A$57&lt;5000,5,4)))),VLOOKUP(O$57,HELPER!$AF$2:$AH$3,3,FALSE)),0))</f>
        <v>0.2</v>
      </c>
      <c r="Q57" s="1077" t="str">
        <f>AL61</f>
        <v>Marma</v>
      </c>
      <c r="R57" s="1074" cm="1">
        <f t="array" ref="R57">IF(OR($Q57="",$G57=""),"",IF($J57&gt;IF($Q57="Quantum",760,1220),"Error! lamination width exceeds supplier maximum",_xlfn.LET(_xlpm.struct,$C$57:$C$62,_xlpm.realLayers,SUMPRODUCT(--(_xlpm.struct&lt;&gt;""),--ISERROR(SEARCH("EPOTAL",_xlpm.struct&amp;"")),--ISERROR(SEARCH("BASONAT",_xlpm.struct&amp;"")),--ISERROR(SEARCH("ADH",_xlpm.struct&amp;"")),--ISERROR(SEARCH("HARDENER",_xlpm.struct&amp;""))),_xlpm.lamSteps,MAX(0,_xlpm.realLayers-1),_xlpm.len,$G57,_xlpm.colNum,IF(_xlpm.len&lt;3000,1,IF(_xlpm.len&lt;10000,2,IF(_xlpm.len&lt;25000,3,IF(_xlpm.len&lt;50000,4,IF(_xlpm.len&lt;100000,5,IF(_xlpm.len&lt;250000,6,7)))))),_xlpm.widthRow,IF(AND($D57&gt;=710,$D57&lt;=760),0,IF($D57&lt;900,0,5)),_xlpm.supplierRow,IF($Q57="Marma",3,IF(OR($Q57="Bastin",$Q57="Quantum"),13,0)),_xlpm.baseRate,IF(_xlpm.supplierRow=0,"",INDEX('Lmntn &amp; Prntng- Marma &amp; Bastin '!$D$1:$K$22,_xlpm.supplierRow+_xlpm.widthRow,_xlpm.colNum)),IF(_xlpm.realLayers=0,"",_xlpm.baseRate*_xlpm.lamSteps))))</f>
        <v>0.23346</v>
      </c>
      <c r="S57" s="1074" t="str" cm="1">
        <f t="array" ref="S57">IF($Q57="Quantum",IF(OR($Q57="",$I57=0,$I57="0"),"",IF($J57&gt;IF($Q57="Quantum",760,1220),"Error! lamination width exceeds supplier maximum",IF($E57&gt;1200,"Data is missing",_xlfn.LET(_xlpm.len,$G57,_xlpm.colors,$I57,_xlpm.qWidth,IF($E57&lt;=450,450,IF($E57&lt;=760,760,1200)),_xlpm.band,IF(_xlpm.colors=1,"1",IF(OR(_xlpm.colors=2,_xlpm.colors=3),"2-3",IF(OR(_xlpm.colors=4,_xlpm.colors=5),"4-5","6-8"))),_xlpm.widths,'Digital_per_meter-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57="",$I57=0,$I57="0"),"",IF($J57&gt;IF($Q57="Quantum",760,1220),"Error! lamination width exceeds supplier maximum",_xlfn.LET(_xlpm.len,$AL$71,_xlpm.colors,$I57,_xlpm.colNum,IF(_xlpm.len&lt;3000,1,IF(_xlpm.len&lt;10000,2,IF(_xlpm.len&lt;25000,3,IF(_xlpm.len&lt;50000,4,IF(_xlpm.len&lt;100000,5,IF(_xlpm.len&lt;250000,6,IF(_xlpm.len&lt;500000,7,8))))))),_xlpm.widthRow,IF($E57&lt;900,0,5),_xlpm.colorOffset,IF(OR(_xlpm.colors=1,_xlpm.colors=2,_xlpm.colors="1-2"),1,IF(OR(_xlpm.colors=3,_xlpm.colors=4,_xlpm.colors="3-4"),2,IF(OR(_xlpm.colors&gt;=5,_xlpm.colors="5-6",_xlpm.colors="5-8"),3,0))),_xlpm.supplierRow,IF($Q57="Marma",3,IF($Q57="Bastin",13,0)),IF(OR(_xlpm.supplierRow=0,_xlpm.colorOffset=0),"",INDEX('Lmntn &amp; Prntng- Marma &amp; Bastin '!$D$1:$K$22,_xlpm.supplierRow+_xlpm.widthRow+_xlpm.colorOffset,_xlpm.colNum))))))</f>
        <v/>
      </c>
      <c r="T57" s="1075" t="str">
        <f>IF(OR($S57="",$K57=""),"",IFERROR($S57*(1/$M$62)*($J57/($D57*MAX(1,ROUNDDOWN(760/$D57,0)))),""))</f>
        <v/>
      </c>
      <c r="U57" s="1074" cm="1">
        <f t="array" ref="U57">IF($Q57="","",IF($J57&gt;IF($Q57="Quantum",760,1220),"Error! lamination width exceeds supplier maximum",_xlfn.LET(_xlpm.len,$G57,_xlpm.colNum,IF(_xlpm.len&lt;3000,1,IF(_xlpm.len&lt;10000,2,IF(_xlpm.len&lt;25000,3,IF(_xlpm.len&lt;50000,4,IF(_xlpm.len&lt;100000,5,IF(_xlpm.len&lt;250000,6,7)))))),_xlpm.widthRow,IF($E57&lt;900,0,5),_xlpm.supplierRow,IF($Q57="Marma",7,IF(OR($Q57="Bastin",$Q57="Quantum"),17,0)),IF(_xlpm.supplierRow=0,"",INDEX('Lmntn &amp; Prntng- Marma &amp; Bastin '!$D$1:$K$22,_xlpm.supplierRow+_xlpm.widthRow,_xlpm.colNum)))))</f>
        <v>3.492E-2</v>
      </c>
      <c r="V57" s="1076">
        <f>IFERROR(IF(AL72="","",IF($K62&gt;31,(5%+250/$G$57)*AL72,VLOOKUP($K62,HELPER!$BH$3:$BI$5,2,TRUE)*AL72)),"")</f>
        <v>1.5279015788303312</v>
      </c>
      <c r="W57" s="1079">
        <f>IF(OR($H57&lt;&gt;"Printed",$I57=0,$I57="0"),0,IFERROR(AL72*0.028,0)+IFERROR(AL93,0))</f>
        <v>0</v>
      </c>
      <c r="X57" s="202">
        <f t="shared" si="7"/>
        <v>0.17133766000000003</v>
      </c>
      <c r="Y57" s="1080">
        <f>IFERROR((SUM(X57:X62)+SUM(R57:S57,U57))*(1/M62)*(J57/E57)+V57+W57,"")</f>
        <v>13.882374592585533</v>
      </c>
      <c r="Z57" s="201">
        <f>IF($M57="","",IFERROR(($N57+$P57)*$M57/$M$62,""))</f>
        <v>2.0410947774706951</v>
      </c>
      <c r="AA57" s="595">
        <f>AL58</f>
        <v>1</v>
      </c>
      <c r="AB57" s="95" t="str">
        <f>IF(OR(AL62="IMP",AL62="By Imp"),IFERROR(AL63/AA57,""),"")</f>
        <v/>
      </c>
      <c r="AC57" s="624">
        <f>AL92</f>
        <v>0.66666666666666663</v>
      </c>
      <c r="AG57" s="514" t="s">
        <v>798</v>
      </c>
      <c r="AH57" s="175" t="s">
        <v>221</v>
      </c>
      <c r="AI57" s="515"/>
      <c r="AK57" s="514" t="s">
        <v>798</v>
      </c>
      <c r="AL57" s="175" t="s">
        <v>221</v>
      </c>
      <c r="AM57" s="515"/>
      <c r="AO57" s="514" t="s">
        <v>798</v>
      </c>
      <c r="AP57" s="175" t="s">
        <v>122</v>
      </c>
      <c r="AQ57" s="515"/>
    </row>
    <row r="58" spans="1:43" ht="15.75" hidden="1" outlineLevel="1">
      <c r="A58" s="1081"/>
      <c r="B58" s="1077"/>
      <c r="C58" t="str">
        <v>NK White</v>
      </c>
      <c r="D58" s="1077"/>
      <c r="E58" s="1077"/>
      <c r="F58" s="1077"/>
      <c r="G58" s="1081"/>
      <c r="H58" s="1077"/>
      <c r="I58" s="1077"/>
      <c r="J58" s="502">
        <f t="shared" si="8"/>
        <v>800</v>
      </c>
      <c r="K58" cm="1">
        <f t="array" ref="K58">_xlfn.LET(_xlpm.baseThick,IFERROR(INDEX(HELPER!$BX$2:$BX$250,MATCH(1,(TEXT(HELPER!$BZ$2:$BZ$250,"0")=TEXT($B$57,"0"))*(HELPER!$CC$2:$CC$250=$AL$53)*(HELPER!$BW$2:$BW$250=C58),0)),""),IF(_xlpm.baseThick="","",_xlpm.baseThick))</f>
        <v>22</v>
      </c>
      <c r="L58">
        <f>IFERROR(VLOOKUP(C58,HELPER!$AP$1:$AQ$25,2,FALSE),"")</f>
        <v>1.44</v>
      </c>
      <c r="M58" s="248">
        <f>IF(C58="","",IF(ISNUMBER(SEARCH("paper",C58)),42/1000*(J58/1000),IF(OR(L58="",L58=0),"",L58*1000*(K58/1000000)*(J58/1000))))</f>
        <v>2.5344000000000002E-2</v>
      </c>
      <c r="N58" s="204" cm="1">
        <f t="array" ref="N58">IF($C58="","",_xlfn.LET(
    _xlpm.mat,TRIM($C58),
    _xlpm.matKey,UPPER(SUBSTITUTE(_xlpm.mat," ","")),
    _xlpm.pr,IFERROR(LOOKUP(2,1/($H$57:H58&lt;&gt;""),$H$57:H58),""),
    _xlpm.widthActual,IFERROR(LOOKUP(2,1/($E$57:E58&lt;&gt;""),$E$57:E58),$E58),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",""))=_xlpm.matKey)*(_xlpm.summaryThick=$K58)*(_xlpm.summaryCosts&gt;0))),INDEX(_xlfn._xlws.FILTER(_xlpm.summaryCosts,(UPPER(SUBSTITUTE(_xlpm.summaryNames," ",""))=_xlpm.matKey)*(_xlpm.summaryThick=$K58)*(_xlpm.summaryCosts&gt;0)),1)),""),""),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9.7199999999999989</v>
      </c>
      <c r="O58" s="1077"/>
      <c r="P58" s="73">
        <f>IF(OR(C58="",A$57&lt;=0),"",IFERROR(IF(O$57="Europe to US",IF(A$57&lt;500,10,IF(A$57&lt;1000,8,IF(A$57&lt;2500,6,IF(A$57&lt;5000,5,4)))),VLOOKUP(O$57,HELPER!$AF$2:$AH$3,3,FALSE)),0))</f>
        <v>0.2</v>
      </c>
      <c r="Q58" s="1077"/>
      <c r="R58" s="1074"/>
      <c r="S58" s="1074"/>
      <c r="T58" s="1075"/>
      <c r="U58" s="1074"/>
      <c r="V58" s="1077"/>
      <c r="W58" s="1079"/>
      <c r="X58" s="202">
        <f t="shared" si="7"/>
        <v>0.25141247999999999</v>
      </c>
      <c r="Y58" s="1080"/>
      <c r="Z58" s="201">
        <f>IF($M58="","",IFERROR(($N58+$P58)*$M58/$M$62,""))</f>
        <v>2.9950023825407412</v>
      </c>
      <c r="AG58" s="514" t="s">
        <v>2382</v>
      </c>
      <c r="AH58" s="175" t="s">
        <v>1215</v>
      </c>
      <c r="AI58" s="515"/>
      <c r="AJ58" s="38"/>
      <c r="AK58" s="514" t="s">
        <v>2382</v>
      </c>
      <c r="AL58" s="175">
        <v>1</v>
      </c>
      <c r="AM58" s="515"/>
      <c r="AN58" s="38"/>
      <c r="AO58" s="514" t="s">
        <v>2382</v>
      </c>
      <c r="AP58" s="175">
        <v>1</v>
      </c>
      <c r="AQ58" s="515"/>
    </row>
    <row r="59" spans="1:43" ht="15.75" hidden="1" outlineLevel="1">
      <c r="A59" s="1081"/>
      <c r="B59" s="1077"/>
      <c r="C59" t="str">
        <v> NK MATT</v>
      </c>
      <c r="D59" s="1077"/>
      <c r="E59" s="1077"/>
      <c r="F59" s="1077"/>
      <c r="G59" s="1081"/>
      <c r="H59" s="1077"/>
      <c r="I59" s="1077"/>
      <c r="J59" s="502">
        <f t="shared" si="8"/>
        <v>800</v>
      </c>
      <c r="K59" cm="1">
        <f t="array" ref="K59">_xlfn.LET(_xlpm.baseThick,IFERROR(INDEX(HELPER!$BX$2:$BX$250,MATCH(1,(TEXT(HELPER!$BZ$2:$BZ$250,"0")=TEXT($B$57,"0"))*(HELPER!$CC$2:$CC$250=$AL$53)*(HELPER!$BW$2:$BW$250=C59),0)),""),IF(_xlpm.baseThick="","",_xlpm.baseThick))</f>
        <v>25</v>
      </c>
      <c r="L59">
        <f>IFERROR(VLOOKUP(C59,HELPER!$AP$1:$AQ$25,2,FALSE),"")</f>
        <v>1.44</v>
      </c>
      <c r="M59" s="248">
        <f>IF(C59="","",IF(ISNUMBER(SEARCH("paper",C59)),42/1000*(J59/1000),IF(OR(L59="",L59=0),"",L59*1000*(K59/1000000)*(J59/1000))))</f>
        <v>2.8800000000000006E-2</v>
      </c>
      <c r="N59" s="203" cm="1">
        <f t="array" ref="N59">IF($C59="","",_xlfn.LET(
    _xlpm.mat,TRIM($C59),
    _xlpm.matKey,UPPER(SUBSTITUTE(_xlpm.mat," ","")),
    _xlpm.pr,IFERROR(LOOKUP(2,1/($H$57:H59&lt;&gt;""),$H$57:H59),""),
    _xlpm.widthActual,IFERROR(LOOKUP(2,1/($E$57:E59&lt;&gt;""),$E$57:E59),$E59),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",""))=_xlpm.matKey)*(_xlpm.summaryThick=$K59)*(_xlpm.summaryCosts&gt;0))),INDEX(_xlfn._xlws.FILTER(_xlpm.summaryCosts,(UPPER(SUBSTITUTE(_xlpm.summaryNames," ",""))=_xlpm.matKey)*(_xlpm.summaryThick=$K59)*(_xlpm.summaryCosts&gt;0)),1)),""),""),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8.7199999999999989</v>
      </c>
      <c r="O59" s="1077"/>
      <c r="P59" s="73">
        <f>IF(OR(C59="",A$57&lt;=0),"",IFERROR(IF(O$57="Europe to US",IF(A$57&lt;500,10,IF(A$57&lt;1000,8,IF(A$57&lt;2500,6,IF(A$57&lt;5000,5,4)))),VLOOKUP(O$57,HELPER!$AF$2:$AH$3,3,FALSE)),0))</f>
        <v>0.2</v>
      </c>
      <c r="Q59" s="1077"/>
      <c r="R59" s="1074"/>
      <c r="S59" s="1074"/>
      <c r="T59" s="1075"/>
      <c r="U59" s="1074"/>
      <c r="V59" s="1077"/>
      <c r="W59" s="1079"/>
      <c r="X59" s="202">
        <f t="shared" si="7"/>
        <v>0.25689600000000001</v>
      </c>
      <c r="Y59" s="1080"/>
      <c r="Z59" s="201">
        <f>IF($M59="","",IFERROR(($N59+$P59)*$M59/$M$62,""))</f>
        <v>3.0603259315734297</v>
      </c>
      <c r="AG59" s="514" t="s">
        <v>2384</v>
      </c>
      <c r="AH59" s="175" t="s">
        <v>2385</v>
      </c>
      <c r="AI59" s="515"/>
      <c r="AJ59" s="38"/>
      <c r="AK59" s="514" t="s">
        <v>2384</v>
      </c>
      <c r="AL59" s="175" t="s">
        <v>2385</v>
      </c>
      <c r="AM59" s="515"/>
      <c r="AN59" s="38"/>
      <c r="AO59" s="514" t="s">
        <v>2384</v>
      </c>
      <c r="AP59" s="175" t="s">
        <v>2385</v>
      </c>
      <c r="AQ59" s="515"/>
    </row>
    <row r="60" spans="1:43" ht="15.75" hidden="1" outlineLevel="1">
      <c r="A60" s="1081"/>
      <c r="B60" s="1077"/>
      <c r="C60" t="str">
        <v>RM G Epotal ECO 3675</v>
      </c>
      <c r="D60" s="1077"/>
      <c r="E60" s="1077"/>
      <c r="F60" s="1077"/>
      <c r="G60" s="1081"/>
      <c r="H60" s="1077"/>
      <c r="I60" s="1077"/>
      <c r="J60" s="502">
        <f t="shared" si="8"/>
        <v>800</v>
      </c>
      <c r="K60" cm="1">
        <f t="array" ref="K60">_xlfn.LET(_xlpm.baseThick,IFERROR(INDEX(HELPER!$BX$2:$BX$250,MATCH(1,(TEXT(HELPER!$BZ$2:$BZ$250,"0")=TEXT($B$57,"0"))*(HELPER!$CC$2:$CC$250=$AL$53)*(HELPER!$BW$2:$BW$250=C60),0)),""),IF(_xlpm.baseThick="","",_xlpm.baseThick))</f>
        <v>6</v>
      </c>
      <c r="L60">
        <f>IFERROR(VLOOKUP(C60,HELPER!$AP$1:$AQ$25,2,FALSE),"")</f>
        <v>1</v>
      </c>
      <c r="M60" s="248">
        <f>IF(C60="","",IF(ISNUMBER(SEARCH("paper",C60)),42/1000*(J60/1000),IF(OR(L60="",L60=0),"",L60*1000*(K60/1000000)*(J60/1000))))</f>
        <v>4.8000000000000004E-3</v>
      </c>
      <c r="N60" s="203" cm="1">
        <f t="array" ref="N60">IF($C60="","",_xlfn.LET(
    _xlpm.mat,TRIM($C60),
    _xlpm.matKey,UPPER(SUBSTITUTE(_xlpm.mat," ","")),
    _xlpm.pr,IFERROR(LOOKUP(2,1/($H$57:H60&lt;&gt;""),$H$57:H60),""),
    _xlpm.widthActual,IFERROR(LOOKUP(2,1/($E$57:E60&lt;&gt;""),$E$57:E60),$E60),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",""))=_xlpm.matKey)*(_xlpm.summaryThick=$K60)*(_xlpm.summaryCosts&gt;0))),INDEX(_xlfn._xlws.FILTER(_xlpm.summaryCosts,(UPPER(SUBSTITUTE(_xlpm.summaryNames," ",""))=_xlpm.matKey)*(_xlpm.summaryThick=$K60)*(_xlpm.summaryCosts&gt;0)),1)),""),""),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0" s="1077"/>
      <c r="P60" s="73">
        <f>IF(OR(C60="",A$57&lt;=0),"",IFERROR(IF(O$57="Europe to US",IF(A$57&lt;500,10,IF(A$57&lt;1000,8,IF(A$57&lt;2500,6,IF(A$57&lt;5000,5,4)))),VLOOKUP(O$57,HELPER!$AF$2:$AH$3,3,FALSE)),0))</f>
        <v>0.2</v>
      </c>
      <c r="Q60" s="1077"/>
      <c r="R60" s="1074"/>
      <c r="S60" s="1074"/>
      <c r="T60" s="1075"/>
      <c r="U60" s="1074"/>
      <c r="V60" s="1077"/>
      <c r="W60" s="1079"/>
      <c r="X60" s="202">
        <f t="shared" si="7"/>
        <v>2.4240000000000005E-2</v>
      </c>
      <c r="Y60" s="1080"/>
      <c r="Z60" s="201">
        <f>IF($M60="","",IFERROR(($N60+$P60)*$M60/$M$62,""))</f>
        <v>0.28876393786333748</v>
      </c>
      <c r="AG60" s="514" t="s">
        <v>2386</v>
      </c>
      <c r="AH60" s="174" t="s">
        <v>2387</v>
      </c>
      <c r="AI60" s="515"/>
      <c r="AK60" s="514" t="s">
        <v>2386</v>
      </c>
      <c r="AL60" s="174" t="s">
        <v>2387</v>
      </c>
      <c r="AM60" s="515"/>
      <c r="AO60" s="514" t="s">
        <v>2386</v>
      </c>
      <c r="AP60" s="174" t="s">
        <v>2387</v>
      </c>
      <c r="AQ60" s="515"/>
    </row>
    <row r="61" spans="1:43" ht="15.75" hidden="1" outlineLevel="1">
      <c r="A61" s="1081"/>
      <c r="B61" s="1077"/>
      <c r="D61" s="1077"/>
      <c r="E61" s="1077"/>
      <c r="F61" s="1077"/>
      <c r="G61" s="1081"/>
      <c r="H61" s="1077"/>
      <c r="I61" s="1077"/>
      <c r="J61" s="502" t="str">
        <f t="shared" si="8"/>
        <v/>
      </c>
      <c r="K61" t="str" cm="1">
        <f t="array" ref="K61">_xlfn.LET(_xlpm.baseThick,IFERROR(INDEX(HELPER!$BX$2:$BX$250,MATCH(1,(TEXT(HELPER!$BZ$2:$BZ$250,"0")=TEXT($B$57,"0"))*(HELPER!$CC$2:$CC$250=$AL$53)*(HELPER!$BW$2:$BW$250=C61),0)),""),IF(_xlpm.baseThick="","",_xlpm.baseThick))</f>
        <v/>
      </c>
      <c r="L61" t="str">
        <f>IFERROR(VLOOKUP(C61,HELPER!$AP$1:$AQ$25,2,FALSE),"")</f>
        <v/>
      </c>
      <c r="M61" s="248" t="str">
        <f>IF(C61="","",IF(ISNUMBER(SEARCH("paper",C61)),42/1000*(J61/1000),IF(OR(L61="",L61=0),"",L61*1000*(K61/1000000)*(J61/1000))))</f>
        <v/>
      </c>
      <c r="N61" s="203" t="str" cm="1">
        <f t="array" ref="N61">IF($C61="","",_xlfn.LET(
    _xlpm.mat,TRIM($C61),
    _xlpm.matKey,UPPER(SUBSTITUTE(_xlpm.mat," ","")),
    _xlpm.pr,IFERROR(LOOKUP(2,1/($H$57:H61&lt;&gt;""),$H$57:H61),""),
    _xlpm.widthActual,IFERROR(LOOKUP(2,1/($E$57:E61&lt;&gt;""),$E$57:E61),$E61),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",""))=_xlpm.matKey)*(_xlpm.summaryThick=$K61)*(_xlpm.summaryCosts&gt;0))),INDEX(_xlfn._xlws.FILTER(_xlpm.summaryCosts,(UPPER(SUBSTITUTE(_xlpm.summaryNames," ",""))=_xlpm.matKey)*(_xlpm.summaryThick=$K61)*(_xlpm.summaryCosts&gt;0)),1)),""),""),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1" s="1077"/>
      <c r="P61" s="73" t="str">
        <f>IF(OR(C61="",A$57&lt;=0),"",IFERROR(IF(O$57="Europe to US",IF(A$57&lt;500,10,IF(A$57&lt;1000,8,IF(A$57&lt;2500,6,IF(A$57&lt;5000,5,4)))),VLOOKUP(O$57,HELPER!$AF$2:$AH$3,3,FALSE)),0))</f>
        <v/>
      </c>
      <c r="Q61" s="1077"/>
      <c r="R61" s="1074"/>
      <c r="S61" s="1074"/>
      <c r="T61" s="1075"/>
      <c r="U61" s="1074"/>
      <c r="V61" s="1077"/>
      <c r="W61" s="1079"/>
      <c r="X61" s="202" t="str">
        <f t="shared" si="7"/>
        <v/>
      </c>
      <c r="Y61" s="1080"/>
      <c r="Z61" s="201"/>
      <c r="AG61" s="514" t="s">
        <v>2388</v>
      </c>
      <c r="AH61" s="174" t="s">
        <v>240</v>
      </c>
      <c r="AI61" s="515"/>
      <c r="AK61" s="514" t="s">
        <v>2388</v>
      </c>
      <c r="AL61" s="174" t="s">
        <v>250</v>
      </c>
      <c r="AM61" s="515"/>
      <c r="AO61" s="514" t="s">
        <v>2388</v>
      </c>
      <c r="AP61" s="174" t="s">
        <v>250</v>
      </c>
      <c r="AQ61" s="515"/>
    </row>
    <row r="62" spans="1:43" ht="15.75" hidden="1" outlineLevel="1">
      <c r="A62" s="1081"/>
      <c r="B62" s="1077"/>
      <c r="C62" s="38"/>
      <c r="D62" s="1077"/>
      <c r="E62" s="1077"/>
      <c r="F62" s="1077"/>
      <c r="G62" s="1081"/>
      <c r="H62" s="1077"/>
      <c r="I62" s="1077"/>
      <c r="J62" s="502" t="str">
        <f t="shared" si="8"/>
        <v/>
      </c>
      <c r="K62" s="170">
        <f>AL53</f>
        <v>79</v>
      </c>
      <c r="L62" t="str">
        <f>IFERROR(VLOOKUP(C62,HELPER!$AP$1:$AQ$25,2,FALSE),"")</f>
        <v/>
      </c>
      <c r="M62" s="249">
        <f>SUM(M57:M61)</f>
        <v>8.3944000000000005E-2</v>
      </c>
      <c r="N62" s="203" t="str" cm="1">
        <f t="array" ref="N62">IF($C62="","",_xlfn.LET(
    _xlpm.mat,TRIM($C62),
    _xlpm.matKey,UPPER(SUBSTITUTE(_xlpm.mat," ","")),
    _xlpm.pr,IFERROR(LOOKUP(2,1/($H$57:H62&lt;&gt;""),$H$57:H62),""),
    _xlpm.widthActual,IFERROR(LOOKUP(2,1/($E$57:E62&lt;&gt;""),$E$57:E62),$E62),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",""))=_xlpm.matKey)*(_xlpm.summaryThick=$K62)*(_xlpm.summaryCosts&gt;0))),INDEX(_xlfn._xlws.FILTER(_xlpm.summaryCosts,(UPPER(SUBSTITUTE(_xlpm.summaryNames," ",""))=_xlpm.matKey)*(_xlpm.summaryThick=$K62)*(_xlpm.summaryCosts&gt;0)),1)),""),""),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2" s="1077"/>
      <c r="P62" s="73" t="str">
        <f>IF(OR(C62="",A$57&lt;=0),"",IFERROR(IF(O$57="Europe to US",IF(A$57&lt;500,10,IF(A$57&lt;1000,8,IF(A$57&lt;2500,6,IF(A$57&lt;5000,5,4)))),VLOOKUP(O$57,HELPER!$AF$2:$AH$3,3,FALSE)),0))</f>
        <v/>
      </c>
      <c r="Q62" s="1077"/>
      <c r="R62" s="1074"/>
      <c r="S62" s="1074"/>
      <c r="T62" s="1075"/>
      <c r="U62" s="1074"/>
      <c r="V62" s="1077"/>
      <c r="W62" s="1079"/>
      <c r="X62" s="202" t="str">
        <f t="shared" si="7"/>
        <v/>
      </c>
      <c r="Y62" s="1080"/>
      <c r="Z62" s="201"/>
      <c r="AG62" s="1170" t="s">
        <v>2389</v>
      </c>
      <c r="AH62" s="634" t="s">
        <v>560</v>
      </c>
      <c r="AI62" s="516"/>
      <c r="AJ62" s="235"/>
      <c r="AK62" s="528" t="s">
        <v>2389</v>
      </c>
      <c r="AL62" s="634" t="s">
        <v>561</v>
      </c>
      <c r="AM62" s="516"/>
      <c r="AO62" s="528" t="s">
        <v>2389</v>
      </c>
      <c r="AP62" s="634" t="s">
        <v>1040</v>
      </c>
      <c r="AQ62" s="516"/>
    </row>
    <row r="63" spans="1:43" ht="15.75" hidden="1" outlineLevel="1">
      <c r="A63" s="1081">
        <f>IF(AP62="By Length",IF(AP63&lt;&gt;"",IFERROR(AP63*$M$68*($D63/$J63),""),""),IF(OR(AP62="By Imp",AP62="IMP"),IFERROR(AP90*$M$68*($D63/$J63),""),IF(AP55="","",AP55)))</f>
        <v>392.31176250000004</v>
      </c>
      <c r="B63" s="1077">
        <f>AP52</f>
        <v>819</v>
      </c>
      <c r="C63" t="str" cm="1">
        <f t="array" ref="C63:C66">IFERROR(_xlfn.LET(_xlpm.lam,TEXT(B63,"0"),_xlpm.thick,AP53,_xlfn.TAKE(_xlfn._xlws.FILTER(HELPER!$BW$2:$BW$250,(TEXT(HELPER!$BZ$2:$BZ$250,"0")=_xlpm.lam)*(HELPER!$CC$2:$CC$250=_xlpm.thick)*(HELPER!$BW$2:$BW$250&lt;&gt;""),"No match"),6)),"")</f>
        <v>NK</v>
      </c>
      <c r="D63" s="1077">
        <f>AP54</f>
        <v>750</v>
      </c>
      <c r="E63" s="1082">
        <f>IF(D63="","",_xlfn.LET(_xlpm.cap,IF($Q63="Quantum",760,1220),IF(D63+50&gt;_xlpm.cap,"ERROR: Lamination Width &gt; "&amp;_xlpm.cap,D63*MAX(1,MIN(MAX(2,INT(900/D63)),INT((_xlpm.cap-50)/D63))))))</f>
        <v>750</v>
      </c>
      <c r="F63" s="1077"/>
      <c r="G63" s="1083">
        <f>IF(OR(AP62="IMP",AP62="By Imp",AP62="By Length"),IFERROR(AP65,""),IFERROR(IF(OR(A63="",A63=0,$D63="",$D63=0,$J63="",$M$68="",$M$68=0,A63&lt;=5),"",(A63-5)/$M$68*($J63/$D63)),""))</f>
        <v>4987.5</v>
      </c>
      <c r="H63" s="1077" t="str">
        <f>AP56</f>
        <v>Printed</v>
      </c>
      <c r="I63" s="1084" t="str">
        <f>IF(H63="Not Printed",0,AP57)</f>
        <v>3-4</v>
      </c>
      <c r="J63" s="502">
        <f t="shared" ref="J63:J74" si="9">IF($C63="","",IF($E$63="","",IF(ISNUMBER($E$63),_xlfn.LET(_xlpm.cap,IF($Q$63="Quantum",760,1220),IF($E$63+50&gt;_xlpm.cap,"ERROR: Lamination Width &gt; "&amp;_xlpm.cap,$E$63+50)),$E$63)))</f>
        <v>800</v>
      </c>
      <c r="K63" cm="1">
        <f t="array" ref="K63">_xlfn.LET(_xlpm.baseThick,IFERROR(INDEX(HELPER!$BX$2:$BX$250,MATCH(1,(TEXT(HELPER!$BZ$2:$BZ$250,"0")=TEXT($B$63,"0"))*(HELPER!$CC$2:$CC$250=$AP$53)*(HELPER!$BW$2:$BW$250=C63),0)),""),IF(_xlpm.baseThick="","",_xlpm.baseThick))</f>
        <v>23</v>
      </c>
      <c r="L63">
        <f>IFERROR(VLOOKUP(C63,HELPER!$AP$1:$AQ$25,2,FALSE),"")</f>
        <v>1.44</v>
      </c>
      <c r="M63" s="250">
        <f>IF(C63="","",IF(ISNUMBER(SEARCH("paper",C63)),42/1000*(J63/1000),IF(OR(L63="",L63=0),"",L63*1000*(K63/1000000)*(J63/1000))))</f>
        <v>2.6495999999999999E-2</v>
      </c>
      <c r="N63" s="203" cm="1">
        <f t="array" ref="N63">IF($C63="","",_xlfn.LET(
    _xlpm.mat,TRIM($C63),
    _xlpm.matKey,UPPER(SUBSTITUTE(_xlpm.mat," ","")),
    _xlpm.pr,IFERROR(LOOKUP(2,1/($H$63:H63&lt;&gt;""),$H$63:H63),""),
    _xlpm.widthActual,IFERROR(LOOKUP(2,1/($E$63:E63&lt;&gt;""),$E$63:E63),$E63),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",""))=_xlpm.matKey)*(_xlpm.summaryThick=$K63)*(_xlpm.summaryCosts&gt;0))),INDEX(_xlfn._xlws.FILTER(_xlpm.summaryCosts,(UPPER(SUBSTITUTE(_xlpm.summaryNames," ",""))=_xlpm.matKey)*(_xlpm.summaryThick=$K63)*(_xlpm.summaryCosts&gt;0)),1)),""),""),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63" s="1077" t="str">
        <f>AP60</f>
        <v>EXW</v>
      </c>
      <c r="P63" s="73">
        <f>IF(OR(C63="",A$63&lt;=0),"",IFERROR(IF(O$63="Europe to US",IF(A$63&lt;500,10,IF(A$63&lt;1000,8,IF(A$63&lt;2500,6,IF(A$63&lt;5000,5,4)))),VLOOKUP(O$63,HELPER!$AF$2:$AH$3,3,FALSE)),0))</f>
        <v>0.2</v>
      </c>
      <c r="Q63" s="1077" t="str">
        <f>AP61</f>
        <v>Marma</v>
      </c>
      <c r="R63" s="1074" cm="1">
        <f t="array" ref="R63">IF(OR($Q63="",$G63=""),"",IF($J63&gt;IF($Q63="Quantum",760,1220),"Error! lamination width exceeds supplier maximum",_xlfn.LET(_xlpm.struct,$C$63:$C$68,_xlpm.realLayers,SUMPRODUCT(--(_xlpm.struct&lt;&gt;""),--ISERROR(SEARCH("EPOTAL",_xlpm.struct&amp;"")),--ISERROR(SEARCH("BASONAT",_xlpm.struct&amp;"")),--ISERROR(SEARCH("ADH",_xlpm.struct&amp;"")),--ISERROR(SEARCH("HARDENER",_xlpm.struct&amp;""))),_xlpm.lamSteps,MAX(0,_xlpm.realLayers-1),_xlpm.len,$G63,_xlpm.colNum,IF(_xlpm.len&lt;3000,1,IF(_xlpm.len&lt;10000,2,IF(_xlpm.len&lt;25000,3,IF(_xlpm.len&lt;50000,4,IF(_xlpm.len&lt;100000,5,IF(_xlpm.len&lt;250000,6,7)))))),_xlpm.widthRow,IF(AND($D63&gt;=710,$D63&lt;=760),0,IF($D63&lt;900,0,5)),_xlpm.supplierRow,IF($Q63="Marma",3,IF(OR($Q63="Bastin",$Q63="Quantum"),13,0)),_xlpm.baseRate,IF(_xlpm.supplierRow=0,"",INDEX('Lmntn &amp; Prntng- Marma &amp; Bastin '!$D$1:$K$22,_xlpm.supplierRow+_xlpm.widthRow,_xlpm.colNum)),IF(_xlpm.realLayers=0,"",_xlpm.baseRate*_xlpm.lamSteps))))</f>
        <v>0.20826</v>
      </c>
      <c r="S63" s="1074" cm="1">
        <f t="array" ref="S63">IF($Q63="Quantum",IF(OR($Q63="",$I63=0,$I63="0"),"",IF($J63&gt;IF($Q63="Quantum",760,1220),"Error! lamination width exceeds supplier maximum",IF($E63&gt;1200,"Data is missing",_xlfn.LET(_xlpm.len,$G63,_xlpm.colors,$I63,_xlpm.qWidth,IF($E63&lt;=450,450,IF($E63&lt;=760,760,1200)),_xlpm.band,IF(_xlpm.colors=1,"1",IF(OR(_xlpm.colors=2,_xlpm.colors=3),"2-3",IF(OR(_xlpm.colors=4,_xlpm.colors=5),"4-5","6-8"))),_xlpm.widths,'Digital_per_meter-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63="",$I63=0,$I63="0"),"",IF($J63&gt;IF($Q63="Quantum",760,1220),"Error! lamination width exceeds supplier maximum",_xlfn.LET(_xlpm.len,$G63,_xlpm.colors,$I63,_xlpm.colNum,IF(_xlpm.len&lt;3000,1,IF(_xlpm.len&lt;10000,2,IF(_xlpm.len&lt;25000,3,IF(_xlpm.len&lt;50000,4,IF(_xlpm.len&lt;100000,5,IF(_xlpm.len&lt;250000,6,IF(_xlpm.len&lt;500000,7,8))))))),_xlpm.widthRow,IF($E63&lt;900,0,5),_xlpm.colorOffset,IF(OR(_xlpm.colors=1,_xlpm.colors=2,_xlpm.colors="1-2"),1,IF(OR(_xlpm.colors=3,_xlpm.colors=4,_xlpm.colors="3-4"),2,IF(OR(_xlpm.colors&gt;=5,_xlpm.colors="5-6",_xlpm.colors="5-8"),3,0))),_xlpm.supplierRow,IF($Q63="Marma",3,IF($Q63="Bastin",13,0)),IF(OR(_xlpm.supplierRow=0,_xlpm.colorOffset=0),"",INDEX('Lmntn &amp; Prntng- Marma &amp; Bastin '!$D$1:$K$22,_xlpm.supplierRow+_xlpm.widthRow+_xlpm.colorOffset,_xlpm.colNum))))))</f>
        <v>0.17702000000000001</v>
      </c>
      <c r="T63" s="1075">
        <f>IF(OR($S63="",$K63=""),"",IFERROR($S63*(1/$M$68)*($J63/($D63*MAX(1,ROUNDDOWN(760/$D63,0)))),""))</f>
        <v>2.1004419922280562</v>
      </c>
      <c r="U63" s="1074" cm="1">
        <f t="array" ref="U63">IF(OR($Q63="",$G63=""),"",IF($J63&gt;IF($Q63="Quantum",760,1220),"Error! lamination width exceeds supplier maximum",_xlfn.LET(_xlpm.len,$G63,_xlpm.colNum,IF(_xlpm.len&lt;3000,1,IF(_xlpm.len&lt;10000,2,IF(_xlpm.len&lt;25000,3,IF(_xlpm.len&lt;50000,4,IF(_xlpm.len&lt;100000,5,IF(_xlpm.len&lt;250000,6,7)))))),_xlpm.widthRow,IF($E63&lt;900,0,5),_xlpm.supplierRow,IF($Q63="Marma",7,IF(OR($Q63="Bastin",$Q63="Quantum"),17,0)),IF(_xlpm.supplierRow=0,"",INDEX('Lmntn &amp; Prntng- Marma &amp; Bastin '!$D$1:$K$22,_xlpm.supplierRow+_xlpm.widthRow,_xlpm.colNum)))))</f>
        <v>3.0420000000000003E-2</v>
      </c>
      <c r="V63" s="1076">
        <f>IFERROR(IF(AP72="","",IF($K68&gt;31,(5%+250/$G$63)*AP72,VLOOKUP($K68,HELPER!$BH$3:$BI$5,2,TRUE)*AP72)),"")</f>
        <v>0.53580376609703795</v>
      </c>
      <c r="W63" s="1079">
        <f>IF(OR($H63&lt;&gt;"Printed",$I63=0,$I63="0"),0,IFERROR(AP72*0.028,0)+IFERROR(AP93,0))</f>
        <v>1.1372964832364505</v>
      </c>
      <c r="X63" s="202">
        <f t="shared" si="7"/>
        <v>0.21594240000000001</v>
      </c>
      <c r="Y63" s="1080">
        <f>IFERROR((SUM(X63:X68)+SUM(R63:S63,U63))*(1/M68)*(J63/E63)+V63+W63,"")</f>
        <v>12.170279923623781</v>
      </c>
      <c r="Z63" s="201">
        <f>IF(OR($M63="",$M$68=""),"",IFERROR(($N63+$P63)*$M63/$M$68,""))</f>
        <v>2.4021358013704726</v>
      </c>
      <c r="AA63" s="595">
        <f>AP58</f>
        <v>1</v>
      </c>
      <c r="AB63" s="95">
        <f>IF(OR(AP62="IMP",AP62="By Imp"),IFERROR(AP63/AA63,""),"")</f>
        <v>475000</v>
      </c>
      <c r="AC63" s="624">
        <f>AP92</f>
        <v>0.33333333333333331</v>
      </c>
      <c r="AG63" s="1170" t="s">
        <v>2390</v>
      </c>
      <c r="AH63" s="512">
        <v>5000</v>
      </c>
      <c r="AI63" s="527" t="str">
        <f>IF(AH62="IMP","IMP",IF(AH62="By Length","m",""))</f>
        <v/>
      </c>
      <c r="AJ63" s="513"/>
      <c r="AK63" s="528" t="s">
        <v>2390</v>
      </c>
      <c r="AL63" s="512">
        <v>2000</v>
      </c>
      <c r="AM63" s="527" t="str">
        <f>IF(AL62="IMP","IMP",IF(AL62="By Length","m",""))</f>
        <v>m</v>
      </c>
      <c r="AN63" s="513"/>
      <c r="AO63" s="528" t="s">
        <v>2390</v>
      </c>
      <c r="AP63" s="512">
        <v>475000</v>
      </c>
      <c r="AQ63" s="527" t="str">
        <f>IF(AP62="IMP","IMP",IF(AP62="By Length","m",""))</f>
        <v/>
      </c>
    </row>
    <row r="64" spans="1:43" ht="15.75" hidden="1" outlineLevel="1">
      <c r="A64" s="1081"/>
      <c r="B64" s="1077"/>
      <c r="C64" t="str">
        <v>TIPA 302FG</v>
      </c>
      <c r="D64" s="1077"/>
      <c r="E64" s="1077"/>
      <c r="F64" s="1077"/>
      <c r="G64" s="1081"/>
      <c r="H64" s="1077"/>
      <c r="I64" s="1077"/>
      <c r="J64" s="502">
        <f t="shared" si="9"/>
        <v>800</v>
      </c>
      <c r="K64" cm="1">
        <f t="array" ref="K64">_xlfn.LET(_xlpm.baseThick,IFERROR(INDEX(HELPER!$BX$2:$BX$250,MATCH(1,(TEXT(HELPER!$BZ$2:$BZ$250,"0")=TEXT($B$63,"0"))*(HELPER!$CC$2:$CC$250=$AP$53)*(HELPER!$BW$2:$BW$250=C64),0)),""),IF(_xlpm.baseThick="","",_xlpm.baseThick))</f>
        <v>25</v>
      </c>
      <c r="L64">
        <f>IFERROR(VLOOKUP(C64,HELPER!$AP$1:$AQ$25,2,FALSE),"")</f>
        <v>1.25</v>
      </c>
      <c r="M64" s="250">
        <f>IF(C64="","",IF(ISNUMBER(SEARCH("paper",C64)),42/1000*(J64/1000),IF(OR(L64="",L64=0),"",L64*1000*(K64/1000000)*(J64/1000))))</f>
        <v>2.5000000000000001E-2</v>
      </c>
      <c r="N64" s="204" cm="1">
        <f t="array" ref="N64">IF($C64="","",_xlfn.LET(
    _xlpm.mat,TRIM($C64),
    _xlpm.matKey,UPPER(SUBSTITUTE(_xlpm.mat," ","")),
    _xlpm.pr,IFERROR(LOOKUP(2,1/($H$63:H64&lt;&gt;""),$H$63:H64),""),
    _xlpm.widthActual,IFERROR(LOOKUP(2,1/($E$63:E64&lt;&gt;""),$E$63:E64),$E64),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",""))=_xlpm.matKey)*(_xlpm.summaryThick=$K64)*(_xlpm.summaryCosts&gt;0))),INDEX(_xlfn._xlws.FILTER(_xlpm.summaryCosts,(UPPER(SUBSTITUTE(_xlpm.summaryNames," ",""))=_xlpm.matKey)*(_xlpm.summaryThick=$K64)*(_xlpm.summaryCosts&gt;0)),1)),""),""),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6.6535064000000004</v>
      </c>
      <c r="O64" s="1077"/>
      <c r="P64" s="73">
        <f>IF(OR(C64="",A$63&lt;=0),"",IFERROR(IF(O$63="Europe to US",IF(A$63&lt;500,10,IF(A$63&lt;1000,8,IF(A$63&lt;2500,6,IF(A$63&lt;5000,5,4)))),VLOOKUP(O$63,HELPER!$AF$2:$AH$3,3,FALSE)),0))</f>
        <v>0.2</v>
      </c>
      <c r="Q64" s="1077"/>
      <c r="R64" s="1074"/>
      <c r="S64" s="1074"/>
      <c r="T64" s="1075"/>
      <c r="U64" s="1074"/>
      <c r="V64" s="1077"/>
      <c r="W64" s="1079"/>
      <c r="X64" s="202">
        <f t="shared" si="7"/>
        <v>0.17133766000000003</v>
      </c>
      <c r="Y64" s="1080"/>
      <c r="Z64" s="201">
        <f>IF(OR($M64="",$M$68=""),"",IFERROR(($N64+$P64)*$M64/$M$68,""))</f>
        <v>1.9059542137581207</v>
      </c>
      <c r="AG64" s="1170" t="s">
        <v>1214</v>
      </c>
      <c r="AH64" s="658"/>
      <c r="AI64" s="552"/>
      <c r="AK64" s="517" t="s">
        <v>1214</v>
      </c>
      <c r="AL64" s="658"/>
      <c r="AM64" s="552"/>
      <c r="AO64" s="517" t="s">
        <v>1214</v>
      </c>
      <c r="AP64" s="658">
        <v>70</v>
      </c>
      <c r="AQ64" s="552">
        <v>105</v>
      </c>
    </row>
    <row r="65" spans="1:43" ht="15.75" hidden="1" outlineLevel="1">
      <c r="A65" s="1081"/>
      <c r="B65" s="1077"/>
      <c r="C65" t="str">
        <v>Billerud Kraft White Paper</v>
      </c>
      <c r="D65" s="1077"/>
      <c r="E65" s="1077"/>
      <c r="F65" s="1077"/>
      <c r="G65" s="1081"/>
      <c r="H65" s="1077"/>
      <c r="I65" s="1077"/>
      <c r="J65" s="502">
        <f t="shared" si="9"/>
        <v>800</v>
      </c>
      <c r="K65" cm="1">
        <f t="array" ref="K65">_xlfn.LET(_xlpm.baseThick,IFERROR(INDEX(HELPER!$BX$2:$BX$250,MATCH(1,(TEXT(HELPER!$BZ$2:$BZ$250,"0")=TEXT($B$63,"0"))*(HELPER!$CC$2:$CC$250=$AP$53)*(HELPER!$BW$2:$BW$250=C65),0)),""),IF(_xlpm.baseThick="","",_xlpm.baseThick))</f>
        <v>67</v>
      </c>
      <c r="L65">
        <f>IFERROR(VLOOKUP(C65,HELPER!$AP$1:$AQ$25,2,FALSE),"")</f>
        <v>1</v>
      </c>
      <c r="M65" s="250">
        <f>IF(C65="","",IF(ISNUMBER(SEARCH("paper",C65)),42/1000*(J65/1000),IF(OR(L65="",L65=0),"",L65*1000*(K65/1000000)*(J65/1000))))</f>
        <v>3.3600000000000005E-2</v>
      </c>
      <c r="N65" s="203" cm="1">
        <f t="array" ref="N65">IF($C65="","",_xlfn.LET(
    _xlpm.mat,TRIM($C65),
    _xlpm.matKey,UPPER(SUBSTITUTE(_xlpm.mat," ","")),
    _xlpm.pr,IFERROR(LOOKUP(2,1/($H$63:H65&lt;&gt;""),$H$63:H65),""),
    _xlpm.widthActual,IFERROR(LOOKUP(2,1/($E$63:E65&lt;&gt;""),$E$63:E65),$E65),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",""))=_xlpm.matKey)*(_xlpm.summaryThick=$K65)*(_xlpm.summaryCosts&gt;0))),INDEX(_xlfn._xlws.FILTER(_xlpm.summaryCosts,(UPPER(SUBSTITUTE(_xlpm.summaryNames," ",""))=_xlpm.matKey)*(_xlpm.summaryThick=$K65)*(_xlpm.summaryCosts&gt;0)),1)),""),""),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1.51</v>
      </c>
      <c r="O65" s="1077"/>
      <c r="P65" s="73">
        <f>IF(OR(C65="",A$63&lt;=0),"",IFERROR(IF(O$63="Europe to US",IF(A$63&lt;500,10,IF(A$63&lt;1000,8,IF(A$63&lt;2500,6,IF(A$63&lt;5000,5,4)))),VLOOKUP(O$63,HELPER!$AF$2:$AH$3,3,FALSE)),0))</f>
        <v>0.2</v>
      </c>
      <c r="Q65" s="1077"/>
      <c r="R65" s="1074"/>
      <c r="S65" s="1074"/>
      <c r="T65" s="1075"/>
      <c r="U65" s="1074"/>
      <c r="V65" s="1077"/>
      <c r="W65" s="1079"/>
      <c r="X65" s="202">
        <f t="shared" si="7"/>
        <v>5.7456000000000007E-2</v>
      </c>
      <c r="Y65" s="1080"/>
      <c r="Z65" s="201">
        <f>IF(OR($M65="",$M$68=""),"",IFERROR(($N65+$P65)*$M65/$M$68,""))</f>
        <v>0.63913856011390946</v>
      </c>
      <c r="AG65" s="518" t="s">
        <v>575</v>
      </c>
      <c r="AH65" s="654" t="str" cm="1">
        <f t="array" ref="AH65">IF(OR(AH62="IMP",AH62="By Imp"),IFERROR(AH63/(ROUNDDOWN(AH54/AH64,0))*(AI64/1000),""),IF(AH62="By Length",IFERROR(AH63,""),IF(AH62="By Weight",IFERROR(ROUND(INDEX($G$51:$G$56,MATCH(1,($B$51:$B$56=AH52)*($D$51:$D$56=AH54)*($A$51:$A$56=IF(AH55&lt;&gt;"",AH55,A51))*($O$51:$O$56=AH60),0)),0),""),"")))</f>
        <v/>
      </c>
      <c r="AI65" s="519" t="s">
        <v>580</v>
      </c>
      <c r="AK65" s="518" t="s">
        <v>575</v>
      </c>
      <c r="AL65" s="654" cm="1">
        <f t="array" ref="AL65">IF(OR(AL62="IMP",AL62="By Imp"),IFERROR(AL63/(ROUNDDOWN(AL54/AL64,0))*(AM64/1000),""),IF(AL62="By Length",IFERROR(AL63,""),IF(AL62="By Weight",IFERROR(ROUND(INDEX($G$57:$G$62,MATCH(1,($B$57:$B$62=AL52)*($D$57:$D$62=AL54)*($A$57:$A$62=IF(AL55&lt;&gt;"",AL55,A57))*($O$57:$O$62=AL60),0)),0),""),"")))</f>
        <v>2000</v>
      </c>
      <c r="AM65" s="519" t="s">
        <v>580</v>
      </c>
      <c r="AO65" s="518" t="s">
        <v>575</v>
      </c>
      <c r="AP65" s="654" cm="1">
        <f t="array" ref="AP65">IF(OR(AP62="IMP",AP62="By Imp"),IFERROR(AP63/(ROUNDDOWN(AP54/AP64,0))*(AQ64/1000),""),IF(AP62="By Length",IFERROR(AP63,""),IF(AP62="By Weight",IFERROR(ROUND(INDEX($G$63:$G$68,MATCH(1,($B$63:$B$68=AP52)*($D$63:$D$68=AP54)*($A$63:$A$68=IF(AP55&lt;&gt;"",AP55,A63))*($O$63:$O$68=AP60),0)),0),""),"")))</f>
        <v>4987.5</v>
      </c>
      <c r="AQ65" s="519" t="s">
        <v>580</v>
      </c>
    </row>
    <row r="66" spans="1:43" ht="15.75" hidden="1" outlineLevel="1">
      <c r="A66" s="1081"/>
      <c r="B66" s="1077"/>
      <c r="C66" t="str">
        <v>RM G Epotal ECO 3675</v>
      </c>
      <c r="D66" s="1077"/>
      <c r="E66" s="1077"/>
      <c r="F66" s="1077"/>
      <c r="G66" s="1081"/>
      <c r="H66" s="1077"/>
      <c r="I66" s="1077"/>
      <c r="J66" s="502">
        <f t="shared" si="9"/>
        <v>800</v>
      </c>
      <c r="K66" cm="1">
        <f t="array" ref="K66">_xlfn.LET(_xlpm.baseThick,IFERROR(INDEX(HELPER!$BX$2:$BX$250,MATCH(1,(TEXT(HELPER!$BZ$2:$BZ$250,"0")=TEXT($B$63,"0"))*(HELPER!$CC$2:$CC$250=$AP$53)*(HELPER!$BW$2:$BW$250=C66),0)),""),IF(_xlpm.baseThick="","",_xlpm.baseThick))</f>
        <v>6</v>
      </c>
      <c r="L66">
        <f>IFERROR(VLOOKUP(C66,HELPER!$AP$1:$AQ$25,2,FALSE),"")</f>
        <v>1</v>
      </c>
      <c r="M66" s="250">
        <f>IF(C66="","",IF(ISNUMBER(SEARCH("paper",C66)),42/1000*(J66/1000),IF(OR(L66="",L66=0),"",L66*1000*(K66/1000000)*(J66/1000))))</f>
        <v>4.8000000000000004E-3</v>
      </c>
      <c r="N66" s="203" cm="1">
        <f t="array" ref="N66">IF($C66="","",_xlfn.LET(
    _xlpm.mat,TRIM($C66),
    _xlpm.matKey,UPPER(SUBSTITUTE(_xlpm.mat," ","")),
    _xlpm.pr,IFERROR(LOOKUP(2,1/($H$63:H66&lt;&gt;""),$H$63:H66),""),
    _xlpm.widthActual,IFERROR(LOOKUP(2,1/($E$63:E66&lt;&gt;""),$E$63:E66),$E66),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",""))=_xlpm.matKey)*(_xlpm.summaryThick=$K66)*(_xlpm.summaryCosts&gt;0))),INDEX(_xlfn._xlws.FILTER(_xlpm.summaryCosts,(UPPER(SUBSTITUTE(_xlpm.summaryNames," ",""))=_xlpm.matKey)*(_xlpm.summaryThick=$K66)*(_xlpm.summaryCosts&gt;0)),1)),""),""),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6" s="1077"/>
      <c r="P66" s="73">
        <f>IF(OR(C66="",A$63&lt;=0),"",IFERROR(IF(O$63="Europe to US",IF(A$63&lt;500,10,IF(A$63&lt;1000,8,IF(A$63&lt;2500,6,IF(A$63&lt;5000,5,4)))),VLOOKUP(O$63,HELPER!$AF$2:$AH$3,3,FALSE)),0))</f>
        <v>0.2</v>
      </c>
      <c r="Q66" s="1077"/>
      <c r="R66" s="1074"/>
      <c r="S66" s="1074"/>
      <c r="T66" s="1075"/>
      <c r="U66" s="1074"/>
      <c r="V66" s="1077"/>
      <c r="W66" s="1079"/>
      <c r="X66" s="202">
        <f t="shared" si="7"/>
        <v>2.4240000000000005E-2</v>
      </c>
      <c r="Y66" s="1080"/>
      <c r="Z66" s="201">
        <f>IF(OR($M66="",$M$68=""),"",IFERROR(($N66+$P66)*$M66/$M$68,""))</f>
        <v>0.26964492302215898</v>
      </c>
      <c r="AG66" s="520" t="s">
        <v>576</v>
      </c>
      <c r="AH66" s="196" t="str">
        <f>IF(AH88&lt;&gt;"",IFERROR(AH88*AH68,""),"")</f>
        <v/>
      </c>
      <c r="AI66" s="521" t="s">
        <v>496</v>
      </c>
      <c r="AK66" s="520" t="s">
        <v>576</v>
      </c>
      <c r="AL66" s="196">
        <f>IF(AL88&lt;&gt;"",IFERROR(AL88*AL68,""),"")</f>
        <v>797.75065596292757</v>
      </c>
      <c r="AM66" s="521" t="s">
        <v>496</v>
      </c>
      <c r="AO66" s="520" t="s">
        <v>576</v>
      </c>
      <c r="AP66" s="196">
        <f>IF(AP88&lt;&gt;"",IFERROR(AP88*AP68,""),"")</f>
        <v>5176.4342213558439</v>
      </c>
      <c r="AQ66" s="521" t="s">
        <v>496</v>
      </c>
    </row>
    <row r="67" spans="1:43" ht="15.75" hidden="1" outlineLevel="1">
      <c r="A67" s="1081"/>
      <c r="B67" s="1077"/>
      <c r="D67" s="1077"/>
      <c r="E67" s="1077"/>
      <c r="F67" s="1077"/>
      <c r="G67" s="1081"/>
      <c r="H67" s="1077"/>
      <c r="I67" s="1077"/>
      <c r="J67" s="502" t="str">
        <f t="shared" si="9"/>
        <v/>
      </c>
      <c r="K67" t="str" cm="1">
        <f t="array" ref="K67">_xlfn.LET(_xlpm.baseThick,IFERROR(INDEX(HELPER!$BX$2:$BX$250,MATCH(1,(TEXT(HELPER!$BZ$2:$BZ$250,"0")=TEXT($B$63,"0"))*(HELPER!$CC$2:$CC$250=$AP$53)*(HELPER!$BW$2:$BW$250=C67),0)),""),IF(_xlpm.baseThick="","",_xlpm.baseThick))</f>
        <v/>
      </c>
      <c r="L67" t="str">
        <f>IFERROR(VLOOKUP(C67,HELPER!$AP$1:$AQ$25,2,FALSE),"")</f>
        <v/>
      </c>
      <c r="M67" s="250" t="str">
        <f>IF(C67="","",IF(ISNUMBER(SEARCH("paper",C67)),42/1000*(J67/1000),IF(OR(L67="",L67=0),"",L67*1000*(K67/1000000)*(J67/1000))))</f>
        <v/>
      </c>
      <c r="N67" s="203" t="str" cm="1">
        <f t="array" ref="N67">IF($C67="","",_xlfn.LET(
    _xlpm.mat,TRIM($C67),
    _xlpm.matKey,UPPER(SUBSTITUTE(_xlpm.mat," ","")),
    _xlpm.pr,IFERROR(LOOKUP(2,1/($H$63:H67&lt;&gt;""),$H$63:H67),""),
    _xlpm.widthActual,IFERROR(LOOKUP(2,1/($E$63:E67&lt;&gt;""),$E$63:E67),$E67),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",""))=_xlpm.matKey)*(_xlpm.summaryThick=$K67)*(_xlpm.summaryCosts&gt;0))),INDEX(_xlfn._xlws.FILTER(_xlpm.summaryCosts,(UPPER(SUBSTITUTE(_xlpm.summaryNames," ",""))=_xlpm.matKey)*(_xlpm.summaryThick=$K67)*(_xlpm.summaryCosts&gt;0)),1)),""),""),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7" s="1077"/>
      <c r="P67" s="73" t="str">
        <f>IF(OR(C67="",A$63&lt;=0),"",IFERROR(IF(O$63="Europe to US",IF(A$63&lt;500,10,IF(A$63&lt;1000,8,IF(A$63&lt;2500,6,IF(A$63&lt;5000,5,4)))),VLOOKUP(O$63,HELPER!$AF$2:$AH$3,3,FALSE)),0))</f>
        <v/>
      </c>
      <c r="Q67" s="1077"/>
      <c r="R67" s="1074"/>
      <c r="S67" s="1074"/>
      <c r="T67" s="1075"/>
      <c r="U67" s="1074"/>
      <c r="V67" s="1077"/>
      <c r="W67" s="1079"/>
      <c r="X67" s="202" t="str">
        <f t="shared" si="7"/>
        <v/>
      </c>
      <c r="Y67" s="1080"/>
      <c r="Z67" s="201"/>
      <c r="AG67" s="520" t="s">
        <v>577</v>
      </c>
      <c r="AH67" s="197" t="str">
        <f>IF(AH66&lt;&gt;"",IFERROR(AH66*1.16,""),"")</f>
        <v/>
      </c>
      <c r="AI67" s="521" t="s">
        <v>270</v>
      </c>
      <c r="AK67" s="520" t="s">
        <v>577</v>
      </c>
      <c r="AL67" s="197">
        <f>IF(AL66&lt;&gt;"",IFERROR(AL66*1.16,""),"")</f>
        <v>925.39076091699587</v>
      </c>
      <c r="AM67" s="521" t="s">
        <v>270</v>
      </c>
      <c r="AO67" s="520" t="s">
        <v>577</v>
      </c>
      <c r="AP67" s="197">
        <f>IF(AP66&lt;&gt;"",IFERROR(AP66*1.16,""),"")</f>
        <v>6004.6636967727782</v>
      </c>
      <c r="AQ67" s="521" t="s">
        <v>270</v>
      </c>
    </row>
    <row r="68" spans="1:43" ht="15.75" hidden="1" outlineLevel="1">
      <c r="A68" s="1081"/>
      <c r="B68" s="1077"/>
      <c r="D68" s="1077"/>
      <c r="E68" s="1077"/>
      <c r="F68" s="1077"/>
      <c r="G68" s="1081"/>
      <c r="H68" s="1077"/>
      <c r="I68" s="1077"/>
      <c r="J68" s="502" t="str">
        <f t="shared" si="9"/>
        <v/>
      </c>
      <c r="K68" s="170">
        <f>AP53</f>
        <v>121</v>
      </c>
      <c r="L68" t="str">
        <f>IFERROR(VLOOKUP(C68,HELPER!$AP$1:$AQ$25,2,FALSE),"")</f>
        <v/>
      </c>
      <c r="M68" s="251">
        <f>SUM(M63:M67)</f>
        <v>8.9896000000000004E-2</v>
      </c>
      <c r="N68" s="203" t="str" cm="1">
        <f t="array" ref="N68">IF($C68="","",_xlfn.LET(
    _xlpm.mat,TRIM($C68),
    _xlpm.matKey,UPPER(SUBSTITUTE(_xlpm.mat," ","")),
    _xlpm.pr,IFERROR(LOOKUP(2,1/($H$63:H68&lt;&gt;""),$H$63:H68),""),
    _xlpm.widthActual,IFERROR(LOOKUP(2,1/($E$63:E68&lt;&gt;""),$E$63:E68),$E68),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",""))=_xlpm.matKey)*(_xlpm.summaryThick=$K68)*(_xlpm.summaryCosts&gt;0))),INDEX(_xlfn._xlws.FILTER(_xlpm.summaryCosts,(UPPER(SUBSTITUTE(_xlpm.summaryNames," ",""))=_xlpm.matKey)*(_xlpm.summaryThick=$K68)*(_xlpm.summaryCosts&gt;0)),1)),""),""),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68" s="1077"/>
      <c r="P68" s="73" t="str">
        <f>IF(OR(C68="",A$63&lt;=0),"",IFERROR(IF(O$63="Europe to US",IF(A$63&lt;500,10,IF(A$63&lt;1000,8,IF(A$63&lt;2500,6,IF(A$63&lt;5000,5,4)))),VLOOKUP(O$63,HELPER!$AF$2:$AH$3,3,FALSE)),0))</f>
        <v/>
      </c>
      <c r="Q68" s="1077"/>
      <c r="R68" s="1074"/>
      <c r="S68" s="1074"/>
      <c r="T68" s="1075"/>
      <c r="U68" s="1074"/>
      <c r="V68" s="1077"/>
      <c r="W68" s="1079"/>
      <c r="X68" s="202"/>
      <c r="Y68" s="1080"/>
      <c r="AG68" s="522" t="s">
        <v>578</v>
      </c>
      <c r="AH68" s="200" t="str" cm="1">
        <f t="array" ref="AH68">_xlfn.LET(_xlpm.base,IF(OR(AND(AH62="By Weight",AH55&lt;&gt;""),AND(AH62="By Length",AH63&lt;&gt;""),AND(OR(AH62="IMP",AH62="By Imp"),AH63&lt;&gt;"",AH64&lt;&gt;"")),IFERROR(_xlfn.LET(_xlpm.r,MATCH(1,($B$51:$B$56=AH52)*($D$51:$D$56=AH54)*($A$51:$A$56=IF(AH55&lt;&gt;"",AH55,A51))*($O$51:$O$56=AH60),0)+2,SUM(AH72:AH73,AH75)+INDEX($V$51:$V$56,_xlpm.r-2)),""),""),IF(_xlpm.base="","",_xlpm.base+IF(AH59="3''",HELPER!$DQ$1,0)))</f>
        <v/>
      </c>
      <c r="AI68" s="523" t="s">
        <v>496</v>
      </c>
      <c r="AK68" s="522" t="s">
        <v>578</v>
      </c>
      <c r="AL68" s="200" cm="1">
        <f t="array" ref="AL68">_xlfn.LET(_xlpm.base,IF(OR(AND(AL62="By Weight",AL55&lt;&gt;""),AND(AL62="By Length",AL63&lt;&gt;""),AND(OR(AL62="IMP",AL62="By Imp"),AL63&lt;&gt;"",AL64&lt;&gt;"")),IFERROR(_xlfn.LET(_xlpm.r,MATCH(1,($B$57:$B$62=AL52)*($D$57:$D$62=AL54)*($A$57:$A$62=IF(AL55&lt;&gt;"",AL55,A57))*($O$57:$O$62=AL60),0)+2,SUM(AL72:AL73,AL75)+INDEX($V$57:$V$62,_xlpm.r-2)),""),""),IF(_xlpm.base="","",_xlpm.base+IF(AL59="3''",HELPER!$DQ$1,0)))</f>
        <v>13.882374592585531</v>
      </c>
      <c r="AM68" s="523" t="s">
        <v>496</v>
      </c>
      <c r="AO68" s="522" t="s">
        <v>578</v>
      </c>
      <c r="AP68" s="200" cm="1">
        <f t="array" ref="AP68">_xlfn.LET(_xlpm.base,IF(OR(AND(AP62="By Weight",AP55&lt;&gt;""),AND(AP62="By Length",AP63&lt;&gt;""),AND(OR(AP62="IMP",AP62="By Imp"),AP63&lt;&gt;"",AP64&lt;&gt;"")),IFERROR(_xlfn.LET(_xlpm.r,MATCH(1,($B$63:$B$68=AP52)*($D$63:$D$68=AP54)*($A$63:$A$68=IF(AP55&lt;&gt;"",AP55,A63))*($O$63:$O$68=AP60),0)+2,SUM(AP72:AP73,AP75)+INDEX($V$63:$V$68,_xlpm.r-2)),""),""),IF(_xlpm.base="","",_xlpm.base+IF(AP59="3''",HELPER!$DQ$1,0)))</f>
        <v>12.170279923623779</v>
      </c>
      <c r="AQ68" s="523" t="s">
        <v>496</v>
      </c>
    </row>
    <row r="69" spans="1:43" ht="15.75" hidden="1" outlineLevel="1">
      <c r="A69"/>
      <c r="C69" s="38"/>
      <c r="G69">
        <f>85772/(ROUNDDOWN(J51/D51,0))</f>
        <v>28590.666666666668</v>
      </c>
      <c r="J69" s="502" t="str">
        <f t="shared" si="9"/>
        <v/>
      </c>
      <c r="K69" s="169">
        <v>202</v>
      </c>
      <c r="M69" s="250"/>
      <c r="N69" s="203" t="str" cm="1">
        <f t="array" ref="N69">IF($C69="","",_xlfn.LET(
    _xlpm.mat,TRIM($C69),
    _xlpm.matKey,UPPER(SUBSTITUTE(_xlpm.mat," ","")),
    _xlpm.pr,IFERROR(LOOKUP(2,1/($H$51:H69&lt;&gt;""),$H$51:H69),""),
    _xlpm.widthActual,IFERROR(LOOKUP(2,1/($E$51:E69&lt;&gt;""),$E$51:E69),$E69),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",""))=_xlpm.matKey)*(_xlpm.summaryThick=$K69)*(_xlpm.summaryCosts&gt;0))),INDEX(_xlfn._xlws.FILTER(_xlpm.summaryCosts,(UPPER(SUBSTITUTE(_xlpm.summaryNames," ",""))=_xlpm.matKey)*(_xlpm.summaryThick=$K69)*(_xlpm.summaryCosts&gt;0)),1)),""),""),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69"/>
      <c r="S69"/>
      <c r="T69" s="1073" t="str">
        <f>IF(OR($S69="",$K69=""),"",IFERROR($S69*(1/$M$74)*($J69/($D69*MAX(1,ROUNDDOWN(760/$D69,0)))),""))</f>
        <v/>
      </c>
      <c r="U69"/>
      <c r="X69" s="202"/>
      <c r="Y69" s="202"/>
      <c r="Z69" s="201"/>
      <c r="AG69" s="520" t="s">
        <v>579</v>
      </c>
      <c r="AH69" s="197" t="str">
        <f>IF(AH68&lt;&gt;"",IFERROR(AH68*1.16,""),"")</f>
        <v/>
      </c>
      <c r="AI69" s="521" t="s">
        <v>270</v>
      </c>
      <c r="AJ69" s="236"/>
      <c r="AK69" s="520" t="s">
        <v>579</v>
      </c>
      <c r="AL69" s="197">
        <f>IF(AL68&lt;&gt;"",IFERROR(AL68*1.16,""),"")</f>
        <v>16.103554527399215</v>
      </c>
      <c r="AM69" s="521" t="s">
        <v>270</v>
      </c>
      <c r="AO69" s="520" t="s">
        <v>579</v>
      </c>
      <c r="AP69" s="197">
        <f>IF(AP68&lt;&gt;"",IFERROR(AP68*1.16,""),"")</f>
        <v>14.117524711403583</v>
      </c>
      <c r="AQ69" s="521" t="s">
        <v>270</v>
      </c>
    </row>
    <row r="70" spans="1:43" ht="16.5" hidden="1" outlineLevel="1" thickBot="1">
      <c r="A70"/>
      <c r="J70" s="502" t="str">
        <f t="shared" si="9"/>
        <v/>
      </c>
      <c r="M70" s="250"/>
      <c r="N70" s="203" t="str" cm="1">
        <f t="array" ref="N70">IF($C70="","",_xlfn.LET(
    _xlpm.mat,TRIM($C70),
    _xlpm.matKey,UPPER(SUBSTITUTE(_xlpm.mat," ","")),
    _xlpm.pr,IFERROR(LOOKUP(2,1/($H$51:H70&lt;&gt;""),$H$51:H70),""),
    _xlpm.widthActual,IFERROR(LOOKUP(2,1/($E$51:E70&lt;&gt;""),$E$51:E70),$E70),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",""))=_xlpm.matKey)*(_xlpm.summaryThick=$K70)*(_xlpm.summaryCosts&gt;0))),INDEX(_xlfn._xlws.FILTER(_xlpm.summaryCosts,(UPPER(SUBSTITUTE(_xlpm.summaryNames," ",""))=_xlpm.matKey)*(_xlpm.summaryThick=$K70)*(_xlpm.summaryCosts&gt;0)),1)),""),""),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0"/>
      <c r="S70"/>
      <c r="T70" s="1073"/>
      <c r="U70"/>
      <c r="X70" s="64"/>
      <c r="Y70" s="64" t="s">
        <v>508</v>
      </c>
      <c r="AG70" s="524" t="s">
        <v>836</v>
      </c>
      <c r="AH70" s="525" t="str">
        <f>IF(AH88&lt;&gt;"",IFERROR(AH66/AH88,""),"")</f>
        <v/>
      </c>
      <c r="AI70" s="526" t="s">
        <v>837</v>
      </c>
      <c r="AK70" s="524" t="s">
        <v>836</v>
      </c>
      <c r="AL70" s="525">
        <f>IF(AL88&lt;&gt;"",IFERROR(AL66/AL88,""),"")</f>
        <v>13.882374592585531</v>
      </c>
      <c r="AM70" s="526" t="s">
        <v>837</v>
      </c>
      <c r="AO70" s="524" t="s">
        <v>836</v>
      </c>
      <c r="AP70" s="525">
        <f>IF(AP88&lt;&gt;"",IFERROR(AP66/AP88,""),"")</f>
        <v>12.170279923623779</v>
      </c>
      <c r="AQ70" s="526" t="s">
        <v>837</v>
      </c>
    </row>
    <row r="71" spans="1:43" hidden="1" outlineLevel="1">
      <c r="A71"/>
      <c r="J71" s="502" t="str">
        <f t="shared" si="9"/>
        <v/>
      </c>
      <c r="M71" s="250"/>
      <c r="N71" s="203" t="str" cm="1">
        <f t="array" ref="N71">IF($C71="","",_xlfn.LET(
    _xlpm.mat,TRIM($C71),
    _xlpm.matKey,UPPER(SUBSTITUTE(_xlpm.mat," ","")),
    _xlpm.pr,IFERROR(LOOKUP(2,1/($H$51:H71&lt;&gt;""),$H$51:H71),""),
    _xlpm.widthActual,IFERROR(LOOKUP(2,1/($E$51:E71&lt;&gt;""),$E$51:E71),$E71),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",""))=_xlpm.matKey)*(_xlpm.summaryThick=$K71)*(_xlpm.summaryCosts&gt;0))),INDEX(_xlfn._xlws.FILTER(_xlpm.summaryCosts,(UPPER(SUBSTITUTE(_xlpm.summaryNames," ",""))=_xlpm.matKey)*(_xlpm.summaryThick=$K71)*(_xlpm.summaryCosts&gt;0)),1)),""),""),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1"/>
      <c r="S71"/>
      <c r="T71" s="1073"/>
      <c r="U71"/>
      <c r="Z71" s="445"/>
      <c r="AG71" t="s">
        <v>1213</v>
      </c>
      <c r="AH71" s="74">
        <f>IFERROR(AH90*AH92,"")</f>
        <v>0</v>
      </c>
      <c r="AI71" t="s">
        <v>580</v>
      </c>
      <c r="AK71" t="s">
        <v>1213</v>
      </c>
      <c r="AL71" s="74">
        <f>IFERROR(AL90*AL92,"")</f>
        <v>1333.3333333333333</v>
      </c>
      <c r="AM71" t="s">
        <v>580</v>
      </c>
      <c r="AO71" t="s">
        <v>1213</v>
      </c>
      <c r="AP71" s="74">
        <f>IFERROR(AP90*AP92,"")</f>
        <v>1551.6666666666665</v>
      </c>
      <c r="AQ71" t="s">
        <v>580</v>
      </c>
    </row>
    <row r="72" spans="1:43" hidden="1" outlineLevel="1">
      <c r="A72"/>
      <c r="J72" s="502" t="str">
        <f t="shared" si="9"/>
        <v/>
      </c>
      <c r="M72" s="250"/>
      <c r="N72" s="203" t="str" cm="1">
        <f t="array" ref="N72">IF($C72="","",_xlfn.LET(
    _xlpm.mat,TRIM($C72),
    _xlpm.matKey,UPPER(SUBSTITUTE(_xlpm.mat," ","")),
    _xlpm.pr,IFERROR(LOOKUP(2,1/($H$51:H72&lt;&gt;""),$H$51:H72),""),
    _xlpm.widthActual,IFERROR(LOOKUP(2,1/($E$51:E72&lt;&gt;""),$E$51:E72),$E72),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",""))=_xlpm.matKey)*(_xlpm.summaryThick=$K72)*(_xlpm.summaryCosts&gt;0))),INDEX(_xlfn._xlws.FILTER(_xlpm.summaryCosts,(UPPER(SUBSTITUTE(_xlpm.summaryNames," ",""))=_xlpm.matKey)*(_xlpm.summaryThick=$K72)*(_xlpm.summaryCosts&gt;0)),1)),""),""),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2"/>
      <c r="S72"/>
      <c r="T72" s="1073"/>
      <c r="U72"/>
      <c r="AG72" t="s">
        <v>581</v>
      </c>
      <c r="AH72" s="253" t="str" cm="1">
        <f t="array" ref="AH72">IF(OR(AND(AH62="By Weight",AH55&lt;&gt;""),AND(AH62="By Length",AH63&lt;&gt;""),AND(OR(AH62="IMP",AH62="By Imp"),AH63&lt;&gt;"",AH64&lt;&gt;"")),IFERROR(_xlfn.LET(_xlpm.r,MATCH(1,($B$51:$B$56=AH52)*($D$51:$D$56=AH54)*($A$51:$A$56=IF(AH55&lt;&gt;"",AH55,A51))*($O$51:$O$56=AH60),0)+2,SUMPRODUCT(INDEX($N$51:$N$56,_xlpm.r-2):INDEX($N$51:$N$56,_xlpm.r+3),INDEX($M$51:$M$56,_xlpm.r-2):INDEX($M$51:$M$56,_xlpm.r+3))*(1/INDEX($M$51:$M$56,MATCH(1,($B$51:$B$56=AH52)*($D$51:$D$56=AH54)*($A$51:$A$56=IF(AH55&lt;&gt;"",AH55,A51))*($O$51:$O$56=AH60),0)+5))*(INDEX($J$51:$J$56,_xlpm.r-2)/INDEX($E$51:$E$56,_xlpm.r-2))),""),"")</f>
        <v/>
      </c>
      <c r="AK72" t="s">
        <v>587</v>
      </c>
      <c r="AL72" s="253" cm="1">
        <f t="array" ref="AL72">IF(OR(AND(AL62="By Weight",AL55&lt;&gt;""),AND(AL62="By Length",AL63&lt;&gt;""),AND(OR(AL62="IMP",AL62="By Imp"),AL63&lt;&gt;"",AL64&lt;&gt;"")),IFERROR(_xlfn.LET(_xlpm.r,MATCH(1,($B$57:$B$62=AL52)*($D$57:$D$62=AL54)*($A$57:$A$62=IF(AL55&lt;&gt;"",AL55,A57))*($O$57:$O$62=AL60),0)+2,SUMPRODUCT(INDEX($N$57:$N$62,_xlpm.r-2):INDEX($N$57:$N$62,_xlpm.r+3),INDEX($M$57:$M$62,_xlpm.r-2):INDEX($M$57:$M$62,_xlpm.r+3))*(1/INDEX($M$57:$M$62,MATCH(1,($B$57:$B$62=AL52)*($D$57:$D$62=AL54)*($A$57:$A$62=IF(AL55&lt;&gt;"",AL55,A57))*($O$57:$O$62=AL60),0)+5))*(INDEX($J$57:$J$62,_xlpm.r-2)/INDEX($E$57:$E$62,_xlpm.r-2))),""),"")</f>
        <v>8.7308661647447501</v>
      </c>
      <c r="AO72" t="s">
        <v>587</v>
      </c>
      <c r="AP72" s="253" cm="1">
        <f t="array" ref="AP72">IF(OR(AND(AP62="By Weight",AP55&lt;&gt;""),AND(AP62="By Length",AP63&lt;&gt;""),AND(OR(AP62="IMP",AP62="By Imp"),AP63&lt;&gt;"",AP64&lt;&gt;"")),IFERROR(_xlfn.LET(_xlpm.r,MATCH(1,($B$63:$B$68=AP52)*($D$63:$D$68=AP54)*($A$63:$A$68=IF(AP55&lt;&gt;"",AP55,A63))*($O$63:$O$68=AP60),0)+2,SUMPRODUCT(INDEX($N$63:$N$68,_xlpm.r-2):INDEX($N$63:$N$68,_xlpm.r+3),INDEX($M$63:$M$68,_xlpm.r-2):INDEX($M$63:$M$68,_xlpm.r+3))*(1/INDEX($M$63:$M$68,MATCH(1,($B$63:$B$68=AP52)*($D$63:$D$68=AP54)*($A$63:$A$68=IF(AP55&lt;&gt;"",AP55,A63))*($O$63:$O$68=AP60),0)+5))*(INDEX($J$63:$J$68,_xlpm.r-2)/INDEX($E$63:$E$68,_xlpm.r-2))),""),"")</f>
        <v>5.3513317314823059</v>
      </c>
    </row>
    <row r="73" spans="1:43" hidden="1" outlineLevel="1">
      <c r="A73"/>
      <c r="J73" s="502" t="str">
        <f t="shared" si="9"/>
        <v/>
      </c>
      <c r="M73" s="250"/>
      <c r="N73" s="203" t="str" cm="1">
        <f t="array" ref="N73">IF($C73="","",_xlfn.LET(
    _xlpm.mat,TRIM($C73),
    _xlpm.matKey,UPPER(SUBSTITUTE(_xlpm.mat," ","")),
    _xlpm.pr,IFERROR(LOOKUP(2,1/($H$51:H73&lt;&gt;""),$H$51:H73),""),
    _xlpm.widthActual,IFERROR(LOOKUP(2,1/($E$51:E73&lt;&gt;""),$E$51:E73),$E73),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",""))=_xlpm.matKey)*(_xlpm.summaryThick=$K73)*(_xlpm.summaryCosts&gt;0))),INDEX(_xlfn._xlws.FILTER(_xlpm.summaryCosts,(UPPER(SUBSTITUTE(_xlpm.summaryNames," ",""))=_xlpm.matKey)*(_xlpm.summaryThick=$K73)*(_xlpm.summaryCosts&gt;0)),1)),""),""),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3"/>
      <c r="S73"/>
      <c r="T73" s="1073"/>
      <c r="U73"/>
      <c r="AG73" t="s">
        <v>582</v>
      </c>
      <c r="AH73" s="253" t="str" cm="1">
        <f t="array" ref="AH73">IF(OR(AND(AH62="By Weight",AH55&lt;&gt;""),AND(AH62="By Length",AH63&lt;&gt;""),AND(OR(AH62="IMP",AH62="By Imp"),AH63&lt;&gt;"",AH64&lt;&gt;"")),IFERROR(_xlfn.LET(_xlpm.r,MATCH(1,($B$51:$B$56=AH52)*($D$51:$D$56=AH54)*($A$51:$A$56=IF(AH55&lt;&gt;"",AH55,A51))*($O$51:$O$56=AH60),0)+2,SUMPRODUCT(INDEX($P$51:$P$56,_xlpm.r-2):INDEX($P$51:$P$56,_xlpm.r+3),INDEX($M$51:$M$56,_xlpm.r-2):INDEX($M$51:$M$56,_xlpm.r+3))*(1/INDEX($M$51:$M$56,MATCH(1,($B$51:$B$56=AH52)*($D$51:$D$56=AH54)*($A$51:$A$56=IF(AH55&lt;&gt;"",AH55,A51))*($O$51:$O$56=AH60),0)+5))*(INDEX($J$51:$J$56,_xlpm.r-2)/INDEX($E$51:$E$56,_xlpm.r-2))),""),"")</f>
        <v/>
      </c>
      <c r="AK73" t="s">
        <v>588</v>
      </c>
      <c r="AL73" s="253" cm="1">
        <f t="array" ref="AL73">IF(OR(AND(AL62="By Weight",AL55&lt;&gt;""),AND(AL62="By Length",AL63&lt;&gt;""),AND(OR(AL62="IMP",AL62="By Imp"),AL63&lt;&gt;"",AL64&lt;&gt;"")),IFERROR(_xlfn.LET(_xlpm.r,MATCH(1,($B$57:$B$62=AL52)*($D$57:$D$62=AL54)*($A$57:$A$62=IF(AL55&lt;&gt;"",AL55,A57))*($O$57:$O$62=AL60),0)+2,SUMPRODUCT(INDEX($P$57:$P$62,_xlpm.r-2):INDEX($P$57:$P$62,_xlpm.r+3),INDEX($M$57:$M$62,_xlpm.r-2):INDEX($M$57:$M$62,_xlpm.r+3))*(1/INDEX($M$57:$M$62,MATCH(1,($B$57:$B$62=AL52)*($D$57:$D$62=AL54)*($A$57:$A$62=IF(AL55&lt;&gt;"",AL55,A57))*($O$57:$O$62=AL60),0)+5))*(INDEX($J$57:$J$62,_xlpm.r-2)/INDEX($E$57:$E$62,_xlpm.r-2))),""),"")</f>
        <v>0.21333333333333335</v>
      </c>
      <c r="AO73" t="s">
        <v>588</v>
      </c>
      <c r="AP73" s="253" cm="1">
        <f t="array" ref="AP73">IF(OR(AND(AP62="By Weight",AP55&lt;&gt;""),AND(AP62="By Length",AP63&lt;&gt;""),AND(OR(AP62="IMP",AP62="By Imp"),AP63&lt;&gt;"",AP64&lt;&gt;"")),IFERROR(_xlfn.LET(_xlpm.r,MATCH(1,($B$63:$B$68=AP52)*($D$63:$D$68=AP54)*($A$63:$A$68=IF(AP55&lt;&gt;"",AP55,A63))*($O$63:$O$68=AP60),0)+2,SUMPRODUCT(INDEX($P$63:$P$68,_xlpm.r-2):INDEX($P$63:$P$68,_xlpm.r+3),INDEX($M$63:$M$68,_xlpm.r-2):INDEX($M$63:$M$68,_xlpm.r+3))*(1/INDEX($M$63:$M$68,MATCH(1,($B$63:$B$68=AP52)*($D$63:$D$68=AP54)*($A$63:$A$68=IF(AP55&lt;&gt;"",AP55,A63))*($O$63:$O$68=AP60),0)+5))*(INDEX($J$63:$J$68,_xlpm.r-2)/INDEX($E$63:$E$68,_xlpm.r-2))),""),"")</f>
        <v>0.21333333333333335</v>
      </c>
    </row>
    <row r="74" spans="1:43" hidden="1" outlineLevel="1">
      <c r="A74"/>
      <c r="J74" s="502" t="str">
        <f t="shared" si="9"/>
        <v/>
      </c>
      <c r="M74" s="250"/>
      <c r="N74" s="203" t="str" cm="1">
        <f t="array" ref="N74">IF($C74="","",_xlfn.LET(
    _xlpm.mat,TRIM($C74),
    _xlpm.matKey,UPPER(SUBSTITUTE(_xlpm.mat," ","")),
    _xlpm.pr,IFERROR(LOOKUP(2,1/($H$51:H74&lt;&gt;""),$H$51:H74),""),
    _xlpm.widthActual,IFERROR(LOOKUP(2,1/($E$51:E74&lt;&gt;""),$E$51:E74),$E74),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",""))=_xlpm.matKey)*(_xlpm.summaryThick=$K74)*(_xlpm.summaryCosts&gt;0))),INDEX(_xlfn._xlws.FILTER(_xlpm.summaryCosts,(UPPER(SUBSTITUTE(_xlpm.summaryNames," ",""))=_xlpm.matKey)*(_xlpm.summaryThick=$K74)*(_xlpm.summaryCosts&gt;0)),1)),""),""),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4"/>
      <c r="S74"/>
      <c r="T74" s="1073"/>
      <c r="U74"/>
      <c r="AG74" t="s">
        <v>583</v>
      </c>
      <c r="AH74" s="253" t="str" cm="1">
        <f t="array" ref="AH74">IF(OR(AND(AH62="By Weight",AH55&lt;&gt;""),AND(AH62="By Length",AH63&lt;&gt;""),AND(OR(AH62="IMP",AH62="By Imp"),AH63&lt;&gt;"",AH64&lt;&gt;"")),IFERROR(_xlfn.LET(_xlpm.r,MATCH(1,($B$51:$B$56=AH52)*($D$51:$D$56=AH54)*($A$51:$A$56=IF(AH55&lt;&gt;"",AH55,A51))*($O$51:$O$56=AH60),0)+2,INDEX($R$51:$R$56,_xlpm.r-2)*(1/INDEX($M$51:$M$56,MATCH(1,($B$51:$B$56=AH52)*($D$51:$D$56=AH54)*($A$51:$A$56=IF(AH55&lt;&gt;"",AH55,A51))*($O$51:$O$56=AH60),0)+5))*(INDEX($J$51:$J$56,_xlpm.r-2)/INDEX($E$51:$E$56,_xlpm.r-2))),""),"")</f>
        <v/>
      </c>
      <c r="AK74" t="s">
        <v>589</v>
      </c>
      <c r="AL74" s="253" cm="1">
        <f t="array" ref="AL74">IF(OR(AND(AL62="By Weight",AL55&lt;&gt;""),AND(AL62="By Length",AL63&lt;&gt;""),AND(OR(AL62="IMP",AL62="By Imp"),AL63&lt;&gt;"",AL64&lt;&gt;"")),IFERROR(_xlfn.LET(_xlpm.r,MATCH(1,($B$57:$B$62=AL52)*($D$57:$D$62=AL54)*($A$57:$A$62=IF(AL55&lt;&gt;"",AL55,A57))*($O$57:$O$62=AL60),0)+2,INDEX($R$57:$R$62,_xlpm.r-2)*(1/INDEX($M$57:$M$62,MATCH(1,($B$57:$B$62=AL52)*($D$57:$D$62=AL54)*($A$57:$A$62=IF(AL55&lt;&gt;"",AL55,A57))*($O$57:$O$62=AL60),0)+5))*(INDEX($J$57:$J$62,_xlpm.r-2)/INDEX($E$57:$E$62,_xlpm.r-2))),""),"")</f>
        <v>2.966549127990088</v>
      </c>
      <c r="AO74" t="s">
        <v>589</v>
      </c>
      <c r="AP74" s="253" cm="1">
        <f t="array" ref="AP74">IF(OR(AND(AP62="By Weight",AP55&lt;&gt;""),AND(AP62="By Length",AP63&lt;&gt;""),AND(OR(AP62="IMP",AP62="By Imp"),AP63&lt;&gt;"",AP64&lt;&gt;"")),IFERROR(_xlfn.LET(_xlpm.r,MATCH(1,($B$63:$B$68=AP52)*($D$63:$D$68=AP54)*($A$63:$A$68=IF(AP55&lt;&gt;"",AP55,A63))*($O$63:$O$68=AP60),0)+2,INDEX($R$63:$R$68,_xlpm.r-2)*(1/INDEX($M$63:$M$68,MATCH(1,($B$63:$B$68=AP52)*($D$63:$D$68=AP54)*($A$63:$A$68=IF(AP55&lt;&gt;"",AP55,A63))*($O$63:$O$68=AP60),0)+5))*(INDEX($J$63:$J$68,_xlpm.r-2)/INDEX($E$63:$E$68,_xlpm.r-2))),""),"")</f>
        <v>2.4711221856367356</v>
      </c>
    </row>
    <row r="75" spans="1:43" ht="15.75" hidden="1" outlineLevel="1" thickBot="1">
      <c r="A75"/>
      <c r="J75" s="502"/>
      <c r="M75" s="250"/>
      <c r="N75" s="203"/>
      <c r="R75"/>
      <c r="S75"/>
      <c r="T75" s="509"/>
      <c r="U75"/>
      <c r="AG75" t="s">
        <v>840</v>
      </c>
      <c r="AH75" s="253" t="str" cm="1">
        <f t="array" ref="AH75">IF(OR(AND(AH62="By Weight",AH55&lt;&gt;""),AND(AH62="By Length",AH63&lt;&gt;""),AND(OR(AH62="IMP",AH62="By Imp"),AH63&lt;&gt;"",AH64&lt;&gt;"")),IFERROR(_xlfn.LET(_xlpm.r,MATCH(1,($B$51:$B$56=AH52)*($D$51:$D$56=AH54)*($A$51:$A$56=IF(AH55&lt;&gt;"",AH55,A51))*($O$51:$O$56=AH60),0)+2,(SUM(INDEX($R$51:$S$56,_xlpm.r-2,1):INDEX($R$51:$S$56,_xlpm.r-2,2))+INDEX($U$51:$U$56,_xlpm.r-2))*(1/INDEX($M$51:$M$56,MATCH(1,($B$51:$B$56=AH52)*($D$51:$D$56=AH54)*($A$51:$A$56=IF(AH55&lt;&gt;"",AH55,A51))*($O$51:$O$56=AH60),0)+5))*(INDEX($J$51:$J$56,_xlpm.r-2)/INDEX($E$51:$E$56,_xlpm.r-2))+INDEX($W$51:$W$56,_xlpm.r-2)),""),"")</f>
        <v/>
      </c>
      <c r="AK75" t="s">
        <v>841</v>
      </c>
      <c r="AL75" s="253" cm="1">
        <f t="array" ref="AL75">IF(OR(AND(AL62="By Weight",AL55&lt;&gt;""),AND(AL62="By Length",AL63&lt;&gt;""),AND(OR(AL62="IMP",AL62="By Imp"),AL63&lt;&gt;"",AL64&lt;&gt;"")),IFERROR(_xlfn.LET(_xlpm.r,MATCH(1,($B$57:$B$62=AL52)*($D$57:$D$62=AL54)*($A$57:$A$62=IF(AL55&lt;&gt;"",AL55,A57))*($O$57:$O$62=AL60),0)+2,(SUM(INDEX($R$57:$S$62,_xlpm.r-2,1):INDEX($R$57:$S$62,_xlpm.r-2,2))+INDEX($U$57:$U$62,_xlpm.r-2))*(1/INDEX($M$57:$M$62,MATCH(1,($B$57:$B$62=AL52)*($D$57:$D$62=AL54)*($A$57:$A$62=IF(AL55&lt;&gt;"",AL55,A57))*($O$57:$O$62=AL60),0)+5))*(INDEX($J$57:$J$62,_xlpm.r-2)/INDEX($E$57:$E$62,_xlpm.r-2))+INDEX($W$57:$W$62,_xlpm.r-2)),""),"")</f>
        <v>3.410273515677118</v>
      </c>
      <c r="AO75" t="s">
        <v>841</v>
      </c>
      <c r="AP75" s="253" cm="1">
        <f t="array" ref="AP75">IF(OR(AND(AP62="By Weight",AP55&lt;&gt;""),AND(AP62="By Length",AP63&lt;&gt;""),AND(OR(AP62="IMP",AP62="By Imp"),AP63&lt;&gt;"",AP64&lt;&gt;"")),IFERROR(_xlfn.LET(_xlpm.r,MATCH(1,($B$63:$B$68=AP52)*($D$63:$D$68=AP54)*($A$63:$A$68=IF(AP55&lt;&gt;"",AP55,A63))*($O$63:$O$68=AP60),0)+2,(SUM(INDEX($R$63:$S$68,_xlpm.r-2,1):INDEX($R$63:$S$68,_xlpm.r-2,2))+INDEX($U$63:$U$68,_xlpm.r-2))*(1/INDEX($M$63:$M$68,MATCH(1,($B$63:$B$68=AP52)*($D$63:$D$68=AP54)*($A$63:$A$68=IF(AP55&lt;&gt;"",AP55,A63))*($O$63:$O$68=AP60),0)+5))*(INDEX($J$63:$J$68,_xlpm.r-2)/INDEX($E$63:$E$68,_xlpm.r-2))+INDEX($W$63:$W$68,_xlpm.r-2)),""),"")</f>
        <v>6.0698110927111024</v>
      </c>
    </row>
    <row r="76" spans="1:43" ht="15.75" hidden="1" outlineLevel="1">
      <c r="A76"/>
      <c r="J76" s="502"/>
      <c r="M76" s="250"/>
      <c r="N76" s="203"/>
      <c r="R76"/>
      <c r="S76"/>
      <c r="T76" s="509"/>
      <c r="U76"/>
      <c r="AG76" s="1064" t="s">
        <v>997</v>
      </c>
      <c r="AH76" s="1065"/>
      <c r="AI76" s="1066"/>
      <c r="AK76" s="1064" t="s">
        <v>997</v>
      </c>
      <c r="AL76" s="1065"/>
      <c r="AM76" s="1066"/>
      <c r="AO76" s="1064" t="s">
        <v>997</v>
      </c>
      <c r="AP76" s="1065"/>
      <c r="AQ76" s="1066"/>
    </row>
    <row r="77" spans="1:43" ht="21" hidden="1" outlineLevel="1">
      <c r="A77"/>
      <c r="J77" s="502" t="str">
        <f>IF($C77="","",IF($E$63="","",IF(ISNUMBER($E$63),_xlfn.LET(_xlpm.cap,IF($Q$63="Quantum",760,1220),IF($E$63+50&gt;_xlpm.cap,"ERROR: Lamination Width &gt; "&amp;_xlpm.cap,$E$63+50)),$E$63)))</f>
        <v/>
      </c>
      <c r="M77" s="250"/>
      <c r="N77" s="203" t="str" cm="1">
        <f t="array" ref="N77">IF($C77="","",_xlfn.LET(
    _xlpm.mat,TRIM($C77),
    _xlpm.matKey,UPPER(SUBSTITUTE(_xlpm.mat," ","")),
    _xlpm.pr,IFERROR(LOOKUP(2,1/($H$51:H77&lt;&gt;""),$H$51:H77),""),
    _xlpm.widthActual,IFERROR(LOOKUP(2,1/($E$51:E77&lt;&gt;""),$E$51:E77),$E77),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",""))=_xlpm.matKey)*(_xlpm.summaryThick=$K77)*(_xlpm.summaryCosts&gt;0))),INDEX(_xlfn._xlws.FILTER(_xlpm.summaryCosts,(UPPER(SUBSTITUTE(_xlpm.summaryNames," ",""))=_xlpm.matKey)*(_xlpm.summaryThick=$K77)*(_xlpm.summaryCosts&gt;0)),1)),""),""),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7"/>
      <c r="S77"/>
      <c r="T77" t="str">
        <f>IF(OR($S77="",$K77=""),"",IFERROR($S77*(1/$M$85)*($J77/($D77*MAX(1,ROUNDDOWN(760/$D77,0)))),""))</f>
        <v/>
      </c>
      <c r="U77"/>
      <c r="AG77" s="1067" t="str">
        <f>IF(AH88&lt;&gt;"",IFERROR(AH68/(1-AH50),""),"")</f>
        <v/>
      </c>
      <c r="AH77" s="1068"/>
      <c r="AI77" s="1069"/>
      <c r="AK77" s="1067">
        <f>IF(AL88&lt;&gt;"",IFERROR(AL68/(1-AL50),""),"")</f>
        <v>17.352968240731911</v>
      </c>
      <c r="AL77" s="1068"/>
      <c r="AM77" s="1069"/>
      <c r="AO77" s="1067">
        <f>IF(AP88&lt;&gt;"",IFERROR(AP68/(1-AP50),""),"")</f>
        <v>15.212849904529723</v>
      </c>
      <c r="AP77" s="1068"/>
      <c r="AQ77" s="1069"/>
    </row>
    <row r="78" spans="1:43" hidden="1" outlineLevel="1">
      <c r="A78"/>
      <c r="J78" s="502"/>
      <c r="M78" s="250"/>
      <c r="N78" s="203"/>
      <c r="R78"/>
      <c r="S78"/>
      <c r="T78"/>
      <c r="U78"/>
      <c r="AG78" s="531" t="s">
        <v>1041</v>
      </c>
      <c r="AH78" s="445" t="str">
        <f>IF(OR(AH65="",AH88=""),"",IFERROR(AG77*AH88/AH65,""))</f>
        <v/>
      </c>
      <c r="AI78" s="532" t="s">
        <v>998</v>
      </c>
      <c r="AK78" s="531" t="s">
        <v>1041</v>
      </c>
      <c r="AL78" s="445">
        <f>IF(OR(AL65="",AL88=""),"",IFERROR(AK77*AL88/AL65,""))</f>
        <v>0.49859415997682971</v>
      </c>
      <c r="AM78" s="532" t="s">
        <v>998</v>
      </c>
      <c r="AO78" s="531" t="s">
        <v>1041</v>
      </c>
      <c r="AP78" s="445">
        <f>IF(OR(AP65="",AP88=""),"",IFERROR(AO77*AP88/AP65,""))</f>
        <v>1.2973519351769032</v>
      </c>
      <c r="AQ78" s="532" t="s">
        <v>998</v>
      </c>
    </row>
    <row r="79" spans="1:43" hidden="1" outlineLevel="1">
      <c r="A79"/>
      <c r="J79" s="502"/>
      <c r="M79" s="250"/>
      <c r="N79" s="203"/>
      <c r="R79"/>
      <c r="S79"/>
      <c r="T79"/>
      <c r="U79"/>
      <c r="AG79" s="531" t="s">
        <v>1042</v>
      </c>
      <c r="AH79" s="253" t="str">
        <f>IFERROR(AG77,"")</f>
        <v/>
      </c>
      <c r="AI79" s="532" t="s">
        <v>837</v>
      </c>
      <c r="AK79" s="531" t="s">
        <v>1042</v>
      </c>
      <c r="AL79" s="253">
        <f>IFERROR(AK77,"")</f>
        <v>17.352968240731911</v>
      </c>
      <c r="AM79" s="532" t="s">
        <v>837</v>
      </c>
      <c r="AO79" s="531" t="s">
        <v>1042</v>
      </c>
      <c r="AP79" s="253">
        <f>IFERROR(AO77,"")</f>
        <v>15.212849904529723</v>
      </c>
      <c r="AQ79" s="532" t="s">
        <v>837</v>
      </c>
    </row>
    <row r="80" spans="1:43" hidden="1" outlineLevel="1">
      <c r="A80"/>
      <c r="J80" s="502" t="str">
        <f>IF($C80="","",IF($E$63="","",IF(ISNUMBER($E$63),_xlfn.LET(_xlpm.cap,IF($Q$63="Quantum",760,1220),IF($E$63+50&gt;_xlpm.cap,"ERROR: Lamination Width &gt; "&amp;_xlpm.cap,$E$63+50)),$E$63)))</f>
        <v/>
      </c>
      <c r="M80" s="250"/>
      <c r="N80" s="203" t="str" cm="1">
        <f t="array" ref="N80">IF($C80="","",_xlfn.LET(
    _xlpm.mat,TRIM($C80),
    _xlpm.matKey,UPPER(SUBSTITUTE(_xlpm.mat," ","")),
    _xlpm.pr,IFERROR(LOOKUP(2,1/($H$51:H80&lt;&gt;""),$H$51:H80),""),
    _xlpm.widthActual,IFERROR(LOOKUP(2,1/($E$51:E80&lt;&gt;""),$E$51:E80),$E80),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",""))=_xlpm.matKey)*(_xlpm.summaryThick=$K80)*(_xlpm.summaryCosts&gt;0))),INDEX(_xlfn._xlws.FILTER(_xlpm.summaryCosts,(UPPER(SUBSTITUTE(_xlpm.summaryNames," ",""))=_xlpm.matKey)*(_xlpm.summaryThick=$K80)*(_xlpm.summaryCosts&gt;0)),1)),""),""),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0"/>
      <c r="S80"/>
      <c r="T80"/>
      <c r="U80"/>
      <c r="AG80" s="531" t="s">
        <v>1043</v>
      </c>
      <c r="AH80" s="445" t="str">
        <f>IF(OR(AH78="",AH54="",AH64="",AI64=""),"",IFERROR(AH78*(AI64/1000)/ROUNDDOWN(AH54/AH64,0),""))</f>
        <v/>
      </c>
      <c r="AI80" s="532" t="s">
        <v>1044</v>
      </c>
      <c r="AK80" s="531" t="s">
        <v>1043</v>
      </c>
      <c r="AL80" s="445" t="str">
        <f>IF(OR(AL78="",AL54="",AL64="",AM64=""),"",IFERROR(AL78*(AM64/1000)/ROUNDDOWN(AL54/AL64,0),""))</f>
        <v/>
      </c>
      <c r="AM80" s="532" t="s">
        <v>1044</v>
      </c>
      <c r="AO80" s="531" t="s">
        <v>1043</v>
      </c>
      <c r="AP80" s="445">
        <f>IF(OR(AP78="",AP54="",AP64="",AQ64=""),"",IFERROR(AP78*(AQ64/1000)/ROUNDDOWN(AP54/AP64,0),""))</f>
        <v>1.3622195319357483E-2</v>
      </c>
      <c r="AQ80" s="532" t="s">
        <v>1044</v>
      </c>
    </row>
    <row r="81" spans="1:43" hidden="1" outlineLevel="1">
      <c r="A81"/>
      <c r="J81" s="502"/>
      <c r="M81" s="250"/>
      <c r="N81" s="203"/>
      <c r="R81"/>
      <c r="S81"/>
      <c r="T81"/>
      <c r="U81"/>
      <c r="AG81" s="533" t="s">
        <v>1045</v>
      </c>
      <c r="AH81" s="529" t="str">
        <f>IFERROR(AH78*1.16,"")</f>
        <v/>
      </c>
      <c r="AI81" s="534" t="s">
        <v>1046</v>
      </c>
      <c r="AK81" s="533" t="s">
        <v>1045</v>
      </c>
      <c r="AL81" s="529">
        <f>IFERROR(AL78*1.16,"")</f>
        <v>0.57836922557312243</v>
      </c>
      <c r="AM81" s="534" t="s">
        <v>1046</v>
      </c>
      <c r="AO81" s="533" t="s">
        <v>1045</v>
      </c>
      <c r="AP81" s="529">
        <f>IFERROR(AP78*1.16,"")</f>
        <v>1.5049282448052075</v>
      </c>
      <c r="AQ81" s="534" t="s">
        <v>1046</v>
      </c>
    </row>
    <row r="82" spans="1:43" hidden="1" outlineLevel="1">
      <c r="A82"/>
      <c r="J82" s="502" t="str">
        <f t="shared" ref="J82:J93" si="10">IF($C82="","",IF($E$63="","",IF(ISNUMBER($E$63),_xlfn.LET(_xlpm.cap,IF($Q$63="Quantum",760,1220),IF($E$63+50&gt;_xlpm.cap,"ERROR: Lamination Width &gt; "&amp;_xlpm.cap,$E$63+50)),$E$63)))</f>
        <v/>
      </c>
      <c r="M82" s="250"/>
      <c r="N82" s="203" t="str" cm="1">
        <f t="array" ref="N82">IF($C82="","",_xlfn.LET(
    _xlpm.mat,TRIM($C82),
    _xlpm.matKey,UPPER(SUBSTITUTE(_xlpm.mat," ","")),
    _xlpm.pr,IFERROR(LOOKUP(2,1/($H$51:H82&lt;&gt;""),$H$51:H82),""),
    _xlpm.widthActual,IFERROR(LOOKUP(2,1/($E$51:E82&lt;&gt;""),$E$51:E82),$E82),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",""))=_xlpm.matKey)*(_xlpm.summaryThick=$K82)*(_xlpm.summaryCosts&gt;0))),INDEX(_xlfn._xlws.FILTER(_xlpm.summaryCosts,(UPPER(SUBSTITUTE(_xlpm.summaryNames," ",""))=_xlpm.matKey)*(_xlpm.summaryThick=$K82)*(_xlpm.summaryCosts&gt;0)),1)),""),""),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2"/>
      <c r="S82"/>
      <c r="T82"/>
      <c r="U82"/>
      <c r="AG82" s="533" t="s">
        <v>1047</v>
      </c>
      <c r="AH82" s="511" t="str">
        <f>IFERROR(AH79*1.16,"")</f>
        <v/>
      </c>
      <c r="AI82" s="534" t="s">
        <v>1038</v>
      </c>
      <c r="AK82" s="533" t="s">
        <v>1047</v>
      </c>
      <c r="AL82" s="511">
        <f>IFERROR(AL79*1.16,"")</f>
        <v>20.129443159249014</v>
      </c>
      <c r="AM82" s="534" t="s">
        <v>1038</v>
      </c>
      <c r="AO82" s="533" t="s">
        <v>1047</v>
      </c>
      <c r="AP82" s="511">
        <f>IFERROR(AP79*1.16,"")</f>
        <v>17.646905889254477</v>
      </c>
      <c r="AQ82" s="534" t="s">
        <v>1038</v>
      </c>
    </row>
    <row r="83" spans="1:43" hidden="1" outlineLevel="1">
      <c r="A83"/>
      <c r="J83" s="502" t="str">
        <f t="shared" si="10"/>
        <v/>
      </c>
      <c r="M83" s="250"/>
      <c r="N83" s="203" t="str" cm="1">
        <f t="array" ref="N83">IF($C83="","",_xlfn.LET(
    _xlpm.mat,TRIM($C83),
    _xlpm.matKey,UPPER(SUBSTITUTE(_xlpm.mat," ","")),
    _xlpm.pr,IFERROR(LOOKUP(2,1/($H$51:H83&lt;&gt;""),$H$51:H83),""),
    _xlpm.widthActual,IFERROR(LOOKUP(2,1/($E$51:E83&lt;&gt;""),$E$51:E83),$E83),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",""))=_xlpm.matKey)*(_xlpm.summaryThick=$K83)*(_xlpm.summaryCosts&gt;0))),INDEX(_xlfn._xlws.FILTER(_xlpm.summaryCosts,(UPPER(SUBSTITUTE(_xlpm.summaryNames," ",""))=_xlpm.matKey)*(_xlpm.summaryThick=$K83)*(_xlpm.summaryCosts&gt;0)),1)),""),""),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3"/>
      <c r="S83"/>
      <c r="T83"/>
      <c r="U83"/>
      <c r="AG83" s="533" t="s">
        <v>1048</v>
      </c>
      <c r="AH83" s="529" t="str">
        <f>IF(OR(AH81="",AH54="",AH64="",AI64=""),"",IFERROR(AH81*(AI64/1000)/(AH54/AH64),""))</f>
        <v/>
      </c>
      <c r="AI83" s="534" t="s">
        <v>1037</v>
      </c>
      <c r="AK83" s="533" t="s">
        <v>1048</v>
      </c>
      <c r="AL83" s="529" t="str">
        <f>IF(OR(AL81="",AL54="",AL64="",AM64=""),"",IFERROR(AL81*(AM64/1000)/(AL54/AL64),""))</f>
        <v/>
      </c>
      <c r="AM83" s="534" t="s">
        <v>1037</v>
      </c>
      <c r="AO83" s="533" t="s">
        <v>1048</v>
      </c>
      <c r="AP83" s="529">
        <f>IF(OR(AP81="",AP54="",AP64="",AQ64=""),"",IFERROR(AP81*(AQ64/1000)/(AP54/AP64),""))</f>
        <v>1.4748296799091034E-2</v>
      </c>
      <c r="AQ83" s="534" t="s">
        <v>1037</v>
      </c>
    </row>
    <row r="84" spans="1:43" hidden="1" outlineLevel="1">
      <c r="A84"/>
      <c r="J84" s="502" t="str">
        <f t="shared" si="10"/>
        <v/>
      </c>
      <c r="M84" s="250"/>
      <c r="N84" s="203" t="str" cm="1">
        <f t="array" ref="N84">IF($C84="","",_xlfn.LET(
    _xlpm.mat,TRIM($C84),
    _xlpm.matKey,UPPER(SUBSTITUTE(_xlpm.mat," ","")),
    _xlpm.pr,IFERROR(LOOKUP(2,1/($H$51:H84&lt;&gt;""),$H$51:H84),""),
    _xlpm.widthActual,IFERROR(LOOKUP(2,1/($E$51:E84&lt;&gt;""),$E$51:E84),$E84),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",""))=_xlpm.matKey)*(_xlpm.summaryThick=$K84)*(_xlpm.summaryCosts&gt;0))),INDEX(_xlfn._xlws.FILTER(_xlpm.summaryCosts,(UPPER(SUBSTITUTE(_xlpm.summaryNames," ",""))=_xlpm.matKey)*(_xlpm.summaryThick=$K84)*(_xlpm.summaryCosts&gt;0)),1)),""),""),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4"/>
      <c r="S84"/>
      <c r="T84"/>
      <c r="U84"/>
      <c r="AG84" s="535" t="s">
        <v>1049</v>
      </c>
      <c r="AH84" s="530" t="str" cm="1">
        <f t="array" ref="AH84">IFERROR(_xlfn.SWITCH(AH62,"By Imp",AH63*AH80,"IMP",AH63*AH80,"By Length",AH63*AH78,"By Weight",AH63*AH79,AG77*AH88),"")</f>
        <v/>
      </c>
      <c r="AI84" s="534" t="s">
        <v>1050</v>
      </c>
      <c r="AK84" s="535" t="s">
        <v>1049</v>
      </c>
      <c r="AL84" s="530" cm="1">
        <f t="array" ref="AL84">IFERROR(_xlfn.SWITCH(AL62,"By Imp",AL63*AL80,"IMP",AL63*AL80,"By Length",AL63*AL78,"By Weight",AL63*AL79,AK77*AL88),"")</f>
        <v>997.1883199536594</v>
      </c>
      <c r="AM84" s="534" t="s">
        <v>1050</v>
      </c>
      <c r="AO84" s="535" t="s">
        <v>1049</v>
      </c>
      <c r="AP84" s="530" cm="1">
        <f t="array" ref="AP84">IFERROR(_xlfn.SWITCH(AP62,"By Imp",AP63*AP80,"IMP",AP63*AP80,"By Length",AP63*AP78,"By Weight",AP63*AP79,AO77*AP88),"")</f>
        <v>6470.5427766948042</v>
      </c>
      <c r="AQ84" s="534" t="s">
        <v>1050</v>
      </c>
    </row>
    <row r="85" spans="1:43" hidden="1" outlineLevel="1">
      <c r="A85"/>
      <c r="J85" s="502" t="str">
        <f t="shared" si="10"/>
        <v/>
      </c>
      <c r="M85" s="250"/>
      <c r="N85" s="203" t="str" cm="1">
        <f t="array" ref="N85">IF($C85="","",_xlfn.LET(
    _xlpm.mat,TRIM($C85),
    _xlpm.matKey,UPPER(SUBSTITUTE(_xlpm.mat," ","")),
    _xlpm.pr,IFERROR(LOOKUP(2,1/($H$51:H85&lt;&gt;""),$H$51:H85),""),
    _xlpm.widthActual,IFERROR(LOOKUP(2,1/($E$51:E85&lt;&gt;""),$E$51:E85),$E85),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",""))=_xlpm.matKey)*(_xlpm.summaryThick=$K85)*(_xlpm.summaryCosts&gt;0))),INDEX(_xlfn._xlws.FILTER(_xlpm.summaryCosts,(UPPER(SUBSTITUTE(_xlpm.summaryNames," ",""))=_xlpm.matKey)*(_xlpm.summaryThick=$K85)*(_xlpm.summaryCosts&gt;0)),1)),""),""),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5"/>
      <c r="S85"/>
      <c r="T85"/>
      <c r="U85"/>
      <c r="AG85" s="535" t="s">
        <v>1051</v>
      </c>
      <c r="AH85" s="511" t="str" cm="1">
        <f t="array" ref="AH85">IFERROR(_xlfn.SWITCH(AH62,"By Imp",AH63*AH83,"IMP",AH63*AH83,"By Length",AH63*AH81,"By Weight",AH63*AH82,AG77*AH88*1.16),"")</f>
        <v/>
      </c>
      <c r="AI85" s="534" t="s">
        <v>1052</v>
      </c>
      <c r="AK85" s="535" t="s">
        <v>1051</v>
      </c>
      <c r="AL85" s="511" cm="1">
        <f t="array" ref="AL85">IFERROR(_xlfn.SWITCH(AL62,"By Imp",AL63*AL83,"IMP",AL63*AL83,"By Length",AL63*AL81,"By Weight",AL63*AL82,AK77*AL88*1.16),"")</f>
        <v>1156.7384511462449</v>
      </c>
      <c r="AM85" s="534" t="s">
        <v>1052</v>
      </c>
      <c r="AO85" s="535" t="s">
        <v>1051</v>
      </c>
      <c r="AP85" s="511" cm="1">
        <f t="array" ref="AP85">IFERROR(_xlfn.SWITCH(AP62,"By Imp",AP63*AP83,"IMP",AP63*AP83,"By Length",AP63*AP81,"By Weight",AP63*AP82,AO77*AP88*1.16),"")</f>
        <v>7005.4409795682413</v>
      </c>
      <c r="AQ85" s="534" t="s">
        <v>1052</v>
      </c>
    </row>
    <row r="86" spans="1:43" hidden="1" outlineLevel="1">
      <c r="J86" s="502" t="str">
        <f t="shared" si="10"/>
        <v/>
      </c>
      <c r="M86" s="250"/>
      <c r="N86" s="203" t="str" cm="1">
        <f t="array" ref="N86">IF($C86="","",_xlfn.LET(
    _xlpm.mat,TRIM($C86),
    _xlpm.matKey,UPPER(SUBSTITUTE(_xlpm.mat," ","")),
    _xlpm.pr,IFERROR(LOOKUP(2,1/($H$51:H86&lt;&gt;""),$H$51:H86),""),
    _xlpm.widthActual,IFERROR(LOOKUP(2,1/($E$51:E86&lt;&gt;""),$E$51:E86),$E86),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",""))=_xlpm.matKey)*(_xlpm.summaryThick=$K86)*(_xlpm.summaryCosts&gt;0))),INDEX(_xlfn._xlws.FILTER(_xlpm.summaryCosts,(UPPER(SUBSTITUTE(_xlpm.summaryNames," ",""))=_xlpm.matKey)*(_xlpm.summaryThick=$K86)*(_xlpm.summaryCosts&gt;0)),1)),""),""),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6"/>
      <c r="T86" t="str">
        <f>IF(OR($S86="",$K86=""),"",IFERROR($S86*(1/$M$89)*($J86/($D86*MAX(1,ROUNDDOWN(760/$D86,0)))),""))</f>
        <v/>
      </c>
      <c r="U86"/>
      <c r="AG86" s="536" t="s">
        <v>844</v>
      </c>
      <c r="AH86" s="537" t="str">
        <f>IFERROR(AH87/($M$56*($D$51/$J$51))+5,"")</f>
        <v/>
      </c>
      <c r="AI86" s="538" t="s">
        <v>580</v>
      </c>
      <c r="AK86" s="536" t="s">
        <v>844</v>
      </c>
      <c r="AL86" s="537">
        <f>IFERROR(AL87/($M$62*($D$57/$J$57))+5,"")</f>
        <v>19065.325931573429</v>
      </c>
      <c r="AM86" s="538" t="s">
        <v>580</v>
      </c>
      <c r="AO86" s="536" t="s">
        <v>844</v>
      </c>
      <c r="AP86" s="537">
        <f>IFERROR(AP87/($M$68*($D$63/$J$63))+5,"")</f>
        <v>5937.7815846459607</v>
      </c>
      <c r="AQ86" s="538" t="s">
        <v>580</v>
      </c>
    </row>
    <row r="87" spans="1:43" hidden="1" outlineLevel="1">
      <c r="J87" s="502" t="str">
        <f t="shared" si="10"/>
        <v/>
      </c>
      <c r="M87" s="250"/>
      <c r="N87" s="203" t="str" cm="1">
        <f t="array" ref="N87">IF($C87="","",_xlfn.LET(
    _xlpm.mat,TRIM($C87),
    _xlpm.matKey,UPPER(SUBSTITUTE(_xlpm.mat," ","")),
    _xlpm.pr,IFERROR(LOOKUP(2,1/($H$51:H87&lt;&gt;""),$H$51:H87),""),
    _xlpm.widthActual,IFERROR(LOOKUP(2,1/($E$51:E87&lt;&gt;""),$E$51:E87),$E87),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",""))=_xlpm.matKey)*(_xlpm.summaryThick=$K87)*(_xlpm.summaryCosts&gt;0))),INDEX(_xlfn._xlws.FILTER(_xlpm.summaryCosts,(UPPER(SUBSTITUTE(_xlpm.summaryNames," ",""))=_xlpm.matKey)*(_xlpm.summaryThick=$K87)*(_xlpm.summaryCosts&gt;0)),1)),""),""),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7"/>
      <c r="T87"/>
      <c r="U87"/>
      <c r="AG87" s="536" t="s">
        <v>845</v>
      </c>
      <c r="AH87" s="537">
        <f>_xlfn.LET(_xlpm.lam,UPPER(SUBSTITUTE(AH52&amp;"","LAMINATE","")),IF(_xlpm.lam="608W",2000,IF(_xlpm.lam="608",750,500)))</f>
        <v>500</v>
      </c>
      <c r="AI87" s="538" t="s">
        <v>203</v>
      </c>
      <c r="AK87" s="536" t="s">
        <v>845</v>
      </c>
      <c r="AL87" s="537">
        <f>_xlfn.LET(_xlpm.lam,UPPER(SUBSTITUTE(AL52&amp;"","LAMINATE","")),IF(_xlpm.lam="608W",2000,IF(_xlpm.lam="608",750,500)))</f>
        <v>500</v>
      </c>
      <c r="AM87" s="538" t="s">
        <v>203</v>
      </c>
      <c r="AO87" s="536" t="s">
        <v>845</v>
      </c>
      <c r="AP87" s="537">
        <f>_xlfn.LET(_xlpm.lam,UPPER(SUBSTITUTE(AP52&amp;"","LAMINATE","")),IF(_xlpm.lam="608W",2000,IF(_xlpm.lam="608",750,500)))</f>
        <v>500</v>
      </c>
      <c r="AQ87" s="538" t="s">
        <v>203</v>
      </c>
    </row>
    <row r="88" spans="1:43" ht="15.75" hidden="1" outlineLevel="1" thickBot="1">
      <c r="J88" s="502" t="str">
        <f t="shared" si="10"/>
        <v/>
      </c>
      <c r="M88" s="250"/>
      <c r="N88" s="203" t="str" cm="1">
        <f t="array" ref="N88">IF($C88="","",_xlfn.LET(
    _xlpm.mat,TRIM($C88),
    _xlpm.matKey,UPPER(SUBSTITUTE(_xlpm.mat," ","")),
    _xlpm.pr,IFERROR(LOOKUP(2,1/($H$51:H88&lt;&gt;""),$H$51:H88),""),
    _xlpm.widthActual,IFERROR(LOOKUP(2,1/($E$51:E88&lt;&gt;""),$E$51:E88),$E88),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",""))=_xlpm.matKey)*(_xlpm.summaryThick=$K88)*(_xlpm.summaryCosts&gt;0))),INDEX(_xlfn._xlws.FILTER(_xlpm.summaryCosts,(UPPER(SUBSTITUTE(_xlpm.summaryNames," ",""))=_xlpm.matKey)*(_xlpm.summaryThick=$K88)*(_xlpm.summaryCosts&gt;0)),1)),""),""),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8"/>
      <c r="T88"/>
      <c r="U88"/>
      <c r="AG88" s="539" t="s">
        <v>846</v>
      </c>
      <c r="AH88" s="540">
        <f>IF(OR(AH62="IMP",AH62="By Imp"),IFERROR(AH65*$M$56*($D$51/$J$51)+5,""),IF(AH62="By Length",IFERROR(AH63*$M$56*($D$51/$J$51)+5,""),IF(AH62="By Weight",IFERROR(IF(AH55&lt;&gt;"",AH55,A51),""),"")))</f>
        <v>5000</v>
      </c>
      <c r="AI88" s="541" t="s">
        <v>203</v>
      </c>
      <c r="AJ88" s="237"/>
      <c r="AK88" s="539" t="s">
        <v>846</v>
      </c>
      <c r="AL88" s="540">
        <f>IF(OR(AL62="IMP",AL62="By Imp"),IFERROR(AL65*$M$62*($D$57/$J$57)+5,""),IF(AL62="By Length",IFERROR(AL63*$M$62*($D$57/$J$57)+5,""),IF(AL62="By Weight",IFERROR(IF(AL55&lt;&gt;"",AL55,A57),""),"")))</f>
        <v>57.465000000000003</v>
      </c>
      <c r="AM88" s="541" t="s">
        <v>203</v>
      </c>
      <c r="AN88" s="237"/>
      <c r="AO88" s="539" t="s">
        <v>846</v>
      </c>
      <c r="AP88" s="540">
        <f>IF(OR(AP62="IMP",AP62="By Imp"),IFERROR(AP65*$M$68*($D$63/$J$63)+5,""),IF(AP62="By Length",IFERROR(AP63*$M$68*($D$63/$J$63)+5,""),IF(AP62="By Weight",IFERROR(IF(AP55&lt;&gt;"",AP55,A63),""),"")))</f>
        <v>425.33403125000001</v>
      </c>
      <c r="AQ88" s="541" t="s">
        <v>203</v>
      </c>
    </row>
    <row r="89" spans="1:43" ht="15.75" hidden="1" outlineLevel="1" thickBot="1">
      <c r="J89" s="502" t="str">
        <f t="shared" si="10"/>
        <v/>
      </c>
      <c r="M89" s="250"/>
      <c r="N89" s="203" t="str" cm="1">
        <f t="array" ref="N89">IF($C89="","",_xlfn.LET(
    _xlpm.mat,TRIM($C89),
    _xlpm.matKey,UPPER(SUBSTITUTE(_xlpm.mat," ","")),
    _xlpm.pr,IFERROR(LOOKUP(2,1/($H$51:H89&lt;&gt;""),$H$51:H89),""),
    _xlpm.widthActual,IFERROR(LOOKUP(2,1/($E$51:E89&lt;&gt;""),$E$51:E89),$E89),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",""))=_xlpm.matKey)*(_xlpm.summaryThick=$K89)*(_xlpm.summaryCosts&gt;0))),INDEX(_xlfn._xlws.FILTER(_xlpm.summaryCosts,(UPPER(SUBSTITUTE(_xlpm.summaryNames," ",""))=_xlpm.matKey)*(_xlpm.summaryThick=$K89)*(_xlpm.summaryCosts&gt;0)),1)),""),""),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9"/>
      <c r="T89"/>
      <c r="U89"/>
      <c r="AG89" s="1070" t="s">
        <v>1039</v>
      </c>
      <c r="AH89" s="1071"/>
      <c r="AI89" s="1072"/>
      <c r="AK89" s="1070" t="s">
        <v>1039</v>
      </c>
      <c r="AL89" s="1071"/>
      <c r="AM89" s="1072"/>
      <c r="AO89" s="1070" t="s">
        <v>1039</v>
      </c>
      <c r="AP89" s="1071"/>
      <c r="AQ89" s="1072"/>
    </row>
    <row r="90" spans="1:43" hidden="1" outlineLevel="1">
      <c r="J90" s="502" t="str">
        <f t="shared" si="10"/>
        <v/>
      </c>
      <c r="M90" s="250"/>
      <c r="N90" s="203" t="str" cm="1">
        <f t="array" ref="N90">IF($C90="","",_xlfn.LET(
    _xlpm.mat,TRIM($C90),
    _xlpm.matKey,UPPER(SUBSTITUTE(_xlpm.mat," ","")),
    _xlpm.pr,IFERROR(LOOKUP(2,1/($H$51:H90&lt;&gt;""),$H$51:H90),""),
    _xlpm.widthActual,IFERROR(LOOKUP(2,1/($E$51:E90&lt;&gt;""),$E$51:E90),$E90),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",""))=_xlpm.matKey)*(_xlpm.summaryThick=$K90)*(_xlpm.summaryCosts&gt;0))),INDEX(_xlfn._xlws.FILTER(_xlpm.summaryCosts,(UPPER(SUBSTITUTE(_xlpm.summaryNames," ",""))=_xlpm.matKey)*(_xlpm.summaryThick=$K90)*(_xlpm.summaryCosts&gt;0)),1)),""),""),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0"/>
      <c r="T90" t="str">
        <f>IF(OR($S90="",$K90=""),"",IFERROR($S90*(1/$M$95)*($J90/($D90*MAX(1,ROUNDDOWN(760/$D90,0)))),""))</f>
        <v/>
      </c>
      <c r="U90"/>
      <c r="Y90" t="str">
        <f>IFERROR((SUM(X90:X95)+SUM(R90:S90,U90))*(1/M95)*(J90/(D90*MAX(1,ROUNDDOWN(760/D90,0))))+W90,"")</f>
        <v/>
      </c>
      <c r="AG90" s="625" t="s">
        <v>1036</v>
      </c>
      <c r="AH90" s="95">
        <f>IF(OR(AH62="IMP",AH62="By Imp"),IFERROR(AH63/(AH54/AH64)*(AI64/1000),""),IFERROR(AH63,""))</f>
        <v>5000</v>
      </c>
      <c r="AI90" s="237" t="s">
        <v>580</v>
      </c>
      <c r="AK90" s="625" t="s">
        <v>1036</v>
      </c>
      <c r="AL90" s="95">
        <f>IF(OR(AL62="IMP",AL62="By Imp"),IFERROR(AL63/(AL54/AL64)*(AM64/1000),""),IFERROR(AL63,""))</f>
        <v>2000</v>
      </c>
      <c r="AM90" s="237" t="s">
        <v>580</v>
      </c>
      <c r="AO90" s="625" t="s">
        <v>1036</v>
      </c>
      <c r="AP90" s="95">
        <f>IF(OR(AP62="IMP",AP62="By Imp"),IFERROR(AP63/(AP54/AP64)*(AQ64/1000),""),IFERROR(AP63,""))</f>
        <v>4655</v>
      </c>
      <c r="AQ90" s="237" t="s">
        <v>580</v>
      </c>
    </row>
    <row r="91" spans="1:43" hidden="1" outlineLevel="1">
      <c r="J91" s="502" t="str">
        <f t="shared" si="10"/>
        <v/>
      </c>
      <c r="M91" s="250"/>
      <c r="N91" s="203" t="str" cm="1">
        <f t="array" ref="N91">IF($C91="","",_xlfn.LET(
    _xlpm.mat,TRIM($C91),
    _xlpm.matKey,UPPER(SUBSTITUTE(_xlpm.mat," ","")),
    _xlpm.pr,IFERROR(LOOKUP(2,1/($H$51:H91&lt;&gt;""),$H$51:H91),""),
    _xlpm.widthActual,IFERROR(LOOKUP(2,1/($E$51:E91&lt;&gt;""),$E$51:E91),$E91),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",""))=_xlpm.matKey)*(_xlpm.summaryThick=$K91)*(_xlpm.summaryCosts&gt;0))),INDEX(_xlfn._xlws.FILTER(_xlpm.summaryCosts,(UPPER(SUBSTITUTE(_xlpm.summaryNames," ",""))=_xlpm.matKey)*(_xlpm.summaryThick=$K91)*(_xlpm.summaryCosts&gt;0)),1)),""),""),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1"/>
      <c r="T91"/>
      <c r="U91"/>
      <c r="AG91" s="625" t="s">
        <v>1150</v>
      </c>
      <c r="AH91" s="629" t="str">
        <f>IF(OR(AH62="IMP",AH62="By Imp"),IFERROR(AH63/AH58,""),"")</f>
        <v/>
      </c>
      <c r="AI91" s="625" t="s">
        <v>1031</v>
      </c>
      <c r="AK91" s="625" t="s">
        <v>1150</v>
      </c>
      <c r="AL91" s="629" t="str">
        <f>IF(OR(AL62="IMP",AL62="By Imp"),IFERROR(AL63/AL58,""),"")</f>
        <v/>
      </c>
      <c r="AM91" s="625" t="s">
        <v>1031</v>
      </c>
      <c r="AO91" s="625" t="s">
        <v>1150</v>
      </c>
      <c r="AP91" s="629">
        <f>IF(OR(AP62="IMP",AP62="By Imp"),IFERROR(AP63/AP58,""),"")</f>
        <v>475000</v>
      </c>
      <c r="AQ91" s="625" t="s">
        <v>1031</v>
      </c>
    </row>
    <row r="92" spans="1:43" hidden="1" outlineLevel="1">
      <c r="J92" s="502" t="str">
        <f t="shared" si="10"/>
        <v/>
      </c>
      <c r="N92" s="203" t="str" cm="1">
        <f t="array" ref="N92">IF($C92="","",_xlfn.LET(
    _xlpm.mat,TRIM($C92),
    _xlpm.matKey,UPPER(SUBSTITUTE(_xlpm.mat," ","")),
    _xlpm.pr,IFERROR(LOOKUP(2,1/($H$51:H92&lt;&gt;""),$H$51:H92),""),
    _xlpm.widthActual,IFERROR(LOOKUP(2,1/($E$51:E92&lt;&gt;""),$E$51:E92),$E92),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",""))=_xlpm.matKey)*(_xlpm.summaryThick=$K92)*(_xlpm.summaryCosts&gt;0))),INDEX(_xlfn._xlws.FILTER(_xlpm.summaryCosts,(UPPER(SUBSTITUTE(_xlpm.summaryNames," ",""))=_xlpm.matKey)*(_xlpm.summaryThick=$K92)*(_xlpm.summaryCosts&gt;0)),1)),""),""),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2"/>
      <c r="T92"/>
      <c r="U92"/>
      <c r="AG92" s="625" t="s">
        <v>1151</v>
      </c>
      <c r="AH92" s="630" cm="1">
        <f t="array" ref="AH92">_xlfn.LET(_xlpm.lam,TEXT(AH52,"0"),_xlpm.thick,AH53,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v>
      </c>
      <c r="AI92" s="625" t="s">
        <v>1152</v>
      </c>
      <c r="AK92" s="625" t="s">
        <v>1151</v>
      </c>
      <c r="AL92" s="626" cm="1">
        <f t="array" ref="AL92">_xlfn.LET(_xlpm.lam,TEXT(AL52,"0"),_xlpm.thick,AL53,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0.66666666666666663</v>
      </c>
      <c r="AM92" s="625" t="s">
        <v>1152</v>
      </c>
      <c r="AO92" s="625" t="s">
        <v>1151</v>
      </c>
      <c r="AP92" s="626" cm="1">
        <f t="array" ref="AP92">_xlfn.LET(_xlpm.lam,TEXT(AP52,"0"),_xlpm.thick,AP53,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92" s="625" t="s">
        <v>1152</v>
      </c>
    </row>
    <row r="93" spans="1:43" hidden="1" outlineLevel="1">
      <c r="J93" s="502" t="str">
        <f t="shared" si="10"/>
        <v/>
      </c>
      <c r="N93" s="203" t="str" cm="1">
        <f t="array" ref="N93">IF($C93="","",_xlfn.LET(
    _xlpm.mat,TRIM($C93),
    _xlpm.matKey,UPPER(SUBSTITUTE(_xlpm.mat," ","")),
    _xlpm.pr,IFERROR(LOOKUP(2,1/($H$51:H93&lt;&gt;""),$H$51:H93),""),
    _xlpm.widthActual,IFERROR(LOOKUP(2,1/($E$51:E93&lt;&gt;""),$E$51:E93),$E93),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",""))=_xlpm.matKey)*(_xlpm.summaryThick=$K93)*(_xlpm.summaryCosts&gt;0))),INDEX(_xlfn._xlws.FILTER(_xlpm.summaryCosts,(UPPER(SUBSTITUTE(_xlpm.summaryNames," ",""))=_xlpm.matKey)*(_xlpm.summaryThick=$K93)*(_xlpm.summaryCosts&gt;0)),1)),""),""),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3"/>
      <c r="T93"/>
      <c r="U93"/>
      <c r="AG93" s="625" t="s">
        <v>1153</v>
      </c>
      <c r="AH93" s="628">
        <f>IF(OR(AH56&lt;&gt;"Printed",AH57=0,AH57="0",AH57=""),0,IFERROR(IF(AH61="Quantum",S51*100*MAX(1,IFERROR(AH58,0))/AH88,_xlfn.LET(_xlpm.colors,AH57,_xlpm.numColors,IF(ISNUMBER(_xlpm.colors),_xlpm.colors,IFERROR(--RIGHT(_xlpm.colors,LEN(_xlpm.colors)-FIND("-",_xlpm.colors)),IFERROR(--_xlpm.colors,0))),HELPER!$DB$1*_xlpm.numColors*MAX(1,IFERROR(AH58,0))*1.05*AH92/AH88)),0))</f>
        <v>0</v>
      </c>
      <c r="AI93" s="625" t="s">
        <v>837</v>
      </c>
      <c r="AK93" s="625" t="s">
        <v>1153</v>
      </c>
      <c r="AL93" s="628">
        <f>IF(OR(AL56&lt;&gt;"Printed",AL57=0,AL57="0",AL57=""),0,IFERROR(IF(AL61="Quantum",S57*100*MAX(1,IFERROR(AL58,0))/AL88,_xlfn.LET(_xlpm.colors,AL57,_xlpm.numColors,IF(ISNUMBER(_xlpm.colors),_xlpm.colors,IFERROR(--RIGHT(_xlpm.colors,LEN(_xlpm.colors)-FIND("-",_xlpm.colors)),IFERROR(--_xlpm.colors,0))),HELPER!$DB$1*_xlpm.numColors*MAX(1,IFERROR(AL58,0))*1.05*AL92/AL88)),0))</f>
        <v>0</v>
      </c>
      <c r="AM93" s="625" t="s">
        <v>837</v>
      </c>
      <c r="AO93" s="625" t="s">
        <v>1153</v>
      </c>
      <c r="AP93" s="628">
        <f>IF(OR(AP56&lt;&gt;"Printed",AP57=0,AP57="0",AP57=""),0,IFERROR(IF(AP61="Quantum",S63*100*MAX(1,IFERROR(AP58,0))/AP88,_xlfn.LET(_xlpm.colors,AP57,_xlpm.numColors,IF(ISNUMBER(_xlpm.colors),_xlpm.colors,IFERROR(--RIGHT(_xlpm.colors,LEN(_xlpm.colors)-FIND("-",_xlpm.colors)),IFERROR(--_xlpm.colors,0))),HELPER!$DB$1*_xlpm.numColors*MAX(1,IFERROR(AP58,0))*1.05*AP92/AP88)),0))</f>
        <v>0.98745919475494592</v>
      </c>
      <c r="AQ93" s="625" t="s">
        <v>837</v>
      </c>
    </row>
    <row r="94" spans="1:43" hidden="1" outlineLevel="1">
      <c r="S94"/>
      <c r="T94"/>
      <c r="U94"/>
      <c r="AG94" s="627" t="s">
        <v>1154</v>
      </c>
      <c r="AH94" s="629">
        <f>IFERROR(IF(OR(AH62="IMP",AH62="By Imp"),AH63/(AH54/AH64)*(AI64/1000),AH63)*AH92,"")</f>
        <v>0</v>
      </c>
      <c r="AI94" s="625" t="s">
        <v>580</v>
      </c>
      <c r="AK94" s="625" t="s">
        <v>1154</v>
      </c>
      <c r="AL94" s="629">
        <f>IFERROR(IF(OR(AL62="IMP",AL62="By Imp"),AL63/(AL54/AL64)*(AM64/1000),AL63)*AL92,"")</f>
        <v>1333.3333333333333</v>
      </c>
      <c r="AM94" s="625" t="s">
        <v>580</v>
      </c>
      <c r="AO94" s="625" t="s">
        <v>1154</v>
      </c>
      <c r="AP94" s="629">
        <f>IFERROR(IF(OR(AP62="IMP",AP62="By Imp"),AP63/(AP54/AP64)*(AQ64/1000),AP63)*AP92,"")</f>
        <v>1551.6666666666665</v>
      </c>
      <c r="AQ94" s="625" t="s">
        <v>580</v>
      </c>
    </row>
    <row r="95" spans="1:43" hidden="1" outlineLevel="1">
      <c r="S95"/>
      <c r="T95"/>
      <c r="U95"/>
      <c r="AG95" s="625" t="s">
        <v>1154</v>
      </c>
      <c r="AH95" s="629" t="str">
        <f>IFERROR(IF(OR(AH62="IMP",AH62="By Imp"),AH63/(AH54/AH64)*(AI64/1000),AH65)*AH92,"")</f>
        <v/>
      </c>
      <c r="AI95" s="625" t="s">
        <v>580</v>
      </c>
      <c r="AK95" s="625" t="s">
        <v>1154</v>
      </c>
      <c r="AL95" s="629">
        <f>IFERROR(IF(OR(AL62="IMP",AL62="By Imp"),AL63/(AL54/AL64)*(AM64/1000),AL65)*AL92,"")</f>
        <v>1333.3333333333333</v>
      </c>
      <c r="AM95" s="625" t="s">
        <v>580</v>
      </c>
      <c r="AO95" s="625" t="s">
        <v>1154</v>
      </c>
      <c r="AP95" s="629">
        <f>IFERROR(IF(OR(AP62="IMP",AP62="By Imp"),AP63/(AP54/AP64)*(AQ64/1000),AP65)*AP92,"")</f>
        <v>1551.6666666666665</v>
      </c>
      <c r="AQ95" s="625" t="s">
        <v>580</v>
      </c>
    </row>
    <row r="96" spans="1:43" hidden="1" outlineLevel="1">
      <c r="S96"/>
      <c r="T96"/>
      <c r="U96"/>
      <c r="AG96" s="1078"/>
      <c r="AH96" s="1078"/>
      <c r="AI96" s="1078"/>
      <c r="AJ96" s="647"/>
      <c r="AK96" s="1078"/>
      <c r="AL96" s="1078"/>
      <c r="AM96" s="1078"/>
      <c r="AN96" s="647"/>
      <c r="AO96" s="647"/>
      <c r="AP96" s="647"/>
      <c r="AQ96" s="647"/>
    </row>
    <row r="97" spans="19:43" ht="27" hidden="1" outlineLevel="1">
      <c r="S97"/>
      <c r="T97"/>
      <c r="U97"/>
      <c r="AG97" s="637" t="s">
        <v>1196</v>
      </c>
      <c r="AH97" s="638" t="str">
        <f>IF(AH78="","",AH78*1000)</f>
        <v/>
      </c>
      <c r="AI97" s="639" t="s">
        <v>1197</v>
      </c>
      <c r="AJ97" s="640"/>
      <c r="AK97" s="637" t="s">
        <v>1196</v>
      </c>
      <c r="AL97" s="638">
        <f>IF(AL78="","",AL78*1000)</f>
        <v>498.5941599768297</v>
      </c>
      <c r="AM97" s="639" t="s">
        <v>1197</v>
      </c>
      <c r="AN97" s="640"/>
      <c r="AO97" s="637" t="s">
        <v>1196</v>
      </c>
      <c r="AP97" s="638">
        <f>IF(AP78="","",AP78*1000)</f>
        <v>1297.3519351769032</v>
      </c>
      <c r="AQ97" s="639" t="s">
        <v>1197</v>
      </c>
    </row>
    <row r="98" spans="19:43" hidden="1" outlineLevel="1">
      <c r="S98"/>
      <c r="T98"/>
      <c r="U98"/>
    </row>
    <row r="99" spans="19:43" collapsed="1">
      <c r="S99"/>
      <c r="T99"/>
      <c r="U99"/>
    </row>
    <row r="100" spans="19:43">
      <c r="S100"/>
      <c r="T100"/>
      <c r="U100"/>
    </row>
    <row r="101" spans="19:43">
      <c r="S101"/>
      <c r="T101"/>
      <c r="U101"/>
    </row>
    <row r="102" spans="19:43">
      <c r="S102"/>
      <c r="T102"/>
      <c r="U102"/>
    </row>
    <row r="103" spans="19:43">
      <c r="S103"/>
      <c r="T103"/>
      <c r="U103"/>
    </row>
    <row r="104" spans="19:43">
      <c r="S104"/>
      <c r="T104"/>
      <c r="U104"/>
    </row>
    <row r="105" spans="19:43">
      <c r="S105"/>
      <c r="T105"/>
      <c r="U105"/>
    </row>
    <row r="106" spans="19:43">
      <c r="S106"/>
      <c r="T106"/>
      <c r="U106"/>
    </row>
    <row r="107" spans="19:43">
      <c r="S107"/>
      <c r="T107"/>
      <c r="U107"/>
    </row>
    <row r="108" spans="19:43">
      <c r="S108"/>
      <c r="T108"/>
      <c r="U108"/>
    </row>
    <row r="109" spans="19:43">
      <c r="S109"/>
      <c r="T109"/>
      <c r="U109"/>
    </row>
    <row r="110" spans="19:43">
      <c r="S110"/>
      <c r="T110"/>
      <c r="U110"/>
    </row>
    <row r="111" spans="19:43">
      <c r="S111"/>
      <c r="T111"/>
      <c r="U111"/>
    </row>
    <row r="112" spans="19:43">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sheetData>
  <mergeCells count="130">
    <mergeCell ref="I3:I8"/>
    <mergeCell ref="I9:I14"/>
    <mergeCell ref="I15:I20"/>
    <mergeCell ref="S15:S20"/>
    <mergeCell ref="S3:S8"/>
    <mergeCell ref="AG2:AI2"/>
    <mergeCell ref="AO40:AQ40"/>
    <mergeCell ref="AK27:AM27"/>
    <mergeCell ref="AK28:AM28"/>
    <mergeCell ref="AO27:AQ27"/>
    <mergeCell ref="AO28:AQ28"/>
    <mergeCell ref="Q9:Q14"/>
    <mergeCell ref="R9:R14"/>
    <mergeCell ref="S9:S14"/>
    <mergeCell ref="Q3:Q8"/>
    <mergeCell ref="R3:R8"/>
    <mergeCell ref="Q15:Q20"/>
    <mergeCell ref="R15:R20"/>
    <mergeCell ref="AK2:AM2"/>
    <mergeCell ref="AO2:AQ2"/>
    <mergeCell ref="V3:V8"/>
    <mergeCell ref="V9:V14"/>
    <mergeCell ref="W3:W8"/>
    <mergeCell ref="W9:W14"/>
    <mergeCell ref="A3:A8"/>
    <mergeCell ref="A9:A14"/>
    <mergeCell ref="A15:A20"/>
    <mergeCell ref="B3:B8"/>
    <mergeCell ref="B9:B14"/>
    <mergeCell ref="B15:B20"/>
    <mergeCell ref="D15:D20"/>
    <mergeCell ref="F15:F20"/>
    <mergeCell ref="H3:H8"/>
    <mergeCell ref="H9:H14"/>
    <mergeCell ref="H15:H20"/>
    <mergeCell ref="D3:D8"/>
    <mergeCell ref="G3:G8"/>
    <mergeCell ref="F3:F8"/>
    <mergeCell ref="D9:D14"/>
    <mergeCell ref="F9:F14"/>
    <mergeCell ref="G9:G14"/>
    <mergeCell ref="G15:G20"/>
    <mergeCell ref="E3:E8"/>
    <mergeCell ref="E15:E20"/>
    <mergeCell ref="E9:E14"/>
    <mergeCell ref="AG40:AI40"/>
    <mergeCell ref="AK40:AM40"/>
    <mergeCell ref="AG27:AI27"/>
    <mergeCell ref="AG28:AI28"/>
    <mergeCell ref="O3:O8"/>
    <mergeCell ref="O9:O14"/>
    <mergeCell ref="O15:O20"/>
    <mergeCell ref="AG51:AI51"/>
    <mergeCell ref="AK51:AM51"/>
    <mergeCell ref="T21:T26"/>
    <mergeCell ref="Y3:Y8"/>
    <mergeCell ref="Y9:Y14"/>
    <mergeCell ref="Y15:Y20"/>
    <mergeCell ref="T3:T8"/>
    <mergeCell ref="T9:T14"/>
    <mergeCell ref="T15:T20"/>
    <mergeCell ref="U3:U8"/>
    <mergeCell ref="U9:U14"/>
    <mergeCell ref="U15:U20"/>
    <mergeCell ref="V15:V20"/>
    <mergeCell ref="W15:W20"/>
    <mergeCell ref="AO51:AQ51"/>
    <mergeCell ref="A51:A56"/>
    <mergeCell ref="B51:B56"/>
    <mergeCell ref="D51:D56"/>
    <mergeCell ref="E51:E56"/>
    <mergeCell ref="F51:F56"/>
    <mergeCell ref="G51:G56"/>
    <mergeCell ref="H51:H56"/>
    <mergeCell ref="I51:I56"/>
    <mergeCell ref="O51:O56"/>
    <mergeCell ref="Q51:Q56"/>
    <mergeCell ref="R51:R56"/>
    <mergeCell ref="S51:S56"/>
    <mergeCell ref="T51:T56"/>
    <mergeCell ref="U51:U56"/>
    <mergeCell ref="V51:V56"/>
    <mergeCell ref="W51:W56"/>
    <mergeCell ref="Y51:Y56"/>
    <mergeCell ref="Q57:Q62"/>
    <mergeCell ref="R57:R62"/>
    <mergeCell ref="S57:S62"/>
    <mergeCell ref="A63:A68"/>
    <mergeCell ref="B63:B68"/>
    <mergeCell ref="D63:D68"/>
    <mergeCell ref="E63:E68"/>
    <mergeCell ref="F63:F68"/>
    <mergeCell ref="W63:W68"/>
    <mergeCell ref="G63:G68"/>
    <mergeCell ref="H63:H68"/>
    <mergeCell ref="I63:I68"/>
    <mergeCell ref="O63:O68"/>
    <mergeCell ref="Q63:Q68"/>
    <mergeCell ref="G57:G62"/>
    <mergeCell ref="H57:H62"/>
    <mergeCell ref="I57:I62"/>
    <mergeCell ref="O57:O62"/>
    <mergeCell ref="A57:A62"/>
    <mergeCell ref="B57:B62"/>
    <mergeCell ref="D57:D62"/>
    <mergeCell ref="E57:E62"/>
    <mergeCell ref="F57:F62"/>
    <mergeCell ref="R63:R68"/>
    <mergeCell ref="S63:S68"/>
    <mergeCell ref="T63:T68"/>
    <mergeCell ref="U63:U68"/>
    <mergeCell ref="V63:V68"/>
    <mergeCell ref="AG96:AI96"/>
    <mergeCell ref="AK96:AM96"/>
    <mergeCell ref="T57:T62"/>
    <mergeCell ref="U57:U62"/>
    <mergeCell ref="V57:V62"/>
    <mergeCell ref="W57:W62"/>
    <mergeCell ref="Y57:Y62"/>
    <mergeCell ref="Y63:Y68"/>
    <mergeCell ref="AO76:AQ76"/>
    <mergeCell ref="AG77:AI77"/>
    <mergeCell ref="AK77:AM77"/>
    <mergeCell ref="AO77:AQ77"/>
    <mergeCell ref="AG89:AI89"/>
    <mergeCell ref="AK89:AM89"/>
    <mergeCell ref="AO89:AQ89"/>
    <mergeCell ref="T69:T74"/>
    <mergeCell ref="AG76:AI76"/>
    <mergeCell ref="AK76:AM76"/>
  </mergeCells>
  <conditionalFormatting sqref="C3:C21">
    <cfRule type="expression" dxfId="38" priority="10">
      <formula>AND(INDIRECT("C"&amp;(3+FLOOR((ROW()-3)/6,1)*6))&lt;&gt;"",C3="")</formula>
    </cfRule>
  </conditionalFormatting>
  <conditionalFormatting sqref="C51:C69">
    <cfRule type="expression" dxfId="37" priority="1">
      <formula>AND(INDIRECT("C"&amp;(3+FLOOR((ROW()-3)/6,1)*6))&lt;&gt;"",C51="")</formula>
    </cfRule>
  </conditionalFormatting>
  <conditionalFormatting sqref="I3">
    <cfRule type="expression" dxfId="36" priority="14">
      <formula>OR(AND($H$3="Printed",OR($I$3=0,$I$3="0",$I$3="")),AND($H$3="Not Printed",NOT(OR($I$3=0,$I$3="0",$I$3=""))))</formula>
    </cfRule>
  </conditionalFormatting>
  <conditionalFormatting sqref="I9">
    <cfRule type="expression" dxfId="35" priority="17">
      <formula>OR(AND($H$9="Printed",OR($I$9=0,$I$9="0",$I$9="")),AND($H$9="Not Printed",NOT(OR($I$9=0,$I$9="0",$I$9=""))))</formula>
    </cfRule>
  </conditionalFormatting>
  <conditionalFormatting sqref="I15">
    <cfRule type="expression" dxfId="34" priority="20">
      <formula>OR(AND($H$15="Printed",OR($I$15=0,$I$15="0",$I$15="")),AND($H$15="Not Printed",NOT(OR($I$15=0,$I$15="0",$I$15=""))))</formula>
    </cfRule>
  </conditionalFormatting>
  <conditionalFormatting sqref="I51">
    <cfRule type="expression" dxfId="33" priority="3">
      <formula>OR(AND($H$3="Printed",OR($I$3=0,$I$3="0",$I$3="")),AND($H$3="Not Printed",NOT(OR($I$3=0,$I$3="0",$I$3=""))))</formula>
    </cfRule>
  </conditionalFormatting>
  <conditionalFormatting sqref="I57">
    <cfRule type="expression" dxfId="32" priority="4">
      <formula>OR(AND($H$9="Printed",OR($I$9=0,$I$9="0",$I$9="")),AND($H$9="Not Printed",NOT(OR($I$9=0,$I$9="0",$I$9=""))))</formula>
    </cfRule>
  </conditionalFormatting>
  <conditionalFormatting sqref="I63">
    <cfRule type="expression" dxfId="31" priority="5">
      <formula>OR(AND($H$15="Printed",OR($I$15=0,$I$15="0",$I$15="")),AND($H$15="Not Printed",NOT(OR($I$15=0,$I$15="0",$I$15=""))))</formula>
    </cfRule>
  </conditionalFormatting>
  <conditionalFormatting sqref="J3:J45">
    <cfRule type="containsText" dxfId="30" priority="11" operator="containsText" text="ERROR">
      <formula>NOT(ISERROR(SEARCH("ERROR",J3)))</formula>
    </cfRule>
  </conditionalFormatting>
  <conditionalFormatting sqref="J51:J93">
    <cfRule type="containsText" dxfId="29" priority="2" operator="containsText" text="ERROR">
      <formula>NOT(ISERROR(SEARCH("ERROR",J51)))</formula>
    </cfRule>
  </conditionalFormatting>
  <conditionalFormatting sqref="V1:W2 Z1:Z2 R1:U3 R4:S8 U4:U8 R9:U9 R10:S14 U10:U14 R15:U15 R16:S20 U16:U20 R21:U21 R22:S28 U22:U28 R29:R48 V49:W50 Z49:Z50 R49:U51 R52:S56 U52:U56 R57:U57 R58:S62 U58:U62 R63:U63 R64:S68 U64:U68 R69:U69 R70:S76 U70:U76 R77:R178 R179:U1048576">
    <cfRule type="containsText" dxfId="28" priority="6" operator="containsText" text="Error! please choose width not higher than 1220">
      <formula>NOT(ISERROR(SEARCH("Error! please choose width not higher than 1220",R1)))</formula>
    </cfRule>
  </conditionalFormatting>
  <dataValidations disablePrompts="1" count="12">
    <dataValidation type="list" allowBlank="1" showInputMessage="1" showErrorMessage="1" sqref="AH7 AL7 AP7 AH56 AL56 AP56" xr:uid="{0C4F079D-FD37-497E-8A28-014842A4B94B}">
      <formula1>"Printed,Not Printed"</formula1>
    </dataValidation>
    <dataValidation type="list" allowBlank="1" showInputMessage="1" showErrorMessage="1" sqref="AP60" xr:uid="{59E25BF4-B572-402E-A1B3-7105AE95265D}">
      <formula1>"EXW,Europe to US,Europe to Canada"</formula1>
    </dataValidation>
    <dataValidation type="list" allowBlank="1" showInputMessage="1" showErrorMessage="1" sqref="AH12 AL12 AP12 AH61 AP61 AL61" xr:uid="{362462B8-B21A-4BF0-B005-1504C5663EC5}">
      <formula1>"Marma,Bastin,Quantum"</formula1>
    </dataValidation>
    <dataValidation type="list" allowBlank="1" showInputMessage="1" showErrorMessage="1" errorTitle="Invalid input mode" error="Choose By Weight, By Length, or By Imp." sqref="AH13 AL13 AL62 AH62 AP62 AP13" xr:uid="{66537516-E6CB-452F-8361-61049251BCB2}">
      <formula1>"By Weight,By Length,By Imp"</formula1>
    </dataValidation>
    <dataValidation type="list" allowBlank="1" showInputMessage="1" showErrorMessage="1" sqref="AH8 AL8 AP8 AH57 AL57 AP57" xr:uid="{C20531A5-F521-4C38-9F14-5F32629376A0}">
      <formula1>"0,1-2,3-4,5-8"</formula1>
    </dataValidation>
    <dataValidation type="list" allowBlank="1" showInputMessage="1" showErrorMessage="1" errorTitle="Invalid designs" error="Please choose a whole number from 1 to 8." promptTitle="Number of designs" prompt="Choose 1 to 8 designs." sqref="AP58 AL58 AH58" xr:uid="{3A677737-46EF-4812-B1A0-2E589BF08803}">
      <formula1>"0,1,2,3,4,5,6,7,8"</formula1>
    </dataValidation>
    <dataValidation type="list" allowBlank="1" showInputMessage="1" showErrorMessage="1" errorTitle="Invalid number of designs" error="Choose a number of designs from 1 to 8. Zero is not allowed." promptTitle="Number of designs" prompt="Choose 1–8 designs." sqref="AH9 AP9 AL9" xr:uid="{5B5691D1-6271-4499-AE12-965600B17005}">
      <formula1>"1,2,3,4,5,6,7,8"</formula1>
    </dataValidation>
    <dataValidation type="list" allowBlank="1" showInputMessage="1" showErrorMessage="1" errorTitle="Invalid number of designs" error="Choose a number of designs from 1 to 8. Zero is not allowed." promptTitle="Number of designs" prompt="Choose 1–8 designs." sqref="AP10" xr:uid="{03906406-9F19-4729-8299-4E85D133A484}">
      <formula1>"6'',3''"</formula1>
    </dataValidation>
    <dataValidation type="list" allowBlank="1" showInputMessage="1" showErrorMessage="1" errorTitle="Invalid designs" error="Please choose a whole number from 1 to 8." promptTitle="Number of designs" prompt="Choose 1 to 8 designs." sqref="AP59" xr:uid="{7A91F4B0-D25E-466C-8FBF-13F0D21F306B}">
      <formula1>"6'',3''"</formula1>
    </dataValidation>
    <dataValidation type="list" allowBlank="1" showInputMessage="1" showErrorMessage="1" errorTitle="Invalid number of designs" error="Choose a number of designs from 1 to 8. Zero is not allowed." promptTitle="Number of designs" prompt="Choose 1–8 designs." sqref="AH10 AL10" xr:uid="{33A16DEA-BAD8-4ED2-A9D2-67A8C0D1C7B3}">
      <formula1>"6'',3''"</formula1>
    </dataValidation>
    <dataValidation type="list" allowBlank="1" showInputMessage="1" showErrorMessage="1" errorTitle="Invalid designs" error="Please choose a whole number from 1 to 8." promptTitle="Number of designs" prompt="Choose 1 to 8 designs." sqref="AH59 AL59" xr:uid="{93A25F8A-903F-4F26-A65F-5550FF5A76A2}">
      <formula1>"6'',3''"</formula1>
    </dataValidation>
    <dataValidation type="list" allowBlank="1" showInputMessage="1" showErrorMessage="1" sqref="AH11 AL11 AP11 AH60 AL60" xr:uid="{405052F7-B96E-4BDA-9ADD-C8C467069943}">
      <formula1>"EXW,Europe to US,Europe to Canada"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69AB1C1B-0270-499E-B7D5-5CC71EF9A5CD}">
          <x14:formula1>
            <xm:f>_xlfn.ANCHORARRAY(HELPER!$CB$2)</xm:f>
          </x14:formula1>
          <xm:sqref>AH3 AL3 AP3 AH52 AL52 AP52</xm:sqref>
        </x14:dataValidation>
        <x14:dataValidation type="list" allowBlank="1" showInputMessage="1" showErrorMessage="1" errorTitle="Invalid thickness" error="Choose a thickness available for the selected laminate." xr:uid="{461C501E-D574-412C-BC41-792BAC11FF55}">
          <x14:formula1>
            <xm:f>HELPER!$CD$2:$CD$20</xm:f>
          </x14:formula1>
          <xm:sqref>AH4</xm:sqref>
        </x14:dataValidation>
        <x14:dataValidation type="list" allowBlank="1" showInputMessage="1" showErrorMessage="1" errorTitle="Invalid thickness" error="Choose a thickness available for the selected laminate." xr:uid="{71B25243-2908-42BA-97E5-8578A98E71FD}">
          <x14:formula1>
            <xm:f>HELPER!$CE$2:$CE$20</xm:f>
          </x14:formula1>
          <xm:sqref>AL4</xm:sqref>
        </x14:dataValidation>
        <x14:dataValidation type="list" allowBlank="1" showInputMessage="1" showErrorMessage="1" errorTitle="Invalid thickness" error="Choose a thickness available for the selected laminate." xr:uid="{877E6913-E335-4D3F-9E0F-E4118D30D762}">
          <x14:formula1>
            <xm:f>HELPER!$CF$2:$CF$20</xm:f>
          </x14:formula1>
          <xm:sqref>AP4</xm:sqref>
        </x14:dataValidation>
        <x14:dataValidation type="list" allowBlank="1" showInputMessage="1" showErrorMessage="1" errorTitle="Invalid thickness" error="Choose a thickness available for the selected laminate." xr:uid="{C4B5FF6A-456D-4D8A-A9EA-79F01C7A6B9B}">
          <x14:formula1>
            <xm:f>HELPER!$DF$2:$DF$20</xm:f>
          </x14:formula1>
          <xm:sqref>AH53</xm:sqref>
        </x14:dataValidation>
        <x14:dataValidation type="list" allowBlank="1" showInputMessage="1" showErrorMessage="1" errorTitle="Invalid thickness" error="Choose a thickness available for the selected laminate." xr:uid="{00905784-3A7B-4C7B-879C-CBDC3A6F3AB9}">
          <x14:formula1>
            <xm:f>HELPER!$DG$2:$DG$20</xm:f>
          </x14:formula1>
          <xm:sqref>AL53</xm:sqref>
        </x14:dataValidation>
        <x14:dataValidation type="list" allowBlank="1" showInputMessage="1" showErrorMessage="1" errorTitle="Invalid thickness" error="Choose a thickness available for the selected laminate." xr:uid="{B3BC6415-F2EA-4385-A30F-E186AFA05562}">
          <x14:formula1>
            <xm:f>HELPER!$DH$2:$DH$20</xm:f>
          </x14:formula1>
          <xm:sqref>AP53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F8AA-3639-465C-AD6F-78F83E5F2AB0}">
  <sheetPr>
    <tabColor rgb="FFFFFF00"/>
    <pageSetUpPr autoPageBreaks="0"/>
  </sheetPr>
  <dimension ref="A1:AR191"/>
  <sheetViews>
    <sheetView topLeftCell="AG37" zoomScale="85" zoomScaleNormal="85" zoomScaleSheetLayoutView="85" workbookViewId="0">
      <selection activeCell="AH62" sqref="AH62"/>
    </sheetView>
  </sheetViews>
  <sheetFormatPr defaultRowHeight="15" outlineLevelRow="1" outlineLevelCol="1"/>
  <cols>
    <col min="1" max="1" width="18" style="74" customWidth="1" outlineLevel="1"/>
    <col min="2" max="2" width="18" customWidth="1" outlineLevel="1"/>
    <col min="3" max="3" width="19.7109375" customWidth="1" outlineLevel="1"/>
    <col min="4" max="4" width="20.140625" customWidth="1" outlineLevel="1"/>
    <col min="5" max="5" width="19.28515625" customWidth="1" outlineLevel="1"/>
    <col min="6" max="6" width="21.85546875" customWidth="1" outlineLevel="1"/>
    <col min="7" max="7" width="32.28515625" customWidth="1" outlineLevel="1"/>
    <col min="8" max="9" width="18" customWidth="1" outlineLevel="1"/>
    <col min="10" max="10" width="25.85546875" customWidth="1" outlineLevel="1"/>
    <col min="11" max="11" width="14.5703125" customWidth="1" outlineLevel="1"/>
    <col min="12" max="13" width="13.7109375" customWidth="1" outlineLevel="1"/>
    <col min="14" max="14" width="19" customWidth="1" outlineLevel="1"/>
    <col min="15" max="15" width="22.5703125" customWidth="1" outlineLevel="1"/>
    <col min="16" max="16" width="16.5703125" customWidth="1" outlineLevel="1"/>
    <col min="17" max="17" width="18" customWidth="1" outlineLevel="1"/>
    <col min="18" max="19" width="25.140625" style="119" customWidth="1" outlineLevel="1"/>
    <col min="20" max="20" width="16" style="119" customWidth="1" outlineLevel="1"/>
    <col min="21" max="21" width="25.140625" style="119" customWidth="1" outlineLevel="1"/>
    <col min="22" max="22" width="15.28515625" customWidth="1" outlineLevel="1"/>
    <col min="23" max="23" width="15.7109375" customWidth="1" outlineLevel="1"/>
    <col min="24" max="24" width="9.5703125" customWidth="1" outlineLevel="1"/>
    <col min="25" max="25" width="14.5703125" customWidth="1" outlineLevel="1"/>
    <col min="26" max="26" width="22.42578125" customWidth="1" outlineLevel="1"/>
    <col min="27" max="27" width="13.42578125" customWidth="1" outlineLevel="1"/>
    <col min="28" max="28" width="11.85546875" customWidth="1" outlineLevel="1"/>
    <col min="29" max="29" width="10.5703125" bestFit="1" customWidth="1" outlineLevel="1"/>
    <col min="30" max="30" width="4" style="653" customWidth="1"/>
    <col min="31" max="32" width="4.42578125" style="653" customWidth="1"/>
    <col min="33" max="33" width="31" bestFit="1" customWidth="1"/>
    <col min="34" max="34" width="17.85546875" bestFit="1" customWidth="1"/>
    <col min="35" max="35" width="14.7109375" bestFit="1" customWidth="1"/>
    <col min="36" max="36" width="24.85546875" bestFit="1" customWidth="1"/>
    <col min="37" max="37" width="31" bestFit="1" customWidth="1"/>
    <col min="38" max="38" width="23.85546875" customWidth="1"/>
    <col min="39" max="39" width="14.7109375" bestFit="1" customWidth="1"/>
    <col min="40" max="40" width="23" bestFit="1" customWidth="1"/>
    <col min="41" max="41" width="31" bestFit="1" customWidth="1"/>
    <col min="42" max="42" width="17.85546875" bestFit="1" customWidth="1"/>
    <col min="43" max="43" width="14.7109375" bestFit="1" customWidth="1"/>
    <col min="44" max="44" width="24.85546875" bestFit="1" customWidth="1"/>
    <col min="45" max="45" width="31" customWidth="1"/>
    <col min="46" max="46" width="17.85546875" customWidth="1"/>
    <col min="47" max="47" width="14.7109375" customWidth="1"/>
    <col min="48" max="48" width="24.85546875" customWidth="1"/>
  </cols>
  <sheetData>
    <row r="1" spans="1:44" ht="15.75" thickBot="1">
      <c r="A1" s="660" t="s">
        <v>848</v>
      </c>
      <c r="B1" s="660" t="s">
        <v>848</v>
      </c>
      <c r="C1" s="660" t="s">
        <v>590</v>
      </c>
      <c r="D1" s="661"/>
      <c r="E1" s="662"/>
      <c r="F1" s="660" t="s">
        <v>848</v>
      </c>
      <c r="G1" s="660" t="s">
        <v>125</v>
      </c>
      <c r="H1" s="660" t="s">
        <v>848</v>
      </c>
      <c r="I1" s="660" t="s">
        <v>848</v>
      </c>
      <c r="J1" s="660" t="s">
        <v>849</v>
      </c>
      <c r="K1" s="663" t="s">
        <v>125</v>
      </c>
      <c r="L1" s="660" t="s">
        <v>125</v>
      </c>
      <c r="M1" s="660" t="s">
        <v>125</v>
      </c>
      <c r="N1" s="663" t="s">
        <v>125</v>
      </c>
      <c r="O1" s="660" t="s">
        <v>848</v>
      </c>
      <c r="P1" s="660" t="s">
        <v>125</v>
      </c>
      <c r="Q1" s="660" t="s">
        <v>848</v>
      </c>
      <c r="R1" s="664" t="s">
        <v>850</v>
      </c>
      <c r="S1" s="664" t="s">
        <v>850</v>
      </c>
      <c r="T1" s="665" t="s">
        <v>125</v>
      </c>
      <c r="U1" s="664" t="s">
        <v>850</v>
      </c>
      <c r="V1" s="664" t="s">
        <v>125</v>
      </c>
      <c r="W1" s="664" t="s">
        <v>125</v>
      </c>
      <c r="X1" s="660"/>
      <c r="Y1" s="660" t="s">
        <v>125</v>
      </c>
      <c r="Z1" s="666" t="s">
        <v>838</v>
      </c>
      <c r="AA1" s="667"/>
      <c r="AB1" s="667"/>
      <c r="AC1" s="667"/>
      <c r="AD1" s="668"/>
      <c r="AE1" s="668"/>
      <c r="AF1" s="668"/>
      <c r="AG1" s="208" t="s">
        <v>851</v>
      </c>
      <c r="AH1" s="806"/>
      <c r="AJ1" s="667"/>
      <c r="AK1" s="252" t="s">
        <v>851</v>
      </c>
      <c r="AL1" s="806">
        <v>0</v>
      </c>
      <c r="AN1" s="667"/>
      <c r="AO1" s="252" t="s">
        <v>851</v>
      </c>
      <c r="AP1" s="806">
        <v>0</v>
      </c>
      <c r="AR1" s="667"/>
    </row>
    <row r="2" spans="1:44" ht="30.75" thickBot="1">
      <c r="A2" s="669" t="s">
        <v>205</v>
      </c>
      <c r="B2" s="669" t="s">
        <v>158</v>
      </c>
      <c r="C2" s="670" t="s">
        <v>159</v>
      </c>
      <c r="D2" s="669" t="s">
        <v>856</v>
      </c>
      <c r="E2" s="669" t="s">
        <v>1012</v>
      </c>
      <c r="F2" s="669" t="s">
        <v>217</v>
      </c>
      <c r="G2" s="669" t="s">
        <v>161</v>
      </c>
      <c r="H2" s="670" t="s">
        <v>162</v>
      </c>
      <c r="I2" s="669" t="s">
        <v>585</v>
      </c>
      <c r="J2" s="671" t="s">
        <v>1013</v>
      </c>
      <c r="K2" s="670" t="s">
        <v>4</v>
      </c>
      <c r="L2" s="670" t="s">
        <v>57</v>
      </c>
      <c r="M2" s="669" t="s">
        <v>165</v>
      </c>
      <c r="N2" s="670" t="s">
        <v>166</v>
      </c>
      <c r="O2" s="669" t="s">
        <v>128</v>
      </c>
      <c r="P2" s="669" t="s">
        <v>113</v>
      </c>
      <c r="Q2" s="672" t="s">
        <v>222</v>
      </c>
      <c r="R2" s="673" t="s">
        <v>269</v>
      </c>
      <c r="S2" s="673" t="s">
        <v>271</v>
      </c>
      <c r="T2" s="673" t="s">
        <v>847</v>
      </c>
      <c r="U2" s="674" t="s">
        <v>800</v>
      </c>
      <c r="V2" s="674" t="s">
        <v>594</v>
      </c>
      <c r="W2" s="674" t="s">
        <v>595</v>
      </c>
      <c r="X2" s="670" t="s">
        <v>167</v>
      </c>
      <c r="Y2" s="675" t="s">
        <v>839</v>
      </c>
      <c r="Z2" s="674" t="s">
        <v>750</v>
      </c>
      <c r="AA2" s="676" t="s">
        <v>1147</v>
      </c>
      <c r="AB2" s="677" t="s">
        <v>1148</v>
      </c>
      <c r="AC2" s="678" t="s">
        <v>1149</v>
      </c>
      <c r="AD2" s="679"/>
      <c r="AE2" s="679"/>
      <c r="AF2" s="679"/>
      <c r="AG2" s="1097" t="str">
        <f>"📊 LAMINATE CALCULATOR 1-"&amp;AH3&amp;" Laminate"</f>
        <v>📊 LAMINATE CALCULATOR 1-428 Laminate</v>
      </c>
      <c r="AH2" s="1098"/>
      <c r="AI2" s="1099"/>
      <c r="AJ2" s="667"/>
      <c r="AK2" s="1100" t="str">
        <f>"📊 LAMINATE CALCULATOR 2-"&amp;AL3&amp;" Laminate"</f>
        <v>📊 LAMINATE CALCULATOR 2-428 Laminate</v>
      </c>
      <c r="AL2" s="1101"/>
      <c r="AM2" s="1102"/>
      <c r="AN2" s="667"/>
      <c r="AO2" s="1103" t="str">
        <f>"📊 LAMINATE CALCULATOR 3-"&amp;AP3&amp;" Laminate"</f>
        <v>📊 LAMINATE CALCULATOR 3-428 Laminate</v>
      </c>
      <c r="AP2" s="1104"/>
      <c r="AQ2" s="1105"/>
      <c r="AR2" s="667"/>
    </row>
    <row r="3" spans="1:44" ht="15.75">
      <c r="A3" s="1106">
        <f>IF(AH12="By Length",IF(AH13&lt;&gt;"",IFERROR(AH13*$M$8*($D3/$J3),""),""),IF(OR(AH12="By Imp",AH12="IMP"),IFERROR(AH40*$M$8*($D3/$J3),""),IF(AH6="","",AH6)))</f>
        <v>45.218476799999998</v>
      </c>
      <c r="B3" s="1107">
        <f>AH3</f>
        <v>428</v>
      </c>
      <c r="C3" s="667" t="str" cm="1">
        <f t="array" ref="C3:C6">IFERROR(_xlfn.LET(_xlpm.lam,TEXT(B3,"0"),_xlpm.thick,AH4,_xlfn.TAKE(_xlfn._xlws.FILTER(HELPER!$BW$2:$BW$250,(TEXT(HELPER!$BZ$2:$BZ$250,"0")=_xlpm.lam)*(HELPER!$CC$2:$CC$250=_xlpm.thick)*(HELPER!$BW$2:$BW$250&lt;&gt;""),"No match"),6)),"")</f>
        <v>NK</v>
      </c>
      <c r="D3" s="1108">
        <f>AH5</f>
        <v>408</v>
      </c>
      <c r="E3" s="1109">
        <f>IF(D3="","",_xlfn.LET(_xlpm.cap,IF($Q3="Quantum",760,1220),IF(D3+50&gt;_xlpm.cap,"ERROR: Lamination Width &gt; "&amp;_xlpm.cap,D3*MAX(1,MIN(MAX(2,INT(900/D3)),INT((_xlpm.cap-50)/D3))))))</f>
        <v>408</v>
      </c>
      <c r="F3" s="1107"/>
      <c r="G3" s="1110">
        <f>IF(OR(AH12="IMP",AH12="By Imp",AH12="By Length"),IFERROR(AH15,""),IFERROR(IF(OR(A3="",A3=0,$D3="",$D3=0,$J3="",$M$8="",$M$8=0,A3&lt;=5),"",(A3-5)/$M$8*($J3/$D3)),""))</f>
        <v>1080</v>
      </c>
      <c r="H3" s="1107" t="str">
        <f>AH7</f>
        <v>Printed</v>
      </c>
      <c r="I3" s="1111" t="str">
        <f>IF(H3="Not Printed",0,AH8)</f>
        <v>3-4</v>
      </c>
      <c r="J3" s="680">
        <f t="shared" ref="J3:J8" si="0">IF($C3="","",IF($E$3="","",IF(ISNUMBER($E$3),_xlfn.LET(_xlpm.cap,IF($Q$3="Quantum",760,1220),IF($E$3+50&gt;_xlpm.cap,"ERROR: Lamination Width &gt; "&amp;_xlpm.cap,$E$3+50)),$E$3)))</f>
        <v>458</v>
      </c>
      <c r="K3" s="667" cm="1">
        <f t="array" ref="K3">_xlfn.LET(_xlpm.baseThick,IFERROR(INDEX(HELPER!$BX$2:$BX$250,MATCH(1,(TEXT(HELPER!$BZ$2:$BZ$250,"0")=TEXT($B$3,"0"))*(HELPER!$CC$2:$CC$250=$AH$4)*(HELPER!$BW$2:$BW$250=C3),0)),""),IF(_xlpm.baseThick="","",_xlpm.baseThick))</f>
        <v>23</v>
      </c>
      <c r="L3" s="667">
        <f>IFERROR(VLOOKUP(C3,HELPER!$AP$1:$AQ$25,2,FALSE),"")</f>
        <v>1.44</v>
      </c>
      <c r="M3" s="681">
        <f>IF(C3="","",IF(ISNUMBER(SEARCH("paper",C3)),42/1000*(J3/1000),IF(OR(L3="",L3=0),"",L3*1000*(K3/1000000)*(J3/1000))))</f>
        <v>1.5168959999999999E-2</v>
      </c>
      <c r="N3" s="682" cm="1">
        <f t="array" ref="N3">IF($C3="","",_xlfn.LET(
    _xlpm.mat,TRIM($C3),
    _xlpm.matKey,UPPER(SUBSTITUTE(_xlpm.mat," ","")),
    _xlpm.pr,IFERROR(LOOKUP(2,1/($H$3:H3&lt;&gt;""),$H$3:H3),""),
    _xlpm.widthActual,IFERROR(LOOKUP(2,1/($E$3:E3&lt;&gt;""),$E$3:E3),$E3),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3" s="1107" t="str">
        <f>AH10</f>
        <v>Europe to US</v>
      </c>
      <c r="P3" s="683">
        <f>IF(OR(C3="",A$3&lt;=0),"",IFERROR(IF(O$3="Europe to US",IF(A$3&lt;500,10,IF(A$3&lt;1000,8,IF(A$3&lt;2500,6,IF(A$3&lt;5000,5,4)))),VLOOKUP(O$3,HELPER!$AF$2:$AH$3,3,FALSE)),0))</f>
        <v>10</v>
      </c>
      <c r="Q3" s="1107" t="str">
        <f>AH11</f>
        <v>Quantum</v>
      </c>
      <c r="R3" s="1112" cm="1">
        <f t="array" ref="R3">IF(OR($Q3="",$G3=""),"",IF($J3&gt;IF($Q3="Quantum",760,1220),"Error! lamination width exceeds supplier maximum",_xlfn.LET(_xlpm.struct,$C$3:$C$8,_xlpm.realLayers,SUMPRODUCT(--(_xlpm.struct&lt;&gt;""),--ISERROR(SEARCH("EPOTAL",_xlpm.struct&amp;"")),--ISERROR(SEARCH("BASONAT",_xlpm.struct&amp;"")),--ISERROR(SEARCH("ADH",_xlpm.struct&amp;"")),--ISERROR(SEARCH("HARDENER",_xlpm.struct&amp;""))),_xlpm.lamSteps,MAX(0,_xlpm.realLayers-1),_xlpm.len,$G3,_xlpm.colNum,IF(_xlpm.len&lt;3000,1,IF(_xlpm.len&lt;10000,2,IF(_xlpm.len&lt;25000,3,IF(_xlpm.len&lt;50000,4,IF(_xlpm.len&lt;100000,5,IF(_xlpm.len&lt;250000,6,7)))))),_xlpm.widthRow,IF($E3&lt;900,0,5),_xlpm.supplierRow,IF($Q3="Marma",3,IF(OR($Q3="Bastin",$Q3="Quantum"),13,0)),_xlpm.baseRate,IF(_xlpm.supplierRow=0,"",INDEX('Lmntn &amp; Prntng- Marma &amp; Bastin '!$D$1:$K$22,_xlpm.supplierRow+_xlpm.widthRow,_xlpm.colNum)),IF(_xlpm.realLayers=0,"",_xlpm.baseRate*_xlpm.lamSteps))))</f>
        <v>0.30349799999999999</v>
      </c>
      <c r="S3" s="1113" cm="1">
        <f t="array" ref="S3">IF($Q3="Quantum",IF(OR($Q3="",$I3=0,$I3="0"),"",IF($J3&gt;IF($Q3="Quantum",760,1220),"Error! lamination width exceeds supplier maximum",IF($E3&gt;1200,"Data is missing",_xlfn.LET(_xlpm.len,$G3,_xlpm.colors,$I3,_xlpm.qWidth,IF($E3&lt;=450,450,IF($E3&lt;=760,760,1200)),_xlpm.band,IF(OR(_xlpm.colors=1,_xlpm.colors="1"),"1",IF(OR(_xlpm.colors=2,_xlpm.colors=3,_xlpm.colors="2-3"),"2-3",IF(OR(_xlpm.colors=4,_xlpm.colors=5,_xlpm.colors="3-4",_xlpm.colors="4-5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3="",$I3=0,$I3="0"),"",IF($J3&gt;IF($Q3="Quantum",760,1220),"Error! lamination width exceeds supplier maximum",_xlfn.LET(_xlpm.len,$AH$21,_xlpm.colors,$I3,_xlpm.colNum,IF(_xlpm.len&lt;3000,1,IF(_xlpm.len&lt;10000,2,IF(_xlpm.len&lt;25000,3,IF(_xlpm.len&lt;50000,4,IF(_xlpm.len&lt;100000,5,IF(_xlpm.len&lt;250000,6,IF(_xlpm.len&lt;500000,7,8))))))),_xlpm.widthRow,IF($E3&lt;900,0,5),_xlpm.colorOffset,IF(OR(_xlpm.colors=1,_xlpm.colors=2,_xlpm.colors="1-2"),1,IF(OR(_xlpm.colors=3,_xlpm.colors=4,_xlpm.colors="3-4"),2,IF(OR(_xlpm.colors&gt;=5,_xlpm.colors="5-6",_xlpm.colors="5-8"),3,0))),_xlpm.supplierRow,IF($Q3="Marma",3,IF($Q3="Bastin",13,0)),IF(OR(_xlpm.supplierRow=0,_xlpm.colorOffset=0),"",INDEX('Lmntn &amp; Prntng- Marma &amp; Bastin '!$D$1:$K$22,_xlpm.supplierRow+_xlpm.widthRow+_xlpm.colorOffset,_xlpm.colNum))))))</f>
        <v>1.1465517241379313</v>
      </c>
      <c r="T3" s="1119">
        <f>IF(OR($S3="",$K3=""),"",IFERROR($S3*(1/$M$8)*($J3/($D3*MAX(1,ROUNDDOWN(760/$D3,0)))),""))</f>
        <v>27.384289558134029</v>
      </c>
      <c r="U3" s="1114" cm="1">
        <f t="array" ref="U3">IF($Q3="","",IF($J3&gt;IF($Q3="Quantum",760,1220),"Error! lamination width exceeds supplier maximum",_xlfn.LET(_xlpm.len,$G3,_xlpm.colNum,IF(_xlpm.len&lt;3000,1,IF(_xlpm.len&lt;10000,2,IF(_xlpm.len&lt;25000,3,IF(_xlpm.len&lt;50000,4,IF(_xlpm.len&lt;100000,5,IF(_xlpm.len&lt;250000,6,7)))))),_xlpm.widthRow,IF($E3&lt;900,0,5),_xlpm.supplierRow,IF($Q3="Marma",7,IF(OR($Q3="Bastin",$Q3="Quantum"),17,0)),IF(_xlpm.supplierRow=0,"",INDEX('Lmntn &amp; Prntng- Marma &amp; Bastin '!$D$1:$K$22,_xlpm.supplierRow+_xlpm.widthRow,_xlpm.colNum)))))</f>
        <v>4.5395999999999999E-2</v>
      </c>
      <c r="V3" s="1115">
        <f>IFERROR(IF(AH22="","",IF($K8&gt;31,(5%+250/$G$3)*AH22,VLOOKUP($K8,HELPER!$BH$3:$BI$5,2,TRUE)*AH22)),"")</f>
        <v>2.6384658241340855</v>
      </c>
      <c r="W3" s="1117">
        <f>IF(OR($H3&lt;&gt;"Printed",$I3=0,$I3="0"),0,IFERROR(AH22*0.028,0)+IFERROR(AH43,0))</f>
        <v>2.5455851577912858</v>
      </c>
      <c r="X3" s="685">
        <f>IF($K3="","",IFERROR($M3*($N3+$P3),""))</f>
        <v>0.27228283199999997</v>
      </c>
      <c r="Y3" s="1118">
        <f>IFERROR((SUM(X3:X8)+SUM(R3:S3,U3))*(1/M8)*(J3/E3)+V3+W3,"")</f>
        <v>61.500326699675028</v>
      </c>
      <c r="Z3" s="686">
        <f>IF($M3="","",IFERROR(($N3+$P3)*$M3/$M$8,""))</f>
        <v>5.7932566751120635</v>
      </c>
      <c r="AA3" s="875">
        <f>IF(AH7="Printed",MAX(1,IFERROR(AH9,0)),IFERROR(AH9,0))</f>
        <v>1</v>
      </c>
      <c r="AB3" s="667" t="str">
        <f>IF(OR(AH12="IMP",AH12="By Imp"),IFERROR(AH13/AA3,""),"")</f>
        <v/>
      </c>
      <c r="AC3" s="687">
        <f>AH42</f>
        <v>0.33333333333333331</v>
      </c>
      <c r="AD3" s="688"/>
      <c r="AE3" s="688"/>
      <c r="AF3" s="688"/>
      <c r="AG3" s="689" t="s">
        <v>569</v>
      </c>
      <c r="AH3" s="690">
        <f>IF(AH52="","",AH52)</f>
        <v>428</v>
      </c>
      <c r="AI3" s="691"/>
      <c r="AJ3" s="667"/>
      <c r="AK3" s="692" t="s">
        <v>569</v>
      </c>
      <c r="AL3" s="690">
        <f>IF(AL52="","",AL52)</f>
        <v>428</v>
      </c>
      <c r="AM3" s="694"/>
      <c r="AN3" s="667"/>
      <c r="AO3" s="695" t="s">
        <v>569</v>
      </c>
      <c r="AP3" s="696">
        <f>IF(AP52="","",AP52)</f>
        <v>428</v>
      </c>
      <c r="AQ3" s="697"/>
      <c r="AR3" s="667"/>
    </row>
    <row r="4" spans="1:44" ht="15.75">
      <c r="A4" s="1106"/>
      <c r="B4" s="1107"/>
      <c r="C4" s="667" t="str">
        <v>TIPA 312 MET</v>
      </c>
      <c r="D4" s="1107"/>
      <c r="E4" s="1107"/>
      <c r="F4" s="1107"/>
      <c r="G4" s="1110"/>
      <c r="H4" s="1107"/>
      <c r="I4" s="1107"/>
      <c r="J4" s="680">
        <f t="shared" si="0"/>
        <v>458</v>
      </c>
      <c r="K4" s="667" cm="1">
        <f t="array" ref="K4">_xlfn.LET(_xlpm.baseThick,IFERROR(INDEX(HELPER!$BX$2:$BX$250,MATCH(1,(TEXT(HELPER!$BZ$2:$BZ$250,"0")=TEXT($B$3,"0"))*(HELPER!$CC$2:$CC$250=$AH$4)*(HELPER!$BW$2:$BW$250=C4),0)),""),IF(_xlpm.baseThick="","",_xlpm.baseThick))</f>
        <v>25</v>
      </c>
      <c r="L4" s="667">
        <f>IFERROR(VLOOKUP(C4,HELPER!$AP$1:$AQ$25,2,FALSE),"")</f>
        <v>1.25</v>
      </c>
      <c r="M4" s="681">
        <f>IF(C4="","",IF(ISNUMBER(SEARCH("paper",C4)),42/1000*(J4/1000),IF(OR(L4="",L4=0),"",L4*1000*(K4/1000000)*(J4/1000))))</f>
        <v>1.4312500000000001E-2</v>
      </c>
      <c r="N4" s="698" cm="1">
        <f t="array" ref="N4">IF($C4="","",_xlfn.LET(
    _xlpm.mat,TRIM($C4),
    _xlpm.matKey,UPPER(SUBSTITUTE(_xlpm.mat," ","")),
    _xlpm.pr,IFERROR(LOOKUP(2,1/($H$3:H4&lt;&gt;""),$H$3:H4),""),
    _xlpm.widthActual,IFERROR(LOOKUP(2,1/($E$3:E4&lt;&gt;""),$E$3:E4),$E4),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4" s="1107"/>
      <c r="P4" s="683">
        <f>IF(OR(C4="",A$3&lt;=0),"",IFERROR(IF(O$3="Europe to US",IF(A$3&lt;500,10,IF(A$3&lt;1000,8,IF(A$3&lt;2500,6,IF(A$3&lt;5000,5,4)))),VLOOKUP(O$3,HELPER!$AF$2:$AH$3,3,FALSE)),0))</f>
        <v>10</v>
      </c>
      <c r="Q4" s="1107"/>
      <c r="R4" s="1112"/>
      <c r="S4" s="1113"/>
      <c r="T4" s="1119"/>
      <c r="U4" s="1114"/>
      <c r="V4" s="1116"/>
      <c r="W4" s="1116"/>
      <c r="X4" s="685">
        <f>IF($K4="","",IFERROR($M4*($N4+$P4),""))</f>
        <v>0.27128311961875001</v>
      </c>
      <c r="Y4" s="1118"/>
      <c r="Z4" s="699">
        <f>IF($M4="","",IFERROR(($N4+$P4)*$M4/$M$8,""))</f>
        <v>5.7719861808127071</v>
      </c>
      <c r="AA4" s="667"/>
      <c r="AB4" s="667"/>
      <c r="AC4" s="667"/>
      <c r="AD4" s="668"/>
      <c r="AE4" s="668"/>
      <c r="AF4" s="668"/>
      <c r="AG4" s="689" t="s">
        <v>570</v>
      </c>
      <c r="AH4" s="690">
        <f>IF(AH53="","",AH53)</f>
        <v>80</v>
      </c>
      <c r="AI4" s="691" t="s">
        <v>108</v>
      </c>
      <c r="AJ4" s="667"/>
      <c r="AK4" s="692" t="s">
        <v>570</v>
      </c>
      <c r="AL4" s="700">
        <f>IF(AL53="","",AL53)</f>
        <v>80</v>
      </c>
      <c r="AM4" s="694" t="s">
        <v>108</v>
      </c>
      <c r="AN4" s="667"/>
      <c r="AO4" s="695" t="s">
        <v>570</v>
      </c>
      <c r="AP4" s="701">
        <f>IF(AP53="","",AP53)</f>
        <v>80</v>
      </c>
      <c r="AQ4" s="697" t="s">
        <v>108</v>
      </c>
      <c r="AR4" s="667"/>
    </row>
    <row r="5" spans="1:44" ht="15.75">
      <c r="A5" s="1106"/>
      <c r="B5" s="1107"/>
      <c r="C5" s="667" t="str">
        <v>TIPA 312 MET</v>
      </c>
      <c r="D5" s="1107"/>
      <c r="E5" s="1107"/>
      <c r="F5" s="1107"/>
      <c r="G5" s="1110"/>
      <c r="H5" s="1107"/>
      <c r="I5" s="1107"/>
      <c r="J5" s="680">
        <f t="shared" si="0"/>
        <v>458</v>
      </c>
      <c r="K5" s="667" cm="1">
        <f t="array" ref="K5">_xlfn.LET(_xlpm.baseThick,IFERROR(INDEX(HELPER!$BX$2:$BX$250,MATCH(1,(TEXT(HELPER!$BZ$2:$BZ$250,"0")=TEXT($B$3,"0"))*(HELPER!$CC$2:$CC$250=$AH$4)*(HELPER!$BW$2:$BW$250=C5),0)),""),IF(_xlpm.baseThick="","",_xlpm.baseThick))</f>
        <v>25</v>
      </c>
      <c r="L5" s="667">
        <f>IFERROR(VLOOKUP(C5,HELPER!$AP$1:$AQ$25,2,FALSE),"")</f>
        <v>1.25</v>
      </c>
      <c r="M5" s="681">
        <f>IF(C5="","",IF(ISNUMBER(SEARCH("paper",C5)),42/1000*(J5/1000),IF(OR(L5="",L5=0),"",L5*1000*(K5/1000000)*(J5/1000))))</f>
        <v>1.4312500000000001E-2</v>
      </c>
      <c r="N5" s="702" cm="1">
        <f t="array" ref="N5">IF($C5="","",_xlfn.LET(
    _xlpm.mat,TRIM($C5),
    _xlpm.matKey,UPPER(SUBSTITUTE(_xlpm.mat," ","")),
    _xlpm.pr,IFERROR(LOOKUP(2,1/($H$3:H5&lt;&gt;""),$H$3:H5),""),
    _xlpm.widthActual,IFERROR(LOOKUP(2,1/($E$3:E5&lt;&gt;""),$E$3:E5),$E5),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5" s="1107"/>
      <c r="P5" s="683">
        <f>IF(OR(C5="",A$3&lt;=0),"",IFERROR(IF(O$3="Europe to US",IF(A$3&lt;500,10,IF(A$3&lt;1000,8,IF(A$3&lt;2500,6,IF(A$3&lt;5000,5,4)))),VLOOKUP(O$3,HELPER!$AF$2:$AH$3,3,FALSE)),0))</f>
        <v>10</v>
      </c>
      <c r="Q5" s="1107"/>
      <c r="R5" s="1112"/>
      <c r="S5" s="1113"/>
      <c r="T5" s="1119"/>
      <c r="U5" s="1114"/>
      <c r="V5" s="1116"/>
      <c r="W5" s="1116"/>
      <c r="X5" s="685">
        <f>IF($K5="","",IFERROR($M5*($N5+$P5),""))</f>
        <v>0.27128311961875001</v>
      </c>
      <c r="Y5" s="1118"/>
      <c r="Z5" s="684">
        <f>IF($M5="","",IFERROR(($N5+$P5)*$M5/$M$8,""))</f>
        <v>5.7719861808127071</v>
      </c>
      <c r="AA5" s="667"/>
      <c r="AB5" s="667"/>
      <c r="AC5" s="667"/>
      <c r="AD5" s="668"/>
      <c r="AE5" s="668"/>
      <c r="AF5" s="668"/>
      <c r="AG5" s="689" t="s">
        <v>571</v>
      </c>
      <c r="AH5" s="703">
        <f>IF(AH54="","",AH54*2+IF(AH56="",0,AH56*2)+IF(AH57="",0,AH57))</f>
        <v>408</v>
      </c>
      <c r="AI5" s="691" t="s">
        <v>489</v>
      </c>
      <c r="AJ5" s="667"/>
      <c r="AK5" s="692" t="s">
        <v>571</v>
      </c>
      <c r="AL5" s="704">
        <f>IF(AL54="","",AL54*2+IF(AL56="",0,AL56*2)+IF(AL57="",0,AL57))</f>
        <v>408</v>
      </c>
      <c r="AM5" s="694" t="s">
        <v>489</v>
      </c>
      <c r="AN5" s="667"/>
      <c r="AO5" s="695" t="s">
        <v>571</v>
      </c>
      <c r="AP5" s="705">
        <f>IF(AP54="","",AP54*2+IF(AP56="",0,AP56*2)+IF(AP57="",0,AP57))</f>
        <v>408</v>
      </c>
      <c r="AQ5" s="697" t="s">
        <v>489</v>
      </c>
      <c r="AR5" s="667"/>
    </row>
    <row r="6" spans="1:44" ht="15.75">
      <c r="A6" s="1106"/>
      <c r="B6" s="1107"/>
      <c r="C6" s="667" t="str">
        <v>RM G Epotal ECO 3675</v>
      </c>
      <c r="D6" s="1107"/>
      <c r="E6" s="1107"/>
      <c r="F6" s="1107"/>
      <c r="G6" s="1110"/>
      <c r="H6" s="1107"/>
      <c r="I6" s="1107"/>
      <c r="J6" s="680">
        <f t="shared" si="0"/>
        <v>458</v>
      </c>
      <c r="K6" s="667" cm="1">
        <f t="array" ref="K6">_xlfn.LET(_xlpm.baseThick,IFERROR(INDEX(HELPER!$BX$2:$BX$250,MATCH(1,(TEXT(HELPER!$BZ$2:$BZ$250,"0")=TEXT($B$3,"0"))*(HELPER!$CC$2:$CC$250=$AH$4)*(HELPER!$BW$2:$BW$250=C6),0)),""),IF(_xlpm.baseThick="","",_xlpm.baseThick))</f>
        <v>7</v>
      </c>
      <c r="L6" s="667">
        <f>IFERROR(VLOOKUP(C6,HELPER!$AP$1:$AQ$25,2,FALSE),"")</f>
        <v>1</v>
      </c>
      <c r="M6" s="681">
        <f>IF(C6="","",IF(ISNUMBER(SEARCH("paper",C6)),42/1000*(J6/1000),IF(OR(L6="",L6=0),"",L6*1000*(K6/1000000)*(J6/1000))))</f>
        <v>3.2060000000000001E-3</v>
      </c>
      <c r="N6" s="682" cm="1">
        <f t="array" ref="N6">IF($C6="","",_xlfn.LET(
    _xlpm.mat,TRIM($C6),
    _xlpm.matKey,UPPER(SUBSTITUTE(_xlpm.mat," ","")),
    _xlpm.pr,IFERROR(LOOKUP(2,1/($H$3:H6&lt;&gt;""),$H$3:H6),""),
    _xlpm.widthActual,IFERROR(LOOKUP(2,1/($E$3:E6&lt;&gt;""),$E$3:E6),$E6),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6" s="1107"/>
      <c r="P6" s="683">
        <f>IF(OR(C6="",A$3&lt;=0),"",IFERROR(IF(O$3="Europe to US",IF(A$3&lt;500,10,IF(A$3&lt;1000,8,IF(A$3&lt;2500,6,IF(A$3&lt;5000,5,4)))),VLOOKUP(O$3,HELPER!$AF$2:$AH$3,3,FALSE)),0))</f>
        <v>10</v>
      </c>
      <c r="Q6" s="1107"/>
      <c r="R6" s="1112"/>
      <c r="S6" s="1113"/>
      <c r="T6" s="1119"/>
      <c r="U6" s="1114"/>
      <c r="V6" s="1116"/>
      <c r="W6" s="1116"/>
      <c r="X6" s="685">
        <f t="shared" ref="X6:X19" si="1">IF($K6="","",IFERROR($M6*($N6+$P6),""))</f>
        <v>4.7609100000000008E-2</v>
      </c>
      <c r="Y6" s="1118"/>
      <c r="Z6" s="706">
        <f>IF($M6="","",IFERROR(($N6+$P6)*$M6/$M$8,""))</f>
        <v>1.0129604365620739</v>
      </c>
      <c r="AA6" s="667"/>
      <c r="AB6" s="667"/>
      <c r="AC6" s="667"/>
      <c r="AD6" s="668"/>
      <c r="AE6" s="668"/>
      <c r="AF6" s="668"/>
      <c r="AG6" s="689" t="s">
        <v>572</v>
      </c>
      <c r="AH6" s="707"/>
      <c r="AI6" s="691" t="s">
        <v>203</v>
      </c>
      <c r="AJ6" s="667"/>
      <c r="AK6" s="692" t="s">
        <v>572</v>
      </c>
      <c r="AL6" s="693"/>
      <c r="AM6" s="694" t="s">
        <v>203</v>
      </c>
      <c r="AN6" s="667"/>
      <c r="AO6" s="695" t="s">
        <v>572</v>
      </c>
      <c r="AP6" s="696"/>
      <c r="AQ6" s="697" t="s">
        <v>203</v>
      </c>
      <c r="AR6" s="667"/>
    </row>
    <row r="7" spans="1:44" ht="15.75">
      <c r="A7" s="1106"/>
      <c r="B7" s="1107"/>
      <c r="C7" s="683"/>
      <c r="D7" s="1107"/>
      <c r="E7" s="1107"/>
      <c r="F7" s="1107"/>
      <c r="G7" s="1110"/>
      <c r="H7" s="1107"/>
      <c r="I7" s="1107"/>
      <c r="J7" s="680" t="str">
        <f t="shared" si="0"/>
        <v/>
      </c>
      <c r="K7" s="667" t="str" cm="1">
        <f t="array" ref="K7">_xlfn.LET(_xlpm.baseThick,IFERROR(INDEX(HELPER!$BX$2:$BX$250,MATCH(1,(TEXT(HELPER!$BZ$2:$BZ$250,"0")=TEXT($B$3,"0"))*(HELPER!$CC$2:$CC$250=$AH$4)*(HELPER!$BW$2:$BW$250=C7),0)),""),IF(_xlpm.baseThick="","",_xlpm.baseThick))</f>
        <v/>
      </c>
      <c r="L7" s="667" t="str">
        <f>IFERROR(VLOOKUP(C7,HELPER!$AP$1:$AQ$25,2,FALSE),"")</f>
        <v/>
      </c>
      <c r="M7" s="681" t="str">
        <f>IF(C7="","",IF(ISNUMBER(SEARCH("paper",C7)),42/1000*(J7/1000),IF(OR(L7="",L7=0),"",L7*1000*(K7/1000000)*(J7/1000))))</f>
        <v/>
      </c>
      <c r="N7" s="682" t="str" cm="1">
        <f t="array" ref="N7">IF($C7="","",_xlfn.LET(
    _xlpm.mat,TRIM($C7),
    _xlpm.matKey,UPPER(SUBSTITUTE(_xlpm.mat," ","")),
    _xlpm.pr,IFERROR(LOOKUP(2,1/($H$3:H7&lt;&gt;""),$H$3:H7),""),
    _xlpm.widthActual,IFERROR(LOOKUP(2,1/($E$3:E7&lt;&gt;""),$E$3:E7),$E7),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7" s="1107"/>
      <c r="P7" s="708" t="str">
        <f>IF(OR(C7="",A$3&lt;=0),"",IFERROR(IF(O$3="Europe to US",IF(A$3&lt;500,10,IF(A$3&lt;1000,8,IF(A$3&lt;2500,6,IF(A$3&lt;5000,5,4)))),VLOOKUP(O$3,HELPER!$AF$2:$AH$3,3,FALSE)),0))</f>
        <v/>
      </c>
      <c r="Q7" s="1107"/>
      <c r="R7" s="1112"/>
      <c r="S7" s="1113"/>
      <c r="T7" s="1119"/>
      <c r="U7" s="1114"/>
      <c r="V7" s="1116"/>
      <c r="W7" s="1116"/>
      <c r="X7" s="709" t="str">
        <f t="shared" si="1"/>
        <v/>
      </c>
      <c r="Y7" s="1118"/>
      <c r="Z7" s="684" t="str">
        <f>IF($M7="","",IFERROR(($N7+$P7)*$M7/$M$8,""))</f>
        <v/>
      </c>
      <c r="AA7" s="667"/>
      <c r="AB7" s="667"/>
      <c r="AC7" s="667"/>
      <c r="AD7" s="668"/>
      <c r="AE7" s="668"/>
      <c r="AF7" s="668"/>
      <c r="AG7" s="689" t="s">
        <v>573</v>
      </c>
      <c r="AH7" s="707" t="str">
        <f>IF(AH60="","",IF(AH60="Yes","Printed","Not Printed"))</f>
        <v>Printed</v>
      </c>
      <c r="AI7" s="691"/>
      <c r="AJ7" s="667"/>
      <c r="AK7" s="692" t="s">
        <v>573</v>
      </c>
      <c r="AL7" s="693" t="str">
        <f>IF(AL60="","",IF(AL60="Yes","Printed","Not Printed"))</f>
        <v>Printed</v>
      </c>
      <c r="AM7" s="694"/>
      <c r="AN7" s="667"/>
      <c r="AO7" s="695" t="s">
        <v>573</v>
      </c>
      <c r="AP7" s="696" t="str">
        <f>IF(AP60="","",IF(AP60="Yes","Printed","Not Printed"))</f>
        <v>Printed</v>
      </c>
      <c r="AQ7" s="697"/>
      <c r="AR7" s="667"/>
    </row>
    <row r="8" spans="1:44" ht="15.75">
      <c r="A8" s="1106"/>
      <c r="B8" s="1107"/>
      <c r="C8" s="710"/>
      <c r="D8" s="1107"/>
      <c r="E8" s="1107"/>
      <c r="F8" s="1107"/>
      <c r="G8" s="1110"/>
      <c r="H8" s="1107"/>
      <c r="I8" s="1107"/>
      <c r="J8" s="680" t="str">
        <f t="shared" si="0"/>
        <v/>
      </c>
      <c r="K8" s="711">
        <f>AH4</f>
        <v>80</v>
      </c>
      <c r="L8" s="667" t="str">
        <f>IFERROR(VLOOKUP(C8,HELPER!$AP$1:$AQ$25,2,FALSE),"")</f>
        <v/>
      </c>
      <c r="M8" s="712">
        <f>SUM(M3:M7)</f>
        <v>4.699996E-2</v>
      </c>
      <c r="N8" s="682" t="str" cm="1">
        <f t="array" ref="N8">IF($C8="","",_xlfn.LET(
    _xlpm.mat,TRIM($C8),
    _xlpm.matKey,UPPER(SUBSTITUTE(_xlpm.mat," ","")),
    _xlpm.pr,IFERROR(LOOKUP(2,1/($H$3:H8&lt;&gt;""),$H$3:H8),""),
    _xlpm.widthActual,IFERROR(LOOKUP(2,1/($E$3:E8&lt;&gt;""),$E$3:E8),$E8),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8" s="1107"/>
      <c r="P8" s="683" t="str">
        <f>IF(OR(C8="",A$3&lt;=0),"",IFERROR(IF(O$3="Europe to US",IF(A$3&lt;500,10,IF(A$3&lt;1000,8,IF(A$3&lt;2500,6,IF(A$3&lt;5000,5,4)))),VLOOKUP(O$3,HELPER!$AF$2:$AH$3,3,FALSE)),0))</f>
        <v/>
      </c>
      <c r="Q8" s="1107"/>
      <c r="R8" s="1112"/>
      <c r="S8" s="1113"/>
      <c r="T8" s="1119"/>
      <c r="U8" s="1114"/>
      <c r="V8" s="1116"/>
      <c r="W8" s="1116"/>
      <c r="X8" s="713" t="str">
        <f>IF($K8="","",IFERROR($M8*($N8+$P8),""))</f>
        <v/>
      </c>
      <c r="Y8" s="1118"/>
      <c r="Z8" s="684"/>
      <c r="AA8" s="667"/>
      <c r="AB8" s="667"/>
      <c r="AC8" s="667"/>
      <c r="AD8" s="668"/>
      <c r="AE8" s="668"/>
      <c r="AF8" s="668"/>
      <c r="AG8" s="689" t="s">
        <v>798</v>
      </c>
      <c r="AH8" s="922" t="str">
        <f>IF(AH61="","",AH61)</f>
        <v>3-4</v>
      </c>
      <c r="AI8" s="691"/>
      <c r="AJ8" s="667"/>
      <c r="AK8" s="692" t="s">
        <v>798</v>
      </c>
      <c r="AL8" s="922" t="str">
        <f>IF(AL61="","",AL61)</f>
        <v>3-4</v>
      </c>
      <c r="AM8" s="691"/>
      <c r="AN8" s="667"/>
      <c r="AO8" s="689" t="s">
        <v>798</v>
      </c>
      <c r="AP8" s="922" t="str">
        <f>IF(AP61="","",AP61)</f>
        <v>3-4</v>
      </c>
      <c r="AQ8" s="691"/>
      <c r="AR8" s="667"/>
    </row>
    <row r="9" spans="1:44" ht="15.75">
      <c r="A9" s="1106">
        <f>IF(AL12="By Length",IF(AL13&lt;&gt;"",IFERROR(AL13*$M$14*($D9/$J9),""),""),IF(OR(AL12="By Imp",AL12="IMP"),IFERROR(AL40*$M$14*($D9/$J9),""),IF(AL6="","",AL6)))</f>
        <v>90.436953599999995</v>
      </c>
      <c r="B9" s="1107">
        <f>AL3</f>
        <v>428</v>
      </c>
      <c r="C9" s="667" t="str" cm="1">
        <f t="array" ref="C9:C12">IFERROR(_xlfn.LET(_xlpm.lam,TEXT(B9,"0"),_xlpm.thick,AL4,_xlfn.TAKE(_xlfn._xlws.FILTER(HELPER!$BW$2:$BW$250,(TEXT(HELPER!$BZ$2:$BZ$250,"0")=_xlpm.lam)*(HELPER!$CC$2:$CC$250=_xlpm.thick)*(HELPER!$BW$2:$BW$250&lt;&gt;""),"No match"),6)),"")</f>
        <v>NK</v>
      </c>
      <c r="D9" s="1108">
        <f>AL5</f>
        <v>408</v>
      </c>
      <c r="E9" s="1109">
        <f>IF(D9="","",_xlfn.LET(_xlpm.cap,IF($Q9="Quantum",760,1220),IF(D9+50&gt;_xlpm.cap,"ERROR: Lamination Width &gt; "&amp;_xlpm.cap,D9*MAX(1,MIN(MAX(2,INT(900/D9)),INT((_xlpm.cap-50)/D9))))))</f>
        <v>408</v>
      </c>
      <c r="F9" s="1107"/>
      <c r="G9" s="1110">
        <f>IF(OR(AL12="IMP",AL12="By Imp",AL12="By Length"),IFERROR(AL15,""),IFERROR(IF(OR(A9="",A9=0,$D9="",$D9=0,$J9="",$M$14="",$M$14=0,A9&lt;=5),"",(A9-5)/$M$14*($J9/$D9)),""))</f>
        <v>2160</v>
      </c>
      <c r="H9" s="1107" t="str">
        <f>AL7</f>
        <v>Printed</v>
      </c>
      <c r="I9" s="1111" t="str">
        <f>IF(H9="Not Printed",0,AL8)</f>
        <v>3-4</v>
      </c>
      <c r="J9" s="680">
        <f t="shared" ref="J9:J14" si="2">IF($C9="","",IF($E$9="","",IF(ISNUMBER($E$9),_xlfn.LET(_xlpm.cap,IF($Q$9="Quantum",760,1220),IF($E$9+50&gt;_xlpm.cap,"ERROR: Lamination Width &gt; "&amp;_xlpm.cap,$E$9+50)),$E$9)))</f>
        <v>458</v>
      </c>
      <c r="K9" s="667" cm="1">
        <f t="array" ref="K9">_xlfn.LET(_xlpm.baseThick,IFERROR(INDEX(HELPER!$BX$2:$BX$250,MATCH(1,(TEXT(HELPER!$BZ$2:$BZ$250,"0")=TEXT($B$9,"0"))*(HELPER!$CC$2:$CC$250=$AL$4)*(HELPER!$BW$2:$BW$250=C9),0)),""),IF(_xlpm.baseThick="","",_xlpm.baseThick))</f>
        <v>23</v>
      </c>
      <c r="L9" s="667">
        <f>IFERROR(VLOOKUP(C9,HELPER!$AP$1:$AQ$25,2,FALSE),"")</f>
        <v>1.44</v>
      </c>
      <c r="M9" s="681">
        <f>IF(C9="","",IF(ISNUMBER(SEARCH("paper",C9)),42/1000*(J9/1000),IF(OR(L9="",L9=0),"",L9*1000*(K9/1000000)*(J9/1000))))</f>
        <v>1.5168959999999999E-2</v>
      </c>
      <c r="N9" s="682" cm="1">
        <f t="array" ref="N9">IF($C9="","",_xlfn.LET(
    _xlpm.mat,TRIM($C9),
    _xlpm.matKey,UPPER(SUBSTITUTE(_xlpm.mat," ","")),
    _xlpm.pr,IFERROR(LOOKUP(2,1/($H$3:H9&lt;&gt;""),$H$3:H9),""),
    _xlpm.widthActual,IFERROR(LOOKUP(2,1/($E$3:E9&lt;&gt;""),$E$3:E9),$E9),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9" s="1107" t="str">
        <f>AL10</f>
        <v>Europe to US</v>
      </c>
      <c r="P9" s="683">
        <f>IF(OR(C9="",A$9&lt;=0),"",IFERROR(IF(O$9="Europe to US",IF(A$9&lt;500,10,IF(A$9&lt;1000,8,IF(A$9&lt;2500,6,IF(A$9&lt;5000,5,4)))),VLOOKUP(O$9,HELPER!$AF$2:$AH$3,3,FALSE)),0))</f>
        <v>10</v>
      </c>
      <c r="Q9" s="1107" t="str">
        <f>AL11</f>
        <v>Quantum</v>
      </c>
      <c r="R9" s="1113" cm="1">
        <f t="array" ref="R9">IF(OR($Q9="",$G9=""),"",IF($J9&gt;IF($Q9="Quantum",760,1220),"Error! lamination width exceeds supplier maximum",_xlfn.LET(_xlpm.struct,$C$9:$C$14,_xlpm.realLayers,SUMPRODUCT(--(_xlpm.struct&lt;&gt;""),--ISERROR(SEARCH("EPOTAL",_xlpm.struct&amp;"")),--ISERROR(SEARCH("BASONAT",_xlpm.struct&amp;"")),--ISERROR(SEARCH("ADH",_xlpm.struct&amp;"")),--ISERROR(SEARCH("HARDENER",_xlpm.struct&amp;""))),_xlpm.lamSteps,MAX(0,_xlpm.realLayers-1),_xlpm.len,$G9,_xlpm.colNum,IF(_xlpm.len&lt;3000,1,IF(_xlpm.len&lt;10000,2,IF(_xlpm.len&lt;25000,3,IF(_xlpm.len&lt;50000,4,IF(_xlpm.len&lt;100000,5,IF(_xlpm.len&lt;250000,6,7)))))),_xlpm.widthRow,IF($E9&lt;900,0,5),_xlpm.supplierRow,IF($Q9="Marma",3,IF(OR($Q9="Bastin",$Q9="Quantum"),13,0)),_xlpm.baseRate,IF(_xlpm.supplierRow=0,"",INDEX('Lmntn &amp; Prntng- Marma &amp; Bastin '!$D$1:$K$22,_xlpm.supplierRow+_xlpm.widthRow,_xlpm.colNum)),IF(_xlpm.realLayers=0,"",_xlpm.baseRate*_xlpm.lamSteps))))</f>
        <v>0.30349799999999999</v>
      </c>
      <c r="S9" s="1113" cm="1">
        <f t="array" ref="S9">IF($Q9="Quantum",IF(OR($Q9="",$I9=0,$I9="0"),"",IF($J9&gt;IF($Q9="Quantum",760,1220),"Error! lamination width exceeds supplier maximum",IF($E9&gt;1200,"Data is missing",_xlfn.LET(_xlpm.len,$G9,_xlpm.colors,$I9,_xlpm.qWidth,IF($E9&lt;=450,450,IF($E9&lt;=760,760,1200)),_xlpm.band,IF(OR(_xlpm.colors=1,_xlpm.colors="1"),"1",IF(OR(_xlpm.colors=2,_xlpm.colors=3,_xlpm.colors="2-3"),"2-3",IF(OR(_xlpm.colors=4,_xlpm.colors=5,_xlpm.colors="3-4",_xlpm.colors="4-5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9="",$I9=0,$I9="0"),"",IF($J9&gt;IF($Q9="Quantum",760,1220),"Error! lamination width exceeds supplier maximum",_xlfn.LET(_xlpm.len,$AL$21,_xlpm.colors,$I9,_xlpm.colNum,IF(_xlpm.len&lt;3000,1,IF(_xlpm.len&lt;10000,2,IF(_xlpm.len&lt;25000,3,IF(_xlpm.len&lt;50000,4,IF(_xlpm.len&lt;100000,5,IF(_xlpm.len&lt;250000,6,IF(_xlpm.len&lt;500000,7,8))))))),_xlpm.widthRow,IF($E9&lt;900,0,5),_xlpm.colorOffset,IF(OR(_xlpm.colors=1,_xlpm.colors=2,_xlpm.colors="1-2"),1,IF(OR(_xlpm.colors=3,_xlpm.colors=4,_xlpm.colors="3-4"),2,IF(OR(_xlpm.colors&gt;=5,_xlpm.colors="5-6",_xlpm.colors="5-8"),3,0))),_xlpm.supplierRow,IF($Q9="Marma",3,IF($Q9="Bastin",13,0)),IF(OR(_xlpm.supplierRow=0,_xlpm.colorOffset=0),"",INDEX('Lmntn &amp; Prntng- Marma &amp; Bastin '!$D$1:$K$22,_xlpm.supplierRow+_xlpm.widthRow+_xlpm.colorOffset,_xlpm.colNum))))))</f>
        <v>1.1465517241379313</v>
      </c>
      <c r="T9" s="1119">
        <f>IF(OR($S9="",$K9=""),"",IFERROR($S9*(1/$M$14)*($J9/($D9*MAX(1,ROUNDDOWN(760/$D9,0)))),""))</f>
        <v>27.384289558134029</v>
      </c>
      <c r="U9" s="1113" cm="1">
        <f t="array" ref="U9">IF($Q9="","",IF($J9&gt;IF($Q9="Quantum",760,1220),"Error! lamination width exceeds supplier maximum",_xlfn.LET(_xlpm.len,$G9,_xlpm.colNum,IF(_xlpm.len&lt;3000,1,IF(_xlpm.len&lt;10000,2,IF(_xlpm.len&lt;25000,3,IF(_xlpm.len&lt;50000,4,IF(_xlpm.len&lt;100000,5,IF(_xlpm.len&lt;250000,6,7)))))),_xlpm.widthRow,IF($E9&lt;900,0,5),_xlpm.supplierRow,IF($Q9="Marma",7,IF(OR($Q9="Bastin",$Q9="Quantum"),17,0)),IF(_xlpm.supplierRow=0,"",INDEX('Lmntn &amp; Prntng- Marma &amp; Bastin '!$D$1:$K$22,_xlpm.supplierRow+_xlpm.widthRow,_xlpm.colNum)))))</f>
        <v>4.5395999999999999E-2</v>
      </c>
      <c r="V9" s="1115">
        <f>IFERROR(IF(AL22="","",IF($K14&gt;31,(5%+250/$G$9)*AL22,VLOOKUP($K14,HELPER!$BH$3:$BI$5,2,TRUE)*AL22)),"")</f>
        <v>1.5535703372368463</v>
      </c>
      <c r="W9" s="1116">
        <f>IF(OR($H9&lt;&gt;"Printed",$I9=0,$I9="0"),0,IFERROR(AL22*0.028,0)+IFERROR(AL43,0))</f>
        <v>1.4638287488588491</v>
      </c>
      <c r="X9" s="713">
        <f>IF($K9="","",IFERROR($M9*($N9+$P9),""))</f>
        <v>0.27228283199999997</v>
      </c>
      <c r="Y9" s="1118">
        <f>IFERROR((SUM(X9:X14)+SUM(R9:S9,U9))*(1/M14)*(J9/E9)+V9+W9,"")</f>
        <v>59.333674803845355</v>
      </c>
      <c r="Z9" s="684">
        <f>IF($M9="","",IFERROR(($N9+$P9)*$M9/$M$14,""))</f>
        <v>5.7932566751120635</v>
      </c>
      <c r="AA9" s="875">
        <f>IF(AL7="Printed",MAX(1,IFERROR(AL9,0)),IFERROR(AL9,0))</f>
        <v>1</v>
      </c>
      <c r="AB9" s="667" t="str">
        <f>IF(OR(AL12="IMP",AL12="By Imp"),IFERROR(AL13/AA9,""),"")</f>
        <v/>
      </c>
      <c r="AC9" s="714">
        <f>AL42</f>
        <v>0.33333333333333331</v>
      </c>
      <c r="AD9" s="715"/>
      <c r="AE9" s="715"/>
      <c r="AF9" s="715"/>
      <c r="AG9" s="689" t="s">
        <v>2382</v>
      </c>
      <c r="AH9" s="876">
        <f>AH62</f>
        <v>1</v>
      </c>
      <c r="AI9" s="691"/>
      <c r="AJ9" s="667"/>
      <c r="AK9" s="692" t="s">
        <v>2382</v>
      </c>
      <c r="AL9" s="876">
        <f>AL62</f>
        <v>1</v>
      </c>
      <c r="AM9" s="691"/>
      <c r="AN9" s="667"/>
      <c r="AO9" s="689" t="s">
        <v>2382</v>
      </c>
      <c r="AP9" s="876">
        <f>AP62</f>
        <v>1</v>
      </c>
      <c r="AQ9" s="691"/>
      <c r="AR9" s="667"/>
    </row>
    <row r="10" spans="1:44" ht="15.75">
      <c r="A10" s="1106"/>
      <c r="B10" s="1107"/>
      <c r="C10" s="667" t="str">
        <v>TIPA 312 MET</v>
      </c>
      <c r="D10" s="1107"/>
      <c r="E10" s="1107"/>
      <c r="F10" s="1107"/>
      <c r="G10" s="1106"/>
      <c r="H10" s="1107"/>
      <c r="I10" s="1107"/>
      <c r="J10" s="680">
        <f t="shared" si="2"/>
        <v>458</v>
      </c>
      <c r="K10" s="667" cm="1">
        <f t="array" ref="K10">_xlfn.LET(_xlpm.baseThick,IFERROR(INDEX(HELPER!$BX$2:$BX$250,MATCH(1,(TEXT(HELPER!$BZ$2:$BZ$250,"0")=TEXT($B$9,"0"))*(HELPER!$CC$2:$CC$250=$AL$4)*(HELPER!$BW$2:$BW$250=C10),0)),""),IF(_xlpm.baseThick="","",_xlpm.baseThick))</f>
        <v>25</v>
      </c>
      <c r="L10" s="667">
        <f>IFERROR(VLOOKUP(C10,HELPER!$AP$1:$AQ$25,2,FALSE),"")</f>
        <v>1.25</v>
      </c>
      <c r="M10" s="681">
        <f>IF(C10="","",IF(ISNUMBER(SEARCH("paper",C10)),42/1000*(J10/1000),IF(OR(L10="",L10=0),"",L10*1000*(K10/1000000)*(J10/1000))))</f>
        <v>1.4312500000000001E-2</v>
      </c>
      <c r="N10" s="702" cm="1">
        <f t="array" ref="N10">IF($C10="","",_xlfn.LET(
    _xlpm.mat,TRIM($C10),
    _xlpm.matKey,UPPER(SUBSTITUTE(_xlpm.mat," ","")),
    _xlpm.pr,IFERROR(LOOKUP(2,1/($H$3:H10&lt;&gt;""),$H$3:H10),""),
    _xlpm.widthActual,IFERROR(LOOKUP(2,1/($E$3:E10&lt;&gt;""),$E$3:E10),$E10),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0" s="1107"/>
      <c r="P10" s="683">
        <f>IF(OR(C10="",A$9&lt;=0),"",IFERROR(IF(O$9="Europe to US",IF(A$9&lt;500,10,IF(A$9&lt;1000,8,IF(A$9&lt;2500,6,IF(A$9&lt;5000,5,4)))),VLOOKUP(O$9,HELPER!$AF$2:$AH$3,3,FALSE)),0))</f>
        <v>10</v>
      </c>
      <c r="Q10" s="1107"/>
      <c r="R10" s="1113"/>
      <c r="S10" s="1113"/>
      <c r="T10" s="1119"/>
      <c r="U10" s="1113"/>
      <c r="V10" s="1107"/>
      <c r="W10" s="1107"/>
      <c r="X10" s="713">
        <f>IF($K10="","",IFERROR($M10*($N10+$P10),""))</f>
        <v>0.27128311961875001</v>
      </c>
      <c r="Y10" s="1118"/>
      <c r="Z10" s="684">
        <f>IF($M10="","",IFERROR(($N10+$P10)*$M10/$M$14,""))</f>
        <v>5.7719861808127071</v>
      </c>
      <c r="AA10" s="667"/>
      <c r="AB10" s="667"/>
      <c r="AC10" s="667"/>
      <c r="AD10" s="668"/>
      <c r="AE10" s="668"/>
      <c r="AF10" s="668"/>
      <c r="AG10" s="689" t="s">
        <v>2386</v>
      </c>
      <c r="AH10" s="716" t="str">
        <f>AH65</f>
        <v>Europe to US</v>
      </c>
      <c r="AI10" s="691"/>
      <c r="AJ10" s="667"/>
      <c r="AK10" s="692" t="s">
        <v>2386</v>
      </c>
      <c r="AL10" s="717" t="str">
        <f>AL65</f>
        <v>Europe to US</v>
      </c>
      <c r="AM10" s="694"/>
      <c r="AN10" s="667"/>
      <c r="AO10" s="695" t="s">
        <v>2386</v>
      </c>
      <c r="AP10" s="718" t="str">
        <f>AP65</f>
        <v>Europe to US</v>
      </c>
      <c r="AQ10" s="697"/>
      <c r="AR10" s="667"/>
    </row>
    <row r="11" spans="1:44" ht="15.75">
      <c r="A11" s="1106"/>
      <c r="B11" s="1107"/>
      <c r="C11" s="667" t="str">
        <v>TIPA 312 MET</v>
      </c>
      <c r="D11" s="1107"/>
      <c r="E11" s="1107"/>
      <c r="F11" s="1107"/>
      <c r="G11" s="1106"/>
      <c r="H11" s="1107"/>
      <c r="I11" s="1107"/>
      <c r="J11" s="680">
        <f t="shared" si="2"/>
        <v>458</v>
      </c>
      <c r="K11" s="667" cm="1">
        <f t="array" ref="K11">_xlfn.LET(_xlpm.baseThick,IFERROR(INDEX(HELPER!$BX$2:$BX$250,MATCH(1,(TEXT(HELPER!$BZ$2:$BZ$250,"0")=TEXT($B$9,"0"))*(HELPER!$CC$2:$CC$250=$AL$4)*(HELPER!$BW$2:$BW$250=C11),0)),""),IF(_xlpm.baseThick="","",_xlpm.baseThick))</f>
        <v>25</v>
      </c>
      <c r="L11" s="667">
        <f>IFERROR(VLOOKUP(C11,HELPER!$AP$1:$AQ$25,2,FALSE),"")</f>
        <v>1.25</v>
      </c>
      <c r="M11" s="681">
        <f>IF(C11="","",IF(ISNUMBER(SEARCH("paper",C11)),42/1000*(J11/1000),IF(OR(L11="",L11=0),"",L11*1000*(K11/1000000)*(J11/1000))))</f>
        <v>1.4312500000000001E-2</v>
      </c>
      <c r="N11" s="682" cm="1">
        <f t="array" ref="N11">IF($C11="","",_xlfn.LET(
    _xlpm.mat,TRIM($C11),
    _xlpm.matKey,UPPER(SUBSTITUTE(_xlpm.mat," ","")),
    _xlpm.pr,IFERROR(LOOKUP(2,1/($H$3:H11&lt;&gt;""),$H$3:H11),""),
    _xlpm.widthActual,IFERROR(LOOKUP(2,1/($E$3:E11&lt;&gt;""),$E$3:E11),$E11),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1" s="1107"/>
      <c r="P11" s="683">
        <f>IF(OR(C11="",A$9&lt;=0),"",IFERROR(IF(O$9="Europe to US",IF(A$9&lt;500,10,IF(A$9&lt;1000,8,IF(A$9&lt;2500,6,IF(A$9&lt;5000,5,4)))),VLOOKUP(O$9,HELPER!$AF$2:$AH$3,3,FALSE)),0))</f>
        <v>10</v>
      </c>
      <c r="Q11" s="1107"/>
      <c r="R11" s="1113"/>
      <c r="S11" s="1113"/>
      <c r="T11" s="1119"/>
      <c r="U11" s="1113"/>
      <c r="V11" s="1107"/>
      <c r="W11" s="1107"/>
      <c r="X11" s="713">
        <f>IF($K11="","",IFERROR($M11*($N11+$P11),""))</f>
        <v>0.27128311961875001</v>
      </c>
      <c r="Y11" s="1118"/>
      <c r="Z11" s="684">
        <f>IF($M11="","",IFERROR(($N11+$P11)*$M11/$M$14,""))</f>
        <v>5.7719861808127071</v>
      </c>
      <c r="AA11" s="667"/>
      <c r="AB11" s="667"/>
      <c r="AC11" s="667"/>
      <c r="AD11" s="668"/>
      <c r="AE11" s="668"/>
      <c r="AF11" s="668"/>
      <c r="AG11" s="689" t="s">
        <v>2388</v>
      </c>
      <c r="AH11" s="707" t="str">
        <f>IF(AH63="","",AH63)</f>
        <v>Quantum</v>
      </c>
      <c r="AI11" s="691"/>
      <c r="AJ11" s="667"/>
      <c r="AK11" s="692" t="s">
        <v>2388</v>
      </c>
      <c r="AL11" s="693" t="str">
        <f>IF(AL63="","",AL63)</f>
        <v>Quantum</v>
      </c>
      <c r="AM11" s="694"/>
      <c r="AN11" s="667"/>
      <c r="AO11" s="695" t="s">
        <v>2388</v>
      </c>
      <c r="AP11" s="696" t="str">
        <f>IF(AP63="","",AP63)</f>
        <v>Quantum</v>
      </c>
      <c r="AQ11" s="697"/>
      <c r="AR11" s="667"/>
    </row>
    <row r="12" spans="1:44">
      <c r="A12" s="1106"/>
      <c r="B12" s="1107"/>
      <c r="C12" s="667" t="str">
        <v>RM G Epotal ECO 3675</v>
      </c>
      <c r="D12" s="1107"/>
      <c r="E12" s="1107"/>
      <c r="F12" s="1107"/>
      <c r="G12" s="1106"/>
      <c r="H12" s="1107"/>
      <c r="I12" s="1107"/>
      <c r="J12" s="680">
        <f t="shared" si="2"/>
        <v>458</v>
      </c>
      <c r="K12" s="667" cm="1">
        <f t="array" ref="K12">_xlfn.LET(_xlpm.baseThick,IFERROR(INDEX(HELPER!$BX$2:$BX$250,MATCH(1,(TEXT(HELPER!$BZ$2:$BZ$250,"0")=TEXT($B$9,"0"))*(HELPER!$CC$2:$CC$250=$AL$4)*(HELPER!$BW$2:$BW$250=C12),0)),""),IF(_xlpm.baseThick="","",_xlpm.baseThick))</f>
        <v>7</v>
      </c>
      <c r="L12" s="667">
        <f>IFERROR(VLOOKUP(C12,HELPER!$AP$1:$AQ$25,2,FALSE),"")</f>
        <v>1</v>
      </c>
      <c r="M12" s="681">
        <f>IF(C12="","",IF(ISNUMBER(SEARCH("paper",C12)),42/1000*(J12/1000),IF(OR(L12="",L12=0),"",L12*1000*(K12/1000000)*(J12/1000))))</f>
        <v>3.2060000000000001E-3</v>
      </c>
      <c r="N12" s="682" cm="1">
        <f t="array" ref="N12">IF($C12="","",_xlfn.LET(
    _xlpm.mat,TRIM($C12),
    _xlpm.matKey,UPPER(SUBSTITUTE(_xlpm.mat," ","")),
    _xlpm.pr,IFERROR(LOOKUP(2,1/($H$3:H12&lt;&gt;""),$H$3:H12),""),
    _xlpm.widthActual,IFERROR(LOOKUP(2,1/($E$3:E12&lt;&gt;""),$E$3:E12),$E12),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12" s="1107"/>
      <c r="P12" s="683">
        <f>IF(OR(C12="",A$9&lt;=0),"",IFERROR(IF(O$9="Europe to US",IF(A$9&lt;500,10,IF(A$9&lt;1000,8,IF(A$9&lt;2500,6,IF(A$9&lt;5000,5,4)))),VLOOKUP(O$9,HELPER!$AF$2:$AH$3,3,FALSE)),0))</f>
        <v>10</v>
      </c>
      <c r="Q12" s="1107"/>
      <c r="R12" s="1113"/>
      <c r="S12" s="1113"/>
      <c r="T12" s="1119"/>
      <c r="U12" s="1113"/>
      <c r="V12" s="1107"/>
      <c r="W12" s="1107"/>
      <c r="X12" s="713">
        <f t="shared" si="1"/>
        <v>4.7609100000000008E-2</v>
      </c>
      <c r="Y12" s="1118"/>
      <c r="Z12" s="684">
        <f>IF($M12="","",IFERROR(($N12+$P12)*$M12/$M$14,""))</f>
        <v>1.0129604365620739</v>
      </c>
      <c r="AA12" s="667"/>
      <c r="AB12" s="667"/>
      <c r="AC12" s="667"/>
      <c r="AD12" s="668"/>
      <c r="AE12" s="668"/>
      <c r="AF12" s="668"/>
      <c r="AG12" s="719" t="s">
        <v>2389</v>
      </c>
      <c r="AH12" s="720" t="s">
        <v>561</v>
      </c>
      <c r="AI12" s="721"/>
      <c r="AJ12" s="667"/>
      <c r="AK12" s="722" t="s">
        <v>2389</v>
      </c>
      <c r="AL12" s="723" t="s">
        <v>561</v>
      </c>
      <c r="AM12" s="724"/>
      <c r="AN12" s="667"/>
      <c r="AO12" s="725" t="s">
        <v>2389</v>
      </c>
      <c r="AP12" s="726" t="s">
        <v>561</v>
      </c>
      <c r="AQ12" s="727"/>
      <c r="AR12" s="667"/>
    </row>
    <row r="13" spans="1:44" ht="15.75">
      <c r="A13" s="1106"/>
      <c r="B13" s="1107"/>
      <c r="C13" s="667"/>
      <c r="D13" s="1107"/>
      <c r="E13" s="1107"/>
      <c r="F13" s="1107"/>
      <c r="G13" s="1106"/>
      <c r="H13" s="1107"/>
      <c r="I13" s="1107"/>
      <c r="J13" s="680" t="str">
        <f t="shared" si="2"/>
        <v/>
      </c>
      <c r="K13" s="667" t="str" cm="1">
        <f t="array" ref="K13">_xlfn.LET(_xlpm.baseThick,IFERROR(INDEX(HELPER!$BX$2:$BX$250,MATCH(1,(TEXT(HELPER!$BZ$2:$BZ$250,"0")=TEXT($B$9,"0"))*(HELPER!$CC$2:$CC$250=$AL$4)*(HELPER!$BW$2:$BW$250=C13),0)),""),IF(_xlpm.baseThick="","",_xlpm.baseThick))</f>
        <v/>
      </c>
      <c r="L13" s="667" t="str">
        <f>IFERROR(VLOOKUP(C13,HELPER!$AP$1:$AQ$25,2,FALSE),"")</f>
        <v/>
      </c>
      <c r="M13" s="681" t="str">
        <f>IF(C13="","",IF(ISNUMBER(SEARCH("paper",C13)),42/1000*(J13/1000),IF(OR(L13="",L13=0),"",L13*1000*(K13/1000000)*(J13/1000))))</f>
        <v/>
      </c>
      <c r="N13" s="682" t="str" cm="1">
        <f t="array" ref="N13">IF($C13="","",_xlfn.LET(
    _xlpm.mat,TRIM($C13),
    _xlpm.matKey,UPPER(SUBSTITUTE(_xlpm.mat," ","")),
    _xlpm.pr,IFERROR(LOOKUP(2,1/($H$3:H13&lt;&gt;""),$H$3:H13),""),
    _xlpm.widthActual,IFERROR(LOOKUP(2,1/($E$3:E13&lt;&gt;""),$E$3:E13),$E13),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3" s="1107"/>
      <c r="P13" s="683" t="str">
        <f>IF(OR(C13="",A$9&lt;=0),"",IFERROR(IF(O$9="Europe to US",IF(A$9&lt;500,10,IF(A$9&lt;1000,8,IF(A$9&lt;2500,6,IF(A$9&lt;5000,5,4)))),VLOOKUP(O$9,HELPER!$AF$2:$AH$3,3,FALSE)),0))</f>
        <v/>
      </c>
      <c r="Q13" s="1107"/>
      <c r="R13" s="1113"/>
      <c r="S13" s="1113"/>
      <c r="T13" s="1119"/>
      <c r="U13" s="1113"/>
      <c r="V13" s="1107"/>
      <c r="W13" s="1107"/>
      <c r="X13" s="713" t="str">
        <f t="shared" si="1"/>
        <v/>
      </c>
      <c r="Y13" s="1118"/>
      <c r="Z13" s="684"/>
      <c r="AA13" s="667"/>
      <c r="AB13" s="667"/>
      <c r="AC13" s="667"/>
      <c r="AD13" s="668"/>
      <c r="AE13" s="668"/>
      <c r="AF13" s="668"/>
      <c r="AG13" s="728" t="s">
        <v>2390</v>
      </c>
      <c r="AH13" s="729">
        <f>IFERROR(AH58*AH55/1000,"")</f>
        <v>1080</v>
      </c>
      <c r="AI13" s="730" t="s">
        <v>580</v>
      </c>
      <c r="AJ13" s="731"/>
      <c r="AK13" s="732" t="s">
        <v>2390</v>
      </c>
      <c r="AL13" s="733">
        <f>IFERROR(AL58*AL55/1000,"")</f>
        <v>2160</v>
      </c>
      <c r="AM13" s="734" t="s">
        <v>580</v>
      </c>
      <c r="AN13" s="667"/>
      <c r="AO13" s="735" t="s">
        <v>2390</v>
      </c>
      <c r="AP13" s="736">
        <f>IFERROR(AP58*AP55/1000,"")</f>
        <v>5400</v>
      </c>
      <c r="AQ13" s="737" t="s">
        <v>580</v>
      </c>
      <c r="AR13" s="667"/>
    </row>
    <row r="14" spans="1:44" ht="15.75">
      <c r="A14" s="1106"/>
      <c r="B14" s="1107"/>
      <c r="C14" s="710"/>
      <c r="D14" s="1107"/>
      <c r="E14" s="1107"/>
      <c r="F14" s="1107"/>
      <c r="G14" s="1106"/>
      <c r="H14" s="1107"/>
      <c r="I14" s="1107"/>
      <c r="J14" s="680" t="str">
        <f t="shared" si="2"/>
        <v/>
      </c>
      <c r="K14" s="711">
        <f>AL4</f>
        <v>80</v>
      </c>
      <c r="L14" s="667" t="str">
        <f>IFERROR(VLOOKUP(C14,HELPER!$AP$1:$AQ$25,2,FALSE),"")</f>
        <v/>
      </c>
      <c r="M14" s="712">
        <f>SUM(M9:M13)</f>
        <v>4.699996E-2</v>
      </c>
      <c r="N14" s="682" t="str" cm="1">
        <f t="array" ref="N14">IF($C14="","",_xlfn.LET(
    _xlpm.mat,TRIM($C14),
    _xlpm.matKey,UPPER(SUBSTITUTE(_xlpm.mat," ","")),
    _xlpm.pr,IFERROR(LOOKUP(2,1/($H$3:H14&lt;&gt;""),$H$3:H14),""),
    _xlpm.widthActual,IFERROR(LOOKUP(2,1/($E$3:E14&lt;&gt;""),$E$3:E14),$E14),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4" s="1107"/>
      <c r="P14" s="683" t="str">
        <f>IF(OR(C14="",A$9&lt;=0),"",IFERROR(IF(O$9="Europe to US",IF(A$9&lt;500,10,IF(A$9&lt;1000,8,IF(A$9&lt;2500,6,IF(A$9&lt;5000,5,4)))),VLOOKUP(O$9,HELPER!$AF$2:$AH$3,3,FALSE)),0))</f>
        <v/>
      </c>
      <c r="Q14" s="1107"/>
      <c r="R14" s="1113"/>
      <c r="S14" s="1113"/>
      <c r="T14" s="1119"/>
      <c r="U14" s="1113"/>
      <c r="V14" s="1107"/>
      <c r="W14" s="1107"/>
      <c r="X14" s="713" t="str">
        <f>IF($K14="","",IFERROR($M14*($N14+$P14),""))</f>
        <v/>
      </c>
      <c r="Y14" s="1118"/>
      <c r="Z14" s="684"/>
      <c r="AA14" s="667"/>
      <c r="AB14" s="667"/>
      <c r="AC14" s="667"/>
      <c r="AD14" s="668"/>
      <c r="AE14" s="668"/>
      <c r="AF14" s="668"/>
      <c r="AG14" s="738" t="s">
        <v>1231</v>
      </c>
      <c r="AH14" s="739"/>
      <c r="AI14" s="740"/>
      <c r="AJ14" s="741"/>
      <c r="AK14" s="738" t="s">
        <v>1231</v>
      </c>
      <c r="AL14" s="742"/>
      <c r="AM14" s="743"/>
      <c r="AN14" s="741"/>
      <c r="AO14" s="738" t="s">
        <v>1231</v>
      </c>
      <c r="AP14" s="744"/>
      <c r="AQ14" s="745"/>
      <c r="AR14" s="667"/>
    </row>
    <row r="15" spans="1:44" ht="15.75">
      <c r="A15" s="1106">
        <f>IF(AP12="By Length",IF(AP13&lt;&gt;"",IFERROR(AP13*$M$20*($D15/$J15),""),""),IF(OR(AP12="By Imp",AP12="IMP"),IFERROR(AP40*$M$20*($D15/$J15),""),IF(AP6="","",AP6)))</f>
        <v>226.09238399999998</v>
      </c>
      <c r="B15" s="1107">
        <f>AP3</f>
        <v>428</v>
      </c>
      <c r="C15" s="667" t="str" cm="1">
        <f t="array" ref="C15:C18">IFERROR(_xlfn.LET(_xlpm.lam,TEXT(B15,"0"),_xlpm.thick,AP4,_xlfn.TAKE(_xlfn._xlws.FILTER(HELPER!$BW$2:$BW$250,(TEXT(HELPER!$BZ$2:$BZ$250,"0")=_xlpm.lam)*(HELPER!$CC$2:$CC$250=_xlpm.thick)*(HELPER!$BW$2:$BW$250&lt;&gt;""),"No match"),6)),"")</f>
        <v>NK</v>
      </c>
      <c r="D15" s="1108">
        <f>AP5</f>
        <v>408</v>
      </c>
      <c r="E15" s="1109">
        <f>IF(D15="","",_xlfn.LET(_xlpm.cap,IF($Q15="Quantum",760,1220),IF(D15+50&gt;_xlpm.cap,"ERROR: Lamination Width &gt; "&amp;_xlpm.cap,D15*MAX(1,MIN(MAX(2,INT(900/D15)),INT((_xlpm.cap-50)/D15))))))</f>
        <v>408</v>
      </c>
      <c r="F15" s="1107"/>
      <c r="G15" s="1110">
        <f>IF(OR(AP12="IMP",AP12="By Imp",AP12="By Length"),IFERROR(AP15,""),IFERROR(IF(OR(A15="",A15=0,$D15="",$D15=0,$J15="",$M$20="",$M$20=0,A15&lt;=5),"",(A15-5)/$M$20*($J15/$D15)),""))</f>
        <v>5400</v>
      </c>
      <c r="H15" s="1107" t="str">
        <f>AP7</f>
        <v>Printed</v>
      </c>
      <c r="I15" s="1111" t="str">
        <f>IF(H15="Not Printed",0,AP8)</f>
        <v>3-4</v>
      </c>
      <c r="J15" s="680">
        <f t="shared" ref="J15:J26" si="3">IF($C15="","",IF($E$15="","",IF(ISNUMBER($E$15),_xlfn.LET(_xlpm.cap,IF($Q$15="Quantum",760,1220),IF($E$15+50&gt;_xlpm.cap,"ERROR: Lamination Width &gt; "&amp;_xlpm.cap,$E$15+50)),$E$15)))</f>
        <v>458</v>
      </c>
      <c r="K15" s="667" cm="1">
        <f t="array" ref="K15">_xlfn.LET(_xlpm.baseThick,IFERROR(INDEX(HELPER!$BX$2:$BX$250,MATCH(1,(TEXT(HELPER!$BZ$2:$BZ$250,"0")=TEXT($B$15,"0"))*(HELPER!$CC$2:$CC$250=$AP$4)*(HELPER!$BW$2:$BW$250=C15),0)),""),IF(_xlpm.baseThick="","",_xlpm.baseThick))</f>
        <v>23</v>
      </c>
      <c r="L15" s="667">
        <f>IFERROR(VLOOKUP(C15,HELPER!$AP$1:$AQ$25,2,FALSE),"")</f>
        <v>1.44</v>
      </c>
      <c r="M15" s="746">
        <f>IF(C15="","",IF(ISNUMBER(SEARCH("paper",C15)),42/1000*(J15/1000),IF(OR(L15="",L15=0),"",L15*1000*(K15/1000000)*(J15/1000))))</f>
        <v>1.5168959999999999E-2</v>
      </c>
      <c r="N15" s="682" cm="1">
        <f t="array" ref="N15">IF($C15="","",_xlfn.LET(
    _xlpm.mat,TRIM($C15),
    _xlpm.matKey,UPPER(SUBSTITUTE(_xlpm.mat," ","")),
    _xlpm.pr,IFERROR(LOOKUP(2,1/($H$3:H15&lt;&gt;""),$H$3:H15),""),
    _xlpm.widthActual,IFERROR(LOOKUP(2,1/($E$3:E15&lt;&gt;""),$E$3:E15),$E15),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7.95</v>
      </c>
      <c r="O15" s="1107" t="str">
        <f>AP10</f>
        <v>Europe to US</v>
      </c>
      <c r="P15" s="683">
        <f>IF(OR(C15="",A$15&lt;=0),"",IFERROR(IF(O$15="Europe to US",IF(A$15&lt;500,10,IF(A$15&lt;1000,8,IF(A$15&lt;2500,6,IF(A$15&lt;5000,5,4)))),VLOOKUP(O$15,HELPER!$AF$2:$AH$3,3,FALSE)),0))</f>
        <v>10</v>
      </c>
      <c r="Q15" s="1107" t="str">
        <f>AP11</f>
        <v>Quantum</v>
      </c>
      <c r="R15" s="1113" cm="1">
        <f t="array" ref="R15">IF(OR($Q15="",$G15=""),"",IF($J15&gt;IF($Q15="Quantum",760,1220),"Error! lamination width exceeds supplier maximum",_xlfn.LET(_xlpm.struct,$C$15:$C$20,_xlpm.realLayers,SUMPRODUCT(--(_xlpm.struct&lt;&gt;""),--ISERROR(SEARCH("EPOTAL",_xlpm.struct&amp;"")),--ISERROR(SEARCH("BASONAT",_xlpm.struct&amp;"")),--ISERROR(SEARCH("ADH",_xlpm.struct&amp;"")),--ISERROR(SEARCH("HARDENER",_xlpm.struct&amp;""))),_xlpm.lamSteps,MAX(0,_xlpm.realLayers-1),_xlpm.len,$G15,_xlpm.colNum,IF(_xlpm.len&lt;3000,1,IF(_xlpm.len&lt;10000,2,IF(_xlpm.len&lt;25000,3,IF(_xlpm.len&lt;50000,4,IF(_xlpm.len&lt;100000,5,IF(_xlpm.len&lt;250000,6,7)))))),_xlpm.widthRow,IF($E15&lt;900,0,5),_xlpm.supplierRow,IF($Q15="Marma",3,IF(OR($Q15="Bastin",$Q15="Quantum"),13,0)),_xlpm.baseRate,IF(_xlpm.supplierRow=0,"",INDEX('Lmntn &amp; Prntng- Marma &amp; Bastin '!$D$1:$K$22,_xlpm.supplierRow+_xlpm.widthRow,_xlpm.colNum)),IF(_xlpm.realLayers=0,"",_xlpm.baseRate*_xlpm.lamSteps))))</f>
        <v>0.27073800000000003</v>
      </c>
      <c r="S15" s="1113" cm="1">
        <f t="array" ref="S15">IF($Q15="Quantum",IF(OR($Q15="",$I15=0,$I15="0"),"",IF($J15&gt;IF($Q15="Quantum",760,1220),"Error! lamination width exceeds supplier maximum",IF($E15&gt;1200,"Data is missing",_xlfn.LET(_xlpm.len,$G15,_xlpm.colors,$I15,_xlpm.qWidth,IF($E15&lt;=450,450,IF($E15&lt;=760,760,1200)),_xlpm.band,IF(OR(_xlpm.colors=1,_xlpm.colors="1"),"1",IF(OR(_xlpm.colors=2,_xlpm.colors=3,_xlpm.colors="2-3"),"2-3",IF(OR(_xlpm.colors=4,_xlpm.colors=5,_xlpm.colors="3-4",_xlpm.colors="4-5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15="",$I15=0,$I15="0"),"",IF($J15&gt;IF($Q15="Quantum",760,1220),"Error! lamination width exceeds supplier maximum",_xlfn.LET(_xlpm.len,$G15,_xlpm.colors,$I15,_xlpm.colNum,IF(_xlpm.len&lt;3000,1,IF(_xlpm.len&lt;10000,2,IF(_xlpm.len&lt;25000,3,IF(_xlpm.len&lt;50000,4,IF(_xlpm.len&lt;100000,5,IF(_xlpm.len&lt;250000,6,IF(_xlpm.len&lt;500000,7,8))))))),_xlpm.widthRow,IF($E15&lt;900,0,5),_xlpm.colorOffset,IF(OR(_xlpm.colors=1,_xlpm.colors=2,_xlpm.colors="1-2"),1,IF(OR(_xlpm.colors=3,_xlpm.colors=4,_xlpm.colors="3-4"),2,IF(OR(_xlpm.colors&gt;=5,_xlpm.colors="5-6",_xlpm.colors="5-8"),3,0))),_xlpm.supplierRow,IF($Q15="Marma",3,IF($Q15="Bastin",13,0)),IF(OR(_xlpm.supplierRow=0,_xlpm.colorOffset=0),"",INDEX('Lmntn &amp; Prntng- Marma &amp; Bastin '!$D$1:$K$22,_xlpm.supplierRow+_xlpm.widthRow+_xlpm.colorOffset,_xlpm.colNum))))))</f>
        <v>0.93965517241379304</v>
      </c>
      <c r="T15" s="1119">
        <f>IF(OR($S15="",$K15=""),"",IFERROR($S15*(1/$M$20)*($J15/($D15*MAX(1,ROUNDDOWN(760/$D15,0)))),""))</f>
        <v>22.442763622831642</v>
      </c>
      <c r="U15" s="1113" cm="1">
        <f t="array" ref="U15">IF($Q15="","",IF($J15&gt;IF($Q15="Quantum",760,1220),"Error! lamination width exceeds supplier maximum",_xlfn.LET(_xlpm.len,$G15,_xlpm.colNum,IF(_xlpm.len&lt;3000,1,IF(_xlpm.len&lt;10000,2,IF(_xlpm.len&lt;25000,3,IF(_xlpm.len&lt;50000,4,IF(_xlpm.len&lt;100000,5,IF(_xlpm.len&lt;250000,6,7)))))),_xlpm.widthRow,IF($E15&lt;900,0,5),_xlpm.supplierRow,IF($Q15="Marma",7,IF(OR($Q15="Bastin",$Q15="Quantum"),17,0)),IF(_xlpm.supplierRow=0,"",INDEX('Lmntn &amp; Prntng- Marma &amp; Bastin '!$D$1:$K$22,_xlpm.supplierRow+_xlpm.widthRow,_xlpm.colNum)))))</f>
        <v>3.9546000000000005E-2</v>
      </c>
      <c r="V15" s="1115">
        <f>IFERROR(IF(AP22="","",IF($K20&gt;31,(5%+250/$G$15)*AP22,VLOOKUP($K20,HELPER!$BH$3:$BI$5,2,TRUE)*AP22)),"")</f>
        <v>0.90263304509850295</v>
      </c>
      <c r="W15" s="1116">
        <f>IF(OR($H15&lt;&gt;"Printed",$I15=0,$I15="0"),0,IFERROR(AP22*0.028,0)+IFERROR(AP43,0))</f>
        <v>0.66907242946370848</v>
      </c>
      <c r="X15" s="713">
        <f>IF($K15="","",IFERROR($M15*($N15+$P15),""))</f>
        <v>0.27228283199999997</v>
      </c>
      <c r="Y15" s="1118">
        <f>IFERROR((SUM(X15:X20)+SUM(R15:S15,U15))*(1/M20)*(J15/E15)+V15+W15,"")</f>
        <v>52.024292394593026</v>
      </c>
      <c r="Z15" s="684">
        <f>IF(OR($M15="",$M$20=""),"",IFERROR(($N15+$P15)*$M15/$M$20,""))</f>
        <v>5.7932566751120635</v>
      </c>
      <c r="AA15" s="875">
        <f>IF(AP7="Printed",MAX(1,IFERROR(AP9,0)),IFERROR(AP9,0))</f>
        <v>1</v>
      </c>
      <c r="AB15" s="667" t="str">
        <f>IF(OR(AP12="IMP",AP12="By Imp"),IFERROR(AP13/AA15,""),"")</f>
        <v/>
      </c>
      <c r="AC15" s="714">
        <f>AP42</f>
        <v>0.33333333333333331</v>
      </c>
      <c r="AD15" s="715"/>
      <c r="AE15" s="715"/>
      <c r="AF15" s="715"/>
      <c r="AG15" s="747" t="s">
        <v>575</v>
      </c>
      <c r="AH15" s="748" cm="1">
        <f t="array" ref="AH15">IF(OR(AH12="IMP",AH12="By Imp"),IFERROR(AH13/(ROUNDDOWN(AH5/AH14,0))*(AI14/1000),""),IF(AH12="By Length",IFERROR(AH13,""),IF(AH12="By Weight",IFERROR(ROUND(INDEX($G$3:$G$20,MATCH(1,($B$3:$B$20=AH3)*($D$3:$D$20=AH5)*($A$3:$A$20=IF(AH6&lt;&gt;"",AH6,A3))*($O$3:$O$20=AH10)*($K$8:$K$25=AH4),0)),0),""),"")))</f>
        <v>1080</v>
      </c>
      <c r="AI15" s="749" t="s">
        <v>580</v>
      </c>
      <c r="AJ15" s="667"/>
      <c r="AK15" s="747" t="s">
        <v>575</v>
      </c>
      <c r="AL15" s="748" cm="1">
        <f t="array" ref="AL15">IF(OR(AL12="IMP",AL12="By Imp"),IFERROR(AL13/(ROUNDDOWN(AL5/AL14,0))*(AM14/1000),""),IF(AL12="By Length",IFERROR(AL13,""),IF(AL12="By Weight",IFERROR(ROUND(INDEX($G$3:$G$20,MATCH(1,($B$3:$B$20=AL3)*($D$3:$D$20=AL5)*($A$3:$A$20=IF(AL6&lt;&gt;"",AL6,A9))*($O$3:$O$20=AL10)*($K$8:$K$25=AL4),0)),0),""),"")))</f>
        <v>2160</v>
      </c>
      <c r="AM15" s="749" t="s">
        <v>580</v>
      </c>
      <c r="AN15" s="667"/>
      <c r="AO15" s="747" t="s">
        <v>575</v>
      </c>
      <c r="AP15" s="748" cm="1">
        <f t="array" ref="AP15">IF(OR(AP12="IMP",AP12="By Imp"),IFERROR(AP13/(ROUNDDOWN(AP5/AP14,0))*(AQ14/1000),""),IF(AP12="By Length",IFERROR(AP13,""),IF(AP12="By Weight",IFERROR(ROUND(INDEX($G$3:$G$20,MATCH(1,($B$3:$B$20=AP3)*($D$3:$D$20=AP5)*($A$3:$A$20=IF(AP6&lt;&gt;"",AP6,A15))*($O$3:$O$20=AP10),0)),0),""),"")))</f>
        <v>5400</v>
      </c>
      <c r="AQ15" s="749" t="s">
        <v>580</v>
      </c>
      <c r="AR15" s="667"/>
    </row>
    <row r="16" spans="1:44" ht="15.75">
      <c r="A16" s="1106"/>
      <c r="B16" s="1107"/>
      <c r="C16" s="667" t="str">
        <v>TIPA 312 MET</v>
      </c>
      <c r="D16" s="1107"/>
      <c r="E16" s="1107"/>
      <c r="F16" s="1107"/>
      <c r="G16" s="1106"/>
      <c r="H16" s="1107"/>
      <c r="I16" s="1107"/>
      <c r="J16" s="680">
        <f t="shared" si="3"/>
        <v>458</v>
      </c>
      <c r="K16" s="667" cm="1">
        <f t="array" ref="K16">_xlfn.LET(_xlpm.baseThick,IFERROR(INDEX(HELPER!$BX$2:$BX$250,MATCH(1,(TEXT(HELPER!$BZ$2:$BZ$250,"0")=TEXT($B$15,"0"))*(HELPER!$CC$2:$CC$250=$AP$4)*(HELPER!$BW$2:$BW$250=C16),0)),""),IF(_xlpm.baseThick="","",_xlpm.baseThick))</f>
        <v>25</v>
      </c>
      <c r="L16" s="667">
        <f>IFERROR(VLOOKUP(C16,HELPER!$AP$1:$AQ$25,2,FALSE),"")</f>
        <v>1.25</v>
      </c>
      <c r="M16" s="746">
        <f>IF(C16="","",IF(ISNUMBER(SEARCH("paper",C16)),42/1000*(J16/1000),IF(OR(L16="",L16=0),"",L16*1000*(K16/1000000)*(J16/1000))))</f>
        <v>1.4312500000000001E-2</v>
      </c>
      <c r="N16" s="702" cm="1">
        <f t="array" ref="N16">IF($C16="","",_xlfn.LET(
    _xlpm.mat,TRIM($C16),
    _xlpm.matKey,UPPER(SUBSTITUTE(_xlpm.mat," ","")),
    _xlpm.pr,IFERROR(LOOKUP(2,1/($H$3:H16&lt;&gt;""),$H$3:H16),""),
    _xlpm.widthActual,IFERROR(LOOKUP(2,1/($E$3:E16&lt;&gt;""),$E$3:E16),$E16),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6" s="1107"/>
      <c r="P16" s="683">
        <f>IF(OR(C16="",A$15&lt;=0),"",IFERROR(IF(O$15="Europe to US",IF(A$15&lt;500,10,IF(A$15&lt;1000,8,IF(A$15&lt;2500,6,IF(A$15&lt;5000,5,4)))),VLOOKUP(O$15,HELPER!$AF$2:$AH$3,3,FALSE)),0))</f>
        <v>10</v>
      </c>
      <c r="Q16" s="1107"/>
      <c r="R16" s="1113"/>
      <c r="S16" s="1113"/>
      <c r="T16" s="1119"/>
      <c r="U16" s="1113"/>
      <c r="V16" s="1107"/>
      <c r="W16" s="1107"/>
      <c r="X16" s="713">
        <f>IF($K16="","",IFERROR($M16*($N16+$P16),""))</f>
        <v>0.27128311961875001</v>
      </c>
      <c r="Y16" s="1118"/>
      <c r="Z16" s="684">
        <f>IF(OR($M16="",$M$20=""),"",IFERROR(($N16+$P16)*$M16/$M$20,""))</f>
        <v>5.7719861808127071</v>
      </c>
      <c r="AA16" s="667"/>
      <c r="AB16" s="667"/>
      <c r="AC16" s="667"/>
      <c r="AD16" s="668"/>
      <c r="AE16" s="668"/>
      <c r="AF16" s="668"/>
      <c r="AG16" s="750" t="s">
        <v>576</v>
      </c>
      <c r="AH16" s="751">
        <f>IF(AH38&lt;&gt;"",IFERROR(AH38*AH18,""),"")</f>
        <v>3088.452729560051</v>
      </c>
      <c r="AI16" s="752" t="s">
        <v>496</v>
      </c>
      <c r="AJ16" s="667"/>
      <c r="AK16" s="750" t="s">
        <v>576</v>
      </c>
      <c r="AL16" s="751">
        <f>IF(AL38&lt;&gt;"",IFERROR(AL38*AL18,""),"")</f>
        <v>5662.6251691720781</v>
      </c>
      <c r="AM16" s="752" t="s">
        <v>496</v>
      </c>
      <c r="AN16" s="667"/>
      <c r="AO16" s="750" t="s">
        <v>576</v>
      </c>
      <c r="AP16" s="751">
        <f>IF(AP38&lt;&gt;"",IFERROR(AP38*AP18,""),"")</f>
        <v>12022.417755379571</v>
      </c>
      <c r="AQ16" s="752" t="s">
        <v>496</v>
      </c>
      <c r="AR16" s="667"/>
    </row>
    <row r="17" spans="1:44" ht="15.75">
      <c r="A17" s="1106"/>
      <c r="B17" s="1107"/>
      <c r="C17" s="667" t="str">
        <v>TIPA 312 MET</v>
      </c>
      <c r="D17" s="1107"/>
      <c r="E17" s="1107"/>
      <c r="F17" s="1107"/>
      <c r="G17" s="1106"/>
      <c r="H17" s="1107"/>
      <c r="I17" s="1107"/>
      <c r="J17" s="680">
        <f t="shared" si="3"/>
        <v>458</v>
      </c>
      <c r="K17" s="667" cm="1">
        <f t="array" ref="K17">_xlfn.LET(_xlpm.baseThick,IFERROR(INDEX(HELPER!$BX$2:$BX$250,MATCH(1,(TEXT(HELPER!$BZ$2:$BZ$250,"0")=TEXT($B$15,"0"))*(HELPER!$CC$2:$CC$250=$AP$4)*(HELPER!$BW$2:$BW$250=C17),0)),""),IF(_xlpm.baseThick="","",_xlpm.baseThick))</f>
        <v>25</v>
      </c>
      <c r="L17" s="667">
        <f>IFERROR(VLOOKUP(C17,HELPER!$AP$1:$AQ$25,2,FALSE),"")</f>
        <v>1.25</v>
      </c>
      <c r="M17" s="746">
        <f>IF(C17="","",IF(ISNUMBER(SEARCH("paper",C17)),42/1000*(J17/1000),IF(OR(L17="",L17=0),"",L17*1000*(K17/1000000)*(J17/1000))))</f>
        <v>1.4312500000000001E-2</v>
      </c>
      <c r="N17" s="682" cm="1">
        <f t="array" ref="N17">IF($C17="","",_xlfn.LET(
    _xlpm.mat,TRIM($C17),
    _xlpm.matKey,UPPER(SUBSTITUTE(_xlpm.mat," ","")),
    _xlpm.pr,IFERROR(LOOKUP(2,1/($H$3:H17&lt;&gt;""),$H$3:H17),""),
    _xlpm.widthActual,IFERROR(LOOKUP(2,1/($E$3:E17&lt;&gt;""),$E$3:E17),$E17),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8.9542791000000008</v>
      </c>
      <c r="O17" s="1107"/>
      <c r="P17" s="683">
        <f>IF(OR(C17="",A$15&lt;=0),"",IFERROR(IF(O$15="Europe to US",IF(A$15&lt;500,10,IF(A$15&lt;1000,8,IF(A$15&lt;2500,6,IF(A$15&lt;5000,5,4)))),VLOOKUP(O$15,HELPER!$AF$2:$AH$3,3,FALSE)),0))</f>
        <v>10</v>
      </c>
      <c r="Q17" s="1107"/>
      <c r="R17" s="1113"/>
      <c r="S17" s="1113"/>
      <c r="T17" s="1119"/>
      <c r="U17" s="1113"/>
      <c r="V17" s="1107"/>
      <c r="W17" s="1107"/>
      <c r="X17" s="713">
        <f>IF($K17="","",IFERROR($M17*($N17+$P17),""))</f>
        <v>0.27128311961875001</v>
      </c>
      <c r="Y17" s="1118"/>
      <c r="Z17" s="684">
        <f>IF(OR($M17="",$M$20=""),"",IFERROR(($N17+$P17)*$M17/$M$20,""))</f>
        <v>5.7719861808127071</v>
      </c>
      <c r="AA17" s="667"/>
      <c r="AB17" s="667"/>
      <c r="AC17" s="667"/>
      <c r="AD17" s="668"/>
      <c r="AE17" s="668"/>
      <c r="AF17" s="668"/>
      <c r="AG17" s="750" t="s">
        <v>577</v>
      </c>
      <c r="AH17" s="753">
        <f>IF(AH16&lt;&gt;"",IFERROR(AH16*1.16,""),"")</f>
        <v>3582.6051662896589</v>
      </c>
      <c r="AI17" s="752" t="s">
        <v>270</v>
      </c>
      <c r="AJ17" s="667"/>
      <c r="AK17" s="750" t="s">
        <v>577</v>
      </c>
      <c r="AL17" s="753">
        <f>IF(AL16&lt;&gt;"",IFERROR(AL16*1.16,""),"")</f>
        <v>6568.6451962396104</v>
      </c>
      <c r="AM17" s="752" t="s">
        <v>270</v>
      </c>
      <c r="AN17" s="667"/>
      <c r="AO17" s="750" t="s">
        <v>577</v>
      </c>
      <c r="AP17" s="753">
        <f>IF(AP16&lt;&gt;"",IFERROR(AP16*1.16,""),"")</f>
        <v>13946.004596240302</v>
      </c>
      <c r="AQ17" s="752" t="s">
        <v>270</v>
      </c>
      <c r="AR17" s="667"/>
    </row>
    <row r="18" spans="1:44" ht="15.75">
      <c r="A18" s="1106"/>
      <c r="B18" s="1107"/>
      <c r="C18" s="667" t="str">
        <v>RM G Epotal ECO 3675</v>
      </c>
      <c r="D18" s="1107"/>
      <c r="E18" s="1107"/>
      <c r="F18" s="1107"/>
      <c r="G18" s="1106"/>
      <c r="H18" s="1107"/>
      <c r="I18" s="1107"/>
      <c r="J18" s="680">
        <f t="shared" si="3"/>
        <v>458</v>
      </c>
      <c r="K18" s="667" cm="1">
        <f t="array" ref="K18">_xlfn.LET(_xlpm.baseThick,IFERROR(INDEX(HELPER!$BX$2:$BX$250,MATCH(1,(TEXT(HELPER!$BZ$2:$BZ$250,"0")=TEXT($B$15,"0"))*(HELPER!$CC$2:$CC$250=$AP$4)*(HELPER!$BW$2:$BW$250=C18),0)),""),IF(_xlpm.baseThick="","",_xlpm.baseThick))</f>
        <v>7</v>
      </c>
      <c r="L18" s="667">
        <f>IFERROR(VLOOKUP(C18,HELPER!$AP$1:$AQ$25,2,FALSE),"")</f>
        <v>1</v>
      </c>
      <c r="M18" s="746">
        <f>IF(C18="","",IF(ISNUMBER(SEARCH("paper",C18)),42/1000*(J18/1000),IF(OR(L18="",L18=0),"",L18*1000*(K18/1000000)*(J18/1000))))</f>
        <v>3.2060000000000001E-3</v>
      </c>
      <c r="N18" s="682" cm="1">
        <f t="array" ref="N18">IF($C18="","",_xlfn.LET(
    _xlpm.mat,TRIM($C18),
    _xlpm.matKey,UPPER(SUBSTITUTE(_xlpm.mat," ","")),
    _xlpm.pr,IFERROR(LOOKUP(2,1/($H$3:H18&lt;&gt;""),$H$3:H18),""),
    _xlpm.widthActual,IFERROR(LOOKUP(2,1/($E$3:E18&lt;&gt;""),$E$3:E18),$E18),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4.8500000000000005</v>
      </c>
      <c r="O18" s="1107"/>
      <c r="P18" s="683">
        <f>IF(OR(C18="",A$15&lt;=0),"",IFERROR(IF(O$15="Europe to US",IF(A$15&lt;500,10,IF(A$15&lt;1000,8,IF(A$15&lt;2500,6,IF(A$15&lt;5000,5,4)))),VLOOKUP(O$15,HELPER!$AF$2:$AH$3,3,FALSE)),0))</f>
        <v>10</v>
      </c>
      <c r="Q18" s="1107"/>
      <c r="R18" s="1113"/>
      <c r="S18" s="1113"/>
      <c r="T18" s="1119"/>
      <c r="U18" s="1113"/>
      <c r="V18" s="1107"/>
      <c r="W18" s="1107"/>
      <c r="X18" s="713">
        <f t="shared" si="1"/>
        <v>4.7609100000000008E-2</v>
      </c>
      <c r="Y18" s="1118"/>
      <c r="Z18" s="684">
        <f>IF(OR($M18="",$M$20=""),"",IFERROR(($N18+$P18)*$M18/$M$20,""))</f>
        <v>1.0129604365620739</v>
      </c>
      <c r="AA18" s="667"/>
      <c r="AB18" s="667"/>
      <c r="AC18" s="667"/>
      <c r="AD18" s="668"/>
      <c r="AE18" s="668"/>
      <c r="AF18" s="668"/>
      <c r="AG18" s="754" t="s">
        <v>578</v>
      </c>
      <c r="AH18" s="755" cm="1">
        <f t="array" ref="AH18">IF(OR(AND(AH12="By Weight",AH6&lt;&gt;""),AND(AH12="By Length",AH13&lt;&gt;""),AND(OR(AH12="IMP",AH12="By Imp"),AH13&lt;&gt;"",AH14&lt;&gt;"")),IFERROR(_xlfn.LET(_xlpm.r,MATCH(1,($B$3:$B$20=AH3)*($D$3:$D$20=AH5)*($A$3:$A$20=IF(AH6&lt;&gt;"",AH6,A3))*($O$3:$O$20=AH10)*($K$8:$K$25=AH4),0)+2,SUM(AH22:AH23,AH25)+INDEX($V$3:$V$20,_xlpm.r-2)),""),"")</f>
        <v>61.500326699675028</v>
      </c>
      <c r="AI18" s="756" t="s">
        <v>496</v>
      </c>
      <c r="AJ18" s="667"/>
      <c r="AK18" s="754" t="s">
        <v>578</v>
      </c>
      <c r="AL18" s="755" cm="1">
        <f t="array" ref="AL18">IF(OR(AND(AL12="By Weight",AL6&lt;&gt;""),AND(AL12="By Length",AL13&lt;&gt;""),AND(OR(AL12="IMP",AL12="By Imp"),AL13&lt;&gt;"",AL14&lt;&gt;"")),IFERROR(_xlfn.LET(_xlpm.r,MATCH(1,($B$3:$B$20=AL3)*($D$3:$D$20=AL5)*($A$3:$A$20=IF(AL6&lt;&gt;"",AL6,A9))*($O$3:$O$20=AL10)*($K$8:$K$25=AL4),0)+2,SUM(AL22:AL23,AL25)+INDEX($V$3:$V$20,_xlpm.r-2)),""),"")</f>
        <v>59.333674803845355</v>
      </c>
      <c r="AM18" s="756" t="s">
        <v>496</v>
      </c>
      <c r="AN18" s="667"/>
      <c r="AO18" s="754" t="s">
        <v>578</v>
      </c>
      <c r="AP18" s="755" cm="1">
        <f t="array" ref="AP18">IF(OR(AND(AP12="By Weight",AP6&lt;&gt;""),AND(AP12="By Length",AP13&lt;&gt;""),AND(OR(AP12="IMP",AP12="By Imp"),AP13&lt;&gt;"",AP14&lt;&gt;"")),IFERROR(_xlfn.LET(_xlpm.r,MATCH(1,($B$3:$B$20=AP3)*($D$3:$D$20=AP5)*($A$3:$A$20=IF(AP6&lt;&gt;"",AP6,A15))*($O$3:$O$20=AP10),0)+2,SUM(AP22:AP23,AP25)+INDEX($V$3:$V$20,_xlpm.r-2)),""),"")</f>
        <v>52.024292394593026</v>
      </c>
      <c r="AQ18" s="756" t="s">
        <v>496</v>
      </c>
      <c r="AR18" s="667"/>
    </row>
    <row r="19" spans="1:44" ht="15.75">
      <c r="A19" s="1106"/>
      <c r="B19" s="1107"/>
      <c r="C19" s="667"/>
      <c r="D19" s="1107"/>
      <c r="E19" s="1107"/>
      <c r="F19" s="1107"/>
      <c r="G19" s="1106"/>
      <c r="H19" s="1107"/>
      <c r="I19" s="1107"/>
      <c r="J19" s="680" t="str">
        <f t="shared" si="3"/>
        <v/>
      </c>
      <c r="K19" s="667" t="str" cm="1">
        <f t="array" ref="K19">_xlfn.LET(_xlpm.baseThick,IFERROR(INDEX(HELPER!$BX$2:$BX$250,MATCH(1,(TEXT(HELPER!$BZ$2:$BZ$250,"0")=TEXT($B$15,"0"))*(HELPER!$CC$2:$CC$250=$AP$4)*(HELPER!$BW$2:$BW$250=C19),0)),""),IF(_xlpm.baseThick="","",_xlpm.baseThick))</f>
        <v/>
      </c>
      <c r="L19" s="667" t="str">
        <f>IFERROR(VLOOKUP(C19,HELPER!$AP$1:$AQ$25,2,FALSE),"")</f>
        <v/>
      </c>
      <c r="M19" s="746" t="str">
        <f>IF(C19="","",IF(ISNUMBER(SEARCH("paper",C19)),42/1000*(J19/1000),IF(OR(L19="",L19=0),"",L19*1000*(K19/1000000)*(J19/1000))))</f>
        <v/>
      </c>
      <c r="N19" s="682" t="str" cm="1">
        <f t="array" ref="N19">IF($C19="","",_xlfn.LET(
    _xlpm.mat,TRIM($C19),
    _xlpm.matKey,UPPER(SUBSTITUTE(_xlpm.mat," ","")),
    _xlpm.pr,IFERROR(LOOKUP(2,1/($H$3:H19&lt;&gt;""),$H$3:H19),""),
    _xlpm.widthActual,IFERROR(LOOKUP(2,1/($E$3:E19&lt;&gt;""),$E$3:E19),$E19),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19" s="1107"/>
      <c r="P19" s="683" t="str">
        <f>IF(OR(C19="",A$15&lt;=0),"",IFERROR(IF(O$15="Europe to US",IF(A$15&lt;500,10,IF(A$15&lt;1000,8,IF(A$15&lt;2500,6,IF(A$15&lt;5000,5,4)))),VLOOKUP(O$15,HELPER!$AF$2:$AH$3,3,FALSE)),0))</f>
        <v/>
      </c>
      <c r="Q19" s="1107"/>
      <c r="R19" s="1113"/>
      <c r="S19" s="1113"/>
      <c r="T19" s="1119"/>
      <c r="U19" s="1113"/>
      <c r="V19" s="1107"/>
      <c r="W19" s="1107"/>
      <c r="X19" s="713" t="str">
        <f t="shared" si="1"/>
        <v/>
      </c>
      <c r="Y19" s="1118"/>
      <c r="Z19" s="684"/>
      <c r="AA19" s="667"/>
      <c r="AB19" s="667"/>
      <c r="AC19" s="667"/>
      <c r="AD19" s="668"/>
      <c r="AE19" s="668"/>
      <c r="AF19" s="668"/>
      <c r="AG19" s="750" t="s">
        <v>579</v>
      </c>
      <c r="AH19" s="753">
        <f>IF(AH18&lt;&gt;"",IFERROR(AH18*1.16,""),"")</f>
        <v>71.340378971623025</v>
      </c>
      <c r="AI19" s="752" t="s">
        <v>270</v>
      </c>
      <c r="AJ19" s="667"/>
      <c r="AK19" s="750" t="s">
        <v>579</v>
      </c>
      <c r="AL19" s="753">
        <f>IF(AL18&lt;&gt;"",IFERROR(AL18*1.16,""),"")</f>
        <v>68.827062772460607</v>
      </c>
      <c r="AM19" s="752" t="s">
        <v>270</v>
      </c>
      <c r="AN19" s="667"/>
      <c r="AO19" s="750" t="s">
        <v>579</v>
      </c>
      <c r="AP19" s="753">
        <f>IF(AP18&lt;&gt;"",IFERROR(AP18*1.16,""),"")</f>
        <v>60.348179177727907</v>
      </c>
      <c r="AQ19" s="752" t="s">
        <v>270</v>
      </c>
      <c r="AR19" s="667"/>
    </row>
    <row r="20" spans="1:44" ht="16.5" thickBot="1">
      <c r="A20" s="1106"/>
      <c r="B20" s="1107"/>
      <c r="C20" s="667"/>
      <c r="D20" s="1107"/>
      <c r="E20" s="1107"/>
      <c r="F20" s="1107"/>
      <c r="G20" s="1106"/>
      <c r="H20" s="1107"/>
      <c r="I20" s="1107"/>
      <c r="J20" s="680" t="str">
        <f t="shared" si="3"/>
        <v/>
      </c>
      <c r="K20" s="711">
        <f>AP4</f>
        <v>80</v>
      </c>
      <c r="L20" s="667" t="str">
        <f>IFERROR(VLOOKUP(C20,HELPER!$AP$1:$AQ$25,2,FALSE),"")</f>
        <v/>
      </c>
      <c r="M20" s="757">
        <f>SUM(M15:M19)</f>
        <v>4.699996E-2</v>
      </c>
      <c r="N20" s="682" t="str" cm="1">
        <f t="array" ref="N20">IF($C20="","",_xlfn.LET(
    _xlpm.mat,TRIM($C20),
    _xlpm.matKey,UPPER(SUBSTITUTE(_xlpm.mat," ","")),
    _xlpm.pr,IFERROR(LOOKUP(2,1/($H$3:H20&lt;&gt;""),$H$3:H20),""),
    _xlpm.widthActual,IFERROR(LOOKUP(2,1/($E$3:E20&lt;&gt;""),$E$3:E20),$E20),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_xlpm.rawResult,IF(OR(_xlpm.mat="NK",_xlpm.mat="NKR",_xlpm.mat="NVS"),_xlpm.nkHelperCost,IF(_xlpm.baseCost="","",IF(OR(_xlpm.finalFilmCost&lt;&gt;"",LEFT(_xlpm.mat,4)="TIPA"),_xlpm.baseCost,_xlpm.baseCost+_xlpm.euShip))),
    _xlpm.upliftFilm,ISNUMBER(MATCH(_xlpm.matKey,{"TIPA312MET";"TIPA302FG";"TIPA302FGW";"TIPA306M";"TIPA306W";"TIPA312MFG";"TIPA312MFGW"},0)),
    _xlpm.rawResult
  ))</f>
        <v/>
      </c>
      <c r="O20" s="1107"/>
      <c r="P20" s="683" t="str">
        <f>IF(OR(C20="",A$15&lt;=0),"",IFERROR(IF(O$15="Europe to US",IF(A$15&lt;500,10,IF(A$15&lt;1000,8,IF(A$15&lt;2500,6,IF(A$15&lt;5000,5,4)))),VLOOKUP(O$15,HELPER!$AF$2:$AH$3,3,FALSE)),0))</f>
        <v/>
      </c>
      <c r="Q20" s="1107"/>
      <c r="R20" s="1113"/>
      <c r="S20" s="1113"/>
      <c r="T20" s="1119"/>
      <c r="U20" s="1113"/>
      <c r="V20" s="1107"/>
      <c r="W20" s="1107"/>
      <c r="X20" s="713"/>
      <c r="Y20" s="1118"/>
      <c r="Z20" s="667"/>
      <c r="AA20" s="667"/>
      <c r="AB20" s="667"/>
      <c r="AC20" s="667"/>
      <c r="AD20" s="668"/>
      <c r="AE20" s="668"/>
      <c r="AF20" s="668"/>
      <c r="AG20" s="758" t="s">
        <v>836</v>
      </c>
      <c r="AH20" s="759">
        <f>IF(AH38&lt;&gt;"",IFERROR(AH16/AH38,""),"")</f>
        <v>61.500326699675028</v>
      </c>
      <c r="AI20" s="760" t="s">
        <v>837</v>
      </c>
      <c r="AJ20" s="761"/>
      <c r="AK20" s="758" t="s">
        <v>836</v>
      </c>
      <c r="AL20" s="759">
        <f>IF(AL38&lt;&gt;"",IFERROR(AL16/AL38,""),"")</f>
        <v>59.333674803845355</v>
      </c>
      <c r="AM20" s="760" t="s">
        <v>837</v>
      </c>
      <c r="AN20" s="762"/>
      <c r="AO20" s="758" t="s">
        <v>836</v>
      </c>
      <c r="AP20" s="759">
        <f>IF(AP38&lt;&gt;"",IFERROR(AP16/AP38,""),"")</f>
        <v>52.024292394593026</v>
      </c>
      <c r="AQ20" s="760" t="s">
        <v>837</v>
      </c>
      <c r="AR20" s="667"/>
    </row>
    <row r="21" spans="1:44">
      <c r="A21" s="667"/>
      <c r="B21" s="667"/>
      <c r="C21" s="710"/>
      <c r="D21" s="667"/>
      <c r="E21" s="667"/>
      <c r="F21" s="667"/>
      <c r="G21" s="667">
        <f>85772/(ROUNDDOWN(J3/D3,0))</f>
        <v>85772</v>
      </c>
      <c r="H21" s="667"/>
      <c r="I21" s="667"/>
      <c r="J21" s="680" t="str">
        <f t="shared" si="3"/>
        <v/>
      </c>
      <c r="K21" s="763"/>
      <c r="L21" s="667"/>
      <c r="M21" s="667"/>
      <c r="N21" s="682" t="str" cm="1">
        <f t="array" ref="N21">IF($C21="","",_xlfn.LET(
    _xlpm.mat,TRIM($C21),
    _xlpm.matKey,UPPER(SUBSTITUTE(_xlpm.mat," ","")),
    _xlpm.pr,IFERROR(LOOKUP(2,1/($H$3:H21&lt;&gt;""),$H$3:H21),""),
    _xlpm.widthActual,IFERROR(LOOKUP(2,1/($E$3:E21&lt;&gt;""),$E$3:E21),$E21),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1" s="667"/>
      <c r="P21" s="667"/>
      <c r="Q21" s="667"/>
      <c r="R21" s="667"/>
      <c r="S21" s="667"/>
      <c r="T21" s="1120" t="str">
        <f>IF(OR($S21="",$K21=""),"",IFERROR($S21*(1/$M$26)*($J21/($D21*MAX(1,ROUNDDOWN(760/$D21,0)))),""))</f>
        <v/>
      </c>
      <c r="U21" s="667"/>
      <c r="V21" s="667"/>
      <c r="W21" s="667"/>
      <c r="X21" s="713"/>
      <c r="Y21" s="713"/>
      <c r="Z21" s="684"/>
      <c r="AA21" s="667"/>
      <c r="AB21" s="667"/>
      <c r="AC21" s="667"/>
      <c r="AD21" s="668"/>
      <c r="AE21" s="668"/>
      <c r="AF21" s="668"/>
      <c r="AG21" s="667" t="s">
        <v>1213</v>
      </c>
      <c r="AH21" s="765">
        <f>IFERROR(AH40*AH42,"")</f>
        <v>360</v>
      </c>
      <c r="AI21" s="667" t="s">
        <v>580</v>
      </c>
      <c r="AJ21" s="667"/>
      <c r="AK21" s="667" t="s">
        <v>1213</v>
      </c>
      <c r="AL21" s="765">
        <f>IFERROR(AL40*AL42,"")</f>
        <v>720</v>
      </c>
      <c r="AM21" s="667" t="s">
        <v>580</v>
      </c>
      <c r="AN21" s="667"/>
      <c r="AO21" s="667" t="s">
        <v>1213</v>
      </c>
      <c r="AP21" s="765">
        <f>IFERROR(AP40*AP42,"")</f>
        <v>1800</v>
      </c>
      <c r="AQ21" s="667" t="s">
        <v>580</v>
      </c>
      <c r="AR21" s="667"/>
    </row>
    <row r="22" spans="1:44">
      <c r="A22" s="667"/>
      <c r="B22" s="667"/>
      <c r="C22" s="667"/>
      <c r="D22" s="667"/>
      <c r="E22" s="667"/>
      <c r="F22" s="667"/>
      <c r="G22" s="667"/>
      <c r="H22" s="667"/>
      <c r="I22" s="667"/>
      <c r="J22" s="680" t="str">
        <f t="shared" si="3"/>
        <v/>
      </c>
      <c r="K22" s="667"/>
      <c r="L22" s="667"/>
      <c r="M22" s="667"/>
      <c r="N22" s="682" t="str" cm="1">
        <f t="array" ref="N22">IF($C22="","",_xlfn.LET(
    _xlpm.mat,TRIM($C22),
    _xlpm.matKey,UPPER(SUBSTITUTE(_xlpm.mat," ","")),
    _xlpm.pr,IFERROR(LOOKUP(2,1/($H$3:H22&lt;&gt;""),$H$3:H22),""),
    _xlpm.widthActual,IFERROR(LOOKUP(2,1/($E$3:E22&lt;&gt;""),$E$3:E22),$E22),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2" s="667"/>
      <c r="P22" s="667"/>
      <c r="Q22" s="667"/>
      <c r="R22" s="667"/>
      <c r="S22" s="667"/>
      <c r="T22" s="1120"/>
      <c r="U22" s="667"/>
      <c r="V22" s="667"/>
      <c r="W22" s="667"/>
      <c r="X22" s="766"/>
      <c r="Y22" s="766"/>
      <c r="Z22" s="667"/>
      <c r="AA22" s="667"/>
      <c r="AB22" s="667"/>
      <c r="AC22" s="667"/>
      <c r="AD22" s="668"/>
      <c r="AE22" s="668"/>
      <c r="AF22" s="668"/>
      <c r="AG22" s="667" t="s">
        <v>581</v>
      </c>
      <c r="AH22" s="767" cm="1">
        <f t="array" ref="AH22">IF(OR(AND(AH12="By Weight",AH6&lt;&gt;""),AND(AH12="By Length",AH13&lt;&gt;""),AND(OR(AH12="IMP",AH12="By Imp"),AH13&lt;&gt;"",AH14&lt;&gt;"")),IFERROR(_xlfn.LET(_xlpm.r,MATCH(1,($B$3:$B$20=AH3)*($D$3:$D$20=AH5)*($A$3:$A$20=IF(AH6&lt;&gt;"",AH6,A3))*($O$3:$O$20=AH10)*($K$8:$K$25=AH4),0)+2,SUMPRODUCT(INDEX($N$3:$N$20,_xlpm.r-2):INDEX($N$3:$N$20,_xlpm.r+3),INDEX($M$3:$M$20,_xlpm.r-2):INDEX($M$3:$M$20,_xlpm.r+3))*(1/INDEX($M$3:$M$20,MATCH(1,($B$3:$B$20=AH3)*($D$3:$D$20=AH5)*($A$3:$A$20=IF(AH6&lt;&gt;"",AH6,A3))*($O$3:$O$20=AH10)*($K$8:$K$25=AH4),0)+5))*(INDEX($J$3:$J$20,_xlpm.r-2)/INDEX($E$3:$E$20,_xlpm.r-2))),""),"")</f>
        <v>9.3734970067921459</v>
      </c>
      <c r="AI22" s="667"/>
      <c r="AJ22" s="667"/>
      <c r="AK22" s="667" t="s">
        <v>587</v>
      </c>
      <c r="AL22" s="767" cm="1">
        <f t="array" ref="AL22">IF(OR(AND(AL12="By Weight",AL6&lt;&gt;""),AND(AL12="By Length",AL13&lt;&gt;""),AND(OR(AL12="IMP",AL12="By Imp"),AL13&lt;&gt;"",AL14&lt;&gt;"")),IFERROR(_xlfn.LET(_xlpm.r,MATCH(1,($B$3:$B$20=AL3)*($D$3:$D$20=AL5)*($A$3:$A$20=IF(AL6&lt;&gt;"",AL6,A9))*($O$3:$O$20=AL10)*($K$8:$K$25=AL4),0)+2,SUMPRODUCT(INDEX($N$3:$N$20,_xlpm.r-2):INDEX($N$3:$N$20,_xlpm.r+3),INDEX($M$3:$M$20,_xlpm.r-2):INDEX($M$3:$M$20,_xlpm.r+3))*(1/INDEX($M$3:$M$20,MATCH(1,($B$3:$B$20=AL3)*($D$3:$D$20=AL5)*($A$3:$A$20=IF(AL6&lt;&gt;"",AL6,A9))*($O$3:$O$20=AL10)*($K$8:$K$25=AL4),0)+5))*(INDEX($J$3:$J$20,_xlpm.r-2)/INDEX($E$3:$E$20,_xlpm.r-2))),""),"")</f>
        <v>9.3734970067921459</v>
      </c>
      <c r="AM22" s="667"/>
      <c r="AN22" s="667"/>
      <c r="AO22" s="667" t="s">
        <v>587</v>
      </c>
      <c r="AP22" s="767" cm="1">
        <f t="array" ref="AP22">IF(OR(AND(AP12="By Weight",AP6&lt;&gt;""),AND(AP12="By Length",AP13&lt;&gt;""),AND(OR(AP12="IMP",AP12="By Imp"),AP13&lt;&gt;"",AP14&lt;&gt;"")),IFERROR(_xlfn.LET(_xlpm.r,MATCH(1,($B$3:$B$20=AP3)*($D$3:$D$20=AP5)*($A$3:$A$20=IF(AP6&lt;&gt;"",AP6,A15))*($O$3:$O$20=AP10),0)+2,SUMPRODUCT(INDEX($N$3:$N$20,_xlpm.r-2):INDEX($N$3:$N$20,_xlpm.r+3),INDEX($M$3:$M$20,_xlpm.r-2):INDEX($M$3:$M$20,_xlpm.r+3))*(1/INDEX($M$3:$M$20,MATCH(1,($B$3:$B$20=AP3)*($D$3:$D$20=AP5)*($A$3:$A$20=IF(AP6&lt;&gt;"",AP6,A15))*($O$3:$O$20=AP10),0)+5))*(INDEX($J$3:$J$20,_xlpm.r-2)/INDEX($E$3:$E$20,_xlpm.r-2))),""),"")</f>
        <v>9.3734970067921459</v>
      </c>
      <c r="AQ22" s="667"/>
      <c r="AR22" s="667"/>
    </row>
    <row r="23" spans="1:44">
      <c r="A23" s="667"/>
      <c r="B23" s="667"/>
      <c r="C23" s="667"/>
      <c r="D23" s="667"/>
      <c r="E23" s="667"/>
      <c r="F23" s="667"/>
      <c r="G23" s="667"/>
      <c r="H23" s="667"/>
      <c r="I23" s="667"/>
      <c r="J23" s="680" t="str">
        <f t="shared" si="3"/>
        <v/>
      </c>
      <c r="K23" s="667"/>
      <c r="L23" s="667"/>
      <c r="M23" s="667"/>
      <c r="N23" s="682" t="str" cm="1">
        <f t="array" ref="N23">IF($C23="","",_xlfn.LET(
    _xlpm.mat,TRIM($C23),
    _xlpm.matKey,UPPER(SUBSTITUTE(_xlpm.mat," ","")),
    _xlpm.pr,IFERROR(LOOKUP(2,1/($H$3:H23&lt;&gt;""),$H$3:H23),""),
    _xlpm.widthActual,IFERROR(LOOKUP(2,1/($E$3:E23&lt;&gt;""),$E$3:E23),$E23),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3" s="667"/>
      <c r="P23" s="667"/>
      <c r="Q23" s="667"/>
      <c r="R23" s="667"/>
      <c r="S23" s="667"/>
      <c r="T23" s="1120"/>
      <c r="U23" s="667"/>
      <c r="V23" s="667"/>
      <c r="W23" s="667"/>
      <c r="X23" s="667"/>
      <c r="Y23" s="667"/>
      <c r="Z23" s="768"/>
      <c r="AA23" s="667"/>
      <c r="AB23" s="667"/>
      <c r="AC23" s="667"/>
      <c r="AD23" s="668"/>
      <c r="AE23" s="668"/>
      <c r="AF23" s="668"/>
      <c r="AG23" s="667" t="s">
        <v>582</v>
      </c>
      <c r="AH23" s="767" cm="1">
        <f t="array" ref="AH23">IF(OR(AND(AH12="By Weight",AH6&lt;&gt;""),AND(AH12="By Length",AH13&lt;&gt;""),AND(OR(AH12="IMP",AH12="By Imp"),AH13&lt;&gt;"",AH14&lt;&gt;"")),IFERROR(_xlfn.LET(_xlpm.r,MATCH(1,($B$3:$B$20=AH3)*($D$3:$D$20=AH5)*($A$3:$A$20=IF(AH6&lt;&gt;"",AH6,A3))*($O$3:$O$20=AH10)*($K$8:$K$25=AH4),0)+2,SUMPRODUCT(INDEX($P$3:$P$20,_xlpm.r-2):INDEX($P$3:$P$20,_xlpm.r+3),INDEX($M$3:$M$20,_xlpm.r-2):INDEX($M$3:$M$20,_xlpm.r+3))*(1/INDEX($M$3:$M$20,MATCH(1,($B$3:$B$20=AH3)*($D$3:$D$20=AH5)*($A$3:$A$20=IF(AH6&lt;&gt;"",AH6,A3))*($O$3:$O$20=AH10)*($K$8:$K$25=AH4),0)+5))*(INDEX($J$3:$J$20,_xlpm.r-2)/INDEX($E$3:$E$20,_xlpm.r-2))),""),"")</f>
        <v>11.225490196078432</v>
      </c>
      <c r="AI23" s="667"/>
      <c r="AJ23" s="667"/>
      <c r="AK23" s="667" t="s">
        <v>588</v>
      </c>
      <c r="AL23" s="767" cm="1">
        <f t="array" ref="AL23">IF(OR(AND(AL12="By Weight",AL6&lt;&gt;""),AND(AL12="By Length",AL13&lt;&gt;""),AND(OR(AL12="IMP",AL12="By Imp"),AL13&lt;&gt;"",AL14&lt;&gt;"")),IFERROR(_xlfn.LET(_xlpm.r,MATCH(1,($B$3:$B$20=AL3)*($D$3:$D$20=AL5)*($A$3:$A$20=IF(AL6&lt;&gt;"",AL6,A9))*($O$3:$O$20=AL10)*($K$8:$K$25=AL4),0)+2,SUMPRODUCT(INDEX($P$3:$P$20,_xlpm.r-2):INDEX($P$3:$P$20,_xlpm.r+3),INDEX($M$3:$M$20,_xlpm.r-2):INDEX($M$3:$M$20,_xlpm.r+3))*(1/INDEX($M$3:$M$20,MATCH(1,($B$3:$B$20=AL3)*($D$3:$D$20=AL5)*($A$3:$A$20=IF(AL6&lt;&gt;"",AL6,A9))*($O$3:$O$20=AL10)*($K$8:$K$25=AL4),0)+5))*(INDEX($J$3:$J$20,_xlpm.r-2)/INDEX($E$3:$E$20,_xlpm.r-2))),""),"")</f>
        <v>11.225490196078432</v>
      </c>
      <c r="AM23" s="667"/>
      <c r="AN23" s="667"/>
      <c r="AO23" s="667" t="s">
        <v>588</v>
      </c>
      <c r="AP23" s="767" cm="1">
        <f t="array" ref="AP23">IF(OR(AND(AP12="By Weight",AP6&lt;&gt;""),AND(AP12="By Length",AP13&lt;&gt;""),AND(OR(AP12="IMP",AP12="By Imp"),AP13&lt;&gt;"",AP14&lt;&gt;"")),IFERROR(_xlfn.LET(_xlpm.r,MATCH(1,($B$3:$B$20=AP3)*($D$3:$D$20=AP5)*($A$3:$A$20=IF(AP6&lt;&gt;"",AP6,A15))*($O$3:$O$20=AP10),0)+2,SUMPRODUCT(INDEX($P$3:$P$20,_xlpm.r-2):INDEX($P$3:$P$20,_xlpm.r+3),INDEX($M$3:$M$20,_xlpm.r-2):INDEX($M$3:$M$20,_xlpm.r+3))*(1/INDEX($M$3:$M$20,MATCH(1,($B$3:$B$20=AP3)*($D$3:$D$20=AP5)*($A$3:$A$20=IF(AP6&lt;&gt;"",AP6,A15))*($O$3:$O$20=AP10),0)+5))*(INDEX($J$3:$J$20,_xlpm.r-2)/INDEX($E$3:$E$20,_xlpm.r-2))),""),"")</f>
        <v>11.225490196078432</v>
      </c>
      <c r="AQ23" s="667"/>
      <c r="AR23" s="667"/>
    </row>
    <row r="24" spans="1:44">
      <c r="A24" s="667"/>
      <c r="B24" s="667"/>
      <c r="C24" s="667"/>
      <c r="D24" s="667"/>
      <c r="E24" s="667"/>
      <c r="F24" s="667"/>
      <c r="G24" s="667"/>
      <c r="H24" s="667"/>
      <c r="I24" s="667"/>
      <c r="J24" s="680" t="str">
        <f t="shared" si="3"/>
        <v/>
      </c>
      <c r="K24" s="667"/>
      <c r="L24" s="667"/>
      <c r="M24" s="667"/>
      <c r="N24" s="682" t="str" cm="1">
        <f t="array" ref="N24">IF($C24="","",_xlfn.LET(
    _xlpm.mat,TRIM($C24),
    _xlpm.matKey,UPPER(SUBSTITUTE(_xlpm.mat," ","")),
    _xlpm.pr,IFERROR(LOOKUP(2,1/($H$3:H24&lt;&gt;""),$H$3:H24),""),
    _xlpm.widthActual,IFERROR(LOOKUP(2,1/($E$3:E24&lt;&gt;""),$E$3:E24),$E24),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4" s="667"/>
      <c r="P24" s="667"/>
      <c r="Q24" s="667"/>
      <c r="R24" s="667"/>
      <c r="S24" s="667"/>
      <c r="T24" s="1120"/>
      <c r="U24" s="667"/>
      <c r="V24" s="667"/>
      <c r="W24" s="667"/>
      <c r="X24" s="667"/>
      <c r="Y24" s="667"/>
      <c r="Z24" s="667"/>
      <c r="AA24" s="667"/>
      <c r="AB24" s="667"/>
      <c r="AC24" s="667"/>
      <c r="AD24" s="668"/>
      <c r="AE24" s="668"/>
      <c r="AF24" s="668"/>
      <c r="AG24" s="667" t="s">
        <v>583</v>
      </c>
      <c r="AH24" s="767" cm="1">
        <f t="array" ref="AH24">IF(OR(AND(AH12="By Weight",AH6&lt;&gt;""),AND(AH12="By Length",AH13&lt;&gt;""),AND(OR(AH12="IMP",AH12="By Imp"),AH13&lt;&gt;"",AH14&lt;&gt;"")),IFERROR(_xlfn.LET(_xlpm.r,MATCH(1,($B$3:$B$20=AH3)*($D$3:$D$20=AH5)*($A$3:$A$20=IF(AH6&lt;&gt;"",AH6,A3))*($O$3:$O$20=AH10)*($K$8:$K$25=AH4),0)+2,INDEX($R$3:$R$20,_xlpm.r-2)*(1/INDEX($M$3:$M$20,MATCH(1,($B$3:$B$20=AH3)*($D$3:$D$20=AH5)*($A$3:$A$20=IF(AH6&lt;&gt;"",AH6,A3))*($O$3:$O$20=AH10)*($K$8:$K$25=AH4),0)+5))*(INDEX($J$3:$J$20,_xlpm.r-2)/INDEX($E$3:$E$20,_xlpm.r-2))),""),"")</f>
        <v>7.2487589851766083</v>
      </c>
      <c r="AI24" s="667"/>
      <c r="AJ24" s="667"/>
      <c r="AK24" s="667" t="s">
        <v>589</v>
      </c>
      <c r="AL24" s="767" cm="1">
        <f t="array" ref="AL24">IF(OR(AND(AL12="By Weight",AL6&lt;&gt;""),AND(AL12="By Length",AL13&lt;&gt;""),AND(OR(AL12="IMP",AL12="By Imp"),AL13&lt;&gt;"",AL14&lt;&gt;"")),IFERROR(_xlfn.LET(_xlpm.r,MATCH(1,($B$3:$B$20=AL3)*($D$3:$D$20=AL5)*($A$3:$A$20=IF(AL6&lt;&gt;"",AL6,A9))*($O$3:$O$20=AL10)*($K$8:$K$25=AL4),0)+2,INDEX($R$3:$R$20,_xlpm.r-2)*(1/INDEX($M$3:$M$20,MATCH(1,($B$3:$B$20=AL3)*($D$3:$D$20=AL5)*($A$3:$A$20=IF(AL6&lt;&gt;"",AL6,A9))*($O$3:$O$20=AL10)*($K$8:$K$25=AL4),0)+5))*(INDEX($J$3:$J$20,_xlpm.r-2)/INDEX($E$3:$E$20,_xlpm.r-2))),""),"")</f>
        <v>7.2487589851766083</v>
      </c>
      <c r="AM24" s="667"/>
      <c r="AN24" s="667"/>
      <c r="AO24" s="667" t="s">
        <v>589</v>
      </c>
      <c r="AP24" s="767" cm="1">
        <f t="array" ref="AP24">IF(OR(AND(AP12="By Weight",AP6&lt;&gt;""),AND(AP12="By Length",AP13&lt;&gt;""),AND(OR(AP12="IMP",AP12="By Imp"),AP13&lt;&gt;"",AP14&lt;&gt;"")),IFERROR(_xlfn.LET(_xlpm.r,MATCH(1,($B$3:$B$20=AP3)*($D$3:$D$20=AP5)*($A$3:$A$20=IF(AP6&lt;&gt;"",AP6,A15))*($O$3:$O$20=AP10),0)+2,INDEX($R$3:$R$20,_xlpm.r-2)*(1/INDEX($M$3:$M$20,MATCH(1,($B$3:$B$20=AP3)*($D$3:$D$20=AP5)*($A$3:$A$20=IF(AP6&lt;&gt;"",AP6,A15))*($O$3:$O$20=AP10),0)+5))*(INDEX($J$3:$J$20,_xlpm.r-2)/INDEX($E$3:$E$20,_xlpm.r-2))),""),"")</f>
        <v>6.4663177685808311</v>
      </c>
      <c r="AQ24" s="667"/>
      <c r="AR24" s="667"/>
    </row>
    <row r="25" spans="1:44" ht="15.75" thickBot="1">
      <c r="A25" s="667"/>
      <c r="B25" s="667"/>
      <c r="C25" s="667"/>
      <c r="D25" s="667"/>
      <c r="E25" s="667"/>
      <c r="F25" s="667"/>
      <c r="G25" s="667"/>
      <c r="H25" s="667"/>
      <c r="I25" s="667"/>
      <c r="J25" s="680" t="str">
        <f t="shared" si="3"/>
        <v/>
      </c>
      <c r="K25" s="667"/>
      <c r="L25" s="667"/>
      <c r="M25" s="667"/>
      <c r="N25" s="682" t="str" cm="1">
        <f t="array" ref="N25">IF($C25="","",_xlfn.LET(
    _xlpm.mat,TRIM($C25),
    _xlpm.matKey,UPPER(SUBSTITUTE(_xlpm.mat," ","")),
    _xlpm.pr,IFERROR(LOOKUP(2,1/($H$3:H25&lt;&gt;""),$H$3:H25),""),
    _xlpm.widthActual,IFERROR(LOOKUP(2,1/($E$3:E25&lt;&gt;""),$E$3:E25),$E25),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5" s="667"/>
      <c r="P25" s="667"/>
      <c r="Q25" s="667"/>
      <c r="R25" s="667"/>
      <c r="S25" s="667"/>
      <c r="T25" s="1120"/>
      <c r="U25" s="667"/>
      <c r="V25" s="667"/>
      <c r="W25" s="667"/>
      <c r="X25" s="667"/>
      <c r="Y25" s="667"/>
      <c r="Z25" s="769"/>
      <c r="AA25" s="667"/>
      <c r="AB25" s="667"/>
      <c r="AC25" s="667"/>
      <c r="AD25" s="668"/>
      <c r="AE25" s="668"/>
      <c r="AF25" s="668"/>
      <c r="AG25" s="667" t="s">
        <v>840</v>
      </c>
      <c r="AH25" s="767" cm="1">
        <f t="array" ref="AH25">IF(OR(AND(AH12="By Weight",AH6&lt;&gt;""),AND(AH12="By Length",AH13&lt;&gt;""),AND(OR(AH12="IMP",AH12="By Imp"),AH13&lt;&gt;"",AH14&lt;&gt;"")),IFERROR(_xlfn.LET(_xlpm.r,MATCH(1,($B$3:$B$20=AH3)*($D$3:$D$20=AH5)*($A$3:$A$20=IF(AH6&lt;&gt;"",AH6,A3))*($O$3:$O$20=AH10)*($K$8:$K$25=AH4),0)+2,(SUM(INDEX($R$3:$S$20,_xlpm.r-2,1):INDEX($R$3:$S$20,_xlpm.r-2,2))+INDEX($U$3:$U$20,_xlpm.r-2))*(1/INDEX($M$3:$M$20,MATCH(1,($B$3:$B$20=AH3)*($D$3:$D$20=AH5)*($A$3:$A$20=IF(AH6&lt;&gt;"",AH6,A3))*($O$3:$O$20=AH10)*($K$8:$K$25=AH4),0)+5))*(INDEX($J$3:$J$20,_xlpm.r-2)/INDEX($E$3:$E$20,_xlpm.r-2))+INDEX($W$3:$W$20,_xlpm.r-2)),""),"")</f>
        <v>38.262873672670359</v>
      </c>
      <c r="AI25" s="667"/>
      <c r="AJ25" s="667"/>
      <c r="AK25" s="667" t="s">
        <v>841</v>
      </c>
      <c r="AL25" s="767" cm="1">
        <f t="array" ref="AL25">IF(OR(AND(AL12="By Weight",AL6&lt;&gt;""),AND(AL12="By Length",AL13&lt;&gt;""),AND(OR(AL12="IMP",AL12="By Imp"),AL13&lt;&gt;"",AL14&lt;&gt;"")),IFERROR(_xlfn.LET(_xlpm.r,MATCH(1,($B$3:$B$20=AL3)*($D$3:$D$20=AL5)*($A$3:$A$20=IF(AL6&lt;&gt;"",AL6,A9))*($O$3:$O$20=AL10)*($K$8:$K$25=AL4),0)+2,(SUM(INDEX($R$3:$S$20,_xlpm.r-2,1):INDEX($R$3:$S$20,_xlpm.r-2,2))+INDEX($U$3:$U$20,_xlpm.r-2))*(1/INDEX($M$3:$M$20,MATCH(1,($B$3:$B$20=AL3)*($D$3:$D$20=AL5)*($A$3:$A$20=IF(AL6&lt;&gt;"",AL6,A9))*($O$3:$O$20=AL10)*($K$8:$K$25=AL4),0)+5))*(INDEX($J$3:$J$20,_xlpm.r-2)/INDEX($E$3:$E$20,_xlpm.r-2))+INDEX($W$3:$W$20,_xlpm.r-2)),""),"")</f>
        <v>37.181117263737924</v>
      </c>
      <c r="AM25" s="667"/>
      <c r="AN25" s="667"/>
      <c r="AO25" s="667" t="s">
        <v>841</v>
      </c>
      <c r="AP25" s="767" cm="1">
        <f t="array" ref="AP25">IF(OR(AND(AP12="By Weight",AP6&lt;&gt;""),AND(AP12="By Length",AP13&lt;&gt;""),AND(OR(AP12="IMP",AP12="By Imp"),AP13&lt;&gt;"",AP14&lt;&gt;"")),IFERROR(_xlfn.LET(_xlpm.r,MATCH(1,($B$3:$B$20=AP3)*($D$3:$D$20=AP5)*($A$3:$A$20=IF(AP6&lt;&gt;"",AP6,A15))*($O$3:$O$20=AP10),0)+2,(SUM(INDEX($R$3:$S$20,_xlpm.r-2,1):INDEX($R$3:$S$20,_xlpm.r-2,2))+INDEX($U$3:$U$20,_xlpm.r-2))*(1/INDEX($M$3:$M$20,MATCH(1,($B$3:$B$20=AP3)*($D$3:$D$20=AP5)*($A$3:$A$20=IF(AP6&lt;&gt;"",AP6,A15))*($O$3:$O$20=AP10),0)+5))*(INDEX($J$3:$J$20,_xlpm.r-2)/INDEX($E$3:$E$20,_xlpm.r-2))+INDEX($W$3:$W$20,_xlpm.r-2)),""),"")</f>
        <v>30.522672146623943</v>
      </c>
      <c r="AQ25" s="667"/>
      <c r="AR25" s="667"/>
    </row>
    <row r="26" spans="1:44" ht="15.75">
      <c r="A26" s="667"/>
      <c r="B26" s="667"/>
      <c r="C26" s="667"/>
      <c r="D26" s="667"/>
      <c r="E26" s="667"/>
      <c r="F26" s="667"/>
      <c r="G26" s="667"/>
      <c r="H26" s="667"/>
      <c r="I26" s="667"/>
      <c r="J26" s="680" t="str">
        <f t="shared" si="3"/>
        <v/>
      </c>
      <c r="K26" s="667"/>
      <c r="L26" s="667"/>
      <c r="M26" s="667"/>
      <c r="N26" s="682" t="str" cm="1">
        <f t="array" ref="N26">IF($C26="","",_xlfn.LET(
    _xlpm.mat,TRIM($C26),
    _xlpm.matKey,UPPER(SUBSTITUTE(_xlpm.mat," ","")),
    _xlpm.pr,IFERROR(LOOKUP(2,1/($H$3:H26&lt;&gt;""),$H$3:H26),""),
    _xlpm.widthActual,IFERROR(LOOKUP(2,1/($E$3:E26&lt;&gt;""),$E$3:E26),$E26),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6" s="667"/>
      <c r="P26" s="667"/>
      <c r="Q26" s="667"/>
      <c r="R26" s="667"/>
      <c r="S26" s="667"/>
      <c r="T26" s="1120"/>
      <c r="U26" s="667"/>
      <c r="V26" s="667"/>
      <c r="W26" s="667"/>
      <c r="X26" s="667"/>
      <c r="Y26" s="667"/>
      <c r="Z26" s="769"/>
      <c r="AA26" s="667"/>
      <c r="AB26" s="667"/>
      <c r="AC26" s="667"/>
      <c r="AD26" s="668"/>
      <c r="AE26" s="668"/>
      <c r="AF26" s="668"/>
      <c r="AG26" s="1121" t="s">
        <v>997</v>
      </c>
      <c r="AH26" s="1122"/>
      <c r="AI26" s="1123"/>
      <c r="AJ26" s="667"/>
      <c r="AK26" s="1121" t="s">
        <v>997</v>
      </c>
      <c r="AL26" s="1122"/>
      <c r="AM26" s="1123"/>
      <c r="AN26" s="667"/>
      <c r="AO26" s="1121" t="s">
        <v>997</v>
      </c>
      <c r="AP26" s="1122"/>
      <c r="AQ26" s="1123"/>
      <c r="AR26" s="667"/>
    </row>
    <row r="27" spans="1:44" ht="21">
      <c r="A27" s="667"/>
      <c r="B27" s="667"/>
      <c r="C27" s="667"/>
      <c r="D27" s="667"/>
      <c r="E27" s="667"/>
      <c r="F27" s="667"/>
      <c r="G27" s="667"/>
      <c r="H27" s="667"/>
      <c r="I27" s="667"/>
      <c r="J27" s="680"/>
      <c r="K27" s="667"/>
      <c r="L27" s="667"/>
      <c r="M27" s="667"/>
      <c r="N27" s="682"/>
      <c r="O27" s="667"/>
      <c r="P27" s="667"/>
      <c r="Q27" s="667"/>
      <c r="R27" s="667"/>
      <c r="S27" s="667"/>
      <c r="T27" s="764"/>
      <c r="U27" s="667"/>
      <c r="V27" s="667"/>
      <c r="W27" s="667"/>
      <c r="X27" s="667"/>
      <c r="Y27" s="667"/>
      <c r="Z27" s="769"/>
      <c r="AA27" s="667"/>
      <c r="AB27" s="667"/>
      <c r="AC27" s="667"/>
      <c r="AD27" s="668"/>
      <c r="AE27" s="668"/>
      <c r="AF27" s="668"/>
      <c r="AG27" s="1124">
        <f>IF(AH38&lt;&gt;"",IFERROR(AH18/(1-AH1),""),"")</f>
        <v>61.500326699675028</v>
      </c>
      <c r="AH27" s="1125"/>
      <c r="AI27" s="1126"/>
      <c r="AJ27" s="667"/>
      <c r="AK27" s="1124">
        <f>IF(AL38&lt;&gt;"",IFERROR(AL18/(1-AL1),""),"")</f>
        <v>59.333674803845355</v>
      </c>
      <c r="AL27" s="1125"/>
      <c r="AM27" s="1126"/>
      <c r="AN27" s="667"/>
      <c r="AO27" s="1124">
        <f>IF(AP38&lt;&gt;"",IFERROR(AP18/(1-AP1),""),"")</f>
        <v>52.024292394593026</v>
      </c>
      <c r="AP27" s="1125"/>
      <c r="AQ27" s="1126"/>
      <c r="AR27" s="667"/>
    </row>
    <row r="28" spans="1:44">
      <c r="A28" s="667"/>
      <c r="B28" s="667"/>
      <c r="C28" s="667"/>
      <c r="D28" s="667"/>
      <c r="E28" s="667"/>
      <c r="F28" s="667"/>
      <c r="G28" s="667"/>
      <c r="H28" s="667"/>
      <c r="I28" s="667"/>
      <c r="J28" s="680"/>
      <c r="K28" s="667"/>
      <c r="L28" s="667"/>
      <c r="M28" s="667"/>
      <c r="N28" s="682"/>
      <c r="O28" s="667"/>
      <c r="P28" s="667"/>
      <c r="Q28" s="667"/>
      <c r="R28" s="667"/>
      <c r="S28" s="667"/>
      <c r="T28" s="764"/>
      <c r="U28" s="667"/>
      <c r="V28" s="667"/>
      <c r="W28" s="667"/>
      <c r="X28" s="667"/>
      <c r="Y28" s="667"/>
      <c r="Z28" s="769"/>
      <c r="AA28" s="667"/>
      <c r="AB28" s="667"/>
      <c r="AC28" s="667"/>
      <c r="AD28" s="668"/>
      <c r="AE28" s="668"/>
      <c r="AF28" s="668"/>
      <c r="AG28" s="775" t="s">
        <v>1041</v>
      </c>
      <c r="AH28" s="768">
        <f>IF(OR(AH15="",AH38=""),"",IFERROR(AG27*AH38/AH15,""))</f>
        <v>2.8596784532963437</v>
      </c>
      <c r="AI28" s="770" t="s">
        <v>998</v>
      </c>
      <c r="AJ28" s="667"/>
      <c r="AK28" s="775" t="s">
        <v>1041</v>
      </c>
      <c r="AL28" s="768">
        <f>IF(OR(AL15="",AL38=""),"",IFERROR(AK27*AL38/AL15,""))</f>
        <v>2.6215857264685547</v>
      </c>
      <c r="AM28" s="770" t="s">
        <v>998</v>
      </c>
      <c r="AN28" s="667"/>
      <c r="AO28" s="775" t="s">
        <v>1041</v>
      </c>
      <c r="AP28" s="768">
        <f>IF(OR(AP15="",AP38=""),"",IFERROR(AO27*AP38/AP15,""))</f>
        <v>2.2263736584036242</v>
      </c>
      <c r="AQ28" s="770" t="s">
        <v>998</v>
      </c>
      <c r="AR28" s="667"/>
    </row>
    <row r="29" spans="1:44">
      <c r="A29" s="667"/>
      <c r="B29" s="667"/>
      <c r="C29" s="667"/>
      <c r="D29" s="667"/>
      <c r="E29" s="667"/>
      <c r="F29" s="667"/>
      <c r="G29" s="667"/>
      <c r="H29" s="667"/>
      <c r="I29" s="667"/>
      <c r="J29" s="680" t="str">
        <f>IF($C29="","",IF($E$15="","",IF(ISNUMBER($E$15),_xlfn.LET(_xlpm.cap,IF($Q$15="Quantum",760,1220),IF($E$15+50&gt;_xlpm.cap,"ERROR: Lamination Width &gt; "&amp;_xlpm.cap,$E$15+50)),$E$15)))</f>
        <v/>
      </c>
      <c r="K29" s="667"/>
      <c r="L29" s="667"/>
      <c r="M29" s="667"/>
      <c r="N29" s="682" t="str" cm="1">
        <f t="array" ref="N29">IF($C29="","",_xlfn.LET(
    _xlpm.mat,TRIM($C29),
    _xlpm.matKey,UPPER(SUBSTITUTE(_xlpm.mat," ","")),
    _xlpm.pr,IFERROR(LOOKUP(2,1/($H$3:H29&lt;&gt;""),$H$3:H29),""),
    _xlpm.widthActual,IFERROR(LOOKUP(2,1/($E$3:E29&lt;&gt;""),$E$3:E29),$E29),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9" s="667"/>
      <c r="P29" s="667"/>
      <c r="Q29" s="667"/>
      <c r="R29" s="667"/>
      <c r="S29" s="667"/>
      <c r="T29" s="667" t="str">
        <f>IF(OR($S29="",$K29=""),"",IFERROR($S29*(1/$M$37)*($J29/($D29*MAX(1,ROUNDDOWN(760/$D29,0)))),""))</f>
        <v/>
      </c>
      <c r="U29" s="667"/>
      <c r="V29" s="667"/>
      <c r="W29" s="667"/>
      <c r="X29" s="667"/>
      <c r="Y29" s="667"/>
      <c r="Z29" s="771"/>
      <c r="AA29" s="667"/>
      <c r="AB29" s="667"/>
      <c r="AC29" s="667"/>
      <c r="AD29" s="668"/>
      <c r="AE29" s="668"/>
      <c r="AF29" s="668"/>
      <c r="AG29" s="775" t="s">
        <v>1042</v>
      </c>
      <c r="AH29" s="767">
        <f>IFERROR(AG27,"")</f>
        <v>61.500326699675028</v>
      </c>
      <c r="AI29" s="770" t="s">
        <v>837</v>
      </c>
      <c r="AJ29" s="667"/>
      <c r="AK29" s="775" t="s">
        <v>1042</v>
      </c>
      <c r="AL29" s="767">
        <f>IFERROR(AK27,"")</f>
        <v>59.333674803845355</v>
      </c>
      <c r="AM29" s="770" t="s">
        <v>837</v>
      </c>
      <c r="AN29" s="667"/>
      <c r="AO29" s="775" t="s">
        <v>1042</v>
      </c>
      <c r="AP29" s="767">
        <f>IFERROR(AO27,"")</f>
        <v>52.024292394593026</v>
      </c>
      <c r="AQ29" s="770" t="s">
        <v>837</v>
      </c>
      <c r="AR29" s="667"/>
    </row>
    <row r="30" spans="1:44">
      <c r="A30" s="667"/>
      <c r="B30" s="667"/>
      <c r="C30" s="667"/>
      <c r="D30" s="667"/>
      <c r="E30" s="667"/>
      <c r="F30" s="667"/>
      <c r="G30" s="667"/>
      <c r="H30" s="667"/>
      <c r="I30" s="667"/>
      <c r="J30" s="680"/>
      <c r="K30" s="667"/>
      <c r="L30" s="667"/>
      <c r="M30" s="667"/>
      <c r="N30" s="682"/>
      <c r="O30" s="667"/>
      <c r="P30" s="667"/>
      <c r="Q30" s="667"/>
      <c r="R30" s="667"/>
      <c r="S30" s="667"/>
      <c r="T30" s="667"/>
      <c r="U30" s="667"/>
      <c r="V30" s="667"/>
      <c r="W30" s="667"/>
      <c r="X30" s="667"/>
      <c r="Y30" s="667"/>
      <c r="Z30" s="771"/>
      <c r="AA30" s="667"/>
      <c r="AB30" s="667"/>
      <c r="AC30" s="667"/>
      <c r="AD30" s="668"/>
      <c r="AE30" s="668"/>
      <c r="AF30" s="668"/>
      <c r="AG30" s="775" t="s">
        <v>1043</v>
      </c>
      <c r="AH30" s="768" t="str">
        <f>IF(OR(AH28="",AH5="",AH14="",AI14=""),"",IFERROR(AH28*(AI14/1000)/ROUNDDOWN(AH5/AH14,0),""))</f>
        <v/>
      </c>
      <c r="AI30" s="770" t="s">
        <v>1044</v>
      </c>
      <c r="AJ30" s="667"/>
      <c r="AK30" s="775" t="s">
        <v>1043</v>
      </c>
      <c r="AL30" s="768" t="str">
        <f>IF(OR(AL28="",AL5="",AL14="",AM14=""),"",IFERROR(AL28*(AM14/1000)/ROUNDDOWN(AL5/AL14,0),""))</f>
        <v/>
      </c>
      <c r="AM30" s="770" t="s">
        <v>1044</v>
      </c>
      <c r="AN30" s="667"/>
      <c r="AO30" s="775" t="s">
        <v>1043</v>
      </c>
      <c r="AP30" s="768" t="str">
        <f>IF(OR(AP28="",AP5="",AP14="",AQ14=""),"",IFERROR(AP28*(AQ14/1000)/ROUNDDOWN(AP5/AP14,0),""))</f>
        <v/>
      </c>
      <c r="AQ30" s="770" t="s">
        <v>1044</v>
      </c>
      <c r="AR30" s="667"/>
    </row>
    <row r="31" spans="1:44">
      <c r="A31" s="667"/>
      <c r="B31" s="667"/>
      <c r="C31" s="667"/>
      <c r="D31" s="667"/>
      <c r="E31" s="667"/>
      <c r="F31" s="667"/>
      <c r="G31" s="667"/>
      <c r="H31" s="667"/>
      <c r="I31" s="667"/>
      <c r="J31" s="680"/>
      <c r="K31" s="667"/>
      <c r="L31" s="667"/>
      <c r="M31" s="667"/>
      <c r="N31" s="682"/>
      <c r="O31" s="667"/>
      <c r="P31" s="667"/>
      <c r="Q31" s="667"/>
      <c r="R31" s="667"/>
      <c r="S31" s="667"/>
      <c r="T31" s="667"/>
      <c r="U31" s="667"/>
      <c r="V31" s="667"/>
      <c r="W31" s="667"/>
      <c r="X31" s="667"/>
      <c r="Y31" s="667"/>
      <c r="Z31" s="771"/>
      <c r="AA31" s="667"/>
      <c r="AB31" s="667"/>
      <c r="AC31" s="667"/>
      <c r="AD31" s="668"/>
      <c r="AE31" s="668"/>
      <c r="AF31" s="668"/>
      <c r="AG31" s="775" t="s">
        <v>1045</v>
      </c>
      <c r="AH31" s="772">
        <f>IFERROR(AH28*1.16,"")</f>
        <v>3.3172270058237583</v>
      </c>
      <c r="AI31" s="773" t="s">
        <v>1046</v>
      </c>
      <c r="AJ31" s="667"/>
      <c r="AK31" s="775" t="s">
        <v>1045</v>
      </c>
      <c r="AL31" s="772">
        <f>IFERROR(AL28*1.16,"")</f>
        <v>3.0410394427035232</v>
      </c>
      <c r="AM31" s="773" t="s">
        <v>1046</v>
      </c>
      <c r="AN31" s="667"/>
      <c r="AO31" s="775" t="s">
        <v>1045</v>
      </c>
      <c r="AP31" s="772">
        <f>IFERROR(AP28*1.16,"")</f>
        <v>2.5825934437482041</v>
      </c>
      <c r="AQ31" s="773" t="s">
        <v>1046</v>
      </c>
      <c r="AR31" s="667"/>
    </row>
    <row r="32" spans="1:44">
      <c r="A32" s="667"/>
      <c r="B32" s="667"/>
      <c r="C32" s="667"/>
      <c r="D32" s="667"/>
      <c r="E32" s="667"/>
      <c r="F32" s="667"/>
      <c r="G32" s="667"/>
      <c r="H32" s="667"/>
      <c r="I32" s="667"/>
      <c r="J32" s="680" t="str">
        <f>IF($C32="","",IF($E$15="","",IF(ISNUMBER($E$15),_xlfn.LET(_xlpm.cap,IF($Q$15="Quantum",760,1220),IF($E$15+50&gt;_xlpm.cap,"ERROR: Lamination Width &gt; "&amp;_xlpm.cap,$E$15+50)),$E$15)))</f>
        <v/>
      </c>
      <c r="K32" s="667"/>
      <c r="L32" s="667"/>
      <c r="M32" s="667"/>
      <c r="N32" s="682" t="str" cm="1">
        <f t="array" ref="N32">IF($C32="","",_xlfn.LET(
    _xlpm.mat,TRIM($C32),
    _xlpm.matKey,UPPER(SUBSTITUTE(_xlpm.mat," ","")),
    _xlpm.pr,IFERROR(LOOKUP(2,1/($H$3:H32&lt;&gt;""),$H$3:H32),""),
    _xlpm.widthActual,IFERROR(LOOKUP(2,1/($E$3:E32&lt;&gt;""),$E$3:E32),$E32),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2" s="667"/>
      <c r="P32" s="667"/>
      <c r="Q32" s="667"/>
      <c r="R32" s="667"/>
      <c r="S32" s="667"/>
      <c r="T32" s="667"/>
      <c r="U32" s="667"/>
      <c r="V32" s="667"/>
      <c r="W32" s="667"/>
      <c r="X32" s="667"/>
      <c r="Y32" s="667"/>
      <c r="Z32" s="766"/>
      <c r="AA32" s="667"/>
      <c r="AB32" s="667"/>
      <c r="AC32" s="667"/>
      <c r="AD32" s="668"/>
      <c r="AE32" s="668"/>
      <c r="AF32" s="668"/>
      <c r="AG32" s="775" t="s">
        <v>1047</v>
      </c>
      <c r="AH32" s="774">
        <f>IFERROR(AH29*1.16,"")</f>
        <v>71.340378971623025</v>
      </c>
      <c r="AI32" s="773" t="s">
        <v>1038</v>
      </c>
      <c r="AJ32" s="667"/>
      <c r="AK32" s="775" t="s">
        <v>1047</v>
      </c>
      <c r="AL32" s="774">
        <f>IFERROR(AL29*1.16,"")</f>
        <v>68.827062772460607</v>
      </c>
      <c r="AM32" s="773" t="s">
        <v>1038</v>
      </c>
      <c r="AN32" s="667"/>
      <c r="AO32" s="775" t="s">
        <v>1047</v>
      </c>
      <c r="AP32" s="774">
        <f>IFERROR(AP29*1.16,"")</f>
        <v>60.348179177727907</v>
      </c>
      <c r="AQ32" s="773" t="s">
        <v>1038</v>
      </c>
      <c r="AR32" s="667"/>
    </row>
    <row r="33" spans="1:44">
      <c r="A33" s="667"/>
      <c r="B33" s="667"/>
      <c r="C33" s="667"/>
      <c r="D33" s="667"/>
      <c r="E33" s="667"/>
      <c r="F33" s="667"/>
      <c r="G33" s="667"/>
      <c r="H33" s="667"/>
      <c r="I33" s="667"/>
      <c r="J33" s="680"/>
      <c r="K33" s="667"/>
      <c r="L33" s="667"/>
      <c r="M33" s="667"/>
      <c r="N33" s="682"/>
      <c r="O33" s="667"/>
      <c r="P33" s="667"/>
      <c r="Q33" s="667"/>
      <c r="R33" s="667"/>
      <c r="S33" s="667"/>
      <c r="T33" s="667"/>
      <c r="U33" s="667"/>
      <c r="V33" s="667"/>
      <c r="W33" s="667"/>
      <c r="X33" s="667"/>
      <c r="Y33" s="667"/>
      <c r="Z33" s="766"/>
      <c r="AA33" s="667"/>
      <c r="AB33" s="667"/>
      <c r="AC33" s="667"/>
      <c r="AD33" s="668"/>
      <c r="AE33" s="668"/>
      <c r="AF33" s="668"/>
      <c r="AG33" s="775" t="s">
        <v>1048</v>
      </c>
      <c r="AH33" s="772" t="str">
        <f>IF(OR(AH31="",AH5="",AH14="",AI14=""),"",IFERROR(AH31*(AI14/1000)/(AH5/AH14),""))</f>
        <v/>
      </c>
      <c r="AI33" s="773" t="s">
        <v>1037</v>
      </c>
      <c r="AJ33" s="667"/>
      <c r="AK33" s="775" t="s">
        <v>1048</v>
      </c>
      <c r="AL33" s="772" t="str">
        <f>IF(OR(AL31="",AL5="",AL14="",AM14=""),"",IFERROR(AL31*(AM14/1000)/(AL5/AL14),""))</f>
        <v/>
      </c>
      <c r="AM33" s="773" t="s">
        <v>1037</v>
      </c>
      <c r="AN33" s="667"/>
      <c r="AO33" s="775" t="s">
        <v>1048</v>
      </c>
      <c r="AP33" s="772" t="str">
        <f>IF(OR(AP31="",AP5="",AP14="",AQ14=""),"",IFERROR(AP31*(AQ14/1000)/(AP5/AP14),""))</f>
        <v/>
      </c>
      <c r="AQ33" s="773" t="s">
        <v>1037</v>
      </c>
      <c r="AR33" s="667"/>
    </row>
    <row r="34" spans="1:44">
      <c r="A34" s="667"/>
      <c r="B34" s="667"/>
      <c r="C34" s="667"/>
      <c r="D34" s="667"/>
      <c r="E34" s="667"/>
      <c r="F34" s="667"/>
      <c r="G34" s="667"/>
      <c r="H34" s="667"/>
      <c r="I34" s="667"/>
      <c r="J34" s="680" t="str">
        <f t="shared" ref="J34:J45" si="4">IF($C34="","",IF($E$15="","",IF(ISNUMBER($E$15),_xlfn.LET(_xlpm.cap,IF($Q$15="Quantum",760,1220),IF($E$15+50&gt;_xlpm.cap,"ERROR: Lamination Width &gt; "&amp;_xlpm.cap,$E$15+50)),$E$15)))</f>
        <v/>
      </c>
      <c r="K34" s="667"/>
      <c r="L34" s="667"/>
      <c r="M34" s="667"/>
      <c r="N34" s="682" t="str" cm="1">
        <f t="array" ref="N34">IF($C34="","",_xlfn.LET(
    _xlpm.mat,TRIM($C34),
    _xlpm.matKey,UPPER(SUBSTITUTE(_xlpm.mat," ","")),
    _xlpm.pr,IFERROR(LOOKUP(2,1/($H$3:H34&lt;&gt;""),$H$3:H34),""),
    _xlpm.widthActual,IFERROR(LOOKUP(2,1/($E$3:E34&lt;&gt;""),$E$3:E34),$E34),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4" s="667"/>
      <c r="P34" s="667"/>
      <c r="Q34" s="667"/>
      <c r="R34" s="667"/>
      <c r="S34" s="667"/>
      <c r="T34" s="667"/>
      <c r="U34" s="667"/>
      <c r="V34" s="667"/>
      <c r="W34" s="667"/>
      <c r="X34" s="667"/>
      <c r="Y34" s="667"/>
      <c r="Z34" s="667"/>
      <c r="AA34" s="667"/>
      <c r="AB34" s="667"/>
      <c r="AC34" s="667"/>
      <c r="AD34" s="668"/>
      <c r="AE34" s="668"/>
      <c r="AF34" s="668"/>
      <c r="AG34" s="775" t="s">
        <v>1049</v>
      </c>
      <c r="AH34" s="776" cm="1">
        <f t="array" ref="AH34">IFERROR(_xlfn.SWITCH(AH12,"By Imp",AH13*AH30,"IMP",AH13*AH30,"By Length",AH13*AH28,"By Weight",AH13*AH29,AG27*AH38),"")</f>
        <v>3088.452729560051</v>
      </c>
      <c r="AI34" s="773" t="s">
        <v>1050</v>
      </c>
      <c r="AJ34" s="667"/>
      <c r="AK34" s="775" t="s">
        <v>1049</v>
      </c>
      <c r="AL34" s="776" cm="1">
        <f t="array" ref="AL34">IFERROR(_xlfn.SWITCH(AL12,"By Imp",AL13*AL30,"IMP",AL13*AL30,"By Length",AL13*AL28,"By Weight",AL13*AL29,AK27*AL38),"")</f>
        <v>5662.6251691720781</v>
      </c>
      <c r="AM34" s="773" t="s">
        <v>1050</v>
      </c>
      <c r="AN34" s="667"/>
      <c r="AO34" s="775" t="s">
        <v>1049</v>
      </c>
      <c r="AP34" s="776" cm="1">
        <f t="array" ref="AP34">IFERROR(_xlfn.SWITCH(AP12,"By Imp",AP13*AP30,"IMP",AP13*AP30,"By Length",AP13*AP28,"By Weight",AP13*AP29,AO27*AP38),"")</f>
        <v>12022.417755379571</v>
      </c>
      <c r="AQ34" s="773" t="s">
        <v>1050</v>
      </c>
      <c r="AR34" s="667"/>
    </row>
    <row r="35" spans="1:44">
      <c r="A35" s="667"/>
      <c r="B35" s="667"/>
      <c r="C35" s="667"/>
      <c r="D35" s="667"/>
      <c r="E35" s="667"/>
      <c r="F35" s="667"/>
      <c r="G35" s="667"/>
      <c r="H35" s="667"/>
      <c r="I35" s="667"/>
      <c r="J35" s="680" t="str">
        <f t="shared" si="4"/>
        <v/>
      </c>
      <c r="K35" s="667"/>
      <c r="L35" s="667"/>
      <c r="M35" s="667"/>
      <c r="N35" s="682" t="str" cm="1">
        <f t="array" ref="N35">IF($C35="","",_xlfn.LET(
    _xlpm.mat,TRIM($C35),
    _xlpm.matKey,UPPER(SUBSTITUTE(_xlpm.mat," ","")),
    _xlpm.pr,IFERROR(LOOKUP(2,1/($H$3:H35&lt;&gt;""),$H$3:H35),""),
    _xlpm.widthActual,IFERROR(LOOKUP(2,1/($E$3:E35&lt;&gt;""),$E$3:E35),$E35),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5" s="667"/>
      <c r="P35" s="667"/>
      <c r="Q35" s="667"/>
      <c r="R35" s="667"/>
      <c r="S35" s="667"/>
      <c r="T35" s="667"/>
      <c r="U35" s="667"/>
      <c r="V35" s="667"/>
      <c r="W35" s="667"/>
      <c r="X35" s="667"/>
      <c r="Y35" s="667"/>
      <c r="Z35" s="667"/>
      <c r="AA35" s="667"/>
      <c r="AB35" s="667"/>
      <c r="AC35" s="667"/>
      <c r="AD35" s="668"/>
      <c r="AE35" s="668"/>
      <c r="AF35" s="668"/>
      <c r="AG35" s="775" t="s">
        <v>1051</v>
      </c>
      <c r="AH35" s="774" cm="1">
        <f t="array" ref="AH35">IFERROR(_xlfn.SWITCH(AH12,"By Imp",AH13*AH33,"IMP",AH13*AH33,"By Length",AH13*AH31,"By Weight",AH13*AH32,AG27*AH38*1.16),"")</f>
        <v>3582.6051662896589</v>
      </c>
      <c r="AI35" s="773" t="s">
        <v>1052</v>
      </c>
      <c r="AJ35" s="667"/>
      <c r="AK35" s="775" t="s">
        <v>1051</v>
      </c>
      <c r="AL35" s="774" cm="1">
        <f t="array" ref="AL35">IFERROR(_xlfn.SWITCH(AL12,"By Imp",AL13*AL33,"IMP",AL13*AL33,"By Length",AL13*AL31,"By Weight",AL13*AL32,AK27*AL38*1.16),"")</f>
        <v>6568.6451962396104</v>
      </c>
      <c r="AM35" s="773" t="s">
        <v>1052</v>
      </c>
      <c r="AN35" s="667"/>
      <c r="AO35" s="775" t="s">
        <v>1051</v>
      </c>
      <c r="AP35" s="774" cm="1">
        <f t="array" ref="AP35">IFERROR(_xlfn.SWITCH(AP12,"By Imp",AP13*AP33,"IMP",AP13*AP33,"By Length",AP13*AP31,"By Weight",AP13*AP32,AO27*AP38*1.16),"")</f>
        <v>13946.004596240302</v>
      </c>
      <c r="AQ35" s="773" t="s">
        <v>1052</v>
      </c>
      <c r="AR35" s="667"/>
    </row>
    <row r="36" spans="1:44">
      <c r="A36" s="667"/>
      <c r="B36" s="667"/>
      <c r="C36" s="667"/>
      <c r="D36" s="667"/>
      <c r="E36" s="667"/>
      <c r="F36" s="667"/>
      <c r="G36" s="667"/>
      <c r="H36" s="667"/>
      <c r="I36" s="667"/>
      <c r="J36" s="680" t="str">
        <f t="shared" si="4"/>
        <v/>
      </c>
      <c r="K36" s="667"/>
      <c r="L36" s="667"/>
      <c r="M36" s="667"/>
      <c r="N36" s="682" t="str" cm="1">
        <f t="array" ref="N36">IF($C36="","",_xlfn.LET(
    _xlpm.mat,TRIM($C36),
    _xlpm.matKey,UPPER(SUBSTITUTE(_xlpm.mat," ","")),
    _xlpm.pr,IFERROR(LOOKUP(2,1/($H$3:H36&lt;&gt;""),$H$3:H36),""),
    _xlpm.widthActual,IFERROR(LOOKUP(2,1/($E$3:E36&lt;&gt;""),$E$3:E36),$E36),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6" s="667"/>
      <c r="P36" s="667"/>
      <c r="Q36" s="667"/>
      <c r="R36" s="667"/>
      <c r="S36" s="667"/>
      <c r="T36" s="667"/>
      <c r="U36" s="667"/>
      <c r="V36" s="667"/>
      <c r="W36" s="667"/>
      <c r="X36" s="667"/>
      <c r="Y36" s="667"/>
      <c r="Z36" s="667"/>
      <c r="AA36" s="667"/>
      <c r="AB36" s="667"/>
      <c r="AC36" s="667"/>
      <c r="AD36" s="668"/>
      <c r="AE36" s="668"/>
      <c r="AF36" s="668"/>
      <c r="AG36" s="777" t="s">
        <v>844</v>
      </c>
      <c r="AH36" s="778">
        <f>IFERROR(AH37/($M$8*($D$3/$J$3))+5,"")</f>
        <v>11947.021010314085</v>
      </c>
      <c r="AI36" s="779" t="s">
        <v>580</v>
      </c>
      <c r="AJ36" s="667"/>
      <c r="AK36" s="777" t="s">
        <v>844</v>
      </c>
      <c r="AL36" s="778">
        <f>IFERROR(AL37/($M$14*($D$9/$J$9))+5,"")</f>
        <v>11947.021010314085</v>
      </c>
      <c r="AM36" s="779" t="s">
        <v>580</v>
      </c>
      <c r="AN36" s="667"/>
      <c r="AO36" s="777" t="s">
        <v>844</v>
      </c>
      <c r="AP36" s="778">
        <f>IFERROR(AP37/($M$20*($D$15/$J$15))+5,"")</f>
        <v>11947.021010314085</v>
      </c>
      <c r="AQ36" s="779" t="s">
        <v>580</v>
      </c>
      <c r="AR36" s="667"/>
    </row>
    <row r="37" spans="1:44">
      <c r="A37" s="667"/>
      <c r="B37" s="667"/>
      <c r="C37" s="667"/>
      <c r="D37" s="667"/>
      <c r="E37" s="667"/>
      <c r="F37" s="667"/>
      <c r="G37" s="667"/>
      <c r="H37" s="667"/>
      <c r="I37" s="667"/>
      <c r="J37" s="680" t="str">
        <f t="shared" si="4"/>
        <v/>
      </c>
      <c r="K37" s="667"/>
      <c r="L37" s="667"/>
      <c r="M37" s="667"/>
      <c r="N37" s="682" t="str" cm="1">
        <f t="array" ref="N37">IF($C37="","",_xlfn.LET(
    _xlpm.mat,TRIM($C37),
    _xlpm.matKey,UPPER(SUBSTITUTE(_xlpm.mat," ","")),
    _xlpm.pr,IFERROR(LOOKUP(2,1/($H$3:H37&lt;&gt;""),$H$3:H37),""),
    _xlpm.widthActual,IFERROR(LOOKUP(2,1/($E$3:E37&lt;&gt;""),$E$3:E37),$E37),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7" s="667"/>
      <c r="P37" s="667"/>
      <c r="Q37" s="667"/>
      <c r="R37" s="667"/>
      <c r="S37" s="667"/>
      <c r="T37" s="667"/>
      <c r="U37" s="667"/>
      <c r="V37" s="667"/>
      <c r="W37" s="667"/>
      <c r="X37" s="667"/>
      <c r="Y37" s="667"/>
      <c r="Z37" s="667"/>
      <c r="AA37" s="667"/>
      <c r="AB37" s="667"/>
      <c r="AC37" s="667"/>
      <c r="AD37" s="668"/>
      <c r="AE37" s="668"/>
      <c r="AF37" s="668"/>
      <c r="AG37" s="777" t="s">
        <v>845</v>
      </c>
      <c r="AH37" s="778">
        <f>_xlfn.LET(_xlpm.lam,SUBSTITUTE(SUBSTITUTE(UPPER(AH3&amp;""),"LAMINATE","")," ",""),IF(_xlpm.lam="608W",2000,IF(_xlpm.lam="608",750,500)))</f>
        <v>500</v>
      </c>
      <c r="AI37" s="779" t="s">
        <v>203</v>
      </c>
      <c r="AJ37" s="667"/>
      <c r="AK37" s="777" t="s">
        <v>845</v>
      </c>
      <c r="AL37" s="778">
        <f>_xlfn.LET(_xlpm.lam,SUBSTITUTE(SUBSTITUTE(UPPER(AL3&amp;""),"LAMINATE","")," ",""),IF(_xlpm.lam="608W",2000,IF(_xlpm.lam="608",750,500)))</f>
        <v>500</v>
      </c>
      <c r="AM37" s="779" t="s">
        <v>203</v>
      </c>
      <c r="AN37" s="667"/>
      <c r="AO37" s="777" t="s">
        <v>845</v>
      </c>
      <c r="AP37" s="778">
        <f>_xlfn.LET(_xlpm.lam,SUBSTITUTE(SUBSTITUTE(UPPER(AP3&amp;""),"LAMINATE","")," ",""),IF(_xlpm.lam="608W",2000,IF(_xlpm.lam="608",750,500)))</f>
        <v>500</v>
      </c>
      <c r="AQ37" s="779" t="s">
        <v>203</v>
      </c>
      <c r="AR37" s="667"/>
    </row>
    <row r="38" spans="1:44" ht="15.75" outlineLevel="1" thickBot="1">
      <c r="A38" s="765"/>
      <c r="B38" s="667"/>
      <c r="C38" s="667"/>
      <c r="D38" s="667"/>
      <c r="E38" s="667"/>
      <c r="F38" s="667"/>
      <c r="G38" s="667"/>
      <c r="H38" s="667"/>
      <c r="I38" s="667"/>
      <c r="J38" s="680" t="str">
        <f t="shared" si="4"/>
        <v/>
      </c>
      <c r="K38" s="667"/>
      <c r="L38" s="667"/>
      <c r="M38" s="667"/>
      <c r="N38" s="682" t="str" cm="1">
        <f t="array" ref="N38">IF($C38="","",_xlfn.LET(
    _xlpm.mat,TRIM($C38),
    _xlpm.matKey,UPPER(SUBSTITUTE(_xlpm.mat," ","")),
    _xlpm.pr,IFERROR(LOOKUP(2,1/($H$3:H38&lt;&gt;""),$H$3:H38),""),
    _xlpm.widthActual,IFERROR(LOOKUP(2,1/($E$3:E38&lt;&gt;""),$E$3:E38),$E38),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8" s="667"/>
      <c r="P38" s="667"/>
      <c r="Q38" s="667"/>
      <c r="R38" s="780"/>
      <c r="S38" s="667"/>
      <c r="T38" s="667" t="str">
        <f>IF(OR($S38="",$K38=""),"",IFERROR($S38*(1/$M$41)*($J38/($D38*MAX(1,ROUNDDOWN(760/$D38,0)))),""))</f>
        <v/>
      </c>
      <c r="U38" s="667"/>
      <c r="V38" s="667"/>
      <c r="W38" s="667"/>
      <c r="X38" s="667"/>
      <c r="Y38" s="667"/>
      <c r="Z38" s="667"/>
      <c r="AA38" s="667"/>
      <c r="AB38" s="667"/>
      <c r="AC38" s="667"/>
      <c r="AD38" s="668"/>
      <c r="AE38" s="668"/>
      <c r="AF38" s="668"/>
      <c r="AG38" s="781" t="s">
        <v>846</v>
      </c>
      <c r="AH38" s="782">
        <f>IF(OR(AH12="IMP",AH12="By Imp"),IFERROR(AH15*$M$8*($D$3/$J$3)+5,""),IF(AH12="By Length",IFERROR(AH13*$M$8*($D$3/$J$3)+5,""),IF(AH12="By Weight",IFERROR(IF(AH6&lt;&gt;"",AH6,A3),""),"")))</f>
        <v>50.218476799999998</v>
      </c>
      <c r="AI38" s="783" t="s">
        <v>203</v>
      </c>
      <c r="AJ38" s="667"/>
      <c r="AK38" s="781" t="s">
        <v>846</v>
      </c>
      <c r="AL38" s="782">
        <f>IF(OR(AL12="IMP",AL12="By Imp"),IFERROR(AL15*$M$14*($D$9/$J$9)+5,""),IF(AL12="By Length",IFERROR(AL13*$M$14*($D$9/$J$9)+5,""),IF(AL12="By Weight",IFERROR(IF(AL6&lt;&gt;"",AL6,A9),""),"")))</f>
        <v>95.436953599999995</v>
      </c>
      <c r="AM38" s="783" t="s">
        <v>203</v>
      </c>
      <c r="AN38" s="667"/>
      <c r="AO38" s="781" t="s">
        <v>846</v>
      </c>
      <c r="AP38" s="782">
        <f>IF(OR(AP12="IMP",AP12="By Imp"),IFERROR(AP15*$M$20*($D$15/$J$15)+5,""),IF(AP12="By Length",IFERROR(AP13*$M$20*($D$15/$J$15)+5,""),IF(AP12="By Weight",IFERROR(IF(AP6&lt;&gt;"",AP6,A15),""),"")))</f>
        <v>231.09238399999998</v>
      </c>
      <c r="AQ38" s="783" t="s">
        <v>203</v>
      </c>
      <c r="AR38" s="667"/>
    </row>
    <row r="39" spans="1:44" ht="15.75" outlineLevel="1" thickBot="1">
      <c r="A39" s="765"/>
      <c r="B39" s="667"/>
      <c r="C39" s="667"/>
      <c r="D39" s="667"/>
      <c r="E39" s="667"/>
      <c r="F39" s="667"/>
      <c r="G39" s="667"/>
      <c r="H39" s="667"/>
      <c r="I39" s="667"/>
      <c r="J39" s="680" t="str">
        <f t="shared" si="4"/>
        <v/>
      </c>
      <c r="K39" s="667"/>
      <c r="L39" s="667"/>
      <c r="M39" s="667"/>
      <c r="N39" s="682" t="str" cm="1">
        <f t="array" ref="N39">IF($C39="","",_xlfn.LET(
    _xlpm.mat,TRIM($C39),
    _xlpm.matKey,UPPER(SUBSTITUTE(_xlpm.mat," ","")),
    _xlpm.pr,IFERROR(LOOKUP(2,1/($H$3:H39&lt;&gt;""),$H$3:H39),""),
    _xlpm.widthActual,IFERROR(LOOKUP(2,1/($E$3:E39&lt;&gt;""),$E$3:E39),$E39),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9" s="667"/>
      <c r="P39" s="667"/>
      <c r="Q39" s="667"/>
      <c r="R39" s="780"/>
      <c r="S39" s="667"/>
      <c r="T39" s="667"/>
      <c r="U39" s="667"/>
      <c r="V39" s="667"/>
      <c r="W39" s="667"/>
      <c r="X39" s="667"/>
      <c r="Y39" s="667"/>
      <c r="Z39" s="667"/>
      <c r="AA39" s="667"/>
      <c r="AB39" s="667"/>
      <c r="AC39" s="667"/>
      <c r="AD39" s="668"/>
      <c r="AE39" s="668"/>
      <c r="AF39" s="668"/>
      <c r="AG39" s="1094" t="s">
        <v>1039</v>
      </c>
      <c r="AH39" s="1095"/>
      <c r="AI39" s="1096"/>
      <c r="AJ39" s="784"/>
      <c r="AK39" s="1094" t="s">
        <v>1039</v>
      </c>
      <c r="AL39" s="1095"/>
      <c r="AM39" s="1096"/>
      <c r="AN39" s="784"/>
      <c r="AO39" s="1094" t="s">
        <v>1039</v>
      </c>
      <c r="AP39" s="1095"/>
      <c r="AQ39" s="1096"/>
      <c r="AR39" s="667"/>
    </row>
    <row r="40" spans="1:44" outlineLevel="1">
      <c r="A40" s="765"/>
      <c r="B40" s="667"/>
      <c r="C40" s="667"/>
      <c r="D40" s="667"/>
      <c r="E40" s="667"/>
      <c r="F40" s="667"/>
      <c r="G40" s="667"/>
      <c r="H40" s="667"/>
      <c r="I40" s="667"/>
      <c r="J40" s="680" t="str">
        <f t="shared" si="4"/>
        <v/>
      </c>
      <c r="K40" s="667"/>
      <c r="L40" s="667"/>
      <c r="M40" s="667"/>
      <c r="N40" s="682" t="str" cm="1">
        <f t="array" ref="N40">IF($C40="","",_xlfn.LET(
    _xlpm.mat,TRIM($C40),
    _xlpm.matKey,UPPER(SUBSTITUTE(_xlpm.mat," ","")),
    _xlpm.pr,IFERROR(LOOKUP(2,1/($H$3:H40&lt;&gt;""),$H$3:H40),""),
    _xlpm.widthActual,IFERROR(LOOKUP(2,1/($E$3:E40&lt;&gt;""),$E$3:E40),$E40),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0" s="667"/>
      <c r="P40" s="667"/>
      <c r="Q40" s="667"/>
      <c r="R40" s="780"/>
      <c r="S40" s="667"/>
      <c r="T40" s="667"/>
      <c r="U40" s="667"/>
      <c r="V40" s="667"/>
      <c r="W40" s="667"/>
      <c r="X40" s="667"/>
      <c r="Y40" s="667"/>
      <c r="Z40" s="667"/>
      <c r="AA40" s="667"/>
      <c r="AB40" s="667"/>
      <c r="AC40" s="667"/>
      <c r="AD40" s="668"/>
      <c r="AE40" s="668"/>
      <c r="AF40" s="668"/>
      <c r="AG40" s="785" t="s">
        <v>1036</v>
      </c>
      <c r="AH40" s="786">
        <f>IF(OR(AH12="IMP",AH12="By Imp"),IFERROR(AH13/(AH5/AH14)*(AI14/1000),""),IFERROR(AH13,""))</f>
        <v>1080</v>
      </c>
      <c r="AI40" s="784" t="s">
        <v>580</v>
      </c>
      <c r="AJ40" s="667"/>
      <c r="AK40" s="785" t="s">
        <v>1036</v>
      </c>
      <c r="AL40" s="786">
        <f>IF(OR(AL12="IMP",AL12="By Imp"),IFERROR(AL13/(AL5/AL14)*(AM14/1000),""),IFERROR(AL13,""))</f>
        <v>2160</v>
      </c>
      <c r="AM40" s="784" t="s">
        <v>580</v>
      </c>
      <c r="AN40" s="667"/>
      <c r="AO40" s="785" t="s">
        <v>1036</v>
      </c>
      <c r="AP40" s="786">
        <f>IF(OR(AP12="IMP",AP12="By Imp"),IFERROR(AP13/(AP5/AP14)*(AQ14/1000),""),IFERROR(AP13,""))</f>
        <v>5400</v>
      </c>
      <c r="AQ40" s="784" t="s">
        <v>580</v>
      </c>
      <c r="AR40" s="667"/>
    </row>
    <row r="41" spans="1:44">
      <c r="A41" s="765"/>
      <c r="B41" s="667"/>
      <c r="C41" s="667"/>
      <c r="D41" s="667"/>
      <c r="E41" s="667"/>
      <c r="F41" s="667"/>
      <c r="G41" s="667"/>
      <c r="H41" s="667"/>
      <c r="I41" s="667"/>
      <c r="J41" s="680" t="str">
        <f t="shared" si="4"/>
        <v/>
      </c>
      <c r="K41" s="667"/>
      <c r="L41" s="667"/>
      <c r="M41" s="667"/>
      <c r="N41" s="682" t="str" cm="1">
        <f t="array" ref="N41">IF($C41="","",_xlfn.LET(
    _xlpm.mat,TRIM($C41),
    _xlpm.matKey,UPPER(SUBSTITUTE(_xlpm.mat," ","")),
    _xlpm.pr,IFERROR(LOOKUP(2,1/($H$3:H41&lt;&gt;""),$H$3:H41),""),
    _xlpm.widthActual,IFERROR(LOOKUP(2,1/($E$3:E41&lt;&gt;""),$E$3:E41),$E41),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1" s="667"/>
      <c r="P41" s="667"/>
      <c r="Q41" s="667"/>
      <c r="R41" s="780"/>
      <c r="S41" s="667"/>
      <c r="T41" s="667"/>
      <c r="U41" s="667"/>
      <c r="V41" s="667"/>
      <c r="W41" s="667"/>
      <c r="X41" s="667"/>
      <c r="Y41" s="667"/>
      <c r="Z41" s="667"/>
      <c r="AA41" s="667"/>
      <c r="AB41" s="667"/>
      <c r="AC41" s="667"/>
      <c r="AD41" s="668"/>
      <c r="AE41" s="668"/>
      <c r="AF41" s="668"/>
      <c r="AG41" s="785" t="s">
        <v>1150</v>
      </c>
      <c r="AH41" s="787" t="str">
        <f>IF(OR(AH12="IMP",AH12="By Imp"),IFERROR(AH13/IF(AH7="Printed",MAX(1,IFERROR(AH9,0)),AH9),""),"")</f>
        <v/>
      </c>
      <c r="AI41" s="785" t="s">
        <v>1031</v>
      </c>
      <c r="AJ41" s="667"/>
      <c r="AK41" s="785" t="s">
        <v>1150</v>
      </c>
      <c r="AL41" s="787" t="str">
        <f>IF(OR(AL12="IMP",AL12="By Imp"),IFERROR(AL13/IF(AL7="Printed",MAX(1,IFERROR(AL9,0)),AL9),""),"")</f>
        <v/>
      </c>
      <c r="AM41" s="785" t="s">
        <v>1031</v>
      </c>
      <c r="AN41" s="667"/>
      <c r="AO41" s="785" t="s">
        <v>1150</v>
      </c>
      <c r="AP41" s="787" t="str">
        <f>IF(OR(AP12="IMP",AP12="By Imp"),IFERROR(AP13/IF(AP7="Printed",MAX(1,IFERROR(AP9,0)),AP9),""),"")</f>
        <v/>
      </c>
      <c r="AQ41" s="785" t="s">
        <v>1031</v>
      </c>
      <c r="AR41" s="667"/>
    </row>
    <row r="42" spans="1:44">
      <c r="A42" s="765"/>
      <c r="B42" s="667"/>
      <c r="C42" s="667"/>
      <c r="D42" s="667"/>
      <c r="E42" s="667"/>
      <c r="F42" s="667"/>
      <c r="G42" s="667"/>
      <c r="H42" s="667"/>
      <c r="I42" s="667"/>
      <c r="J42" s="680" t="str">
        <f t="shared" si="4"/>
        <v/>
      </c>
      <c r="K42" s="667"/>
      <c r="L42" s="667"/>
      <c r="M42" s="667"/>
      <c r="N42" s="682" t="str" cm="1">
        <f t="array" ref="N42">IF($C42="","",_xlfn.LET(
    _xlpm.mat,TRIM($C42),
    _xlpm.matKey,UPPER(SUBSTITUTE(_xlpm.mat," ","")),
    _xlpm.pr,IFERROR(LOOKUP(2,1/($H$3:H42&lt;&gt;""),$H$3:H42),""),
    _xlpm.widthActual,IFERROR(LOOKUP(2,1/($E$3:E42&lt;&gt;""),$E$3:E42),$E42),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2" s="667"/>
      <c r="P42" s="667"/>
      <c r="Q42" s="667"/>
      <c r="R42" s="780"/>
      <c r="S42" s="667"/>
      <c r="T42" s="667" t="str">
        <f>IF(OR($S42="",$K42=""),"",IFERROR($S42*(1/$M$47)*($J42/($D42*MAX(1,ROUNDDOWN(760/$D42,0)))),""))</f>
        <v/>
      </c>
      <c r="U42" s="667"/>
      <c r="V42" s="667"/>
      <c r="W42" s="667"/>
      <c r="X42" s="667"/>
      <c r="Y42" s="667" t="str">
        <f>IFERROR((SUM(X42:X47)+SUM(R42:S42,U42))*(1/M47)*(J42/(D42*MAX(1,ROUNDDOWN(760/D42,0))))+W42,"")</f>
        <v/>
      </c>
      <c r="Z42" s="667"/>
      <c r="AA42" s="667"/>
      <c r="AB42" s="667"/>
      <c r="AC42" s="667"/>
      <c r="AD42" s="668"/>
      <c r="AE42" s="668"/>
      <c r="AF42" s="668"/>
      <c r="AG42" s="785" t="s">
        <v>1151</v>
      </c>
      <c r="AH42" s="788" cm="1">
        <f t="array" ref="AH42">_xlfn.LET(_xlpm.lam,TEXT(AH3,"0"),_xlpm.thick,AH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I42" s="785" t="s">
        <v>1152</v>
      </c>
      <c r="AJ42" s="667"/>
      <c r="AK42" s="785" t="s">
        <v>1151</v>
      </c>
      <c r="AL42" s="789" cm="1">
        <f t="array" ref="AL42">_xlfn.LET(_xlpm.lam,TEXT(AL3,"0"),_xlpm.thick,AL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M42" s="785" t="s">
        <v>1152</v>
      </c>
      <c r="AN42" s="667"/>
      <c r="AO42" s="785" t="s">
        <v>1151</v>
      </c>
      <c r="AP42" s="789" cm="1">
        <f t="array" ref="AP42">_xlfn.LET(_xlpm.lam,TEXT(AP3,"0"),_xlpm.thick,AP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42" s="785" t="s">
        <v>1152</v>
      </c>
      <c r="AR42" s="667"/>
    </row>
    <row r="43" spans="1:44">
      <c r="A43" s="765"/>
      <c r="B43" s="667"/>
      <c r="C43" s="667"/>
      <c r="D43" s="667"/>
      <c r="E43" s="667"/>
      <c r="F43" s="667"/>
      <c r="G43" s="667"/>
      <c r="H43" s="667"/>
      <c r="I43" s="667"/>
      <c r="J43" s="680" t="str">
        <f t="shared" si="4"/>
        <v/>
      </c>
      <c r="K43" s="667"/>
      <c r="L43" s="667"/>
      <c r="M43" s="667"/>
      <c r="N43" s="682" t="str" cm="1">
        <f t="array" ref="N43">IF($C43="","",_xlfn.LET(
    _xlpm.mat,TRIM($C43),
    _xlpm.matKey,UPPER(SUBSTITUTE(_xlpm.mat," ","")),
    _xlpm.pr,IFERROR(LOOKUP(2,1/($H$3:H43&lt;&gt;""),$H$3:H43),""),
    _xlpm.widthActual,IFERROR(LOOKUP(2,1/($E$3:E43&lt;&gt;""),$E$3:E43),$E43),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3" s="667"/>
      <c r="P43" s="667"/>
      <c r="Q43" s="667"/>
      <c r="R43" s="780"/>
      <c r="S43" s="667"/>
      <c r="T43" s="667"/>
      <c r="U43" s="667"/>
      <c r="V43" s="667"/>
      <c r="W43" s="667"/>
      <c r="X43" s="667"/>
      <c r="Y43" s="667"/>
      <c r="Z43" s="667"/>
      <c r="AA43" s="667"/>
      <c r="AB43" s="667"/>
      <c r="AC43" s="667"/>
      <c r="AD43" s="668"/>
      <c r="AE43" s="668"/>
      <c r="AF43" s="668"/>
      <c r="AG43" s="785" t="s">
        <v>1153</v>
      </c>
      <c r="AH43" s="790">
        <f>IF(OR(AH7&lt;&gt;"Printed",AH8=0,AH8="0",AH8=""),0,IFERROR(IF(AH11="Quantum",S3*100*MAX(1,IFERROR(AH9,0))/AH38,_xlfn.LET(_xlpm.colors,AH8,_xlpm.numColors,IF(ISNUMBER(_xlpm.colors),_xlpm.colors,IFERROR(--RIGHT(_xlpm.colors,LEN(_xlpm.colors)-FIND("-",_xlpm.colors)),IFERROR(--_xlpm.colors,0))),HELPER!$DB$1*_xlpm.numColors*MAX(1,IFERROR(AH9,0))*1.05*AH42/AH38)),0))</f>
        <v>2.2831272416011057</v>
      </c>
      <c r="AI43" s="785" t="s">
        <v>837</v>
      </c>
      <c r="AJ43" s="667"/>
      <c r="AK43" s="785" t="s">
        <v>1153</v>
      </c>
      <c r="AL43" s="790">
        <f>IF(OR(AL7&lt;&gt;"Printed",AL8=0,AL8="0",AL8=""),0,IFERROR(IF(AL11="Quantum",S9*100*MAX(1,IFERROR(AL9,0))/AL38,_xlfn.LET(_xlpm.colors,AL8,_xlpm.numColors,IF(ISNUMBER(_xlpm.colors),_xlpm.colors,IFERROR(--RIGHT(_xlpm.colors,LEN(_xlpm.colors)-FIND("-",_xlpm.colors)),IFERROR(--_xlpm.colors,0))),HELPER!$DB$1*_xlpm.numColors*MAX(1,IFERROR(AL9,0))*1.05*AL42/AL38)),0))</f>
        <v>1.201370832668669</v>
      </c>
      <c r="AM43" s="785" t="s">
        <v>837</v>
      </c>
      <c r="AN43" s="667"/>
      <c r="AO43" s="785" t="s">
        <v>1153</v>
      </c>
      <c r="AP43" s="790">
        <f>IF(OR(AP7&lt;&gt;"Printed",AP8=0,AP8="0",AP8=""),0,IFERROR(IF(AP11="Quantum",S15*100*MAX(1,IFERROR(AP9,0))/AP38,_xlfn.LET(_xlpm.colors,AP8,_xlpm.numColors,IF(ISNUMBER(_xlpm.colors),_xlpm.colors,IFERROR(--RIGHT(_xlpm.colors,LEN(_xlpm.colors)-FIND("-",_xlpm.colors)),IFERROR(--_xlpm.colors,0))),HELPER!$DB$1*_xlpm.numColors*MAX(1,IFERROR(AP9,0))*1.05*AP42/AP38)),0))</f>
        <v>0.40661451327352832</v>
      </c>
      <c r="AQ43" s="785" t="s">
        <v>837</v>
      </c>
      <c r="AR43" s="667"/>
    </row>
    <row r="44" spans="1:44">
      <c r="A44" s="765"/>
      <c r="B44" s="667"/>
      <c r="C44" s="667"/>
      <c r="D44" s="667"/>
      <c r="E44" s="667"/>
      <c r="F44" s="667"/>
      <c r="G44" s="667"/>
      <c r="H44" s="667"/>
      <c r="I44" s="667"/>
      <c r="J44" s="680" t="str">
        <f t="shared" si="4"/>
        <v/>
      </c>
      <c r="K44" s="667"/>
      <c r="L44" s="667"/>
      <c r="M44" s="667"/>
      <c r="N44" s="682" t="str" cm="1">
        <f t="array" ref="N44">IF($C44="","",_xlfn.LET(
    _xlpm.mat,TRIM($C44),
    _xlpm.matKey,UPPER(SUBSTITUTE(_xlpm.mat," ","")),
    _xlpm.pr,IFERROR(LOOKUP(2,1/($H$3:H44&lt;&gt;""),$H$3:H44),""),
    _xlpm.widthActual,IFERROR(LOOKUP(2,1/($E$3:E44&lt;&gt;""),$E$3:E44),$E44),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4" s="667"/>
      <c r="P44" s="667"/>
      <c r="Q44" s="667"/>
      <c r="R44" s="780"/>
      <c r="S44" s="667"/>
      <c r="T44" s="667"/>
      <c r="U44" s="667"/>
      <c r="V44" s="667"/>
      <c r="W44" s="667"/>
      <c r="X44" s="667"/>
      <c r="Y44" s="667"/>
      <c r="Z44" s="667"/>
      <c r="AA44" s="667"/>
      <c r="AB44" s="667"/>
      <c r="AC44" s="667"/>
      <c r="AD44" s="668"/>
      <c r="AE44" s="668"/>
      <c r="AF44" s="668"/>
      <c r="AG44" s="791" t="s">
        <v>1154</v>
      </c>
      <c r="AH44" s="787">
        <f>IFERROR(IF(OR(AH12="IMP",AH12="By Imp"),AH13/(AH5/AH14)*(AI14/1000),AH13)*AH42,"")</f>
        <v>360</v>
      </c>
      <c r="AI44" s="785" t="s">
        <v>580</v>
      </c>
      <c r="AJ44" s="667"/>
      <c r="AK44" s="785" t="s">
        <v>1154</v>
      </c>
      <c r="AL44" s="787">
        <f>IFERROR(IF(OR(AL12="IMP",AL12="By Imp"),AL13/(AL5/AL14)*(AM14/1000),AL13)*AL42,"")</f>
        <v>720</v>
      </c>
      <c r="AM44" s="785" t="s">
        <v>580</v>
      </c>
      <c r="AN44" s="667"/>
      <c r="AO44" s="785" t="s">
        <v>1154</v>
      </c>
      <c r="AP44" s="787">
        <f>IFERROR(IF(OR(AP12="IMP",AP12="By Imp"),AP13/(AP5/AP14)*(AQ14/1000),AP13)*AP42,"")</f>
        <v>1800</v>
      </c>
      <c r="AQ44" s="785" t="s">
        <v>580</v>
      </c>
      <c r="AR44" s="667"/>
    </row>
    <row r="45" spans="1:44">
      <c r="A45" s="765"/>
      <c r="B45" s="667"/>
      <c r="C45" s="667"/>
      <c r="D45" s="667"/>
      <c r="E45" s="667"/>
      <c r="F45" s="667"/>
      <c r="G45" s="667"/>
      <c r="H45" s="667"/>
      <c r="I45" s="667"/>
      <c r="J45" s="680" t="str">
        <f t="shared" si="4"/>
        <v/>
      </c>
      <c r="K45" s="667"/>
      <c r="L45" s="667"/>
      <c r="M45" s="667"/>
      <c r="N45" s="682" t="str" cm="1">
        <f t="array" ref="N45">IF($C45="","",_xlfn.LET(
    _xlpm.mat,TRIM($C45),
    _xlpm.matKey,UPPER(SUBSTITUTE(_xlpm.mat," ","")),
    _xlpm.pr,IFERROR(LOOKUP(2,1/($H$3:H45&lt;&gt;""),$H$3:H45),""),
    _xlpm.widthActual,IFERROR(LOOKUP(2,1/($E$3:E45&lt;&gt;""),$E$3:E45),$E45),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_xlpm.specialCost,IFERROR(_xlfn.XLOOKUP(_xlpm.mat,HELPER!$CK$2:$CK$106,HELPER!$CO$2:$CO$106,""),""),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5" s="667"/>
      <c r="P45" s="667"/>
      <c r="Q45" s="667"/>
      <c r="R45" s="780"/>
      <c r="S45" s="667"/>
      <c r="T45" s="667"/>
      <c r="U45" s="667"/>
      <c r="V45" s="667"/>
      <c r="W45" s="667"/>
      <c r="X45" s="667"/>
      <c r="Y45" s="667"/>
      <c r="Z45" s="667"/>
      <c r="AA45" s="667"/>
      <c r="AB45" s="667"/>
      <c r="AC45" s="667"/>
      <c r="AD45" s="668"/>
      <c r="AE45" s="668"/>
      <c r="AF45" s="668"/>
      <c r="AG45" s="785" t="s">
        <v>1154</v>
      </c>
      <c r="AH45" s="787">
        <f>IFERROR(IF(OR(AH12="IMP",AH12="By Imp"),AH13/(AH5/AH14)*(AI14/1000),AH15)*AH42,"")</f>
        <v>360</v>
      </c>
      <c r="AI45" s="785" t="s">
        <v>580</v>
      </c>
      <c r="AJ45" s="667"/>
      <c r="AK45" s="785" t="s">
        <v>1154</v>
      </c>
      <c r="AL45" s="787">
        <f>IFERROR(IF(OR(AL12="IMP",AL12="By Imp"),AL13/(AL5/AL14)*(AM14/1000),AL15)*AL42,"")</f>
        <v>720</v>
      </c>
      <c r="AM45" s="785" t="s">
        <v>580</v>
      </c>
      <c r="AN45" s="667"/>
      <c r="AO45" s="785" t="s">
        <v>1154</v>
      </c>
      <c r="AP45" s="787">
        <f>IFERROR(IF(OR(AP12="IMP",AP12="By Imp"),AP13/(AP5/AP14)*(AQ14/1000),AP15)*AP42,"")</f>
        <v>1800</v>
      </c>
      <c r="AQ45" s="785" t="s">
        <v>580</v>
      </c>
      <c r="AR45" s="667"/>
    </row>
    <row r="46" spans="1:44">
      <c r="A46" s="765"/>
      <c r="B46" s="667"/>
      <c r="C46" s="667"/>
      <c r="D46" s="667"/>
      <c r="E46" s="667"/>
      <c r="F46" s="667"/>
      <c r="G46" s="667"/>
      <c r="H46" s="667"/>
      <c r="I46" s="667"/>
      <c r="J46" s="680"/>
      <c r="K46" s="667"/>
      <c r="L46" s="667"/>
      <c r="M46" s="667"/>
      <c r="N46" s="682"/>
      <c r="O46" s="667"/>
      <c r="P46" s="667"/>
      <c r="Q46" s="667"/>
      <c r="R46" s="780"/>
      <c r="S46" s="667"/>
      <c r="T46" s="667"/>
      <c r="U46" s="667"/>
      <c r="V46" s="667"/>
      <c r="W46" s="667"/>
      <c r="X46" s="667"/>
      <c r="Y46" s="667"/>
      <c r="Z46" s="667"/>
      <c r="AA46" s="667"/>
      <c r="AB46" s="667"/>
      <c r="AC46" s="667"/>
      <c r="AD46" s="668"/>
      <c r="AE46" s="668"/>
      <c r="AF46" s="668"/>
      <c r="AG46" s="869" t="s">
        <v>1309</v>
      </c>
      <c r="AH46" s="870">
        <f>IFERROR(AH28*645.16/AH5,"")</f>
        <v>4.521936644433012</v>
      </c>
      <c r="AI46" s="871">
        <f>IFERROR(AH31*645.16/AH5,"")</f>
        <v>5.2454465075422929</v>
      </c>
      <c r="AJ46" s="647"/>
      <c r="AK46" s="869" t="s">
        <v>1309</v>
      </c>
      <c r="AL46" s="870">
        <f>IFERROR(AL28*645.16/AL5,"")</f>
        <v>4.1454466845305209</v>
      </c>
      <c r="AM46" s="871">
        <f>IFERROR(AL31*645.16/AL5,"")</f>
        <v>4.8087181540554047</v>
      </c>
      <c r="AN46" s="647"/>
      <c r="AO46" s="872" t="s">
        <v>1309</v>
      </c>
      <c r="AP46" s="873">
        <f>IFERROR(AP28*645.16/AP5,"")</f>
        <v>3.520507915332554</v>
      </c>
      <c r="AQ46" s="874">
        <f>IFERROR(AP31*645.16/AP5,"")</f>
        <v>4.0837891817857628</v>
      </c>
      <c r="AR46" s="667"/>
    </row>
    <row r="47" spans="1:44">
      <c r="A47" s="765"/>
      <c r="B47" s="667"/>
      <c r="C47" s="667"/>
      <c r="D47" s="667"/>
      <c r="E47" s="667"/>
      <c r="F47" s="667"/>
      <c r="G47" s="667"/>
      <c r="H47" s="667"/>
      <c r="I47" s="667"/>
      <c r="J47" s="667"/>
      <c r="K47" s="667"/>
      <c r="L47" s="667"/>
      <c r="M47" s="667"/>
      <c r="N47" s="667"/>
      <c r="O47" s="667"/>
      <c r="P47" s="667"/>
      <c r="Q47" s="667"/>
      <c r="R47" s="780"/>
      <c r="S47" s="667"/>
      <c r="T47" s="667"/>
      <c r="U47" s="667"/>
      <c r="V47" s="667"/>
      <c r="W47" s="667"/>
      <c r="X47" s="667"/>
      <c r="Y47" s="667"/>
      <c r="Z47" s="667"/>
      <c r="AA47" s="667"/>
      <c r="AB47" s="667"/>
      <c r="AC47" s="667"/>
      <c r="AD47" s="668"/>
      <c r="AE47" s="668"/>
      <c r="AF47" s="668"/>
      <c r="AG47" s="792" t="s">
        <v>1196</v>
      </c>
      <c r="AH47" s="793">
        <f>IF(AH28="","",AH28*1000)</f>
        <v>2859.6784532963438</v>
      </c>
      <c r="AI47" s="794" t="s">
        <v>1197</v>
      </c>
      <c r="AJ47" s="667"/>
      <c r="AK47" s="792" t="s">
        <v>1196</v>
      </c>
      <c r="AL47" s="793">
        <f>IF(AL28="","",AL28*1000)</f>
        <v>2621.5857264685546</v>
      </c>
      <c r="AM47" s="794" t="s">
        <v>1197</v>
      </c>
      <c r="AN47" s="667"/>
      <c r="AO47" s="792" t="s">
        <v>1196</v>
      </c>
      <c r="AP47" s="793">
        <f>IF(AP28="","",AP28*1000)</f>
        <v>2226.3736584036242</v>
      </c>
      <c r="AQ47" s="794" t="s">
        <v>1197</v>
      </c>
      <c r="AR47" s="667"/>
    </row>
    <row r="48" spans="1:44" ht="15" customHeight="1" thickBot="1">
      <c r="A48" s="765"/>
      <c r="B48" s="667"/>
      <c r="C48" s="667"/>
      <c r="D48" s="667"/>
      <c r="E48" s="667"/>
      <c r="F48" s="667"/>
      <c r="G48" s="667"/>
      <c r="H48" s="667"/>
      <c r="I48" s="667"/>
      <c r="J48" s="667"/>
      <c r="K48" s="667"/>
      <c r="L48" s="667"/>
      <c r="M48" s="667"/>
      <c r="N48" s="667"/>
      <c r="O48" s="667"/>
      <c r="P48" s="667"/>
      <c r="Q48" s="667"/>
      <c r="R48" s="780"/>
      <c r="S48" s="667"/>
      <c r="T48" s="667"/>
      <c r="U48" s="667"/>
      <c r="V48" s="667"/>
      <c r="W48" s="667"/>
      <c r="X48" s="667"/>
      <c r="Y48" s="667"/>
      <c r="Z48" s="667"/>
      <c r="AA48" s="667"/>
      <c r="AB48" s="667"/>
      <c r="AC48" s="667"/>
      <c r="AD48" s="668"/>
      <c r="AE48" s="668"/>
      <c r="AF48" s="668"/>
      <c r="AG48" s="667"/>
      <c r="AH48" s="667"/>
      <c r="AI48" s="667"/>
      <c r="AJ48" s="667"/>
      <c r="AK48" s="667"/>
      <c r="AL48" s="667"/>
      <c r="AM48" s="667"/>
      <c r="AN48" s="667"/>
      <c r="AO48" s="667"/>
      <c r="AP48" s="667"/>
      <c r="AQ48" s="667"/>
      <c r="AR48" s="667"/>
    </row>
    <row r="49" spans="1:44" ht="24" customHeight="1">
      <c r="A49" s="765"/>
      <c r="B49" s="667"/>
      <c r="C49" s="667"/>
      <c r="D49" s="667"/>
      <c r="E49" s="667"/>
      <c r="F49" s="667"/>
      <c r="G49" s="667"/>
      <c r="H49" s="667"/>
      <c r="I49" s="667"/>
      <c r="J49" s="667"/>
      <c r="K49" s="667"/>
      <c r="L49" s="667"/>
      <c r="M49" s="667"/>
      <c r="N49" s="667"/>
      <c r="O49" s="667"/>
      <c r="P49" s="667"/>
      <c r="Q49" s="667"/>
      <c r="R49" s="780"/>
      <c r="S49" s="667"/>
      <c r="T49" s="667"/>
      <c r="U49" s="667"/>
      <c r="V49" s="667"/>
      <c r="W49" s="667"/>
      <c r="X49" s="667"/>
      <c r="Y49" s="667"/>
      <c r="Z49" s="667"/>
      <c r="AA49" s="667"/>
      <c r="AB49" s="667"/>
      <c r="AC49" s="667"/>
      <c r="AD49" s="668"/>
      <c r="AE49" s="668"/>
      <c r="AF49" s="668"/>
      <c r="AG49" s="809" t="s">
        <v>1232</v>
      </c>
      <c r="AH49" s="810">
        <v>0.2</v>
      </c>
      <c r="AI49" s="811"/>
      <c r="AJ49" s="667"/>
      <c r="AK49" s="824" t="s">
        <v>1232</v>
      </c>
      <c r="AL49" s="810">
        <v>0.2</v>
      </c>
      <c r="AM49" s="811"/>
      <c r="AN49" s="667"/>
      <c r="AO49" s="824" t="s">
        <v>1232</v>
      </c>
      <c r="AP49" s="810">
        <v>0.2</v>
      </c>
      <c r="AQ49" s="811"/>
      <c r="AR49" s="667"/>
    </row>
    <row r="50" spans="1:44" ht="18" customHeight="1">
      <c r="A50" s="765"/>
      <c r="B50" s="667"/>
      <c r="C50" s="667"/>
      <c r="D50" s="667"/>
      <c r="E50" s="667"/>
      <c r="F50" s="667"/>
      <c r="G50" s="667"/>
      <c r="H50" s="667"/>
      <c r="I50" s="667"/>
      <c r="J50" s="667"/>
      <c r="K50" s="667"/>
      <c r="L50" s="667"/>
      <c r="M50" s="667"/>
      <c r="N50" s="667"/>
      <c r="O50" s="667"/>
      <c r="P50" s="667"/>
      <c r="Q50" s="667"/>
      <c r="R50" s="780"/>
      <c r="S50" s="667"/>
      <c r="T50" s="667"/>
      <c r="U50" s="667"/>
      <c r="V50" s="667"/>
      <c r="W50" s="667"/>
      <c r="X50" s="667"/>
      <c r="Y50" s="667"/>
      <c r="Z50" s="667"/>
      <c r="AA50" s="667"/>
      <c r="AB50" s="667"/>
      <c r="AC50" s="667"/>
      <c r="AD50" s="668"/>
      <c r="AE50" s="668"/>
      <c r="AF50" s="668"/>
      <c r="AG50" s="1091" t="str">
        <f>IF(AND(AH51="",AH52=""),"📦 POUCH CALCULATOR 1","📦 POUCH CALCULATOR 1 - "&amp;AH51&amp;IF(AND(AH51&lt;&gt;"",AH52&lt;&gt;"")," - ","")&amp;AH52)</f>
        <v>📦 POUCH CALCULATOR 1 - Zipper pouch - 428</v>
      </c>
      <c r="AH50" s="1092"/>
      <c r="AI50" s="1093"/>
      <c r="AJ50" s="667"/>
      <c r="AK50" s="1091" t="str">
        <f>IF(AND(AL51="",AL52=""),"📦 POUCH CALCULATOR 2","📦 POUCH CALCULATOR 2 - "&amp;AL51&amp;IF(AND(AL51&lt;&gt;"",AL52&lt;&gt;"")," - ","")&amp;AL52)</f>
        <v>📦 POUCH CALCULATOR 2 - SUP with zipper - 428</v>
      </c>
      <c r="AL50" s="1092"/>
      <c r="AM50" s="1093"/>
      <c r="AN50" s="667"/>
      <c r="AO50" s="1091" t="str">
        <f>IF(AND(AP51="",AP52=""),"📦 POUCH CALCULATOR 3","📦 POUCH CALCULATOR 3 - "&amp;AP51&amp;IF(AND(AP51&lt;&gt;"",AP52&lt;&gt;"")," - ","")&amp;AP52)</f>
        <v>📦 POUCH CALCULATOR 3 - SUP with zipper - 428</v>
      </c>
      <c r="AP50" s="1092"/>
      <c r="AQ50" s="1093"/>
      <c r="AR50" s="667"/>
    </row>
    <row r="51" spans="1:44" ht="18" customHeight="1">
      <c r="A51" s="765"/>
      <c r="B51" s="667"/>
      <c r="C51" s="667"/>
      <c r="D51" s="667"/>
      <c r="E51" s="667"/>
      <c r="F51" s="667"/>
      <c r="G51" s="667"/>
      <c r="H51" s="667"/>
      <c r="I51" s="667"/>
      <c r="J51" s="667"/>
      <c r="K51" s="667"/>
      <c r="L51" s="667"/>
      <c r="M51" s="667"/>
      <c r="N51" s="667"/>
      <c r="O51" s="667"/>
      <c r="P51" s="667"/>
      <c r="Q51" s="667"/>
      <c r="R51" s="780"/>
      <c r="S51" s="667"/>
      <c r="T51" s="667"/>
      <c r="U51" s="667"/>
      <c r="V51" s="667"/>
      <c r="W51" s="667"/>
      <c r="X51" s="667"/>
      <c r="Y51" s="667"/>
      <c r="Z51" s="667"/>
      <c r="AA51" s="667"/>
      <c r="AB51" s="667"/>
      <c r="AC51" s="667"/>
      <c r="AD51" s="668"/>
      <c r="AE51" s="668"/>
      <c r="AF51" s="668"/>
      <c r="AG51" s="812" t="s">
        <v>1098</v>
      </c>
      <c r="AH51" s="826" t="s">
        <v>261</v>
      </c>
      <c r="AI51" s="827"/>
      <c r="AJ51" s="667"/>
      <c r="AK51" s="812" t="s">
        <v>1098</v>
      </c>
      <c r="AL51" s="795" t="s">
        <v>251</v>
      </c>
      <c r="AM51" s="813"/>
      <c r="AN51" s="667"/>
      <c r="AO51" s="812" t="s">
        <v>1098</v>
      </c>
      <c r="AP51" s="795" t="s">
        <v>251</v>
      </c>
      <c r="AQ51" s="813"/>
      <c r="AR51" s="667"/>
    </row>
    <row r="52" spans="1:44" ht="18" customHeight="1">
      <c r="A52" s="765"/>
      <c r="B52" s="667"/>
      <c r="C52" s="667"/>
      <c r="D52" s="667"/>
      <c r="E52" s="667"/>
      <c r="F52" s="667"/>
      <c r="G52" s="667"/>
      <c r="H52" s="667"/>
      <c r="I52" s="667"/>
      <c r="J52" s="667"/>
      <c r="K52" s="667"/>
      <c r="L52" s="667"/>
      <c r="M52" s="667"/>
      <c r="N52" s="667"/>
      <c r="O52" s="667"/>
      <c r="P52" s="667"/>
      <c r="Q52" s="667"/>
      <c r="R52" s="780"/>
      <c r="S52" s="667"/>
      <c r="T52" s="667"/>
      <c r="U52" s="667"/>
      <c r="V52" s="667"/>
      <c r="W52" s="667"/>
      <c r="X52" s="667"/>
      <c r="Y52" s="667"/>
      <c r="Z52" s="667"/>
      <c r="AA52" s="667"/>
      <c r="AB52" s="667"/>
      <c r="AC52" s="667"/>
      <c r="AD52" s="668"/>
      <c r="AE52" s="668"/>
      <c r="AF52" s="668"/>
      <c r="AG52" s="812" t="s">
        <v>1084</v>
      </c>
      <c r="AH52" s="826">
        <v>428</v>
      </c>
      <c r="AI52" s="827"/>
      <c r="AJ52" s="667"/>
      <c r="AK52" s="812" t="s">
        <v>1084</v>
      </c>
      <c r="AL52" s="795">
        <v>428</v>
      </c>
      <c r="AM52" s="813"/>
      <c r="AN52" s="667"/>
      <c r="AO52" s="812" t="s">
        <v>1084</v>
      </c>
      <c r="AP52" s="795">
        <v>428</v>
      </c>
      <c r="AQ52" s="813"/>
      <c r="AR52" s="667"/>
    </row>
    <row r="53" spans="1:44" ht="18" customHeight="1">
      <c r="A53" s="765"/>
      <c r="B53" s="667"/>
      <c r="C53" s="667"/>
      <c r="D53" s="667"/>
      <c r="E53" s="667"/>
      <c r="F53" s="667"/>
      <c r="G53" s="667"/>
      <c r="H53" s="667"/>
      <c r="I53" s="667"/>
      <c r="J53" s="667"/>
      <c r="K53" s="667"/>
      <c r="L53" s="667"/>
      <c r="M53" s="667"/>
      <c r="N53" s="667"/>
      <c r="O53" s="667"/>
      <c r="P53" s="667"/>
      <c r="Q53" s="667"/>
      <c r="R53" s="780"/>
      <c r="S53" s="667"/>
      <c r="T53" s="667"/>
      <c r="U53" s="667"/>
      <c r="V53" s="667"/>
      <c r="W53" s="667"/>
      <c r="X53" s="667"/>
      <c r="Y53" s="667"/>
      <c r="Z53" s="667"/>
      <c r="AA53" s="667"/>
      <c r="AB53" s="667"/>
      <c r="AC53" s="667"/>
      <c r="AD53" s="668"/>
      <c r="AE53" s="668"/>
      <c r="AF53" s="668"/>
      <c r="AG53" s="812" t="s">
        <v>570</v>
      </c>
      <c r="AH53" s="826">
        <v>80</v>
      </c>
      <c r="AI53" s="827" t="s">
        <v>108</v>
      </c>
      <c r="AJ53" s="667"/>
      <c r="AK53" s="812" t="s">
        <v>570</v>
      </c>
      <c r="AL53" s="795">
        <v>80</v>
      </c>
      <c r="AM53" s="813" t="s">
        <v>108</v>
      </c>
      <c r="AN53" s="667"/>
      <c r="AO53" s="812" t="s">
        <v>570</v>
      </c>
      <c r="AP53" s="795">
        <v>80</v>
      </c>
      <c r="AQ53" s="813" t="s">
        <v>108</v>
      </c>
      <c r="AR53" s="667"/>
    </row>
    <row r="54" spans="1:44" ht="18" customHeight="1">
      <c r="A54" s="765"/>
      <c r="B54" s="667"/>
      <c r="C54" s="667"/>
      <c r="D54" s="667"/>
      <c r="E54" s="667"/>
      <c r="F54" s="667"/>
      <c r="G54" s="667"/>
      <c r="H54" s="667"/>
      <c r="I54" s="667"/>
      <c r="J54" s="667"/>
      <c r="K54" s="667"/>
      <c r="L54" s="667"/>
      <c r="M54" s="667"/>
      <c r="N54" s="667"/>
      <c r="O54" s="667"/>
      <c r="P54" s="667"/>
      <c r="Q54" s="667"/>
      <c r="R54" s="780"/>
      <c r="S54" s="667"/>
      <c r="T54" s="667"/>
      <c r="U54" s="667"/>
      <c r="V54" s="667"/>
      <c r="W54" s="667"/>
      <c r="X54" s="667"/>
      <c r="Y54" s="667"/>
      <c r="Z54" s="667"/>
      <c r="AA54" s="667"/>
      <c r="AB54" s="667"/>
      <c r="AC54" s="667"/>
      <c r="AD54" s="668"/>
      <c r="AE54" s="668"/>
      <c r="AF54" s="668"/>
      <c r="AG54" s="812" t="s">
        <v>1085</v>
      </c>
      <c r="AH54" s="826">
        <v>178</v>
      </c>
      <c r="AI54" s="827" t="s">
        <v>489</v>
      </c>
      <c r="AJ54" s="667"/>
      <c r="AK54" s="812" t="s">
        <v>1085</v>
      </c>
      <c r="AL54" s="795">
        <v>178</v>
      </c>
      <c r="AM54" s="813" t="s">
        <v>489</v>
      </c>
      <c r="AN54" s="667"/>
      <c r="AO54" s="812" t="s">
        <v>1085</v>
      </c>
      <c r="AP54" s="795">
        <v>178</v>
      </c>
      <c r="AQ54" s="813" t="s">
        <v>489</v>
      </c>
      <c r="AR54" s="667"/>
    </row>
    <row r="55" spans="1:44" ht="18" customHeight="1">
      <c r="A55" s="765"/>
      <c r="B55" s="667"/>
      <c r="C55" s="667"/>
      <c r="D55" s="667"/>
      <c r="E55" s="667"/>
      <c r="F55" s="667"/>
      <c r="G55" s="667"/>
      <c r="H55" s="667"/>
      <c r="I55" s="667"/>
      <c r="J55" s="667"/>
      <c r="K55" s="667"/>
      <c r="L55" s="667"/>
      <c r="M55" s="667"/>
      <c r="N55" s="667"/>
      <c r="O55" s="667"/>
      <c r="P55" s="667"/>
      <c r="Q55" s="667"/>
      <c r="R55" s="780"/>
      <c r="S55" s="667"/>
      <c r="T55" s="667"/>
      <c r="U55" s="667"/>
      <c r="V55" s="667"/>
      <c r="W55" s="667"/>
      <c r="X55" s="667"/>
      <c r="Y55" s="667"/>
      <c r="Z55" s="667"/>
      <c r="AA55" s="667"/>
      <c r="AB55" s="667"/>
      <c r="AC55" s="667"/>
      <c r="AD55" s="668"/>
      <c r="AE55" s="668"/>
      <c r="AF55" s="668"/>
      <c r="AG55" s="812" t="s">
        <v>1086</v>
      </c>
      <c r="AH55" s="826">
        <v>216</v>
      </c>
      <c r="AI55" s="827" t="s">
        <v>489</v>
      </c>
      <c r="AJ55" s="667"/>
      <c r="AK55" s="812" t="s">
        <v>1086</v>
      </c>
      <c r="AL55" s="795">
        <v>216</v>
      </c>
      <c r="AM55" s="813" t="s">
        <v>489</v>
      </c>
      <c r="AN55" s="667"/>
      <c r="AO55" s="812" t="s">
        <v>1086</v>
      </c>
      <c r="AP55" s="795">
        <v>216</v>
      </c>
      <c r="AQ55" s="813" t="s">
        <v>489</v>
      </c>
      <c r="AR55" s="667"/>
    </row>
    <row r="56" spans="1:44" ht="18" customHeight="1">
      <c r="A56" s="765"/>
      <c r="B56" s="667"/>
      <c r="C56" s="667"/>
      <c r="D56" s="667"/>
      <c r="E56" s="667"/>
      <c r="F56" s="667"/>
      <c r="G56" s="667"/>
      <c r="H56" s="667"/>
      <c r="I56" s="667"/>
      <c r="J56" s="667"/>
      <c r="K56" s="667"/>
      <c r="L56" s="667"/>
      <c r="M56" s="667"/>
      <c r="N56" s="667"/>
      <c r="O56" s="667"/>
      <c r="P56" s="667"/>
      <c r="Q56" s="667"/>
      <c r="R56" s="780"/>
      <c r="S56" s="667"/>
      <c r="T56" s="667"/>
      <c r="U56" s="667"/>
      <c r="V56" s="667"/>
      <c r="W56" s="667"/>
      <c r="X56" s="667"/>
      <c r="Y56" s="667"/>
      <c r="Z56" s="667"/>
      <c r="AA56" s="667"/>
      <c r="AB56" s="667"/>
      <c r="AC56" s="667"/>
      <c r="AD56" s="668"/>
      <c r="AE56" s="668"/>
      <c r="AF56" s="668"/>
      <c r="AG56" s="812" t="s">
        <v>1087</v>
      </c>
      <c r="AH56" s="826">
        <v>26</v>
      </c>
      <c r="AI56" s="827" t="s">
        <v>489</v>
      </c>
      <c r="AJ56" s="667"/>
      <c r="AK56" s="812" t="s">
        <v>1087</v>
      </c>
      <c r="AL56" s="795">
        <v>26</v>
      </c>
      <c r="AM56" s="813" t="s">
        <v>489</v>
      </c>
      <c r="AN56" s="667"/>
      <c r="AO56" s="812" t="s">
        <v>1087</v>
      </c>
      <c r="AP56" s="795">
        <v>26</v>
      </c>
      <c r="AQ56" s="813" t="s">
        <v>489</v>
      </c>
      <c r="AR56" s="667"/>
    </row>
    <row r="57" spans="1:44" ht="18" customHeight="1">
      <c r="A57" s="765"/>
      <c r="B57" s="667"/>
      <c r="C57" s="667"/>
      <c r="D57" s="667"/>
      <c r="E57" s="667"/>
      <c r="F57" s="667"/>
      <c r="G57" s="667"/>
      <c r="H57" s="667"/>
      <c r="I57" s="667"/>
      <c r="J57" s="667"/>
      <c r="K57" s="667"/>
      <c r="L57" s="667"/>
      <c r="M57" s="667"/>
      <c r="N57" s="667"/>
      <c r="O57" s="667"/>
      <c r="P57" s="667"/>
      <c r="Q57" s="667"/>
      <c r="R57" s="780"/>
      <c r="S57" s="667"/>
      <c r="T57" s="667"/>
      <c r="U57" s="667"/>
      <c r="V57" s="667"/>
      <c r="W57" s="667"/>
      <c r="X57" s="667"/>
      <c r="Y57" s="667"/>
      <c r="Z57" s="667"/>
      <c r="AA57" s="667"/>
      <c r="AB57" s="667"/>
      <c r="AC57" s="667"/>
      <c r="AD57" s="668"/>
      <c r="AE57" s="668"/>
      <c r="AF57" s="668"/>
      <c r="AG57" s="812" t="s">
        <v>1088</v>
      </c>
      <c r="AH57" s="828"/>
      <c r="AI57" s="827"/>
      <c r="AJ57" s="667"/>
      <c r="AK57" s="812" t="s">
        <v>1088</v>
      </c>
      <c r="AL57" s="796"/>
      <c r="AM57" s="813"/>
      <c r="AN57" s="667"/>
      <c r="AO57" s="812" t="s">
        <v>1088</v>
      </c>
      <c r="AP57" s="796"/>
      <c r="AQ57" s="813"/>
      <c r="AR57" s="667"/>
    </row>
    <row r="58" spans="1:44" ht="18" customHeight="1">
      <c r="A58" s="765"/>
      <c r="B58" s="667"/>
      <c r="C58" s="667"/>
      <c r="D58" s="667"/>
      <c r="E58" s="667"/>
      <c r="F58" s="667"/>
      <c r="G58" s="667"/>
      <c r="H58" s="667"/>
      <c r="I58" s="667"/>
      <c r="J58" s="667"/>
      <c r="K58" s="667"/>
      <c r="L58" s="667"/>
      <c r="M58" s="667"/>
      <c r="N58" s="667"/>
      <c r="O58" s="667"/>
      <c r="P58" s="667"/>
      <c r="Q58" s="667"/>
      <c r="R58" s="780"/>
      <c r="S58" s="667"/>
      <c r="T58" s="667"/>
      <c r="U58" s="667"/>
      <c r="V58" s="667"/>
      <c r="W58" s="667"/>
      <c r="X58" s="667"/>
      <c r="Y58" s="667"/>
      <c r="Z58" s="667"/>
      <c r="AA58" s="667"/>
      <c r="AB58" s="667"/>
      <c r="AC58" s="667"/>
      <c r="AD58" s="668"/>
      <c r="AE58" s="668"/>
      <c r="AF58" s="668"/>
      <c r="AG58" s="853" t="s">
        <v>1089</v>
      </c>
      <c r="AH58" s="854">
        <v>5000</v>
      </c>
      <c r="AI58" s="855" t="s">
        <v>1076</v>
      </c>
      <c r="AJ58" s="856" t="str">
        <f>IF(OR(AH58="",AH59=""),"MOQ data missing",IF(AH58&gt;=AH59,"MOQ OK","Below MOQ by "&amp;TEXT(AH59-AH58,"#,##0")&amp;" bags"))</f>
        <v>Below MOQ by 50,311 bags</v>
      </c>
      <c r="AK58" s="853" t="s">
        <v>1089</v>
      </c>
      <c r="AL58" s="854">
        <v>10000</v>
      </c>
      <c r="AM58" s="855" t="s">
        <v>1076</v>
      </c>
      <c r="AN58" s="856" t="str">
        <f>IF(OR(AL58="",AL59=""),"MOQ data missing",IF(AL58&gt;=AL59,"MOQ OK","Below MOQ by "&amp;TEXT(AL59-AL58,"#,##0")&amp;" bags"))</f>
        <v>Below MOQ by 45,311 bags</v>
      </c>
      <c r="AO58" s="853" t="s">
        <v>1089</v>
      </c>
      <c r="AP58" s="854">
        <v>25000</v>
      </c>
      <c r="AQ58" s="855" t="s">
        <v>1076</v>
      </c>
      <c r="AR58" s="856" t="str">
        <f>IF(OR(AP58="",AP59=""),"MOQ data missing",IF(AP58&gt;=AP59,"MOQ OK","Below MOQ by "&amp;TEXT(AP59-AP58,"#,##0")&amp;" bags"))</f>
        <v>Below MOQ by 30,311 bags</v>
      </c>
    </row>
    <row r="59" spans="1:44">
      <c r="A59" s="765"/>
      <c r="B59" s="667"/>
      <c r="C59" s="667"/>
      <c r="D59" s="667"/>
      <c r="E59" s="667"/>
      <c r="F59" s="667"/>
      <c r="G59" s="667"/>
      <c r="H59" s="667"/>
      <c r="I59" s="667"/>
      <c r="J59" s="667"/>
      <c r="K59" s="667"/>
      <c r="L59" s="667"/>
      <c r="M59" s="667"/>
      <c r="N59" s="667"/>
      <c r="O59" s="667"/>
      <c r="P59" s="667"/>
      <c r="Q59" s="667"/>
      <c r="R59" s="780"/>
      <c r="S59" s="667"/>
      <c r="T59" s="667"/>
      <c r="U59" s="667"/>
      <c r="V59" s="667"/>
      <c r="W59" s="667"/>
      <c r="X59" s="667"/>
      <c r="Y59" s="667"/>
      <c r="Z59" s="667"/>
      <c r="AA59" s="667"/>
      <c r="AB59" s="667"/>
      <c r="AC59" s="667"/>
      <c r="AD59" s="668"/>
      <c r="AE59" s="668"/>
      <c r="AF59" s="668"/>
      <c r="AG59" s="812" t="s">
        <v>1276</v>
      </c>
      <c r="AH59" s="857">
        <f>IFERROR(ROUNDUP(AH36*1000/AH55,0),"")</f>
        <v>55311</v>
      </c>
      <c r="AI59" s="827" t="s">
        <v>1076</v>
      </c>
      <c r="AJ59" s="667"/>
      <c r="AK59" s="812" t="s">
        <v>1276</v>
      </c>
      <c r="AL59" s="857">
        <f>IFERROR(ROUNDUP(AL36*1000/AL55,0),"")</f>
        <v>55311</v>
      </c>
      <c r="AM59" s="827" t="s">
        <v>1076</v>
      </c>
      <c r="AN59" s="667"/>
      <c r="AO59" s="812" t="s">
        <v>1276</v>
      </c>
      <c r="AP59" s="857">
        <f>IFERROR(ROUNDUP(AP36*1000/AP55,0),"")</f>
        <v>55311</v>
      </c>
      <c r="AQ59" s="827" t="s">
        <v>1076</v>
      </c>
      <c r="AR59" s="667"/>
    </row>
    <row r="60" spans="1:44" ht="18" customHeight="1">
      <c r="A60" s="765"/>
      <c r="B60" s="667"/>
      <c r="C60" s="667"/>
      <c r="D60" s="667"/>
      <c r="E60" s="667"/>
      <c r="F60" s="667"/>
      <c r="G60" s="667"/>
      <c r="H60" s="667"/>
      <c r="I60" s="667"/>
      <c r="J60" s="667"/>
      <c r="K60" s="667"/>
      <c r="L60" s="667"/>
      <c r="M60" s="667"/>
      <c r="N60" s="667"/>
      <c r="O60" s="667"/>
      <c r="P60" s="667"/>
      <c r="Q60" s="667"/>
      <c r="R60" s="780"/>
      <c r="S60" s="667"/>
      <c r="T60" s="667"/>
      <c r="U60" s="667"/>
      <c r="V60" s="667"/>
      <c r="W60" s="667"/>
      <c r="X60" s="667"/>
      <c r="Y60" s="667"/>
      <c r="Z60" s="667"/>
      <c r="AA60" s="667"/>
      <c r="AB60" s="667"/>
      <c r="AC60" s="667"/>
      <c r="AD60" s="668"/>
      <c r="AE60" s="668"/>
      <c r="AF60" s="668"/>
      <c r="AG60" s="812" t="s">
        <v>573</v>
      </c>
      <c r="AH60" s="826" t="s">
        <v>1083</v>
      </c>
      <c r="AI60" s="827"/>
      <c r="AJ60" s="667"/>
      <c r="AK60" s="812" t="s">
        <v>573</v>
      </c>
      <c r="AL60" s="795" t="s">
        <v>1083</v>
      </c>
      <c r="AM60" s="813"/>
      <c r="AN60" s="667"/>
      <c r="AO60" s="812" t="s">
        <v>573</v>
      </c>
      <c r="AP60" s="795" t="s">
        <v>1083</v>
      </c>
      <c r="AQ60" s="813"/>
      <c r="AR60" s="667"/>
    </row>
    <row r="61" spans="1:44" ht="18" customHeight="1">
      <c r="A61" s="765"/>
      <c r="B61" s="667"/>
      <c r="C61" s="667"/>
      <c r="D61" s="667"/>
      <c r="E61" s="667"/>
      <c r="F61" s="667"/>
      <c r="G61" s="667"/>
      <c r="H61" s="667"/>
      <c r="I61" s="667"/>
      <c r="J61" s="667"/>
      <c r="K61" s="667"/>
      <c r="L61" s="667"/>
      <c r="M61" s="667"/>
      <c r="N61" s="667"/>
      <c r="O61" s="667"/>
      <c r="P61" s="667"/>
      <c r="Q61" s="667"/>
      <c r="R61" s="780"/>
      <c r="S61" s="667"/>
      <c r="T61" s="667"/>
      <c r="U61" s="667"/>
      <c r="V61" s="667"/>
      <c r="W61" s="667"/>
      <c r="X61" s="667"/>
      <c r="Y61" s="667"/>
      <c r="Z61" s="667"/>
      <c r="AA61" s="667"/>
      <c r="AB61" s="667"/>
      <c r="AC61" s="667"/>
      <c r="AD61" s="668"/>
      <c r="AE61" s="668"/>
      <c r="AF61" s="668"/>
      <c r="AG61" s="812" t="s">
        <v>1090</v>
      </c>
      <c r="AH61" s="829" t="s">
        <v>122</v>
      </c>
      <c r="AI61" s="827"/>
      <c r="AJ61" s="667"/>
      <c r="AK61" s="812" t="s">
        <v>1090</v>
      </c>
      <c r="AL61" s="797" t="s">
        <v>122</v>
      </c>
      <c r="AM61" s="813"/>
      <c r="AN61" s="667"/>
      <c r="AO61" s="812" t="s">
        <v>1090</v>
      </c>
      <c r="AP61" s="797" t="s">
        <v>122</v>
      </c>
      <c r="AQ61" s="813"/>
      <c r="AR61" s="667"/>
    </row>
    <row r="62" spans="1:44" ht="18" customHeight="1">
      <c r="A62" s="765"/>
      <c r="B62" s="667"/>
      <c r="C62" s="667"/>
      <c r="D62" s="667"/>
      <c r="E62" s="667"/>
      <c r="F62" s="667"/>
      <c r="G62" s="667"/>
      <c r="H62" s="667"/>
      <c r="I62" s="667"/>
      <c r="J62" s="667"/>
      <c r="K62" s="667"/>
      <c r="L62" s="667"/>
      <c r="M62" s="667"/>
      <c r="N62" s="667"/>
      <c r="O62" s="667"/>
      <c r="P62" s="667"/>
      <c r="Q62" s="667"/>
      <c r="R62" s="780"/>
      <c r="S62" s="667"/>
      <c r="T62" s="667"/>
      <c r="U62" s="667"/>
      <c r="V62" s="667"/>
      <c r="W62" s="667"/>
      <c r="X62" s="667"/>
      <c r="Y62" s="667"/>
      <c r="Z62" s="667"/>
      <c r="AA62" s="667"/>
      <c r="AB62" s="667"/>
      <c r="AC62" s="667"/>
      <c r="AD62" s="668"/>
      <c r="AE62" s="668"/>
      <c r="AF62" s="668"/>
      <c r="AG62" s="812" t="s">
        <v>2382</v>
      </c>
      <c r="AH62" s="857">
        <v>1</v>
      </c>
      <c r="AI62" s="827"/>
      <c r="AJ62" s="667"/>
      <c r="AK62" s="812" t="s">
        <v>2382</v>
      </c>
      <c r="AL62" s="877">
        <v>1</v>
      </c>
      <c r="AM62" s="813"/>
      <c r="AN62" s="667"/>
      <c r="AO62" s="812" t="s">
        <v>2382</v>
      </c>
      <c r="AP62" s="877">
        <v>1</v>
      </c>
      <c r="AQ62" s="813"/>
      <c r="AR62" s="667"/>
    </row>
    <row r="63" spans="1:44" ht="18" customHeight="1">
      <c r="A63" s="765"/>
      <c r="B63" s="667"/>
      <c r="C63" s="667"/>
      <c r="D63" s="667"/>
      <c r="E63" s="667"/>
      <c r="F63" s="667"/>
      <c r="G63" s="667"/>
      <c r="H63" s="667"/>
      <c r="I63" s="667"/>
      <c r="J63" s="667"/>
      <c r="K63" s="667"/>
      <c r="L63" s="667"/>
      <c r="M63" s="667"/>
      <c r="N63" s="667"/>
      <c r="O63" s="667"/>
      <c r="P63" s="667"/>
      <c r="Q63" s="667"/>
      <c r="R63" s="780"/>
      <c r="S63" s="667"/>
      <c r="T63" s="667"/>
      <c r="U63" s="667"/>
      <c r="V63" s="667"/>
      <c r="W63" s="667"/>
      <c r="X63" s="667"/>
      <c r="Y63" s="667"/>
      <c r="Z63" s="667"/>
      <c r="AA63" s="667"/>
      <c r="AB63" s="667"/>
      <c r="AC63" s="667"/>
      <c r="AD63" s="668"/>
      <c r="AE63" s="668"/>
      <c r="AF63" s="668"/>
      <c r="AG63" s="812" t="s">
        <v>2388</v>
      </c>
      <c r="AH63" s="826" t="s">
        <v>1366</v>
      </c>
      <c r="AI63" s="827"/>
      <c r="AJ63" s="667"/>
      <c r="AK63" s="812" t="s">
        <v>2388</v>
      </c>
      <c r="AL63" s="795" t="s">
        <v>1366</v>
      </c>
      <c r="AM63" s="813"/>
      <c r="AN63" s="667"/>
      <c r="AO63" s="812" t="s">
        <v>2388</v>
      </c>
      <c r="AP63" s="795" t="s">
        <v>1366</v>
      </c>
      <c r="AQ63" s="813"/>
      <c r="AR63" s="667"/>
    </row>
    <row r="64" spans="1:44" ht="18" customHeight="1">
      <c r="A64" s="765"/>
      <c r="B64" s="667"/>
      <c r="C64" s="667"/>
      <c r="D64" s="667"/>
      <c r="E64" s="667"/>
      <c r="F64" s="667"/>
      <c r="G64" s="667"/>
      <c r="H64" s="667"/>
      <c r="I64" s="667"/>
      <c r="J64" s="667"/>
      <c r="K64" s="667"/>
      <c r="L64" s="667"/>
      <c r="M64" s="667"/>
      <c r="N64" s="667"/>
      <c r="O64" s="667"/>
      <c r="P64" s="667"/>
      <c r="Q64" s="667"/>
      <c r="R64" s="780"/>
      <c r="S64" s="667"/>
      <c r="T64" s="667"/>
      <c r="U64" s="667"/>
      <c r="V64" s="667"/>
      <c r="W64" s="667"/>
      <c r="X64" s="667"/>
      <c r="Y64" s="667"/>
      <c r="Z64" s="667"/>
      <c r="AA64" s="667"/>
      <c r="AB64" s="667"/>
      <c r="AC64" s="667"/>
      <c r="AD64" s="668"/>
      <c r="AE64" s="668"/>
      <c r="AF64" s="668"/>
      <c r="AG64" s="812" t="s">
        <v>1091</v>
      </c>
      <c r="AH64" s="830" t="str">
        <f>IF(OR(AH51="Zipper pouch",AH51="SUP with zipper"),"Yes","")</f>
        <v>Yes</v>
      </c>
      <c r="AI64" s="827"/>
      <c r="AJ64" s="667"/>
      <c r="AK64" s="812" t="s">
        <v>1091</v>
      </c>
      <c r="AL64" s="798" t="str">
        <f>IF(OR(AL51="Zipper pouch",AL51="SUP with zipper"),"Yes","")</f>
        <v>Yes</v>
      </c>
      <c r="AM64" s="813"/>
      <c r="AN64" s="667"/>
      <c r="AO64" s="812" t="s">
        <v>1091</v>
      </c>
      <c r="AP64" s="798" t="str">
        <f>IF(OR(AP51="Zipper pouch",AP51="SUP with zipper"),"Yes","")</f>
        <v>Yes</v>
      </c>
      <c r="AQ64" s="813"/>
      <c r="AR64" s="667"/>
    </row>
    <row r="65" spans="1:44">
      <c r="A65" s="765"/>
      <c r="B65" s="667"/>
      <c r="C65" s="667"/>
      <c r="D65" s="667"/>
      <c r="E65" s="667"/>
      <c r="F65" s="667"/>
      <c r="G65" s="667"/>
      <c r="H65" s="667"/>
      <c r="I65" s="667"/>
      <c r="J65" s="667"/>
      <c r="K65" s="667"/>
      <c r="L65" s="667"/>
      <c r="M65" s="667"/>
      <c r="N65" s="667"/>
      <c r="O65" s="667"/>
      <c r="P65" s="667"/>
      <c r="Q65" s="667"/>
      <c r="R65" s="780"/>
      <c r="S65" s="667"/>
      <c r="T65" s="667"/>
      <c r="U65" s="667"/>
      <c r="V65" s="667"/>
      <c r="W65" s="667"/>
      <c r="X65" s="667"/>
      <c r="Y65" s="667"/>
      <c r="Z65" s="667"/>
      <c r="AA65" s="667"/>
      <c r="AB65" s="667"/>
      <c r="AC65" s="667"/>
      <c r="AD65" s="668"/>
      <c r="AE65" s="668"/>
      <c r="AF65" s="668"/>
      <c r="AG65" s="812" t="s">
        <v>2386</v>
      </c>
      <c r="AH65" s="831" t="s">
        <v>550</v>
      </c>
      <c r="AI65" s="827"/>
      <c r="AJ65" s="667"/>
      <c r="AK65" s="812" t="s">
        <v>2386</v>
      </c>
      <c r="AL65" s="799" t="s">
        <v>550</v>
      </c>
      <c r="AM65" s="813"/>
      <c r="AN65" s="667"/>
      <c r="AO65" s="812" t="s">
        <v>2386</v>
      </c>
      <c r="AP65" s="799" t="s">
        <v>550</v>
      </c>
      <c r="AQ65" s="813"/>
      <c r="AR65" s="667"/>
    </row>
    <row r="66" spans="1:44" ht="21.95" customHeight="1">
      <c r="A66" s="765"/>
      <c r="B66" s="667"/>
      <c r="C66" s="667"/>
      <c r="D66" s="667"/>
      <c r="E66" s="667"/>
      <c r="F66" s="667"/>
      <c r="G66" s="667"/>
      <c r="H66" s="667"/>
      <c r="I66" s="667"/>
      <c r="J66" s="667"/>
      <c r="K66" s="667"/>
      <c r="L66" s="667"/>
      <c r="M66" s="667"/>
      <c r="N66" s="667"/>
      <c r="O66" s="667"/>
      <c r="P66" s="667"/>
      <c r="Q66" s="667"/>
      <c r="R66" s="780"/>
      <c r="S66" s="667"/>
      <c r="T66" s="667"/>
      <c r="U66" s="667"/>
      <c r="V66" s="667"/>
      <c r="W66" s="667"/>
      <c r="X66" s="667"/>
      <c r="Y66" s="667"/>
      <c r="Z66" s="668">
        <f>0.584/1.15</f>
        <v>0.50782608695652176</v>
      </c>
      <c r="AA66" s="667"/>
      <c r="AB66" s="667"/>
      <c r="AC66" s="667"/>
      <c r="AD66" s="668"/>
      <c r="AE66" s="668"/>
      <c r="AF66" s="668"/>
      <c r="AG66" s="812" t="s">
        <v>1092</v>
      </c>
      <c r="AH66" s="836">
        <f>IFERROR(AH76/(1-AH49),"Data is missing")</f>
        <v>1.460803530391293</v>
      </c>
      <c r="AI66" s="832" t="s">
        <v>496</v>
      </c>
      <c r="AJ66" s="667">
        <v>0.57010087937155352</v>
      </c>
      <c r="AK66" s="812" t="s">
        <v>1092</v>
      </c>
      <c r="AL66" s="836">
        <f>IFERROR(AL76/(1-AL49),"Data is missing")</f>
        <v>1.2287225883822965</v>
      </c>
      <c r="AM66" s="814" t="s">
        <v>496</v>
      </c>
      <c r="AN66" s="667"/>
      <c r="AO66" s="812" t="s">
        <v>1092</v>
      </c>
      <c r="AP66" s="836">
        <f>IFERROR(AP76/(1-AP49),"Data is missing")</f>
        <v>0.99877008871490947</v>
      </c>
      <c r="AQ66" s="814" t="s">
        <v>496</v>
      </c>
      <c r="AR66" s="667"/>
    </row>
    <row r="67" spans="1:44" ht="18" customHeight="1">
      <c r="A67" s="765"/>
      <c r="B67" s="667"/>
      <c r="C67" s="667"/>
      <c r="D67" s="667"/>
      <c r="E67" s="667"/>
      <c r="F67" s="667"/>
      <c r="G67" s="667"/>
      <c r="H67" s="667"/>
      <c r="I67" s="667"/>
      <c r="J67" s="667"/>
      <c r="K67" s="667"/>
      <c r="L67" s="667"/>
      <c r="M67" s="667"/>
      <c r="N67" s="667"/>
      <c r="O67" s="667"/>
      <c r="P67" s="667"/>
      <c r="Q67" s="667"/>
      <c r="R67" s="780"/>
      <c r="S67" s="667"/>
      <c r="T67" s="667"/>
      <c r="U67" s="667"/>
      <c r="V67" s="667"/>
      <c r="W67" s="667"/>
      <c r="X67" s="667"/>
      <c r="Y67" s="667"/>
      <c r="Z67" s="667"/>
      <c r="AA67" s="667"/>
      <c r="AB67" s="667"/>
      <c r="AC67" s="667"/>
      <c r="AD67" s="668"/>
      <c r="AE67" s="668"/>
      <c r="AF67" s="668"/>
      <c r="AG67" s="812" t="s">
        <v>1260</v>
      </c>
      <c r="AH67" s="837">
        <f>AH66*1.16</f>
        <v>1.6945320952538998</v>
      </c>
      <c r="AI67" s="832" t="s">
        <v>270</v>
      </c>
      <c r="AJ67" s="667">
        <v>0.66131702007100202</v>
      </c>
      <c r="AK67" s="812" t="s">
        <v>1260</v>
      </c>
      <c r="AL67" s="837">
        <f>AL66*1.16</f>
        <v>1.4253182025234639</v>
      </c>
      <c r="AM67" s="814" t="s">
        <v>270</v>
      </c>
      <c r="AN67" s="667"/>
      <c r="AO67" s="812" t="s">
        <v>1260</v>
      </c>
      <c r="AP67" s="837">
        <f>AP66*1.16</f>
        <v>1.1585733029092948</v>
      </c>
      <c r="AQ67" s="814" t="s">
        <v>270</v>
      </c>
      <c r="AR67" s="667"/>
    </row>
    <row r="68" spans="1:44" ht="18" customHeight="1">
      <c r="A68" s="765"/>
      <c r="B68" s="667"/>
      <c r="C68" s="667"/>
      <c r="D68" s="667"/>
      <c r="E68" s="667"/>
      <c r="F68" s="667"/>
      <c r="G68" s="667"/>
      <c r="H68" s="667"/>
      <c r="I68" s="667"/>
      <c r="J68" s="667"/>
      <c r="K68" s="667"/>
      <c r="L68" s="667"/>
      <c r="M68" s="667"/>
      <c r="N68" s="667"/>
      <c r="O68" s="667"/>
      <c r="P68" s="667"/>
      <c r="Q68" s="667"/>
      <c r="R68" s="780"/>
      <c r="S68" s="667"/>
      <c r="T68" s="667"/>
      <c r="U68" s="667"/>
      <c r="V68" s="667"/>
      <c r="W68" s="667"/>
      <c r="X68" s="667"/>
      <c r="Y68" s="667"/>
      <c r="Z68" s="667"/>
      <c r="AA68" s="667"/>
      <c r="AB68" s="667"/>
      <c r="AC68" s="667"/>
      <c r="AD68" s="668"/>
      <c r="AE68" s="668"/>
      <c r="AF68" s="668"/>
      <c r="AG68" s="812" t="s">
        <v>1116</v>
      </c>
      <c r="AH68" s="833">
        <f>IFERROR(AH66*AH58,"Data is missing")</f>
        <v>7304.0176519564648</v>
      </c>
      <c r="AI68" s="832" t="s">
        <v>1050</v>
      </c>
      <c r="AJ68" s="667"/>
      <c r="AK68" s="812" t="s">
        <v>1116</v>
      </c>
      <c r="AL68" s="800">
        <f>IFERROR(AL66*AL58,"Data is missing")</f>
        <v>12287.225883822965</v>
      </c>
      <c r="AM68" s="814" t="s">
        <v>1050</v>
      </c>
      <c r="AN68" s="667"/>
      <c r="AO68" s="812" t="s">
        <v>1116</v>
      </c>
      <c r="AP68" s="800">
        <f>IFERROR(AP66*AP58,"Data is missing")</f>
        <v>24969.252217872738</v>
      </c>
      <c r="AQ68" s="814" t="s">
        <v>1050</v>
      </c>
      <c r="AR68" s="667"/>
    </row>
    <row r="69" spans="1:44" ht="18" customHeight="1">
      <c r="A69" s="765"/>
      <c r="B69" s="667"/>
      <c r="C69" s="667"/>
      <c r="D69" s="667"/>
      <c r="E69" s="667"/>
      <c r="F69" s="667"/>
      <c r="G69" s="667"/>
      <c r="H69" s="667"/>
      <c r="I69" s="667"/>
      <c r="J69" s="667"/>
      <c r="K69" s="667"/>
      <c r="L69" s="667"/>
      <c r="M69" s="667"/>
      <c r="N69" s="667"/>
      <c r="O69" s="667"/>
      <c r="P69" s="667"/>
      <c r="Q69" s="667"/>
      <c r="R69" s="780"/>
      <c r="S69" s="667"/>
      <c r="T69" s="667"/>
      <c r="U69" s="667"/>
      <c r="V69" s="667"/>
      <c r="W69" s="667"/>
      <c r="X69" s="667"/>
      <c r="Y69" s="667"/>
      <c r="Z69" s="667"/>
      <c r="AA69" s="667"/>
      <c r="AB69" s="667"/>
      <c r="AC69" s="667"/>
      <c r="AD69" s="668"/>
      <c r="AE69" s="668"/>
      <c r="AF69" s="668"/>
      <c r="AG69" s="815" t="s">
        <v>1117</v>
      </c>
      <c r="AH69" s="834">
        <f>IFERROR(AH68*1.16,"Data is missing")</f>
        <v>8472.6604762694988</v>
      </c>
      <c r="AI69" s="835" t="s">
        <v>1052</v>
      </c>
      <c r="AJ69" s="667"/>
      <c r="AK69" s="815" t="s">
        <v>1117</v>
      </c>
      <c r="AL69" s="801">
        <f>IFERROR(AL68*1.16,"Data is missing")</f>
        <v>14253.182025234637</v>
      </c>
      <c r="AM69" s="816" t="s">
        <v>1052</v>
      </c>
      <c r="AN69" s="667"/>
      <c r="AO69" s="815" t="s">
        <v>1117</v>
      </c>
      <c r="AP69" s="801">
        <f>IFERROR(AP68*1.16,"Data is missing")</f>
        <v>28964.332572732375</v>
      </c>
      <c r="AQ69" s="816" t="s">
        <v>1052</v>
      </c>
      <c r="AR69" s="667"/>
    </row>
    <row r="70" spans="1:44">
      <c r="A70" s="765"/>
      <c r="B70" s="667"/>
      <c r="C70" s="667"/>
      <c r="D70" s="667"/>
      <c r="E70" s="667"/>
      <c r="F70" s="667"/>
      <c r="G70" s="667"/>
      <c r="H70" s="667"/>
      <c r="I70" s="667"/>
      <c r="J70" s="667"/>
      <c r="K70" s="667"/>
      <c r="L70" s="667"/>
      <c r="M70" s="667"/>
      <c r="N70" s="667"/>
      <c r="O70" s="667"/>
      <c r="P70" s="667"/>
      <c r="Q70" s="667"/>
      <c r="R70" s="780"/>
      <c r="S70" s="667"/>
      <c r="T70" s="667"/>
      <c r="U70" s="667"/>
      <c r="V70" s="667"/>
      <c r="W70" s="667"/>
      <c r="X70" s="667"/>
      <c r="Y70" s="667"/>
      <c r="Z70" s="667"/>
      <c r="AA70" s="667"/>
      <c r="AB70" s="667"/>
      <c r="AC70" s="667"/>
      <c r="AD70" s="668"/>
      <c r="AE70" s="668"/>
      <c r="AF70" s="668"/>
      <c r="AG70" s="817" t="s">
        <v>1096</v>
      </c>
      <c r="AH70" s="802"/>
      <c r="AI70" s="818"/>
      <c r="AJ70" s="667"/>
      <c r="AK70" s="817"/>
      <c r="AL70" s="802"/>
      <c r="AM70" s="818"/>
      <c r="AN70" s="667"/>
      <c r="AO70" s="817"/>
      <c r="AP70" s="802"/>
      <c r="AQ70" s="818"/>
      <c r="AR70" s="667"/>
    </row>
    <row r="71" spans="1:44" ht="18" customHeight="1">
      <c r="A71" s="765"/>
      <c r="B71" s="667"/>
      <c r="C71" s="667"/>
      <c r="D71" s="667"/>
      <c r="E71" s="667"/>
      <c r="F71" s="667"/>
      <c r="G71" s="667"/>
      <c r="H71" s="667"/>
      <c r="I71" s="667"/>
      <c r="J71" s="667"/>
      <c r="K71" s="667"/>
      <c r="L71" s="667"/>
      <c r="M71" s="667"/>
      <c r="N71" s="667"/>
      <c r="O71" s="667"/>
      <c r="P71" s="667"/>
      <c r="Q71" s="667"/>
      <c r="R71" s="780"/>
      <c r="S71" s="667"/>
      <c r="T71" s="667"/>
      <c r="U71" s="667"/>
      <c r="V71" s="667"/>
      <c r="W71" s="667"/>
      <c r="X71" s="667"/>
      <c r="Y71" s="667"/>
      <c r="Z71" s="667"/>
      <c r="AA71" s="667"/>
      <c r="AB71" s="667"/>
      <c r="AC71" s="667"/>
      <c r="AD71" s="668"/>
      <c r="AE71" s="668"/>
      <c r="AF71" s="668"/>
      <c r="AG71" s="819" t="s">
        <v>1097</v>
      </c>
      <c r="AH71" s="803" cm="1">
        <f t="array" ref="AH71">IF(AH63="Quantum",IFERROR(_xlfn.LET(_xlpm.b,_xlfn.SWITCH(LOWER(AH51),"zipper bag","Zipper pouch","open bag","Open pouch","sup with zipper","Stand-up pouch","stand-up pouch","Stand-up pouch",AH51),_xlpm.w,AH55,_xlpm.q,AH58,_xlpm.types,'Converting-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missing"),IFERROR(_xlfn.LET(_xlpm.s,AH63,_xlpm.b,_xlfn.SWITCH(LOWER(AH51),"zipper bag","Zipper pouch","open bag","Open pouch",AH51),_xlpm.w,AH55,_xlpm.q,AH58,_xlpm.src,'Converting-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0.16259401163615725</v>
      </c>
      <c r="AI71" s="820" t="str">
        <f>IF(AH71="Data is missing","","€/pouch")</f>
        <v>€/pouch</v>
      </c>
      <c r="AJ71" s="667"/>
      <c r="AK71" s="819" t="s">
        <v>1097</v>
      </c>
      <c r="AL71" s="804" cm="1">
        <f t="array" ref="AL71">IF(AL63="Quantum",IFERROR(_xlfn.LET(_xlpm.b,_xlfn.SWITCH(LOWER(AL51),"zipper bag","Zipper pouch","open bag","Open pouch","sup with zipper","Stand-up pouch","stand-up pouch","Stand-up pouch",AL51),_xlpm.w,AL55,_xlpm.q,AL58,_xlpm.types,'Converting-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missing"),IFERROR(_xlfn.LET(_xlpm.s,AL63,_xlpm.b,_xlfn.SWITCH(LOWER(AL51),"zipper bag","Zipper pouch","open bag","Open pouch",AL51),_xlpm.w,AL55,_xlpm.q,AL58,_xlpm.src,'Converting-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0.18033205619412518</v>
      </c>
      <c r="AM71" s="820" t="str">
        <f>IF(AL71="Data is missing","","€/pouch")</f>
        <v>€/pouch</v>
      </c>
      <c r="AN71" s="667"/>
      <c r="AO71" s="819" t="s">
        <v>1097</v>
      </c>
      <c r="AP71" s="804" cm="1">
        <f t="array" ref="AP71">IF(AP63="Quantum",IFERROR(_xlfn.LET(_xlpm.b,_xlfn.SWITCH(LOWER(AP51),"zipper bag","Zipper pouch","open bag","Open pouch","sup with zipper","Stand-up pouch","stand-up pouch","Stand-up pouch",AP51),_xlpm.w,AP55,_xlpm.q,AP58,_xlpm.types,'Converting-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missing"),IFERROR(_xlfn.LET(_xlpm.s,AP63,_xlpm.b,_xlfn.SWITCH(LOWER(AP51),"zipper bag","Zipper pouch","open bag","Open pouch",AP51),_xlpm.w,AP55,_xlpm.q,AP58,_xlpm.src,'Converting-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0.18033205619412518</v>
      </c>
      <c r="AQ71" s="820" t="str">
        <f>IF(AP71="Data is missing","","€/pouch")</f>
        <v>€/pouch</v>
      </c>
      <c r="AR71" s="667"/>
    </row>
    <row r="72" spans="1:44" ht="18" customHeight="1">
      <c r="A72" s="765"/>
      <c r="B72" s="667"/>
      <c r="C72" s="667"/>
      <c r="D72" s="667"/>
      <c r="E72" s="667"/>
      <c r="F72" s="667"/>
      <c r="G72" s="667"/>
      <c r="H72" s="667"/>
      <c r="I72" s="667"/>
      <c r="J72" s="667"/>
      <c r="K72" s="667"/>
      <c r="L72" s="667"/>
      <c r="M72" s="667"/>
      <c r="N72" s="667"/>
      <c r="O72" s="667"/>
      <c r="P72" s="667"/>
      <c r="Q72" s="667"/>
      <c r="R72" s="780"/>
      <c r="S72" s="667"/>
      <c r="T72" s="667"/>
      <c r="U72" s="667"/>
      <c r="V72" s="667"/>
      <c r="W72" s="667"/>
      <c r="X72" s="667"/>
      <c r="Y72" s="667"/>
      <c r="Z72" s="667"/>
      <c r="AA72" s="667"/>
      <c r="AB72" s="667"/>
      <c r="AC72" s="667"/>
      <c r="AD72" s="668"/>
      <c r="AE72" s="668"/>
      <c r="AF72" s="668"/>
      <c r="AG72" s="819" t="s">
        <v>1265</v>
      </c>
      <c r="AH72" s="805">
        <f>IFERROR(IF(AH64="Yes",HELPER!$DE$2*(AH73+AH75)/AH58,HELPER!$DE$2*AH73/AH58),"Data is missing")</f>
        <v>0.35059402738459899</v>
      </c>
      <c r="AI72" s="820" t="str">
        <f>IF(AH72="Data is missing","","€/pouch")</f>
        <v>€/pouch</v>
      </c>
      <c r="AJ72" s="667"/>
      <c r="AK72" s="819" t="s">
        <v>1265</v>
      </c>
      <c r="AL72" s="805">
        <f>IFERROR(IF(AL64="Yes",HELPER!$DE$2*(AL73+AL75)/AL58,HELPER!$DE$2*AL73/AL58),"Data is missing")</f>
        <v>0.16918706054602436</v>
      </c>
      <c r="AM72" s="820" t="str">
        <f>IF(AL72="Data is missing","","€/pouch")</f>
        <v>€/pouch</v>
      </c>
      <c r="AN72" s="667"/>
      <c r="AO72" s="819" t="s">
        <v>1265</v>
      </c>
      <c r="AP72" s="805">
        <f>IFERROR(IF(AP64="Yes",HELPER!$DE$2*(AP73+AP75)/AP58,HELPER!$DE$2*AP73/AP58),"Data is missing")</f>
        <v>5.9429847877780238E-2</v>
      </c>
      <c r="AQ72" s="820" t="str">
        <f>IF(AP72="Data is missing","","€/pouch")</f>
        <v>€/pouch</v>
      </c>
      <c r="AR72" s="667"/>
    </row>
    <row r="73" spans="1:44">
      <c r="A73" s="765"/>
      <c r="B73" s="667"/>
      <c r="C73" s="667"/>
      <c r="D73" s="667"/>
      <c r="E73" s="667"/>
      <c r="F73" s="667"/>
      <c r="G73" s="667"/>
      <c r="H73" s="667"/>
      <c r="I73" s="667"/>
      <c r="J73" s="667"/>
      <c r="K73" s="667"/>
      <c r="L73" s="667"/>
      <c r="M73" s="667"/>
      <c r="N73" s="667"/>
      <c r="O73" s="667"/>
      <c r="P73" s="667"/>
      <c r="Q73" s="667"/>
      <c r="R73" s="780"/>
      <c r="S73" s="667"/>
      <c r="T73" s="667"/>
      <c r="U73" s="667"/>
      <c r="V73" s="667"/>
      <c r="W73" s="667"/>
      <c r="X73" s="667"/>
      <c r="Y73" s="667"/>
      <c r="Z73" s="667"/>
      <c r="AA73" s="667"/>
      <c r="AB73" s="667"/>
      <c r="AC73" s="667"/>
      <c r="AD73" s="668"/>
      <c r="AE73" s="668"/>
      <c r="AF73" s="668"/>
      <c r="AG73" s="819" t="s">
        <v>1077</v>
      </c>
      <c r="AH73" s="805">
        <f>IFERROR($Y$3*$M$8,"Data is missing")</f>
        <v>2.8905128948716583</v>
      </c>
      <c r="AI73" s="820" t="s">
        <v>998</v>
      </c>
      <c r="AJ73" s="667"/>
      <c r="AK73" s="819" t="s">
        <v>1077</v>
      </c>
      <c r="AL73" s="805">
        <f>IFERROR($Y$9*$M$14,"Data is missing")</f>
        <v>2.7886803424337394</v>
      </c>
      <c r="AM73" s="820" t="s">
        <v>998</v>
      </c>
      <c r="AN73" s="667"/>
      <c r="AO73" s="819" t="s">
        <v>1077</v>
      </c>
      <c r="AP73" s="805">
        <f>IFERROR($Y$15*$M$20,"Data is missing")</f>
        <v>2.4451396615741765</v>
      </c>
      <c r="AQ73" s="820" t="s">
        <v>998</v>
      </c>
      <c r="AR73" s="667"/>
    </row>
    <row r="74" spans="1:44">
      <c r="A74" s="765"/>
      <c r="B74" s="667"/>
      <c r="C74" s="667"/>
      <c r="D74" s="667"/>
      <c r="E74" s="667"/>
      <c r="F74" s="667"/>
      <c r="G74" s="667"/>
      <c r="H74" s="667"/>
      <c r="I74" s="667"/>
      <c r="J74" s="667"/>
      <c r="K74" s="667"/>
      <c r="L74" s="667"/>
      <c r="M74" s="667"/>
      <c r="N74" s="667"/>
      <c r="O74" s="667"/>
      <c r="P74" s="667"/>
      <c r="Q74" s="667"/>
      <c r="R74" s="780"/>
      <c r="S74" s="667"/>
      <c r="T74" s="667"/>
      <c r="U74" s="667"/>
      <c r="V74" s="667"/>
      <c r="W74" s="667"/>
      <c r="X74" s="667"/>
      <c r="Y74" s="667"/>
      <c r="Z74" s="667"/>
      <c r="AA74" s="667"/>
      <c r="AB74" s="667"/>
      <c r="AC74" s="667"/>
      <c r="AD74" s="668"/>
      <c r="AE74" s="668"/>
      <c r="AF74" s="668"/>
      <c r="AG74" s="819"/>
      <c r="AH74" s="992"/>
      <c r="AI74" s="820"/>
      <c r="AJ74" s="667"/>
      <c r="AK74" s="819"/>
      <c r="AL74" s="992"/>
      <c r="AM74" s="820"/>
      <c r="AN74" s="667"/>
      <c r="AO74" s="819"/>
      <c r="AP74" s="992"/>
      <c r="AQ74" s="820"/>
      <c r="AR74" s="667"/>
    </row>
    <row r="75" spans="1:44">
      <c r="S75"/>
      <c r="T75"/>
      <c r="U75"/>
      <c r="AG75" s="819" t="s">
        <v>114</v>
      </c>
      <c r="AH75" s="805">
        <f>IF(OR(AH51="Zipper pouch",AH51="SUP with zipper"),HELPER!$DC$2*AH55/1000,"")</f>
        <v>3.1104E-2</v>
      </c>
      <c r="AI75" s="820" t="str">
        <f>IF(OR(AH75="",AH75="Data is missing"),"","€/pouch")</f>
        <v>€/pouch</v>
      </c>
      <c r="AJ75" s="667"/>
      <c r="AK75" s="819" t="s">
        <v>114</v>
      </c>
      <c r="AL75" s="805">
        <f>IF(OR(AL51="Zipper pouch",AL51="SUP with zipper"),HELPER!$DC$2*AL55/1000,"")</f>
        <v>3.1104E-2</v>
      </c>
      <c r="AM75" s="820" t="str">
        <f>IF(OR(AL75="",AL75="Data is missing"),"","€/pouch")</f>
        <v>€/pouch</v>
      </c>
      <c r="AN75" s="667"/>
      <c r="AO75" s="819" t="s">
        <v>114</v>
      </c>
      <c r="AP75" s="805">
        <f>IF(OR(AP51="Zipper pouch",AP51="SUP with zipper"),HELPER!$DC$2*AP55/1000,"")</f>
        <v>3.1104E-2</v>
      </c>
      <c r="AQ75" s="820" t="str">
        <f>IF(OR(AP75="",AP75="Data is missing"),"","€/pouch")</f>
        <v>€/pouch</v>
      </c>
      <c r="AR75" s="667"/>
    </row>
    <row r="76" spans="1:44" ht="15.75" thickBot="1">
      <c r="S76"/>
      <c r="T76"/>
      <c r="U76"/>
      <c r="AG76" s="821" t="s">
        <v>880</v>
      </c>
      <c r="AH76" s="822">
        <f>IFERROR(AH71+AH72+N(AH75)+AH73*AH55/1000/($E$3/$D$3),"Data is missing")</f>
        <v>1.1686428243130345</v>
      </c>
      <c r="AI76" s="823" t="s">
        <v>1100</v>
      </c>
      <c r="AJ76" s="667"/>
      <c r="AK76" s="821" t="s">
        <v>880</v>
      </c>
      <c r="AL76" s="822">
        <f>IFERROR(AL71+AL72+N(AL75)+AL73*AL55/1000/($E$9/$D$9),"Data is missing")</f>
        <v>0.98297807070583731</v>
      </c>
      <c r="AM76" s="823" t="s">
        <v>1100</v>
      </c>
      <c r="AN76" s="667"/>
      <c r="AO76" s="821" t="s">
        <v>880</v>
      </c>
      <c r="AP76" s="822">
        <f>IFERROR(AP71+AP72+N(AP75)+AP73*AP55/1000/($E$15/$D$15),"Data is missing")</f>
        <v>0.79901607097192762</v>
      </c>
      <c r="AQ76" s="825" t="s">
        <v>1100</v>
      </c>
      <c r="AR76" s="667"/>
    </row>
    <row r="77" spans="1:44">
      <c r="S77"/>
      <c r="T77"/>
      <c r="U77"/>
      <c r="AN77" s="667"/>
    </row>
    <row r="78" spans="1:44">
      <c r="S78"/>
      <c r="T78"/>
      <c r="U78"/>
      <c r="AG78" s="906" t="s">
        <v>1344</v>
      </c>
      <c r="AH78" s="907">
        <f>IFERROR(AH66*1000,"Data is missing")</f>
        <v>1460.803530391293</v>
      </c>
      <c r="AI78" s="237" t="s">
        <v>1345</v>
      </c>
      <c r="AK78" s="906" t="s">
        <v>1344</v>
      </c>
      <c r="AL78" s="907">
        <f>IFERROR(AL66*1000,"Data is missing")</f>
        <v>1228.7225883822966</v>
      </c>
      <c r="AM78" s="237" t="s">
        <v>1345</v>
      </c>
      <c r="AO78" s="906" t="s">
        <v>1344</v>
      </c>
      <c r="AP78" s="907">
        <f>IFERROR(AP66*1000,"Data is missing")</f>
        <v>998.77008871490943</v>
      </c>
      <c r="AQ78" s="237" t="s">
        <v>1345</v>
      </c>
    </row>
    <row r="79" spans="1:44">
      <c r="S79"/>
      <c r="T79"/>
      <c r="U79"/>
    </row>
    <row r="80" spans="1:44">
      <c r="S80"/>
      <c r="T80"/>
      <c r="U80"/>
    </row>
    <row r="81" spans="19:32">
      <c r="S81"/>
      <c r="T81"/>
      <c r="U81"/>
    </row>
    <row r="82" spans="19:32">
      <c r="S82"/>
      <c r="T82"/>
      <c r="U82"/>
    </row>
    <row r="83" spans="19:32">
      <c r="S83"/>
      <c r="T83"/>
      <c r="U83"/>
      <c r="AD83"/>
      <c r="AE83"/>
      <c r="AF83"/>
    </row>
    <row r="84" spans="19:32">
      <c r="S84"/>
      <c r="T84"/>
      <c r="U84"/>
      <c r="AD84"/>
      <c r="AE84"/>
      <c r="AF84"/>
    </row>
    <row r="85" spans="19:32">
      <c r="S85"/>
      <c r="T85"/>
      <c r="U85"/>
      <c r="AD85"/>
      <c r="AE85"/>
      <c r="AF85"/>
    </row>
    <row r="86" spans="19:32">
      <c r="S86"/>
      <c r="T86"/>
      <c r="U86"/>
      <c r="AD86"/>
      <c r="AE86"/>
      <c r="AF86"/>
    </row>
    <row r="87" spans="19:32">
      <c r="S87"/>
      <c r="T87"/>
      <c r="U87"/>
      <c r="AD87"/>
      <c r="AE87"/>
      <c r="AF87"/>
    </row>
    <row r="88" spans="19:32">
      <c r="S88"/>
      <c r="T88"/>
      <c r="U88"/>
      <c r="AD88"/>
      <c r="AE88"/>
      <c r="AF88"/>
    </row>
    <row r="89" spans="19:32">
      <c r="S89"/>
      <c r="T89"/>
      <c r="U89"/>
      <c r="AD89"/>
      <c r="AE89"/>
      <c r="AF89"/>
    </row>
    <row r="90" spans="19:32">
      <c r="S90"/>
      <c r="T90"/>
      <c r="U90"/>
      <c r="AD90"/>
      <c r="AE90"/>
      <c r="AF90"/>
    </row>
    <row r="91" spans="19:32">
      <c r="S91"/>
      <c r="T91"/>
      <c r="U91"/>
      <c r="AD91"/>
      <c r="AE91"/>
      <c r="AF91"/>
    </row>
    <row r="92" spans="19:32">
      <c r="S92"/>
      <c r="T92"/>
      <c r="U92"/>
      <c r="AD92"/>
      <c r="AE92"/>
      <c r="AF92"/>
    </row>
    <row r="93" spans="19:32">
      <c r="S93"/>
      <c r="T93"/>
      <c r="U93"/>
      <c r="AD93"/>
      <c r="AE93"/>
      <c r="AF93"/>
    </row>
    <row r="94" spans="19:32">
      <c r="S94"/>
      <c r="T94"/>
      <c r="U94"/>
      <c r="AD94"/>
      <c r="AE94"/>
      <c r="AF94"/>
    </row>
    <row r="95" spans="19:32">
      <c r="S95"/>
      <c r="T95"/>
      <c r="U95"/>
      <c r="AD95"/>
      <c r="AE95"/>
      <c r="AF95"/>
    </row>
    <row r="96" spans="19:32">
      <c r="S96"/>
      <c r="T96"/>
      <c r="U96"/>
      <c r="AD96"/>
      <c r="AE96"/>
      <c r="AF96"/>
    </row>
    <row r="97" spans="19:32">
      <c r="S97"/>
      <c r="T97"/>
      <c r="U97"/>
      <c r="AD97"/>
      <c r="AE97"/>
      <c r="AF97"/>
    </row>
    <row r="98" spans="19:32">
      <c r="S98"/>
      <c r="T98"/>
      <c r="U98"/>
      <c r="AD98"/>
      <c r="AE98"/>
      <c r="AF98"/>
    </row>
    <row r="99" spans="19:32">
      <c r="S99"/>
      <c r="T99"/>
      <c r="U99"/>
      <c r="AD99"/>
      <c r="AE99"/>
      <c r="AF99"/>
    </row>
    <row r="100" spans="19:32">
      <c r="S100"/>
      <c r="T100"/>
      <c r="U100"/>
      <c r="AD100"/>
      <c r="AE100"/>
      <c r="AF100"/>
    </row>
    <row r="101" spans="19:32">
      <c r="S101"/>
      <c r="T101"/>
      <c r="U101"/>
      <c r="AD101"/>
      <c r="AE101"/>
      <c r="AF101"/>
    </row>
    <row r="102" spans="19:32">
      <c r="S102"/>
      <c r="T102"/>
      <c r="U102"/>
      <c r="AD102"/>
      <c r="AE102"/>
      <c r="AF102"/>
    </row>
    <row r="103" spans="19:32">
      <c r="S103"/>
      <c r="T103"/>
      <c r="U103"/>
      <c r="AD103"/>
      <c r="AE103"/>
      <c r="AF103"/>
    </row>
    <row r="104" spans="19:32">
      <c r="S104"/>
      <c r="T104"/>
      <c r="U104"/>
      <c r="AD104"/>
      <c r="AE104"/>
      <c r="AF104"/>
    </row>
    <row r="105" spans="19:32">
      <c r="S105"/>
      <c r="T105"/>
      <c r="U105"/>
      <c r="AD105"/>
      <c r="AE105"/>
      <c r="AF105"/>
    </row>
    <row r="106" spans="19:32">
      <c r="S106"/>
      <c r="T106"/>
      <c r="U106"/>
      <c r="AD106"/>
      <c r="AE106"/>
      <c r="AF106"/>
    </row>
    <row r="107" spans="19:32">
      <c r="S107"/>
      <c r="T107"/>
      <c r="U107"/>
    </row>
    <row r="108" spans="19:32">
      <c r="S108"/>
      <c r="T108"/>
      <c r="U108"/>
    </row>
    <row r="109" spans="19:32">
      <c r="S109"/>
      <c r="T109"/>
      <c r="U109"/>
    </row>
    <row r="110" spans="19:32">
      <c r="S110"/>
      <c r="T110"/>
      <c r="U110"/>
    </row>
    <row r="111" spans="19:32">
      <c r="S111"/>
      <c r="T111"/>
      <c r="U111"/>
    </row>
    <row r="112" spans="19:32">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row r="179" spans="19:21">
      <c r="S179"/>
      <c r="T179"/>
      <c r="U179"/>
    </row>
    <row r="180" spans="19:21">
      <c r="S180"/>
      <c r="T180"/>
      <c r="U180"/>
    </row>
    <row r="181" spans="19:21">
      <c r="S181"/>
      <c r="T181"/>
      <c r="U181"/>
    </row>
    <row r="182" spans="19:21">
      <c r="S182"/>
      <c r="T182"/>
      <c r="U182"/>
    </row>
    <row r="183" spans="19:21">
      <c r="S183"/>
      <c r="T183"/>
      <c r="U183"/>
    </row>
    <row r="184" spans="19:21">
      <c r="S184"/>
      <c r="T184"/>
      <c r="U184"/>
    </row>
    <row r="185" spans="19:21">
      <c r="S185"/>
      <c r="T185"/>
      <c r="U185"/>
    </row>
    <row r="186" spans="19:21">
      <c r="S186"/>
      <c r="T186"/>
      <c r="U186"/>
    </row>
    <row r="187" spans="19:21">
      <c r="S187"/>
      <c r="T187"/>
      <c r="U187"/>
    </row>
    <row r="188" spans="19:21">
      <c r="S188"/>
      <c r="T188"/>
      <c r="U188"/>
    </row>
    <row r="189" spans="19:21">
      <c r="S189"/>
      <c r="T189"/>
      <c r="U189"/>
    </row>
    <row r="190" spans="19:21">
      <c r="S190"/>
      <c r="T190"/>
      <c r="U190"/>
    </row>
    <row r="191" spans="19:21">
      <c r="S191"/>
      <c r="T191"/>
      <c r="U191"/>
    </row>
  </sheetData>
  <sheetProtection sort="0" autoFilter="0"/>
  <mergeCells count="67">
    <mergeCell ref="T21:T26"/>
    <mergeCell ref="AG26:AI26"/>
    <mergeCell ref="AK26:AM26"/>
    <mergeCell ref="AO26:AQ26"/>
    <mergeCell ref="AG27:AI27"/>
    <mergeCell ref="AK27:AM27"/>
    <mergeCell ref="AO27:AQ27"/>
    <mergeCell ref="Y15:Y20"/>
    <mergeCell ref="G15:G20"/>
    <mergeCell ref="H15:H20"/>
    <mergeCell ref="I15:I20"/>
    <mergeCell ref="O15:O20"/>
    <mergeCell ref="Q15:Q20"/>
    <mergeCell ref="R15:R20"/>
    <mergeCell ref="S15:S20"/>
    <mergeCell ref="T15:T20"/>
    <mergeCell ref="U15:U20"/>
    <mergeCell ref="V15:V20"/>
    <mergeCell ref="W15:W20"/>
    <mergeCell ref="A15:A20"/>
    <mergeCell ref="B15:B20"/>
    <mergeCell ref="D15:D20"/>
    <mergeCell ref="E15:E20"/>
    <mergeCell ref="F15:F20"/>
    <mergeCell ref="S9:S14"/>
    <mergeCell ref="U3:U8"/>
    <mergeCell ref="V3:V8"/>
    <mergeCell ref="W3:W8"/>
    <mergeCell ref="Y3:Y8"/>
    <mergeCell ref="S3:S8"/>
    <mergeCell ref="T3:T8"/>
    <mergeCell ref="T9:T14"/>
    <mergeCell ref="U9:U14"/>
    <mergeCell ref="V9:V14"/>
    <mergeCell ref="W9:W14"/>
    <mergeCell ref="Y9:Y14"/>
    <mergeCell ref="A9:A14"/>
    <mergeCell ref="B9:B14"/>
    <mergeCell ref="D9:D14"/>
    <mergeCell ref="E9:E14"/>
    <mergeCell ref="F9:F14"/>
    <mergeCell ref="G9:G14"/>
    <mergeCell ref="I3:I8"/>
    <mergeCell ref="O3:O8"/>
    <mergeCell ref="Q3:Q8"/>
    <mergeCell ref="R3:R8"/>
    <mergeCell ref="H9:H14"/>
    <mergeCell ref="I9:I14"/>
    <mergeCell ref="O9:O14"/>
    <mergeCell ref="Q9:Q14"/>
    <mergeCell ref="R9:R14"/>
    <mergeCell ref="AG2:AI2"/>
    <mergeCell ref="AK2:AM2"/>
    <mergeCell ref="AO2:AQ2"/>
    <mergeCell ref="A3:A8"/>
    <mergeCell ref="B3:B8"/>
    <mergeCell ref="D3:D8"/>
    <mergeCell ref="E3:E8"/>
    <mergeCell ref="F3:F8"/>
    <mergeCell ref="G3:G8"/>
    <mergeCell ref="H3:H8"/>
    <mergeCell ref="AG50:AI50"/>
    <mergeCell ref="AK50:AM50"/>
    <mergeCell ref="AO50:AQ50"/>
    <mergeCell ref="AO39:AQ39"/>
    <mergeCell ref="AG39:AI39"/>
    <mergeCell ref="AK39:AM39"/>
  </mergeCells>
  <conditionalFormatting sqref="C3:C21">
    <cfRule type="expression" dxfId="27" priority="5">
      <formula>AND(INDIRECT("C"&amp;(3+FLOOR((ROW()-3)/6,1)*6))&lt;&gt;"",C3="")</formula>
    </cfRule>
  </conditionalFormatting>
  <conditionalFormatting sqref="I3">
    <cfRule type="expression" dxfId="26" priority="7">
      <formula>OR(AND($H$3="Printed",OR($I$3=0,$I$3="0",$I$3="")),AND($H$3="Not Printed",NOT(OR($I$3=0,$I$3="0",$I$3=""))))</formula>
    </cfRule>
  </conditionalFormatting>
  <conditionalFormatting sqref="I9">
    <cfRule type="expression" dxfId="25" priority="8">
      <formula>OR(AND($H$9="Printed",OR($I$9=0,$I$9="0",$I$9="")),AND($H$9="Not Printed",NOT(OR($I$9=0,$I$9="0",$I$9=""))))</formula>
    </cfRule>
  </conditionalFormatting>
  <conditionalFormatting sqref="I15">
    <cfRule type="expression" dxfId="24" priority="9">
      <formula>OR(AND($H$15="Printed",OR($I$15=0,$I$15="0",$I$15="")),AND($H$15="Not Printed",NOT(OR($I$15=0,$I$15="0",$I$15=""))))</formula>
    </cfRule>
  </conditionalFormatting>
  <conditionalFormatting sqref="J3:J46">
    <cfRule type="containsText" dxfId="23" priority="6" operator="containsText" text="ERROR">
      <formula>NOT(ISERROR(SEARCH("ERROR",J3)))</formula>
    </cfRule>
  </conditionalFormatting>
  <conditionalFormatting sqref="V1:W2 Z1:Z2 R1:U3 R4:S8 U4:U8 R9:U9 R10:S14 U10:U14 R15:U15 R16:S20 U16:U20 R21:U21 R22:S28 U22:U28 R29:R191 R192:U1048576">
    <cfRule type="containsText" dxfId="22" priority="4" operator="containsText" text="Error! please choose width not higher than 1220">
      <formula>NOT(ISERROR(SEARCH("Error! please choose width not higher than 1220",R1)))</formula>
    </cfRule>
  </conditionalFormatting>
  <conditionalFormatting sqref="AG58:AJ58">
    <cfRule type="expression" dxfId="21" priority="50">
      <formula>LEFT($AJ58,9)="Below MOQ"</formula>
    </cfRule>
    <cfRule type="expression" dxfId="20" priority="51">
      <formula>$AJ58="MOQ OK"</formula>
    </cfRule>
  </conditionalFormatting>
  <conditionalFormatting sqref="AH71">
    <cfRule type="containsText" dxfId="19" priority="32" operator="containsText" text="Data is missing">
      <formula>NOT(ISERROR(SEARCH("Data is missing",AH71)))</formula>
    </cfRule>
  </conditionalFormatting>
  <conditionalFormatting sqref="AK58:AN58">
    <cfRule type="expression" dxfId="18" priority="52">
      <formula>LEFT($AN58,9)="Below MOQ"</formula>
    </cfRule>
    <cfRule type="expression" dxfId="17" priority="53">
      <formula>$AN58="MOQ OK"</formula>
    </cfRule>
  </conditionalFormatting>
  <conditionalFormatting sqref="AL71">
    <cfRule type="containsText" dxfId="16" priority="34" operator="containsText" text="Data is missing">
      <formula>NOT(ISERROR(SEARCH("Data is missing",AL71)))</formula>
    </cfRule>
  </conditionalFormatting>
  <conditionalFormatting sqref="AO58:AR58">
    <cfRule type="expression" dxfId="15" priority="54">
      <formula>LEFT($AR58,9)="Below MOQ"</formula>
    </cfRule>
    <cfRule type="expression" dxfId="14" priority="55">
      <formula>$AR58="MOQ OK"</formula>
    </cfRule>
  </conditionalFormatting>
  <conditionalFormatting sqref="AP71">
    <cfRule type="containsText" dxfId="13" priority="36" operator="containsText" text="Data is missing">
      <formula>NOT(ISERROR(SEARCH("Data is missing",AP71)))</formula>
    </cfRule>
  </conditionalFormatting>
  <dataValidations count="11">
    <dataValidation type="list" allowBlank="1" showInputMessage="1" showErrorMessage="1" sqref="AL8 AH8 AP8" xr:uid="{CF159B63-C37E-490E-9661-7F5E7181A00B}">
      <formula1>"0,1-2,3-4,5-8"</formula1>
    </dataValidation>
    <dataValidation type="list" allowBlank="1" showInputMessage="1" showErrorMessage="1" errorTitle="Invalid input mode" error="Choose By Weight, By Length, or By Imp." sqref="AH12 AP12 AL12" xr:uid="{90515D3E-0C68-421B-A290-799F2399A336}">
      <formula1>"By Weight,By Length,By Imp"</formula1>
    </dataValidation>
    <dataValidation type="list" allowBlank="1" showInputMessage="1" showErrorMessage="1" sqref="AH11 AL11 AP11" xr:uid="{A7B5074E-20F4-4B03-B061-63FB5ADB3888}">
      <formula1>"Marma,Bastin"</formula1>
    </dataValidation>
    <dataValidation type="list" allowBlank="1" showInputMessage="1" showErrorMessage="1" sqref="AP10" xr:uid="{2D5779CE-991C-4E75-AEC5-7525A1BEBD14}">
      <formula1>"Europe to US,EXW,Europe to Canada"</formula1>
    </dataValidation>
    <dataValidation type="list" allowBlank="1" showInputMessage="1" showErrorMessage="1" sqref="AH7 AL7 AP7" xr:uid="{67C43F3E-0168-4C1C-9F47-A293357EBFD0}">
      <formula1>"Printed,Not Printed"</formula1>
    </dataValidation>
    <dataValidation type="list" allowBlank="1" showInputMessage="1" showErrorMessage="1" sqref="AP60 AH60 AL60 AT60" xr:uid="{221B2DC1-80BA-4899-8359-6449E1D435AB}">
      <formula1>"Yes,No"</formula1>
    </dataValidation>
    <dataValidation type="list" allowBlank="1" showInputMessage="1" showErrorMessage="1" errorTitle="Invalid pouch type" error="Please select a pouch type from the dropdown list." promptTitle="Pouch Type" prompt="Choose one of the approved pouch type options." sqref="AH51 AP51 AL51 AT51" xr:uid="{376A4267-91E3-4969-A6B3-EE2ED1C82145}">
      <formula1>"Type of Pouches,Open Pouch,SUP,Open Flap Pouch,SUP with zipper,Side gusset pouch,Zipper pouch"</formula1>
    </dataValidation>
    <dataValidation type="list" allowBlank="1" showInputMessage="1" showErrorMessage="1" errorTitle="Invalid designs" error="Please choose a whole number from 1 to 8." promptTitle="Number of designs" prompt="Choose 1 to 8 designs." sqref="AP41 AL41 AH41" xr:uid="{06262467-C204-4B94-932B-36D66B2482E6}">
      <formula1>"1,2,3,4,5,6,7,8"</formula1>
    </dataValidation>
    <dataValidation type="list" allowBlank="1" showInputMessage="1" showErrorMessage="1" errorTitle="Invalid number of designs" error="Choose a number from 1 to 8." promptTitle="Number of designs" prompt="Choose the number of printed designs (1–8)." sqref="AH62 AP62 AL62 AT62" xr:uid="{4DB6F426-90FB-4931-83CB-EAD3B4D825B2}">
      <formula1>"1,2,3,4,5,6,7,8"</formula1>
    </dataValidation>
    <dataValidation type="list" allowBlank="1" showInputMessage="1" showErrorMessage="1" sqref="AH63 AL63 AP63 AT63" xr:uid="{E5ED469D-B182-4C93-86C1-A84540ABACD3}">
      <formula1>"Marma,Bastin,Quantum"</formula1>
    </dataValidation>
    <dataValidation type="list" allowBlank="1" showInputMessage="1" showErrorMessage="1" sqref="AH10 AL10" xr:uid="{7D239E09-0A55-47C9-8383-41A5F81476CC}">
      <formula1>"Europe to US,EXW,Europe to Canada"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errorTitle="Invalid thickness" error="Choose a thickness available for the selected laminate." xr:uid="{1E19C2E8-399D-48EB-A4C2-024B23C782E6}">
          <x14:formula1>
            <xm:f>_xlfn.ANCHORARRAY(HELPER!$CQ$2)</xm:f>
          </x14:formula1>
          <xm:sqref>AP53 AT53</xm:sqref>
        </x14:dataValidation>
        <x14:dataValidation type="list" allowBlank="1" showInputMessage="1" showErrorMessage="1" xr:uid="{76667C6F-3B19-43DA-8DC5-FD3D689B8B3C}">
          <x14:formula1>
            <xm:f>_xlfn.ANCHORARRAY(HELPER!$CB$2)</xm:f>
          </x14:formula1>
          <xm:sqref>AP52 AL52 AH52 AT52</xm:sqref>
        </x14:dataValidation>
        <x14:dataValidation type="list" allowBlank="1" showInputMessage="1" showErrorMessage="1" xr:uid="{89924C63-F548-4E2D-8BFA-CC7837640CEF}">
          <x14:formula1>
            <xm:f>HELPER!$X$2:$X$5</xm:f>
          </x14:formula1>
          <xm:sqref>AH61 AL61 AP61 AT61</xm:sqref>
        </x14:dataValidation>
        <x14:dataValidation type="list" allowBlank="1" showInputMessage="1" showErrorMessage="1" errorTitle="Invalid shipment route" error="Choose a shipment route from the dropdown list." promptTitle="Shipment route" prompt="Choose a shipment route from HELPER column AF." xr:uid="{DEF14B40-E0EF-4C4B-AEB8-F27A32E0EAC6}">
          <x14:formula1>
            <xm:f>HELPER!$AF$2:$AF$8</xm:f>
          </x14:formula1>
          <xm:sqref>AH65 AP65 AL65 AT65</xm:sqref>
        </x14:dataValidation>
        <x14:dataValidation type="list" allowBlank="1" showInputMessage="1" showErrorMessage="1" errorTitle="Invalid thickness" error="Choose a thickness available for the selected laminate." xr:uid="{C6E26DA0-C5C4-4DF4-A8E1-5679B3F05C5C}">
          <x14:formula1>
            <xm:f>_xlfn.ANCHORARRAY(HELPER!$CI$2)</xm:f>
          </x14:formula1>
          <xm:sqref>AH53</xm:sqref>
        </x14:dataValidation>
        <x14:dataValidation type="list" allowBlank="1" showInputMessage="1" showErrorMessage="1" errorTitle="Invalid thickness" error="Choose a thickness available for the selected laminate." xr:uid="{FED8CFFD-8D3E-4E6D-B8EF-A8A23CBF5004}">
          <x14:formula1>
            <xm:f>_xlfn.ANCHORARRAY(HELPER!$CJ$2)</xm:f>
          </x14:formula1>
          <xm:sqref>AL53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18B0-5547-4062-B407-E0F43B240027}">
  <sheetPr>
    <tabColor rgb="FFFFC000"/>
  </sheetPr>
  <dimension ref="A1:F44"/>
  <sheetViews>
    <sheetView tabSelected="1" workbookViewId="0">
      <selection activeCell="D10" sqref="D10"/>
    </sheetView>
  </sheetViews>
  <sheetFormatPr defaultRowHeight="15"/>
  <cols>
    <col min="1" max="1" width="28.140625" bestFit="1" customWidth="1"/>
    <col min="2" max="2" width="24.42578125" customWidth="1"/>
    <col min="4" max="4" width="28.140625" bestFit="1" customWidth="1"/>
    <col min="5" max="5" width="23.7109375" customWidth="1"/>
    <col min="7" max="7" width="52.42578125" bestFit="1" customWidth="1"/>
    <col min="8" max="8" width="17.42578125" customWidth="1"/>
  </cols>
  <sheetData>
    <row r="1" spans="1:6" ht="18.75">
      <c r="A1" s="1085" t="str">
        <f>"📊 LAMINATE CALCULATOR 1-"&amp;Laminates!AH3&amp;" Laminate"</f>
        <v>📊 LAMINATE CALCULATOR 1-428 Laminate</v>
      </c>
      <c r="B1" s="1087"/>
    </row>
    <row r="2" spans="1:6" ht="15.75">
      <c r="A2" s="514" t="s">
        <v>569</v>
      </c>
      <c r="B2" s="1196">
        <f>IF(Laminates!AH3="","",Laminates!AH3)</f>
        <v>428</v>
      </c>
    </row>
    <row r="3" spans="1:6" ht="15.75">
      <c r="A3" s="514" t="s">
        <v>570</v>
      </c>
      <c r="B3" s="1200">
        <f>IF(Laminates!AH4="","",Laminates!AH4)</f>
        <v>80</v>
      </c>
    </row>
    <row r="4" spans="1:6" ht="15.75">
      <c r="A4" s="514" t="s">
        <v>571</v>
      </c>
      <c r="B4" s="1196">
        <f>IF(Laminates!AH5="","",Laminates!AH5)</f>
        <v>352</v>
      </c>
    </row>
    <row r="5" spans="1:6" ht="15.75">
      <c r="A5" s="514" t="s">
        <v>573</v>
      </c>
      <c r="B5" s="1196" t="str">
        <f>IF(Laminates!AH7="","",Laminates!AH7)</f>
        <v>Printed</v>
      </c>
    </row>
    <row r="6" spans="1:6" ht="15.75">
      <c r="A6" s="514" t="s">
        <v>798</v>
      </c>
      <c r="B6" s="1196" t="str">
        <f>IF(Laminates!AH8="","",Laminates!AH8)</f>
        <v>3-4</v>
      </c>
    </row>
    <row r="7" spans="1:6" ht="15.75">
      <c r="A7" s="514" t="s">
        <v>2382</v>
      </c>
      <c r="B7" s="1200">
        <f>IF(Laminates!AH9="","",Laminates!AH9)</f>
        <v>1</v>
      </c>
      <c r="C7" s="38"/>
      <c r="F7" s="38"/>
    </row>
    <row r="8" spans="1:6" ht="15.75">
      <c r="A8" s="514" t="s">
        <v>2384</v>
      </c>
      <c r="B8" s="1200" t="str">
        <f>IF(Laminates!AH10="","",Laminates!AH10)</f>
        <v>6''</v>
      </c>
      <c r="C8" s="38"/>
      <c r="F8" s="38"/>
    </row>
    <row r="9" spans="1:6" ht="15.75">
      <c r="A9" s="514" t="s">
        <v>2386</v>
      </c>
      <c r="B9" s="1196" t="str">
        <f>IF(Laminates!AH11="","",Laminates!AH11)</f>
        <v>EXW</v>
      </c>
    </row>
    <row r="10" spans="1:6" ht="15.75">
      <c r="A10" s="514" t="s">
        <v>2388</v>
      </c>
      <c r="B10" s="1196" t="str">
        <f>IF(Laminates!AH12="","",Laminates!AH12)</f>
        <v>Marma</v>
      </c>
    </row>
    <row r="11" spans="1:6" ht="15.75">
      <c r="A11" s="528" t="s">
        <v>2389</v>
      </c>
      <c r="B11" s="1197" t="str">
        <f>IF(Laminates!AH13="","",Laminates!AH13)</f>
        <v>By Imp</v>
      </c>
      <c r="C11" s="235"/>
    </row>
    <row r="12" spans="1:6" ht="15.75">
      <c r="A12" s="528" t="s">
        <v>2390</v>
      </c>
      <c r="B12" s="1198">
        <f>IF(Laminates!AH14="","",Laminates!AH14)</f>
        <v>52800</v>
      </c>
    </row>
    <row r="13" spans="1:6" ht="15.75" thickBot="1">
      <c r="A13" s="1199" t="s">
        <v>1196</v>
      </c>
      <c r="B13" s="1201">
        <f>IF(Laminates!AH48="","",Laminates!AH48)</f>
        <v>675.22773968916329</v>
      </c>
    </row>
    <row r="14" spans="1:6" ht="15.75" thickBot="1">
      <c r="B14" s="1202" t="str">
        <f>IF(Laminates!AI48="","",Laminates!AI48)</f>
        <v>€/1000m</v>
      </c>
    </row>
    <row r="15" spans="1:6" ht="15.75" thickBot="1"/>
    <row r="16" spans="1:6" ht="18.75">
      <c r="A16" s="1168" t="str">
        <f>"📊 LAMINATE CALCULATOR 2-"&amp;Laminates!AL3&amp;" Laminate"</f>
        <v>📊 LAMINATE CALCULATOR 2-428 Laminate</v>
      </c>
      <c r="B16" s="1169"/>
    </row>
    <row r="17" spans="1:2" ht="15.75">
      <c r="A17" s="514" t="s">
        <v>569</v>
      </c>
      <c r="B17" s="1196">
        <f>IF(Laminates!AL3="","",Laminates!AL3)</f>
        <v>428</v>
      </c>
    </row>
    <row r="18" spans="1:2" ht="15.75">
      <c r="A18" s="514" t="s">
        <v>570</v>
      </c>
      <c r="B18" s="1196">
        <f>IF(Laminates!AL4="","",Laminates!AL4)</f>
        <v>80</v>
      </c>
    </row>
    <row r="19" spans="1:2" ht="15.75">
      <c r="A19" s="514" t="s">
        <v>571</v>
      </c>
      <c r="B19" s="1196">
        <f>IF(Laminates!AL5="","",Laminates!AL5)</f>
        <v>352</v>
      </c>
    </row>
    <row r="20" spans="1:2" ht="15.75">
      <c r="A20" s="514" t="s">
        <v>573</v>
      </c>
      <c r="B20" s="1196" t="str">
        <f>IF(Laminates!AL7="","",Laminates!AL7)</f>
        <v>Printed</v>
      </c>
    </row>
    <row r="21" spans="1:2" ht="15.75">
      <c r="A21" s="514" t="s">
        <v>798</v>
      </c>
      <c r="B21" s="1196" t="str">
        <f>IF(Laminates!AL8="","",Laminates!AL8)</f>
        <v>3-4</v>
      </c>
    </row>
    <row r="22" spans="1:2" ht="15.75">
      <c r="A22" s="514" t="s">
        <v>2382</v>
      </c>
      <c r="B22" s="1196">
        <f>IF(Laminates!AL9="","",Laminates!AL9)</f>
        <v>1</v>
      </c>
    </row>
    <row r="23" spans="1:2" ht="15.75">
      <c r="A23" s="514" t="s">
        <v>2384</v>
      </c>
      <c r="B23" s="1196" t="str">
        <f>IF(Laminates!AL10="","",Laminates!AL10)</f>
        <v>6''</v>
      </c>
    </row>
    <row r="24" spans="1:2" ht="15.75">
      <c r="A24" s="514" t="s">
        <v>2386</v>
      </c>
      <c r="B24" s="1196" t="str">
        <f>IF(Laminates!AL11="","",Laminates!AL11)</f>
        <v>EXW</v>
      </c>
    </row>
    <row r="25" spans="1:2" ht="15.75">
      <c r="A25" s="514" t="s">
        <v>2388</v>
      </c>
      <c r="B25" s="1196" t="str">
        <f>IF(Laminates!AL12="","",Laminates!AL12)</f>
        <v>Marma</v>
      </c>
    </row>
    <row r="26" spans="1:2" ht="15.75">
      <c r="A26" s="528" t="s">
        <v>2389</v>
      </c>
      <c r="B26" s="1197" t="str">
        <f>IF(Laminates!AL13="","",Laminates!AL13)</f>
        <v>By Imp</v>
      </c>
    </row>
    <row r="27" spans="1:2" ht="15.75">
      <c r="A27" s="528" t="s">
        <v>2390</v>
      </c>
      <c r="B27" s="1198">
        <f>IF(Laminates!AL14="","",Laminates!AL14)</f>
        <v>264000</v>
      </c>
    </row>
    <row r="28" spans="1:2" ht="15.75" thickBot="1">
      <c r="A28" s="1199" t="s">
        <v>1196</v>
      </c>
      <c r="B28" s="1201">
        <f>IF(Laminates!AL48="","",Laminates!AL48)</f>
        <v>597.57712618317237</v>
      </c>
    </row>
    <row r="29" spans="1:2" ht="15.75" thickBot="1">
      <c r="B29" s="1202" t="str">
        <f>IF(Laminates!AM48="","",Laminates!AM48)</f>
        <v>€/1000m</v>
      </c>
    </row>
    <row r="30" spans="1:2" ht="15.75" thickBot="1"/>
    <row r="31" spans="1:2" ht="18.75">
      <c r="A31" s="1168" t="str">
        <f>"📊 LAMINATE CALCULATOR 3-"&amp;Laminates!AP3&amp;" Laminate"</f>
        <v>📊 LAMINATE CALCULATOR 3-428 Laminate</v>
      </c>
      <c r="B31" s="1169"/>
    </row>
    <row r="32" spans="1:2" ht="15.75">
      <c r="A32" s="514" t="s">
        <v>569</v>
      </c>
      <c r="B32" s="1196">
        <f>IF(Laminates!AP3="","",Laminates!AP3)</f>
        <v>428</v>
      </c>
    </row>
    <row r="33" spans="1:2" ht="15.75">
      <c r="A33" s="514" t="s">
        <v>570</v>
      </c>
      <c r="B33" s="1196">
        <f>IF(Laminates!AP4="","",Laminates!AP4)</f>
        <v>80</v>
      </c>
    </row>
    <row r="34" spans="1:2" ht="15.75">
      <c r="A34" s="514" t="s">
        <v>571</v>
      </c>
      <c r="B34" s="1196">
        <f>IF(Laminates!AP5="","",Laminates!AP5)</f>
        <v>352</v>
      </c>
    </row>
    <row r="35" spans="1:2" ht="15.75">
      <c r="A35" s="514" t="s">
        <v>573</v>
      </c>
      <c r="B35" s="1196" t="str">
        <f>IF(Laminates!AP7="","",Laminates!AP7)</f>
        <v>Printed</v>
      </c>
    </row>
    <row r="36" spans="1:2" ht="15.75">
      <c r="A36" s="514" t="s">
        <v>798</v>
      </c>
      <c r="B36" s="1196" t="str">
        <f>IF(Laminates!AP8="","",Laminates!AP8)</f>
        <v>3-4</v>
      </c>
    </row>
    <row r="37" spans="1:2" ht="15.75">
      <c r="A37" s="514" t="s">
        <v>2382</v>
      </c>
      <c r="B37" s="1196">
        <f>IF(Laminates!AP9="","",Laminates!AP9)</f>
        <v>1</v>
      </c>
    </row>
    <row r="38" spans="1:2" ht="15.75">
      <c r="A38" s="514" t="s">
        <v>2384</v>
      </c>
      <c r="B38" s="1196" t="str">
        <f>IF(Laminates!AP10="","",Laminates!AP10)</f>
        <v>6''</v>
      </c>
    </row>
    <row r="39" spans="1:2" ht="15.75">
      <c r="A39" s="514" t="s">
        <v>2386</v>
      </c>
      <c r="B39" s="1196" t="str">
        <f>IF(Laminates!AP11="","",Laminates!AP11)</f>
        <v>EXW</v>
      </c>
    </row>
    <row r="40" spans="1:2" ht="15.75">
      <c r="A40" s="514" t="s">
        <v>2388</v>
      </c>
      <c r="B40" s="1196" t="str">
        <f>IF(Laminates!AP12="","",Laminates!AP12)</f>
        <v>Marma</v>
      </c>
    </row>
    <row r="41" spans="1:2" ht="15.75">
      <c r="A41" s="528" t="s">
        <v>2389</v>
      </c>
      <c r="B41" s="1197" t="str">
        <f>IF(Laminates!AP13="","",Laminates!AP13)</f>
        <v>By Imp</v>
      </c>
    </row>
    <row r="42" spans="1:2" ht="15.75">
      <c r="A42" s="528" t="s">
        <v>2390</v>
      </c>
      <c r="B42" s="1198">
        <f>IF(Laminates!AP14="","",Laminates!AP14)</f>
        <v>528000</v>
      </c>
    </row>
    <row r="43" spans="1:2" ht="15.75" thickBot="1">
      <c r="A43" s="1199" t="s">
        <v>1196</v>
      </c>
      <c r="B43" s="1201">
        <f>IF(Laminates!AP48="","",Laminates!AP48)</f>
        <v>573.82380898533597</v>
      </c>
    </row>
    <row r="44" spans="1:2" ht="15.75" thickBot="1">
      <c r="B44" s="1202" t="str">
        <f>IF(Laminates!AQ48="","",Laminates!AQ48)</f>
        <v>€/1000m</v>
      </c>
    </row>
  </sheetData>
  <mergeCells count="3">
    <mergeCell ref="A1:B1"/>
    <mergeCell ref="A16:B16"/>
    <mergeCell ref="A31:B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B284-5F2E-4631-9810-80EF64F2EEBF}">
  <dimension ref="A1:AM617"/>
  <sheetViews>
    <sheetView workbookViewId="0">
      <selection activeCell="D166" sqref="D166"/>
    </sheetView>
  </sheetViews>
  <sheetFormatPr defaultRowHeight="15"/>
  <cols>
    <col min="1" max="1" width="22.85546875" bestFit="1" customWidth="1"/>
    <col min="2" max="2" width="14.5703125" bestFit="1" customWidth="1"/>
    <col min="3" max="3" width="32.7109375" customWidth="1"/>
    <col min="4" max="4" width="11.140625" bestFit="1" customWidth="1"/>
    <col min="5" max="5" width="14.85546875" bestFit="1" customWidth="1"/>
    <col min="6" max="6" width="17.5703125" bestFit="1" customWidth="1"/>
    <col min="7" max="7" width="17" bestFit="1" customWidth="1"/>
    <col min="8" max="8" width="21.5703125" bestFit="1" customWidth="1"/>
    <col min="9" max="9" width="11.85546875" bestFit="1" customWidth="1"/>
    <col min="10" max="10" width="18" bestFit="1" customWidth="1"/>
    <col min="11" max="11" width="15.85546875" bestFit="1" customWidth="1"/>
    <col min="12" max="12" width="12.85546875" bestFit="1" customWidth="1"/>
    <col min="13" max="13" width="9" bestFit="1" customWidth="1"/>
    <col min="14" max="14" width="10.140625" bestFit="1" customWidth="1"/>
    <col min="15" max="15" width="10.42578125" bestFit="1" customWidth="1"/>
    <col min="16" max="16" width="15.28515625" bestFit="1" customWidth="1"/>
    <col min="17" max="17" width="28.5703125" bestFit="1" customWidth="1"/>
    <col min="18" max="18" width="31.140625" bestFit="1" customWidth="1"/>
    <col min="19" max="19" width="10.42578125" bestFit="1" customWidth="1"/>
    <col min="20" max="21" width="23.42578125" bestFit="1" customWidth="1"/>
    <col min="22" max="24" width="21.85546875" bestFit="1" customWidth="1"/>
    <col min="25" max="25" width="22.7109375" bestFit="1" customWidth="1"/>
    <col min="26" max="26" width="10.85546875" bestFit="1" customWidth="1"/>
    <col min="27" max="27" width="26.42578125" customWidth="1"/>
    <col min="28" max="29" width="15" bestFit="1" customWidth="1"/>
    <col min="30" max="31" width="15.5703125" bestFit="1" customWidth="1"/>
    <col min="32" max="32" width="20.28515625" bestFit="1" customWidth="1"/>
    <col min="33" max="33" width="22.140625" bestFit="1" customWidth="1"/>
    <col min="34" max="34" width="15" bestFit="1" customWidth="1"/>
    <col min="35" max="35" width="16.140625" bestFit="1" customWidth="1"/>
    <col min="36" max="36" width="19.5703125" bestFit="1" customWidth="1"/>
    <col min="37" max="37" width="12.85546875" bestFit="1" customWidth="1"/>
    <col min="38" max="38" width="14.42578125" bestFit="1" customWidth="1"/>
    <col min="39" max="39" width="36.42578125" customWidth="1"/>
  </cols>
  <sheetData>
    <row r="1" spans="1:39" ht="24">
      <c r="A1" s="1127" t="s">
        <v>1628</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row>
    <row r="2" spans="1:39">
      <c r="A2" s="1128" t="s">
        <v>1629</v>
      </c>
      <c r="B2" s="1128"/>
      <c r="C2" s="1128"/>
      <c r="D2" s="1128"/>
      <c r="E2" s="1128"/>
      <c r="F2" s="1128"/>
      <c r="G2" s="1128"/>
      <c r="H2" s="1128"/>
      <c r="I2" s="1128"/>
      <c r="J2" s="1128"/>
      <c r="K2" s="1128"/>
      <c r="L2" s="1128"/>
      <c r="M2" s="1128"/>
      <c r="N2" s="1128"/>
      <c r="O2" s="1128"/>
      <c r="P2" s="1128"/>
      <c r="Q2" s="1128"/>
      <c r="R2" s="1128"/>
      <c r="S2" s="1128"/>
      <c r="T2" s="1128"/>
      <c r="U2" s="1128"/>
      <c r="V2" s="1128"/>
      <c r="W2" s="1128"/>
      <c r="X2" s="1128"/>
      <c r="Y2" s="1128"/>
      <c r="Z2" s="1128"/>
      <c r="AA2" s="1128"/>
      <c r="AB2" s="1128"/>
      <c r="AC2" s="1128"/>
      <c r="AD2" s="1128"/>
      <c r="AE2" s="1128"/>
      <c r="AF2" s="1128"/>
      <c r="AG2" s="1128"/>
      <c r="AH2" s="1128"/>
      <c r="AI2" s="1128"/>
      <c r="AJ2" s="1128"/>
      <c r="AK2" s="1128"/>
      <c r="AL2" s="1128"/>
      <c r="AM2" s="1128"/>
    </row>
    <row r="3" spans="1:39">
      <c r="A3" s="1129" t="s">
        <v>1630</v>
      </c>
      <c r="B3" s="1129"/>
      <c r="C3" s="1129"/>
      <c r="D3" s="1129"/>
      <c r="E3" s="1129"/>
      <c r="F3" s="1129"/>
      <c r="G3" s="1129"/>
      <c r="H3" s="1129"/>
      <c r="I3" s="1129"/>
      <c r="J3" s="1129"/>
      <c r="K3" s="1129"/>
      <c r="L3" s="1129"/>
      <c r="M3" s="1129"/>
      <c r="N3" s="1129"/>
      <c r="O3" s="1129"/>
      <c r="P3" s="1129"/>
      <c r="Q3" s="1129"/>
      <c r="R3" s="1129"/>
      <c r="S3" s="1129"/>
      <c r="T3" s="1129"/>
      <c r="U3" s="1129"/>
      <c r="V3" s="1129"/>
      <c r="W3" s="1129"/>
      <c r="X3" s="1129"/>
      <c r="Y3" s="1129"/>
      <c r="Z3" s="1129"/>
      <c r="AA3" s="1129"/>
      <c r="AB3" s="1129"/>
      <c r="AC3" s="1129"/>
      <c r="AD3" s="1129"/>
      <c r="AE3" s="1129"/>
      <c r="AF3" s="1129"/>
      <c r="AG3" s="1129"/>
      <c r="AH3" s="1129"/>
      <c r="AI3" s="1129"/>
      <c r="AJ3" s="1129"/>
      <c r="AK3" s="1129"/>
      <c r="AL3" s="1129"/>
      <c r="AM3" s="1129"/>
    </row>
    <row r="5" spans="1:39">
      <c r="A5" t="s">
        <v>1387</v>
      </c>
      <c r="B5" t="s">
        <v>1098</v>
      </c>
      <c r="C5" t="s">
        <v>1388</v>
      </c>
      <c r="D5" t="s">
        <v>158</v>
      </c>
      <c r="E5" t="s">
        <v>4</v>
      </c>
      <c r="F5" t="s">
        <v>1607</v>
      </c>
      <c r="G5" t="s">
        <v>1608</v>
      </c>
      <c r="H5" t="s">
        <v>1609</v>
      </c>
      <c r="I5" t="s">
        <v>1261</v>
      </c>
      <c r="J5" t="s">
        <v>1262</v>
      </c>
      <c r="K5" t="s">
        <v>1610</v>
      </c>
      <c r="L5" t="s">
        <v>1394</v>
      </c>
      <c r="M5" t="s">
        <v>1254</v>
      </c>
      <c r="N5" t="s">
        <v>1395</v>
      </c>
      <c r="O5" t="s">
        <v>222</v>
      </c>
      <c r="P5" t="s">
        <v>1396</v>
      </c>
      <c r="Q5" t="s">
        <v>1631</v>
      </c>
      <c r="R5" t="s">
        <v>1611</v>
      </c>
      <c r="S5" t="s">
        <v>902</v>
      </c>
      <c r="T5" t="s">
        <v>1612</v>
      </c>
      <c r="U5" t="s">
        <v>1613</v>
      </c>
      <c r="V5" t="s">
        <v>1614</v>
      </c>
      <c r="W5" t="s">
        <v>1615</v>
      </c>
      <c r="X5" t="s">
        <v>1632</v>
      </c>
      <c r="Y5" t="s">
        <v>1633</v>
      </c>
      <c r="Z5" t="s">
        <v>1616</v>
      </c>
      <c r="AA5" t="s">
        <v>1617</v>
      </c>
      <c r="AB5" t="s">
        <v>1241</v>
      </c>
      <c r="AC5" t="s">
        <v>1242</v>
      </c>
      <c r="AD5" t="s">
        <v>1618</v>
      </c>
      <c r="AE5" t="s">
        <v>1619</v>
      </c>
      <c r="AF5" t="s">
        <v>1620</v>
      </c>
      <c r="AG5" t="s">
        <v>1621</v>
      </c>
      <c r="AH5" t="s">
        <v>1622</v>
      </c>
      <c r="AI5" t="s">
        <v>1623</v>
      </c>
      <c r="AJ5" t="s">
        <v>1624</v>
      </c>
      <c r="AK5" t="s">
        <v>1625</v>
      </c>
      <c r="AL5" t="s">
        <v>1415</v>
      </c>
      <c r="AM5" t="s">
        <v>1416</v>
      </c>
    </row>
    <row r="6" spans="1:39" hidden="1">
      <c r="A6" t="s">
        <v>1634</v>
      </c>
      <c r="B6" t="s">
        <v>251</v>
      </c>
      <c r="C6" s="50" t="s">
        <v>2203</v>
      </c>
      <c r="D6">
        <f>'Laminates- copilot'!B6</f>
        <v>120</v>
      </c>
      <c r="E6" s="858">
        <f>'Laminates- copilot'!D6</f>
        <v>98</v>
      </c>
      <c r="F6" s="858">
        <v>100</v>
      </c>
      <c r="G6" s="858">
        <v>100</v>
      </c>
      <c r="H6" s="858">
        <v>20</v>
      </c>
      <c r="I6" s="858">
        <v>0</v>
      </c>
      <c r="J6" s="858">
        <v>240</v>
      </c>
      <c r="K6" s="858">
        <v>25000</v>
      </c>
      <c r="L6" s="858" t="str">
        <f>'Laminates- copilot'!K6</f>
        <v>Not Printed</v>
      </c>
      <c r="M6" s="858" t="str">
        <f>'Laminates- copilot'!L6</f>
        <v>0</v>
      </c>
      <c r="N6" s="858">
        <f>'Laminates- copilot'!M6</f>
        <v>1</v>
      </c>
      <c r="O6" s="858" t="str">
        <f>'Laminates- copilot'!O6</f>
        <v>Marma</v>
      </c>
      <c r="P6" s="858" t="str">
        <f>'Laminates- copilot'!N6</f>
        <v>Europe to Europe</v>
      </c>
      <c r="Q6" s="858">
        <f t="shared" ref="Q6:Q69" si="0">K6*G6/1000</f>
        <v>2500</v>
      </c>
      <c r="R6" s="858">
        <f t="shared" ref="R6:R69" si="1">Q6</f>
        <v>2500</v>
      </c>
      <c r="S6" s="858">
        <f>IFERROR('Laminates- copilot'!Q6/'Laminates- copilot'!P6*Q6,"")</f>
        <v>28.541999999999998</v>
      </c>
      <c r="T6" s="203">
        <f>IFERROR('Laminates- copilot'!R6/'Laminates- copilot'!P6*Q6,"")</f>
        <v>232.35784448805211</v>
      </c>
      <c r="U6" s="912">
        <f>IFERROR('Laminates- copilot'!S6/'Laminates- copilot'!P6*Q6,"")</f>
        <v>269.53509960614042</v>
      </c>
      <c r="V6" s="913">
        <f t="shared" ref="V6:V69" si="2">IFERROR(T6/S6,"")</f>
        <v>8.1409096940667123</v>
      </c>
      <c r="W6" s="914">
        <f t="shared" ref="W6:W69" si="3">IFERROR(U6/S6,"")</f>
        <v>9.4434552451173861</v>
      </c>
      <c r="X6" s="913">
        <f t="shared" ref="X6:X69" si="4">IFERROR(T6/Q6,"")</f>
        <v>9.2943137795220843E-2</v>
      </c>
      <c r="Y6" s="913">
        <f t="shared" ref="Y6:Y69" si="5">V6</f>
        <v>8.1409096940667123</v>
      </c>
      <c r="Z6" s="95">
        <f t="shared" ref="Z6:Z69" si="6">IFERROR(ROUNDUP((500*Q6/S6)*1000/G6,0),"")</f>
        <v>437952</v>
      </c>
      <c r="AA6" s="50" t="str">
        <f t="shared" ref="AA6:AA69" si="7">IF(OR(K6="",Z6=""),"MOQ data missing",IF(K6&gt;=Z6,"MOQ OK","Below MOQ by "&amp;TEXT(Z6-K6,"#,##0")&amp;" bags"))</f>
        <v>Below MOQ by 412,952 bags</v>
      </c>
      <c r="AB6" s="923">
        <f t="shared" ref="AB6:AB69" si="8">IFERROR(AJ6/(1-25%),"Data is missing")</f>
        <v>7.5336080026388363E-2</v>
      </c>
      <c r="AC6" s="924">
        <f t="shared" ref="AC6:AC69" si="9">IFERROR(AB6*1.16,"Data is missing")</f>
        <v>8.7389852830610501E-2</v>
      </c>
      <c r="AD6" s="203">
        <f t="shared" ref="AD6:AD69" si="10">IFERROR(AB6*K6,"Data is missing")</f>
        <v>1883.4020006597091</v>
      </c>
      <c r="AE6" s="912">
        <f t="shared" ref="AE6:AE69" si="11">IFERROR(AD6*1.16,"Data is missing")</f>
        <v>2184.7463207652622</v>
      </c>
      <c r="AF6" s="923" cm="1">
        <f t="array" ref="AF6">IF(O6="Quantum",IFERROR(_xlfn.LET(_xlpm.b,_xlfn.SWITCH(LOWER(B6),"zipper bag","Zipper pouch","open bag","Open pouch","sup with zipper","Stand-up pouch","stand-up pouch","Stand-up pouch",B6),_xlpm.w,G6,_xlpm.q,K6,_xlpm.types,'Converting-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missing"),IFERROR(_xlfn.LET(_xlpm.s,O6,_xlpm.b,_xlfn.SWITCH(LOWER(B6),"zipper bag","Zipper pouch","open bag","Open pouch",B6),_xlpm.w,G6,_xlpm.q,K6,_xlpm.src,'Converting-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6" s="923">
        <f>IFERROR(IF(OR(B6="Zipper pouch",B6="SUP with zipper"),HELPER!$DE$2*(AH6+AI6)/K6,HELPER!$DE$2*AH6/K6),"Data is missing")</f>
        <v>2.5762353070853004E-3</v>
      </c>
      <c r="AH6" s="923">
        <f t="shared" ref="AH6:AH69" si="12">X6</f>
        <v>9.2943137795220843E-2</v>
      </c>
      <c r="AI6" s="923">
        <f>IF(OR(B6="Zipper pouch",B6="SUP with zipper"),HELPER!$DC$2*G6/1000,"")</f>
        <v>1.4399999999999998E-2</v>
      </c>
      <c r="AJ6" s="923" cm="1">
        <f t="array" ref="AJ6">IF(INDEX('Laminates- copilot'!$E$6:$E$257,ROUNDUP((ROW()-5)/3,0))+50&gt;IF(O6="Quantum",760,1220),"Width exceeds supplier maximum",IFERROR(AF6+AG6+N(AI6)+AH6*G6/1000/MAX(1,MIN(MAX(2,INT(900/INDEX('Laminates- copilot'!$E$6:$E$257,ROUNDUP((ROW()-5)/3,0)))),INT((IF(O6="Quantum",760,1220)-50)/INDEX('Laminates- copilot'!$E$6:$E$257,ROUNDUP((ROW()-5)/3,0))))),"Data is missing"))</f>
        <v>5.6502060019791273E-2</v>
      </c>
      <c r="AK6" s="203">
        <f t="shared" ref="AK6:AK69" si="13">IFERROR(AB6*1000,"Data is missing")</f>
        <v>75.336080026388359</v>
      </c>
      <c r="AL6" t="str">
        <f t="shared" ref="AL6:AL69" si="14">IF(AND(ISNUMBER(AB6),ISNUMBER(AD6),K6&gt;0,ISNUMBER(AJ6),AM6=""),IF(AND(ABS(AD6-AB6*K6)&lt;0.05,ABS(AB6-AJ6/(1-25%))&lt;0.0001),"PASS","CHECK"),"CHECK")</f>
        <v>PASS</v>
      </c>
      <c r="AM6" s="50" t="str">
        <f t="shared" ref="AM6:AM69" si="15">_xlfn.TEXTJOIN("; ",TRUE,IF(OR(AF6="Data is missing",AG6="Data is missing",AJ6="Data is missing"),"Missing conversion data",""),IF(NOT(ISNUMBER(S6)),"Missing laminate weight",""),IF(NOT(ISNUMBER(T6)),"Missing laminate cost",""))</f>
        <v/>
      </c>
    </row>
    <row r="7" spans="1:39" hidden="1">
      <c r="A7" t="s">
        <v>1635</v>
      </c>
      <c r="B7" t="s">
        <v>261</v>
      </c>
      <c r="C7" s="50" t="s">
        <v>2203</v>
      </c>
      <c r="D7">
        <f>'Laminates- copilot'!B6</f>
        <v>120</v>
      </c>
      <c r="E7" s="858">
        <f>'Laminates- copilot'!D6</f>
        <v>98</v>
      </c>
      <c r="F7" s="858">
        <v>100</v>
      </c>
      <c r="G7" s="858">
        <v>100</v>
      </c>
      <c r="H7" s="858">
        <v>20</v>
      </c>
      <c r="I7" s="858">
        <v>0</v>
      </c>
      <c r="J7" s="858">
        <v>240</v>
      </c>
      <c r="K7" s="858">
        <v>25000</v>
      </c>
      <c r="L7" s="858" t="str">
        <f>'Laminates- copilot'!K6</f>
        <v>Not Printed</v>
      </c>
      <c r="M7" s="858" t="str">
        <f>'Laminates- copilot'!L6</f>
        <v>0</v>
      </c>
      <c r="N7" s="858">
        <f>'Laminates- copilot'!M6</f>
        <v>1</v>
      </c>
      <c r="O7" s="858" t="str">
        <f>'Laminates- copilot'!O6</f>
        <v>Marma</v>
      </c>
      <c r="P7" s="858" t="str">
        <f>'Laminates- copilot'!N6</f>
        <v>Europe to Europe</v>
      </c>
      <c r="Q7" s="858">
        <f t="shared" si="0"/>
        <v>2500</v>
      </c>
      <c r="R7" s="858">
        <f t="shared" si="1"/>
        <v>2500</v>
      </c>
      <c r="S7" s="858">
        <f>IFERROR('Laminates- copilot'!Q6/'Laminates- copilot'!P6*Q7,"")</f>
        <v>28.541999999999998</v>
      </c>
      <c r="T7" s="203">
        <f>IFERROR('Laminates- copilot'!R6/'Laminates- copilot'!P6*Q7,"")</f>
        <v>232.35784448805211</v>
      </c>
      <c r="U7" s="912">
        <f>IFERROR('Laminates- copilot'!S6/'Laminates- copilot'!P6*Q7,"")</f>
        <v>269.53509960614042</v>
      </c>
      <c r="V7" s="913">
        <f t="shared" si="2"/>
        <v>8.1409096940667123</v>
      </c>
      <c r="W7" s="914">
        <f t="shared" si="3"/>
        <v>9.4434552451173861</v>
      </c>
      <c r="X7" s="913">
        <f t="shared" si="4"/>
        <v>9.2943137795220843E-2</v>
      </c>
      <c r="Y7" s="913">
        <f t="shared" si="5"/>
        <v>8.1409096940667123</v>
      </c>
      <c r="Z7" s="95">
        <f t="shared" si="6"/>
        <v>437952</v>
      </c>
      <c r="AA7" s="50" t="str">
        <f t="shared" si="7"/>
        <v>Below MOQ by 412,952 bags</v>
      </c>
      <c r="AB7" s="923">
        <f t="shared" si="8"/>
        <v>7.1910741697769967E-2</v>
      </c>
      <c r="AC7" s="924">
        <f t="shared" si="9"/>
        <v>8.3416460369413151E-2</v>
      </c>
      <c r="AD7" s="203">
        <f t="shared" si="10"/>
        <v>1797.7685424442491</v>
      </c>
      <c r="AE7" s="912">
        <f t="shared" si="11"/>
        <v>2085.4115092353286</v>
      </c>
      <c r="AF7" s="923" cm="1">
        <f t="array" ref="AF7">IF(O7="Quantum",IFERROR(_xlfn.LET(_xlpm.b,_xlfn.SWITCH(LOWER(B7),"zipper bag","Zipper pouch","open bag","Open pouch","sup with zipper","Stand-up pouch","stand-up pouch","Stand-up pouch",B7),_xlpm.w,G7,_xlpm.q,K7,_xlpm.types,'Converting-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missing"),IFERROR(_xlfn.LET(_xlpm.s,O7,_xlpm.b,_xlfn.SWITCH(LOWER(B7),"zipper bag","Zipper pouch","open bag","Open pouch",B7),_xlpm.w,G7,_xlpm.q,K7,_xlpm.src,'Converting-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7" s="923">
        <f>IFERROR(IF(OR(B7="Zipper pouch",B7="SUP with zipper"),HELPER!$DE$2*(AH7+AI7)/K7,HELPER!$DE$2*AH7/K7),"Data is missing")</f>
        <v>2.5762353070853004E-3</v>
      </c>
      <c r="AH7" s="923">
        <f t="shared" si="12"/>
        <v>9.2943137795220843E-2</v>
      </c>
      <c r="AI7" s="923">
        <f>IF(OR(B7="Zipper pouch",B7="SUP with zipper"),HELPER!$DC$2*G7/1000,"")</f>
        <v>1.4399999999999998E-2</v>
      </c>
      <c r="AJ7" s="923" cm="1">
        <f t="array" ref="AJ7">IF(INDEX('Laminates- copilot'!$E$6:$E$257,ROUNDUP((ROW()-5)/3,0))+50&gt;IF(O7="Quantum",760,1220),"Width exceeds supplier maximum",IFERROR(AF7+AG7+N(AI7)+AH7*G7/1000/MAX(1,MIN(MAX(2,INT(900/INDEX('Laminates- copilot'!$E$6:$E$257,ROUNDUP((ROW()-5)/3,0)))),INT((IF(O7="Quantum",760,1220)-50)/INDEX('Laminates- copilot'!$E$6:$E$257,ROUNDUP((ROW()-5)/3,0))))),"Data is missing"))</f>
        <v>5.3933056273327472E-2</v>
      </c>
      <c r="AK7" s="203">
        <f t="shared" si="13"/>
        <v>71.910741697769964</v>
      </c>
      <c r="AL7" t="str">
        <f t="shared" si="14"/>
        <v>PASS</v>
      </c>
      <c r="AM7" s="50" t="str">
        <f t="shared" si="15"/>
        <v/>
      </c>
    </row>
    <row r="8" spans="1:39" hidden="1">
      <c r="A8" t="s">
        <v>1636</v>
      </c>
      <c r="B8" t="s">
        <v>262</v>
      </c>
      <c r="C8" s="50" t="s">
        <v>2203</v>
      </c>
      <c r="D8">
        <f>'Laminates- copilot'!B6</f>
        <v>120</v>
      </c>
      <c r="E8" s="858">
        <f>'Laminates- copilot'!D6</f>
        <v>98</v>
      </c>
      <c r="F8" s="858">
        <v>100</v>
      </c>
      <c r="G8" s="858">
        <v>100</v>
      </c>
      <c r="H8" s="858">
        <v>0</v>
      </c>
      <c r="I8" s="858">
        <v>0</v>
      </c>
      <c r="J8" s="858">
        <v>200</v>
      </c>
      <c r="K8" s="858">
        <v>25000</v>
      </c>
      <c r="L8" s="858" t="str">
        <f>'Laminates- copilot'!K6</f>
        <v>Not Printed</v>
      </c>
      <c r="M8" s="858" t="str">
        <f>'Laminates- copilot'!L6</f>
        <v>0</v>
      </c>
      <c r="N8" s="858">
        <f>'Laminates- copilot'!M6</f>
        <v>1</v>
      </c>
      <c r="O8" s="858" t="str">
        <f>'Laminates- copilot'!O6</f>
        <v>Marma</v>
      </c>
      <c r="P8" s="858" t="str">
        <f>'Laminates- copilot'!N6</f>
        <v>Europe to Europe</v>
      </c>
      <c r="Q8" s="858">
        <f t="shared" si="0"/>
        <v>2500</v>
      </c>
      <c r="R8" s="858">
        <f t="shared" si="1"/>
        <v>2500</v>
      </c>
      <c r="S8" s="858">
        <f>IFERROR('Laminates- copilot'!Q6/'Laminates- copilot'!P6*Q8,"")</f>
        <v>28.541999999999998</v>
      </c>
      <c r="T8" s="203">
        <f>IFERROR('Laminates- copilot'!R6/'Laminates- copilot'!P6*Q8,"")</f>
        <v>232.35784448805211</v>
      </c>
      <c r="U8" s="912">
        <f>IFERROR('Laminates- copilot'!S6/'Laminates- copilot'!P6*Q8,"")</f>
        <v>269.53509960614042</v>
      </c>
      <c r="V8" s="913">
        <f t="shared" si="2"/>
        <v>8.1409096940667123</v>
      </c>
      <c r="W8" s="914">
        <f t="shared" si="3"/>
        <v>9.4434552451173861</v>
      </c>
      <c r="X8" s="913">
        <f t="shared" si="4"/>
        <v>9.2943137795220843E-2</v>
      </c>
      <c r="Y8" s="913">
        <f t="shared" si="5"/>
        <v>8.1409096940667123</v>
      </c>
      <c r="Z8" s="95">
        <f t="shared" si="6"/>
        <v>437952</v>
      </c>
      <c r="AA8" s="50" t="str">
        <f t="shared" si="7"/>
        <v>Below MOQ by 412,952 bags</v>
      </c>
      <c r="AB8" s="923">
        <f t="shared" si="8"/>
        <v>4.847933734990436E-2</v>
      </c>
      <c r="AC8" s="924">
        <f t="shared" si="9"/>
        <v>5.6236031325889051E-2</v>
      </c>
      <c r="AD8" s="203">
        <f t="shared" si="10"/>
        <v>1211.9834337476091</v>
      </c>
      <c r="AE8" s="912">
        <f t="shared" si="11"/>
        <v>1405.9007831472263</v>
      </c>
      <c r="AF8" s="923" cm="1">
        <f t="array" ref="AF8">IF(O8="Quantum",IFERROR(_xlfn.LET(_xlpm.b,_xlfn.SWITCH(LOWER(B8),"zipper bag","Zipper pouch","open bag","Open pouch","sup with zipper","Stand-up pouch","stand-up pouch","Stand-up pouch",B8),_xlpm.w,G8,_xlpm.q,K8,_xlpm.types,'Converting-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missing"),IFERROR(_xlfn.LET(_xlpm.s,O8,_xlpm.b,_xlfn.SWITCH(LOWER(B8),"zipper bag","Zipper pouch","open bag","Open pouch",B8),_xlpm.w,G8,_xlpm.q,K8,_xlpm.src,'Converting-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8" s="923">
        <f>IFERROR(IF(OR(B8="Zipper pouch",B8="SUP with zipper"),HELPER!$DE$2*(AH8+AI8)/K8,HELPER!$DE$2*AH8/K8),"Data is missing")</f>
        <v>2.2306353070853002E-3</v>
      </c>
      <c r="AH8" s="923">
        <f t="shared" si="12"/>
        <v>9.2943137795220843E-2</v>
      </c>
      <c r="AI8" s="923" t="str">
        <f>IF(OR(B8="Zipper pouch",B8="SUP with zipper"),HELPER!$DC$2*G8/1000,"")</f>
        <v/>
      </c>
      <c r="AJ8" s="923" cm="1">
        <f t="array" ref="AJ8">IF(INDEX('Laminates- copilot'!$E$6:$E$257,ROUNDUP((ROW()-5)/3,0))+50&gt;IF(O8="Quantum",760,1220),"Width exceeds supplier maximum",IFERROR(AF8+AG8+N(AI8)+AH8*G8/1000/MAX(1,MIN(MAX(2,INT(900/INDEX('Laminates- copilot'!$E$6:$E$257,ROUNDUP((ROW()-5)/3,0)))),INT((IF(O8="Quantum",760,1220)-50)/INDEX('Laminates- copilot'!$E$6:$E$257,ROUNDUP((ROW()-5)/3,0))))),"Data is missing"))</f>
        <v>3.6359503012428268E-2</v>
      </c>
      <c r="AK8" s="203">
        <f t="shared" si="13"/>
        <v>48.479337349904362</v>
      </c>
      <c r="AL8" t="str">
        <f t="shared" si="14"/>
        <v>PASS</v>
      </c>
      <c r="AM8" s="50" t="str">
        <f t="shared" si="15"/>
        <v/>
      </c>
    </row>
    <row r="9" spans="1:39" hidden="1">
      <c r="A9" t="s">
        <v>1637</v>
      </c>
      <c r="B9" t="s">
        <v>251</v>
      </c>
      <c r="C9" s="50" t="s">
        <v>2204</v>
      </c>
      <c r="D9">
        <f>'Laminates- copilot'!B7</f>
        <v>120</v>
      </c>
      <c r="E9" s="858">
        <f>'Laminates- copilot'!D7</f>
        <v>98</v>
      </c>
      <c r="F9" s="858">
        <v>150</v>
      </c>
      <c r="G9" s="858">
        <v>150</v>
      </c>
      <c r="H9" s="858">
        <v>25</v>
      </c>
      <c r="I9" s="858">
        <v>0</v>
      </c>
      <c r="J9" s="858">
        <v>350</v>
      </c>
      <c r="K9" s="858">
        <v>25000</v>
      </c>
      <c r="L9" s="858" t="str">
        <f>'Laminates- copilot'!K7</f>
        <v>Printed</v>
      </c>
      <c r="M9" s="858" t="str">
        <f>'Laminates- copilot'!L7</f>
        <v>1-2</v>
      </c>
      <c r="N9" s="858">
        <f>'Laminates- copilot'!M7</f>
        <v>1</v>
      </c>
      <c r="O9" s="858" t="str">
        <f>'Laminates- copilot'!O7</f>
        <v>Bastin</v>
      </c>
      <c r="P9" s="858" t="str">
        <f>'Laminates- copilot'!N7</f>
        <v>Europe to US</v>
      </c>
      <c r="Q9" s="858">
        <f t="shared" si="0"/>
        <v>3750</v>
      </c>
      <c r="R9" s="858">
        <f t="shared" si="1"/>
        <v>3750</v>
      </c>
      <c r="S9" s="858">
        <f>IFERROR('Laminates- copilot'!Q7/'Laminates- copilot'!P7*Q9,"")</f>
        <v>42.812999999999995</v>
      </c>
      <c r="T9" s="203">
        <f>IFERROR('Laminates- copilot'!R7/'Laminates- copilot'!P7*Q9,"")</f>
        <v>1397.0215248348211</v>
      </c>
      <c r="U9" s="912">
        <f>IFERROR('Laminates- copilot'!S7/'Laminates- copilot'!P7*Q9,"")</f>
        <v>1620.5449688083922</v>
      </c>
      <c r="V9" s="913">
        <f t="shared" si="2"/>
        <v>32.630778614785726</v>
      </c>
      <c r="W9" s="914">
        <f t="shared" si="3"/>
        <v>37.851703193151437</v>
      </c>
      <c r="X9" s="913">
        <f t="shared" si="4"/>
        <v>0.37253907328928565</v>
      </c>
      <c r="Y9" s="913">
        <f t="shared" si="5"/>
        <v>32.630778614785726</v>
      </c>
      <c r="Z9" s="95">
        <f t="shared" si="6"/>
        <v>291968</v>
      </c>
      <c r="AA9" s="50" t="str">
        <f t="shared" si="7"/>
        <v>Below MOQ by 266,968 bags</v>
      </c>
      <c r="AB9" s="923">
        <f t="shared" si="8"/>
        <v>0.12733664066997619</v>
      </c>
      <c r="AC9" s="924">
        <f t="shared" si="9"/>
        <v>0.14771050317717235</v>
      </c>
      <c r="AD9" s="203">
        <f t="shared" si="10"/>
        <v>3183.4160167494047</v>
      </c>
      <c r="AE9" s="912">
        <f t="shared" si="11"/>
        <v>3692.762579429309</v>
      </c>
      <c r="AF9" s="923" cm="1">
        <f t="array" ref="AF9">IF(O9="Quantum",IFERROR(_xlfn.LET(_xlpm.b,_xlfn.SWITCH(LOWER(B9),"zipper bag","Zipper pouch","open bag","Open pouch","sup with zipper","Stand-up pouch","stand-up pouch","Stand-up pouch",B9),_xlpm.w,G9,_xlpm.q,K9,_xlpm.types,'Converting-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missing"),IFERROR(_xlfn.LET(_xlpm.s,O9,_xlpm.b,_xlfn.SWITCH(LOWER(B9),"zipper bag","Zipper pouch","open bag","Open pouch",B9),_xlpm.w,G9,_xlpm.q,K9,_xlpm.src,'Converting-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9" s="923">
        <f>IFERROR(IF(OR(B9="Zipper pouch",B9="SUP with zipper"),HELPER!$DE$2*(AH9+AI9)/K9,HELPER!$DE$2*AH9/K9),"Data is missing")</f>
        <v>9.4593377589428547E-3</v>
      </c>
      <c r="AH9" s="923">
        <f t="shared" si="12"/>
        <v>0.37253907328928565</v>
      </c>
      <c r="AI9" s="923">
        <f>IF(OR(B9="Zipper pouch",B9="SUP with zipper"),HELPER!$DC$2*G9/1000,"")</f>
        <v>2.1599999999999998E-2</v>
      </c>
      <c r="AJ9" s="923" cm="1">
        <f t="array" ref="AJ9">IF(INDEX('Laminates- copilot'!$E$6:$E$257,ROUNDUP((ROW()-5)/3,0))+50&gt;IF(O9="Quantum",760,1220),"Width exceeds supplier maximum",IFERROR(AF9+AG9+N(AI9)+AH9*G9/1000/MAX(1,MIN(MAX(2,INT(900/INDEX('Laminates- copilot'!$E$6:$E$257,ROUNDUP((ROW()-5)/3,0)))),INT((IF(O9="Quantum",760,1220)-50)/INDEX('Laminates- copilot'!$E$6:$E$257,ROUNDUP((ROW()-5)/3,0))))),"Data is missing"))</f>
        <v>9.550248050248214E-2</v>
      </c>
      <c r="AK9" s="203">
        <f t="shared" si="13"/>
        <v>127.33664066997619</v>
      </c>
      <c r="AL9" t="str">
        <f t="shared" si="14"/>
        <v>PASS</v>
      </c>
      <c r="AM9" s="50" t="str">
        <f t="shared" si="15"/>
        <v/>
      </c>
    </row>
    <row r="10" spans="1:39" hidden="1">
      <c r="A10" t="s">
        <v>1638</v>
      </c>
      <c r="B10" t="s">
        <v>261</v>
      </c>
      <c r="C10" s="50" t="s">
        <v>2204</v>
      </c>
      <c r="D10">
        <f>'Laminates- copilot'!B7</f>
        <v>120</v>
      </c>
      <c r="E10" s="858">
        <f>'Laminates- copilot'!D7</f>
        <v>98</v>
      </c>
      <c r="F10" s="858">
        <v>150</v>
      </c>
      <c r="G10" s="858">
        <v>150</v>
      </c>
      <c r="H10" s="858">
        <v>25</v>
      </c>
      <c r="I10" s="858">
        <v>0</v>
      </c>
      <c r="J10" s="858">
        <v>350</v>
      </c>
      <c r="K10" s="858">
        <v>25000</v>
      </c>
      <c r="L10" s="858" t="str">
        <f>'Laminates- copilot'!K7</f>
        <v>Printed</v>
      </c>
      <c r="M10" s="858" t="str">
        <f>'Laminates- copilot'!L7</f>
        <v>1-2</v>
      </c>
      <c r="N10" s="858">
        <f>'Laminates- copilot'!M7</f>
        <v>1</v>
      </c>
      <c r="O10" s="858" t="str">
        <f>'Laminates- copilot'!O7</f>
        <v>Bastin</v>
      </c>
      <c r="P10" s="858" t="str">
        <f>'Laminates- copilot'!N7</f>
        <v>Europe to US</v>
      </c>
      <c r="Q10" s="858">
        <f t="shared" si="0"/>
        <v>3750</v>
      </c>
      <c r="R10" s="858">
        <f t="shared" si="1"/>
        <v>3750</v>
      </c>
      <c r="S10" s="858">
        <f>IFERROR('Laminates- copilot'!Q7/'Laminates- copilot'!P7*Q10,"")</f>
        <v>42.812999999999995</v>
      </c>
      <c r="T10" s="203">
        <f>IFERROR('Laminates- copilot'!R7/'Laminates- copilot'!P7*Q10,"")</f>
        <v>1397.0215248348211</v>
      </c>
      <c r="U10" s="912">
        <f>IFERROR('Laminates- copilot'!S7/'Laminates- copilot'!P7*Q10,"")</f>
        <v>1620.5449688083922</v>
      </c>
      <c r="V10" s="913">
        <f t="shared" si="2"/>
        <v>32.630778614785726</v>
      </c>
      <c r="W10" s="914">
        <f t="shared" si="3"/>
        <v>37.851703193151437</v>
      </c>
      <c r="X10" s="913">
        <f t="shared" si="4"/>
        <v>0.37253907328928565</v>
      </c>
      <c r="Y10" s="913">
        <f t="shared" si="5"/>
        <v>32.630778614785726</v>
      </c>
      <c r="Z10" s="95">
        <f t="shared" si="6"/>
        <v>291968</v>
      </c>
      <c r="AA10" s="50" t="str">
        <f t="shared" si="7"/>
        <v>Below MOQ by 266,968 bags</v>
      </c>
      <c r="AB10" s="923">
        <f t="shared" si="8"/>
        <v>0.12217123047041963</v>
      </c>
      <c r="AC10" s="924">
        <f t="shared" si="9"/>
        <v>0.14171862734568674</v>
      </c>
      <c r="AD10" s="203">
        <f t="shared" si="10"/>
        <v>3054.2807617604908</v>
      </c>
      <c r="AE10" s="912">
        <f t="shared" si="11"/>
        <v>3542.9656836421691</v>
      </c>
      <c r="AF10" s="923" cm="1">
        <f t="array" ref="AF10">IF(O10="Quantum",IFERROR(_xlfn.LET(_xlpm.b,_xlfn.SWITCH(LOWER(B10),"zipper bag","Zipper pouch","open bag","Open pouch","sup with zipper","Stand-up pouch","stand-up pouch","Stand-up pouch",B10),_xlpm.w,G10,_xlpm.q,K10,_xlpm.types,'Converting-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missing"),IFERROR(_xlfn.LET(_xlpm.s,O10,_xlpm.b,_xlfn.SWITCH(LOWER(B10),"zipper bag","Zipper pouch","open bag","Open pouch",B10),_xlpm.w,G10,_xlpm.q,K10,_xlpm.src,'Converting-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0" s="923">
        <f>IFERROR(IF(OR(B10="Zipper pouch",B10="SUP with zipper"),HELPER!$DE$2*(AH10+AI10)/K10,HELPER!$DE$2*AH10/K10),"Data is missing")</f>
        <v>9.4593377589428547E-3</v>
      </c>
      <c r="AH10" s="923">
        <f t="shared" si="12"/>
        <v>0.37253907328928565</v>
      </c>
      <c r="AI10" s="923">
        <f>IF(OR(B10="Zipper pouch",B10="SUP with zipper"),HELPER!$DC$2*G10/1000,"")</f>
        <v>2.1599999999999998E-2</v>
      </c>
      <c r="AJ10" s="923" cm="1">
        <f t="array" ref="AJ10">IF(INDEX('Laminates- copilot'!$E$6:$E$257,ROUNDUP((ROW()-5)/3,0))+50&gt;IF(O10="Quantum",760,1220),"Width exceeds supplier maximum",IFERROR(AF10+AG10+N(AI10)+AH10*G10/1000/MAX(1,MIN(MAX(2,INT(900/INDEX('Laminates- copilot'!$E$6:$E$257,ROUNDUP((ROW()-5)/3,0)))),INT((IF(O10="Quantum",760,1220)-50)/INDEX('Laminates- copilot'!$E$6:$E$257,ROUNDUP((ROW()-5)/3,0))))),"Data is missing"))</f>
        <v>9.1628422852814723E-2</v>
      </c>
      <c r="AK10" s="203">
        <f t="shared" si="13"/>
        <v>122.17123047041963</v>
      </c>
      <c r="AL10" t="str">
        <f t="shared" si="14"/>
        <v>PASS</v>
      </c>
      <c r="AM10" s="50" t="str">
        <f t="shared" si="15"/>
        <v/>
      </c>
    </row>
    <row r="11" spans="1:39" hidden="1">
      <c r="A11" t="s">
        <v>1639</v>
      </c>
      <c r="B11" t="s">
        <v>262</v>
      </c>
      <c r="C11" s="50" t="s">
        <v>2204</v>
      </c>
      <c r="D11">
        <f>'Laminates- copilot'!B7</f>
        <v>120</v>
      </c>
      <c r="E11" s="858">
        <f>'Laminates- copilot'!D7</f>
        <v>98</v>
      </c>
      <c r="F11" s="858">
        <v>150</v>
      </c>
      <c r="G11" s="858">
        <v>150</v>
      </c>
      <c r="H11" s="858">
        <v>0</v>
      </c>
      <c r="I11" s="858">
        <v>0</v>
      </c>
      <c r="J11" s="858">
        <v>300</v>
      </c>
      <c r="K11" s="858">
        <v>25000</v>
      </c>
      <c r="L11" s="858" t="str">
        <f>'Laminates- copilot'!K7</f>
        <v>Printed</v>
      </c>
      <c r="M11" s="858" t="str">
        <f>'Laminates- copilot'!L7</f>
        <v>1-2</v>
      </c>
      <c r="N11" s="858">
        <f>'Laminates- copilot'!M7</f>
        <v>1</v>
      </c>
      <c r="O11" s="858" t="str">
        <f>'Laminates- copilot'!O7</f>
        <v>Bastin</v>
      </c>
      <c r="P11" s="858" t="str">
        <f>'Laminates- copilot'!N7</f>
        <v>Europe to US</v>
      </c>
      <c r="Q11" s="858">
        <f t="shared" si="0"/>
        <v>3750</v>
      </c>
      <c r="R11" s="858">
        <f t="shared" si="1"/>
        <v>3750</v>
      </c>
      <c r="S11" s="858">
        <f>IFERROR('Laminates- copilot'!Q7/'Laminates- copilot'!P7*Q11,"")</f>
        <v>42.812999999999995</v>
      </c>
      <c r="T11" s="203">
        <f>IFERROR('Laminates- copilot'!R7/'Laminates- copilot'!P7*Q11,"")</f>
        <v>1397.0215248348211</v>
      </c>
      <c r="U11" s="912">
        <f>IFERROR('Laminates- copilot'!S7/'Laminates- copilot'!P7*Q11,"")</f>
        <v>1620.5449688083922</v>
      </c>
      <c r="V11" s="913">
        <f t="shared" si="2"/>
        <v>32.630778614785726</v>
      </c>
      <c r="W11" s="914">
        <f t="shared" si="3"/>
        <v>37.851703193151437</v>
      </c>
      <c r="X11" s="913">
        <f t="shared" si="4"/>
        <v>0.37253907328928565</v>
      </c>
      <c r="Y11" s="913">
        <f t="shared" si="5"/>
        <v>32.630778614785726</v>
      </c>
      <c r="Z11" s="95">
        <f t="shared" si="6"/>
        <v>291968</v>
      </c>
      <c r="AA11" s="50" t="str">
        <f t="shared" si="7"/>
        <v>Below MOQ by 266,968 bags</v>
      </c>
      <c r="AB11" s="923">
        <f t="shared" si="8"/>
        <v>8.6845991634163511E-2</v>
      </c>
      <c r="AC11" s="924">
        <f t="shared" si="9"/>
        <v>0.10074135029562967</v>
      </c>
      <c r="AD11" s="203">
        <f t="shared" si="10"/>
        <v>2171.1497908540878</v>
      </c>
      <c r="AE11" s="912">
        <f t="shared" si="11"/>
        <v>2518.5337573907418</v>
      </c>
      <c r="AF11" s="923" cm="1">
        <f t="array" ref="AF11">IF(O11="Quantum",IFERROR(_xlfn.LET(_xlpm.b,_xlfn.SWITCH(LOWER(B11),"zipper bag","Zipper pouch","open bag","Open pouch","sup with zipper","Stand-up pouch","stand-up pouch","Stand-up pouch",B11),_xlpm.w,G11,_xlpm.q,K11,_xlpm.types,'Converting-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missing"),IFERROR(_xlfn.LET(_xlpm.s,O11,_xlpm.b,_xlfn.SWITCH(LOWER(B11),"zipper bag","Zipper pouch","open bag","Open pouch",B11),_xlpm.w,G11,_xlpm.q,K11,_xlpm.src,'Converting-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1" s="923">
        <f>IFERROR(IF(OR(B11="Zipper pouch",B11="SUP with zipper"),HELPER!$DE$2*(AH11+AI11)/K11,HELPER!$DE$2*AH11/K11),"Data is missing")</f>
        <v>8.940937758942856E-3</v>
      </c>
      <c r="AH11" s="923">
        <f t="shared" si="12"/>
        <v>0.37253907328928565</v>
      </c>
      <c r="AI11" s="923" t="str">
        <f>IF(OR(B11="Zipper pouch",B11="SUP with zipper"),HELPER!$DC$2*G11/1000,"")</f>
        <v/>
      </c>
      <c r="AJ11" s="923" cm="1">
        <f t="array" ref="AJ11">IF(INDEX('Laminates- copilot'!$E$6:$E$257,ROUNDUP((ROW()-5)/3,0))+50&gt;IF(O11="Quantum",760,1220),"Width exceeds supplier maximum",IFERROR(AF11+AG11+N(AI11)+AH11*G11/1000/MAX(1,MIN(MAX(2,INT(900/INDEX('Laminates- copilot'!$E$6:$E$257,ROUNDUP((ROW()-5)/3,0)))),INT((IF(O11="Quantum",760,1220)-50)/INDEX('Laminates- copilot'!$E$6:$E$257,ROUNDUP((ROW()-5)/3,0))))),"Data is missing"))</f>
        <v>6.5134493725622633E-2</v>
      </c>
      <c r="AK11" s="203">
        <f t="shared" si="13"/>
        <v>86.845991634163511</v>
      </c>
      <c r="AL11" t="str">
        <f t="shared" si="14"/>
        <v>PASS</v>
      </c>
      <c r="AM11" s="50" t="str">
        <f t="shared" si="15"/>
        <v/>
      </c>
    </row>
    <row r="12" spans="1:39" hidden="1">
      <c r="A12" t="s">
        <v>1640</v>
      </c>
      <c r="B12" t="s">
        <v>251</v>
      </c>
      <c r="C12" s="50" t="s">
        <v>2205</v>
      </c>
      <c r="D12">
        <f>'Laminates- copilot'!B8</f>
        <v>120</v>
      </c>
      <c r="E12" s="858">
        <f>'Laminates- copilot'!D8</f>
        <v>98</v>
      </c>
      <c r="F12" s="858">
        <v>250</v>
      </c>
      <c r="G12" s="858">
        <v>200</v>
      </c>
      <c r="H12" s="858">
        <v>40</v>
      </c>
      <c r="I12" s="858">
        <v>0</v>
      </c>
      <c r="J12" s="858">
        <v>580</v>
      </c>
      <c r="K12" s="858">
        <v>50000</v>
      </c>
      <c r="L12" s="858" t="str">
        <f>'Laminates- copilot'!K8</f>
        <v>Printed</v>
      </c>
      <c r="M12" s="858" t="str">
        <f>'Laminates- copilot'!L8</f>
        <v>3-4</v>
      </c>
      <c r="N12" s="858">
        <f>'Laminates- copilot'!M8</f>
        <v>4</v>
      </c>
      <c r="O12" s="858" t="str">
        <f>'Laminates- copilot'!O8</f>
        <v>Quantum</v>
      </c>
      <c r="P12" s="858" t="str">
        <f>'Laminates- copilot'!N8</f>
        <v>Europe to Europe</v>
      </c>
      <c r="Q12" s="858">
        <f t="shared" si="0"/>
        <v>10000</v>
      </c>
      <c r="R12" s="858">
        <f t="shared" si="1"/>
        <v>10000</v>
      </c>
      <c r="S12" s="858">
        <f>IFERROR('Laminates- copilot'!Q8/'Laminates- copilot'!P8*Q12,"")</f>
        <v>332.99</v>
      </c>
      <c r="T12" s="203">
        <f>IFERROR('Laminates- copilot'!R8/'Laminates- copilot'!P8*Q12,"")</f>
        <v>6633.2874832861098</v>
      </c>
      <c r="U12" s="912">
        <f>IFERROR('Laminates- copilot'!S8/'Laminates- copilot'!P8*Q12,"")</f>
        <v>7694.6134806118871</v>
      </c>
      <c r="V12" s="913">
        <f t="shared" si="2"/>
        <v>19.920380441713295</v>
      </c>
      <c r="W12" s="914">
        <f t="shared" si="3"/>
        <v>23.107641312387418</v>
      </c>
      <c r="X12" s="913">
        <f t="shared" si="4"/>
        <v>0.663328748328611</v>
      </c>
      <c r="Y12" s="913">
        <f t="shared" si="5"/>
        <v>19.920380441713295</v>
      </c>
      <c r="Z12" s="95">
        <f t="shared" si="6"/>
        <v>75078</v>
      </c>
      <c r="AA12" s="50" t="str">
        <f t="shared" si="7"/>
        <v>Below MOQ by 25,078 bags</v>
      </c>
      <c r="AB12" s="923">
        <f t="shared" si="8"/>
        <v>0.29361535299575853</v>
      </c>
      <c r="AC12" s="924">
        <f t="shared" si="9"/>
        <v>0.34059380947507989</v>
      </c>
      <c r="AD12" s="203">
        <f t="shared" si="10"/>
        <v>14680.767649787926</v>
      </c>
      <c r="AE12" s="912">
        <f t="shared" si="11"/>
        <v>17029.690473753992</v>
      </c>
      <c r="AF12" s="923" cm="1">
        <f t="array" ref="AF12">IF(O12="Quantum",IFERROR(_xlfn.LET(_xlpm.b,_xlfn.SWITCH(LOWER(B12),"zipper bag","Zipper pouch","open bag","Open pouch","sup with zipper","Stand-up pouch","stand-up pouch","Stand-up pouch",B12),_xlpm.w,G12,_xlpm.q,K12,_xlpm.types,'Converting-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missing"),IFERROR(_xlfn.LET(_xlpm.s,O12,_xlpm.b,_xlfn.SWITCH(LOWER(B12),"zipper bag","Zipper pouch","open bag","Open pouch",B12),_xlpm.w,G12,_xlpm.q,K12,_xlpm.src,'Converting-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12" s="923">
        <f>IFERROR(IF(OR(B12="Zipper pouch",B12="SUP with zipper"),HELPER!$DE$2*(AH12+AI12)/K12,HELPER!$DE$2*AH12/K12),"Data is missing")</f>
        <v>8.3055449799433329E-3</v>
      </c>
      <c r="AH12" s="923">
        <f t="shared" si="12"/>
        <v>0.663328748328611</v>
      </c>
      <c r="AI12" s="923">
        <f>IF(OR(B12="Zipper pouch",B12="SUP with zipper"),HELPER!$DC$2*G12/1000,"")</f>
        <v>2.8799999999999996E-2</v>
      </c>
      <c r="AJ12" s="923" cm="1">
        <f t="array" ref="AJ12">IF(INDEX('Laminates- copilot'!$E$6:$E$257,ROUNDUP((ROW()-5)/3,0))+50&gt;IF(O12="Quantum",760,1220),"Width exceeds supplier maximum",IFERROR(AF12+AG12+N(AI12)+AH12*G12/1000/MAX(1,MIN(MAX(2,INT(900/INDEX('Laminates- copilot'!$E$6:$E$257,ROUNDUP((ROW()-5)/3,0)))),INT((IF(O12="Quantum",760,1220)-50)/INDEX('Laminates- copilot'!$E$6:$E$257,ROUNDUP((ROW()-5)/3,0))))),"Data is missing"))</f>
        <v>0.22021151474681888</v>
      </c>
      <c r="AK12" s="203">
        <f t="shared" si="13"/>
        <v>293.61535299575854</v>
      </c>
      <c r="AL12" t="str">
        <f t="shared" si="14"/>
        <v>PASS</v>
      </c>
      <c r="AM12" s="50" t="str">
        <f t="shared" si="15"/>
        <v/>
      </c>
    </row>
    <row r="13" spans="1:39" hidden="1">
      <c r="A13" t="s">
        <v>1641</v>
      </c>
      <c r="B13" t="s">
        <v>261</v>
      </c>
      <c r="C13" s="50" t="s">
        <v>2205</v>
      </c>
      <c r="D13">
        <f>'Laminates- copilot'!B8</f>
        <v>120</v>
      </c>
      <c r="E13" s="858">
        <f>'Laminates- copilot'!D8</f>
        <v>98</v>
      </c>
      <c r="F13" s="858">
        <v>250</v>
      </c>
      <c r="G13" s="858">
        <v>200</v>
      </c>
      <c r="H13" s="858">
        <v>40</v>
      </c>
      <c r="I13" s="858">
        <v>0</v>
      </c>
      <c r="J13" s="858">
        <v>580</v>
      </c>
      <c r="K13" s="858">
        <v>50000</v>
      </c>
      <c r="L13" s="858" t="str">
        <f>'Laminates- copilot'!K8</f>
        <v>Printed</v>
      </c>
      <c r="M13" s="858" t="str">
        <f>'Laminates- copilot'!L8</f>
        <v>3-4</v>
      </c>
      <c r="N13" s="858">
        <f>'Laminates- copilot'!M8</f>
        <v>4</v>
      </c>
      <c r="O13" s="858" t="str">
        <f>'Laminates- copilot'!O8</f>
        <v>Quantum</v>
      </c>
      <c r="P13" s="858" t="str">
        <f>'Laminates- copilot'!N8</f>
        <v>Europe to Europe</v>
      </c>
      <c r="Q13" s="858">
        <f t="shared" si="0"/>
        <v>10000</v>
      </c>
      <c r="R13" s="858">
        <f t="shared" si="1"/>
        <v>10000</v>
      </c>
      <c r="S13" s="858">
        <f>IFERROR('Laminates- copilot'!Q8/'Laminates- copilot'!P8*Q13,"")</f>
        <v>332.99</v>
      </c>
      <c r="T13" s="203">
        <f>IFERROR('Laminates- copilot'!R8/'Laminates- copilot'!P8*Q13,"")</f>
        <v>6633.2874832861098</v>
      </c>
      <c r="U13" s="912">
        <f>IFERROR('Laminates- copilot'!S8/'Laminates- copilot'!P8*Q13,"")</f>
        <v>7694.6134806118871</v>
      </c>
      <c r="V13" s="913">
        <f t="shared" si="2"/>
        <v>19.920380441713295</v>
      </c>
      <c r="W13" s="914">
        <f t="shared" si="3"/>
        <v>23.107641312387418</v>
      </c>
      <c r="X13" s="913">
        <f t="shared" si="4"/>
        <v>0.663328748328611</v>
      </c>
      <c r="Y13" s="913">
        <f t="shared" si="5"/>
        <v>19.920380441713295</v>
      </c>
      <c r="Z13" s="95">
        <f t="shared" si="6"/>
        <v>75078</v>
      </c>
      <c r="AA13" s="50" t="str">
        <f t="shared" si="7"/>
        <v>Below MOQ by 25,078 bags</v>
      </c>
      <c r="AB13" s="923">
        <f t="shared" si="8"/>
        <v>0.27784820227756485</v>
      </c>
      <c r="AC13" s="924">
        <f t="shared" si="9"/>
        <v>0.32230391464197522</v>
      </c>
      <c r="AD13" s="203">
        <f t="shared" si="10"/>
        <v>13892.410113878243</v>
      </c>
      <c r="AE13" s="912">
        <f t="shared" si="11"/>
        <v>16115.19573209876</v>
      </c>
      <c r="AF13" s="923" cm="1">
        <f t="array" ref="AF13">IF(O13="Quantum",IFERROR(_xlfn.LET(_xlpm.b,_xlfn.SWITCH(LOWER(B13),"zipper bag","Zipper pouch","open bag","Open pouch","sup with zipper","Stand-up pouch","stand-up pouch","Stand-up pouch",B13),_xlpm.w,G13,_xlpm.q,K13,_xlpm.types,'Converting-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missing"),IFERROR(_xlfn.LET(_xlpm.s,O13,_xlpm.b,_xlfn.SWITCH(LOWER(B13),"zipper bag","Zipper pouch","open bag","Open pouch",B13),_xlpm.w,G13,_xlpm.q,K13,_xlpm.src,'Converting-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13" s="923">
        <f>IFERROR(IF(OR(B13="Zipper pouch",B13="SUP with zipper"),HELPER!$DE$2*(AH13+AI13)/K13,HELPER!$DE$2*AH13/K13),"Data is missing")</f>
        <v>8.3055449799433329E-3</v>
      </c>
      <c r="AH13" s="923">
        <f t="shared" si="12"/>
        <v>0.663328748328611</v>
      </c>
      <c r="AI13" s="923">
        <f>IF(OR(B13="Zipper pouch",B13="SUP with zipper"),HELPER!$DC$2*G13/1000,"")</f>
        <v>2.8799999999999996E-2</v>
      </c>
      <c r="AJ13" s="923" cm="1">
        <f t="array" ref="AJ13">IF(INDEX('Laminates- copilot'!$E$6:$E$257,ROUNDUP((ROW()-5)/3,0))+50&gt;IF(O13="Quantum",760,1220),"Width exceeds supplier maximum",IFERROR(AF13+AG13+N(AI13)+AH13*G13/1000/MAX(1,MIN(MAX(2,INT(900/INDEX('Laminates- copilot'!$E$6:$E$257,ROUNDUP((ROW()-5)/3,0)))),INT((IF(O13="Quantum",760,1220)-50)/INDEX('Laminates- copilot'!$E$6:$E$257,ROUNDUP((ROW()-5)/3,0))))),"Data is missing"))</f>
        <v>0.20838615170817362</v>
      </c>
      <c r="AK13" s="203">
        <f t="shared" si="13"/>
        <v>277.84820227756484</v>
      </c>
      <c r="AL13" t="str">
        <f t="shared" si="14"/>
        <v>PASS</v>
      </c>
      <c r="AM13" s="50" t="str">
        <f t="shared" si="15"/>
        <v/>
      </c>
    </row>
    <row r="14" spans="1:39" hidden="1">
      <c r="A14" t="s">
        <v>1642</v>
      </c>
      <c r="B14" t="s">
        <v>262</v>
      </c>
      <c r="C14" s="50" t="s">
        <v>2205</v>
      </c>
      <c r="D14">
        <f>'Laminates- copilot'!B8</f>
        <v>120</v>
      </c>
      <c r="E14" s="858">
        <f>'Laminates- copilot'!D8</f>
        <v>98</v>
      </c>
      <c r="F14" s="858">
        <v>250</v>
      </c>
      <c r="G14" s="858">
        <v>200</v>
      </c>
      <c r="H14" s="858">
        <v>0</v>
      </c>
      <c r="I14" s="858">
        <v>0</v>
      </c>
      <c r="J14" s="858">
        <v>500</v>
      </c>
      <c r="K14" s="858">
        <v>50000</v>
      </c>
      <c r="L14" s="858" t="str">
        <f>'Laminates- copilot'!K8</f>
        <v>Printed</v>
      </c>
      <c r="M14" s="858" t="str">
        <f>'Laminates- copilot'!L8</f>
        <v>3-4</v>
      </c>
      <c r="N14" s="858">
        <f>'Laminates- copilot'!M8</f>
        <v>4</v>
      </c>
      <c r="O14" s="858" t="str">
        <f>'Laminates- copilot'!O8</f>
        <v>Quantum</v>
      </c>
      <c r="P14" s="858" t="str">
        <f>'Laminates- copilot'!N8</f>
        <v>Europe to Europe</v>
      </c>
      <c r="Q14" s="858">
        <f t="shared" si="0"/>
        <v>10000</v>
      </c>
      <c r="R14" s="858">
        <f t="shared" si="1"/>
        <v>10000</v>
      </c>
      <c r="S14" s="858">
        <f>IFERROR('Laminates- copilot'!Q8/'Laminates- copilot'!P8*Q14,"")</f>
        <v>332.99</v>
      </c>
      <c r="T14" s="203">
        <f>IFERROR('Laminates- copilot'!R8/'Laminates- copilot'!P8*Q14,"")</f>
        <v>6633.2874832861098</v>
      </c>
      <c r="U14" s="912">
        <f>IFERROR('Laminates- copilot'!S8/'Laminates- copilot'!P8*Q14,"")</f>
        <v>7694.6134806118871</v>
      </c>
      <c r="V14" s="913">
        <f t="shared" si="2"/>
        <v>19.920380441713295</v>
      </c>
      <c r="W14" s="914">
        <f t="shared" si="3"/>
        <v>23.107641312387418</v>
      </c>
      <c r="X14" s="913">
        <f t="shared" si="4"/>
        <v>0.663328748328611</v>
      </c>
      <c r="Y14" s="913">
        <f t="shared" si="5"/>
        <v>19.920380441713295</v>
      </c>
      <c r="Z14" s="95">
        <f t="shared" si="6"/>
        <v>75078</v>
      </c>
      <c r="AA14" s="50" t="str">
        <f t="shared" si="7"/>
        <v>Below MOQ by 25,078 bags</v>
      </c>
      <c r="AB14" s="923">
        <f t="shared" si="8"/>
        <v>0.22177598055358458</v>
      </c>
      <c r="AC14" s="924">
        <f t="shared" si="9"/>
        <v>0.25726013744215809</v>
      </c>
      <c r="AD14" s="203">
        <f t="shared" si="10"/>
        <v>11088.79902767923</v>
      </c>
      <c r="AE14" s="912">
        <f t="shared" si="11"/>
        <v>12863.006872107906</v>
      </c>
      <c r="AF14" s="923" cm="1">
        <f t="array" ref="AF14">IF(O14="Quantum",IFERROR(_xlfn.LET(_xlpm.b,_xlfn.SWITCH(LOWER(B14),"zipper bag","Zipper pouch","open bag","Open pouch","sup with zipper","Stand-up pouch","stand-up pouch","Stand-up pouch",B14),_xlpm.w,G14,_xlpm.q,K14,_xlpm.types,'Converting-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missing"),IFERROR(_xlfn.LET(_xlpm.s,O14,_xlpm.b,_xlfn.SWITCH(LOWER(B14),"zipper bag","Zipper pouch","open bag","Open pouch",B14),_xlpm.w,G14,_xlpm.q,K14,_xlpm.src,'Converting-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14" s="923">
        <f>IFERROR(IF(OR(B14="Zipper pouch",B14="SUP with zipper"),HELPER!$DE$2*(AH14+AI14)/K14,HELPER!$DE$2*AH14/K14),"Data is missing")</f>
        <v>7.9599449799433314E-3</v>
      </c>
      <c r="AH14" s="923">
        <f t="shared" si="12"/>
        <v>0.663328748328611</v>
      </c>
      <c r="AI14" s="923" t="str">
        <f>IF(OR(B14="Zipper pouch",B14="SUP with zipper"),HELPER!$DC$2*G14/1000,"")</f>
        <v/>
      </c>
      <c r="AJ14" s="923" cm="1">
        <f t="array" ref="AJ14">IF(INDEX('Laminates- copilot'!$E$6:$E$257,ROUNDUP((ROW()-5)/3,0))+50&gt;IF(O14="Quantum",760,1220),"Width exceeds supplier maximum",IFERROR(AF14+AG14+N(AI14)+AH14*G14/1000/MAX(1,MIN(MAX(2,INT(900/INDEX('Laminates- copilot'!$E$6:$E$257,ROUNDUP((ROW()-5)/3,0)))),INT((IF(O14="Quantum",760,1220)-50)/INDEX('Laminates- copilot'!$E$6:$E$257,ROUNDUP((ROW()-5)/3,0))))),"Data is missing"))</f>
        <v>0.16633198541518843</v>
      </c>
      <c r="AK14" s="203">
        <f t="shared" si="13"/>
        <v>221.77598055358459</v>
      </c>
      <c r="AL14" t="str">
        <f t="shared" si="14"/>
        <v>PASS</v>
      </c>
      <c r="AM14" s="50" t="str">
        <f t="shared" si="15"/>
        <v/>
      </c>
    </row>
    <row r="15" spans="1:39">
      <c r="A15" t="s">
        <v>1643</v>
      </c>
      <c r="B15" t="s">
        <v>251</v>
      </c>
      <c r="C15" s="50" t="s">
        <v>2206</v>
      </c>
      <c r="D15">
        <f>'Laminates- copilot'!B9</f>
        <v>120</v>
      </c>
      <c r="E15" s="858">
        <f>'Laminates- copilot'!D9</f>
        <v>98</v>
      </c>
      <c r="F15" s="858">
        <v>300</v>
      </c>
      <c r="G15" s="858">
        <v>300</v>
      </c>
      <c r="H15" s="858">
        <v>50</v>
      </c>
      <c r="I15" s="858">
        <v>0</v>
      </c>
      <c r="J15" s="858">
        <v>700</v>
      </c>
      <c r="K15" s="858">
        <v>50000</v>
      </c>
      <c r="L15" s="858" t="str">
        <f>'Laminates- copilot'!K9</f>
        <v>Printed</v>
      </c>
      <c r="M15" s="858" t="str">
        <f>'Laminates- copilot'!L9</f>
        <v>5-8</v>
      </c>
      <c r="N15" s="858">
        <f>'Laminates- copilot'!M9</f>
        <v>8</v>
      </c>
      <c r="O15" s="858" t="str">
        <f>'Laminates- copilot'!O9</f>
        <v>Marma</v>
      </c>
      <c r="P15" s="858" t="str">
        <f>'Laminates- copilot'!N9</f>
        <v>Europe to US</v>
      </c>
      <c r="Q15" s="858">
        <f t="shared" si="0"/>
        <v>15000</v>
      </c>
      <c r="R15" s="858">
        <f t="shared" si="1"/>
        <v>15000</v>
      </c>
      <c r="S15" s="858">
        <f>IFERROR('Laminates- copilot'!Q9/'Laminates- copilot'!P9*Q15,"")</f>
        <v>1284.3899999999999</v>
      </c>
      <c r="T15" s="203">
        <f>IFERROR('Laminates- copilot'!R9/'Laminates- copilot'!P9*Q15,"")</f>
        <v>17871.43194442504</v>
      </c>
      <c r="U15" s="912">
        <f>IFERROR('Laminates- copilot'!S9/'Laminates- copilot'!P9*Q15,"")</f>
        <v>20730.861055533045</v>
      </c>
      <c r="V15" s="913">
        <f t="shared" si="2"/>
        <v>13.914334387861196</v>
      </c>
      <c r="W15" s="914">
        <f t="shared" si="3"/>
        <v>16.140627889918985</v>
      </c>
      <c r="X15" s="913">
        <f t="shared" si="4"/>
        <v>1.1914287962950025</v>
      </c>
      <c r="Y15" s="913">
        <f t="shared" si="5"/>
        <v>13.914334387861196</v>
      </c>
      <c r="Z15" s="95">
        <f t="shared" si="6"/>
        <v>19465</v>
      </c>
      <c r="AA15" s="50" t="str">
        <f t="shared" si="7"/>
        <v>MOQ OK</v>
      </c>
      <c r="AB15" s="923">
        <f t="shared" si="8"/>
        <v>0.63058044933683355</v>
      </c>
      <c r="AC15" s="924">
        <f t="shared" si="9"/>
        <v>0.73147332123072684</v>
      </c>
      <c r="AD15" s="203">
        <f t="shared" si="10"/>
        <v>31529.022466841678</v>
      </c>
      <c r="AE15" s="912">
        <f t="shared" si="11"/>
        <v>36573.666061536343</v>
      </c>
      <c r="AF15" s="923" cm="1">
        <f t="array" ref="AF15">IF(O15="Quantum",IFERROR(_xlfn.LET(_xlpm.b,_xlfn.SWITCH(LOWER(B15),"zipper bag","Zipper pouch","open bag","Open pouch","sup with zipper","Stand-up pouch","stand-up pouch","Stand-up pouch",B15),_xlpm.w,G15,_xlpm.q,K15,_xlpm.types,'Converting-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missing"),IFERROR(_xlfn.LET(_xlpm.s,O15,_xlpm.b,_xlfn.SWITCH(LOWER(B15),"zipper bag","Zipper pouch","open bag","Open pouch",B15),_xlpm.w,G15,_xlpm.q,K15,_xlpm.src,'Converting-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5" s="923">
        <f>IFERROR(IF(OR(B15="Zipper pouch",B15="SUP with zipper"),HELPER!$DE$2*(AH15+AI15)/K15,HELPER!$DE$2*AH15/K15),"Data is missing")</f>
        <v>1.481554555554003E-2</v>
      </c>
      <c r="AH15" s="923">
        <f t="shared" si="12"/>
        <v>1.1914287962950025</v>
      </c>
      <c r="AI15" s="923">
        <f>IF(OR(B15="Zipper pouch",B15="SUP with zipper"),HELPER!$DC$2*G15/1000,"")</f>
        <v>4.3199999999999995E-2</v>
      </c>
      <c r="AJ15" s="923" cm="1">
        <f t="array" ref="AJ15">IF(INDEX('Laminates- copilot'!$E$6:$E$257,ROUNDUP((ROW()-5)/3,0))+50&gt;IF(O15="Quantum",760,1220),"Width exceeds supplier maximum",IFERROR(AF15+AG15+N(AI15)+AH15*G15/1000/MAX(1,MIN(MAX(2,INT(900/INDEX('Laminates- copilot'!$E$6:$E$257,ROUNDUP((ROW()-5)/3,0)))),INT((IF(O15="Quantum",760,1220)-50)/INDEX('Laminates- copilot'!$E$6:$E$257,ROUNDUP((ROW()-5)/3,0))))),"Data is missing"))</f>
        <v>0.47293533700262513</v>
      </c>
      <c r="AK15" s="203">
        <f t="shared" si="13"/>
        <v>630.58044933683357</v>
      </c>
      <c r="AL15" t="str">
        <f t="shared" si="14"/>
        <v>PASS</v>
      </c>
      <c r="AM15" s="50" t="str">
        <f t="shared" si="15"/>
        <v/>
      </c>
    </row>
    <row r="16" spans="1:39">
      <c r="A16" t="s">
        <v>1644</v>
      </c>
      <c r="B16" t="s">
        <v>261</v>
      </c>
      <c r="C16" s="50" t="s">
        <v>2206</v>
      </c>
      <c r="D16">
        <f>'Laminates- copilot'!B9</f>
        <v>120</v>
      </c>
      <c r="E16" s="858">
        <f>'Laminates- copilot'!D9</f>
        <v>98</v>
      </c>
      <c r="F16" s="858">
        <v>300</v>
      </c>
      <c r="G16" s="858">
        <v>300</v>
      </c>
      <c r="H16" s="858">
        <v>50</v>
      </c>
      <c r="I16" s="858">
        <v>0</v>
      </c>
      <c r="J16" s="858">
        <v>700</v>
      </c>
      <c r="K16" s="858">
        <v>50000</v>
      </c>
      <c r="L16" s="858" t="str">
        <f>'Laminates- copilot'!K9</f>
        <v>Printed</v>
      </c>
      <c r="M16" s="858" t="str">
        <f>'Laminates- copilot'!L9</f>
        <v>5-8</v>
      </c>
      <c r="N16" s="858">
        <f>'Laminates- copilot'!M9</f>
        <v>8</v>
      </c>
      <c r="O16" s="858" t="str">
        <f>'Laminates- copilot'!O9</f>
        <v>Marma</v>
      </c>
      <c r="P16" s="858" t="str">
        <f>'Laminates- copilot'!N9</f>
        <v>Europe to US</v>
      </c>
      <c r="Q16" s="858">
        <f t="shared" si="0"/>
        <v>15000</v>
      </c>
      <c r="R16" s="858">
        <f t="shared" si="1"/>
        <v>15000</v>
      </c>
      <c r="S16" s="858">
        <f>IFERROR('Laminates- copilot'!Q9/'Laminates- copilot'!P9*Q16,"")</f>
        <v>1284.3899999999999</v>
      </c>
      <c r="T16" s="203">
        <f>IFERROR('Laminates- copilot'!R9/'Laminates- copilot'!P9*Q16,"")</f>
        <v>17871.43194442504</v>
      </c>
      <c r="U16" s="912">
        <f>IFERROR('Laminates- copilot'!S9/'Laminates- copilot'!P9*Q16,"")</f>
        <v>20730.861055533045</v>
      </c>
      <c r="V16" s="913">
        <f t="shared" si="2"/>
        <v>13.914334387861196</v>
      </c>
      <c r="W16" s="914">
        <f t="shared" si="3"/>
        <v>16.140627889918985</v>
      </c>
      <c r="X16" s="913">
        <f t="shared" si="4"/>
        <v>1.1914287962950025</v>
      </c>
      <c r="Y16" s="913">
        <f t="shared" si="5"/>
        <v>13.914334387861196</v>
      </c>
      <c r="Z16" s="95">
        <f t="shared" si="6"/>
        <v>19465</v>
      </c>
      <c r="AA16" s="50" t="str">
        <f t="shared" si="7"/>
        <v>MOQ OK</v>
      </c>
      <c r="AB16" s="923">
        <f t="shared" si="8"/>
        <v>0.62473722512919039</v>
      </c>
      <c r="AC16" s="924">
        <f t="shared" si="9"/>
        <v>0.72469518114986076</v>
      </c>
      <c r="AD16" s="203">
        <f t="shared" si="10"/>
        <v>31236.861256459521</v>
      </c>
      <c r="AE16" s="912">
        <f t="shared" si="11"/>
        <v>36234.759057493044</v>
      </c>
      <c r="AF16" s="923" cm="1">
        <f t="array" ref="AF16">IF(O16="Quantum",IFERROR(_xlfn.LET(_xlpm.b,_xlfn.SWITCH(LOWER(B16),"zipper bag","Zipper pouch","open bag","Open pouch","sup with zipper","Stand-up pouch","stand-up pouch","Stand-up pouch",B16),_xlpm.w,G16,_xlpm.q,K16,_xlpm.types,'Converting-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missing"),IFERROR(_xlfn.LET(_xlpm.s,O16,_xlpm.b,_xlfn.SWITCH(LOWER(B16),"zipper bag","Zipper pouch","open bag","Open pouch",B16),_xlpm.w,G16,_xlpm.q,K16,_xlpm.src,'Converting-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6" s="923">
        <f>IFERROR(IF(OR(B16="Zipper pouch",B16="SUP with zipper"),HELPER!$DE$2*(AH16+AI16)/K16,HELPER!$DE$2*AH16/K16),"Data is missing")</f>
        <v>1.481554555554003E-2</v>
      </c>
      <c r="AH16" s="923">
        <f t="shared" si="12"/>
        <v>1.1914287962950025</v>
      </c>
      <c r="AI16" s="923">
        <f>IF(OR(B16="Zipper pouch",B16="SUP with zipper"),HELPER!$DC$2*G16/1000,"")</f>
        <v>4.3199999999999995E-2</v>
      </c>
      <c r="AJ16" s="923" cm="1">
        <f t="array" ref="AJ16">IF(INDEX('Laminates- copilot'!$E$6:$E$257,ROUNDUP((ROW()-5)/3,0))+50&gt;IF(O16="Quantum",760,1220),"Width exceeds supplier maximum",IFERROR(AF16+AG16+N(AI16)+AH16*G16/1000/MAX(1,MIN(MAX(2,INT(900/INDEX('Laminates- copilot'!$E$6:$E$257,ROUNDUP((ROW()-5)/3,0)))),INT((IF(O16="Quantum",760,1220)-50)/INDEX('Laminates- copilot'!$E$6:$E$257,ROUNDUP((ROW()-5)/3,0))))),"Data is missing"))</f>
        <v>0.46855291884689282</v>
      </c>
      <c r="AK16" s="203">
        <f t="shared" si="13"/>
        <v>624.73722512919039</v>
      </c>
      <c r="AL16" t="str">
        <f t="shared" si="14"/>
        <v>PASS</v>
      </c>
      <c r="AM16" s="50" t="str">
        <f t="shared" si="15"/>
        <v/>
      </c>
    </row>
    <row r="17" spans="1:39">
      <c r="A17" t="s">
        <v>1645</v>
      </c>
      <c r="B17" t="s">
        <v>262</v>
      </c>
      <c r="C17" s="50" t="s">
        <v>2206</v>
      </c>
      <c r="D17">
        <f>'Laminates- copilot'!B9</f>
        <v>120</v>
      </c>
      <c r="E17" s="858">
        <f>'Laminates- copilot'!D9</f>
        <v>98</v>
      </c>
      <c r="F17" s="858">
        <v>300</v>
      </c>
      <c r="G17" s="858">
        <v>300</v>
      </c>
      <c r="H17" s="858">
        <v>0</v>
      </c>
      <c r="I17" s="858">
        <v>10</v>
      </c>
      <c r="J17" s="858">
        <v>610</v>
      </c>
      <c r="K17" s="858">
        <v>50000</v>
      </c>
      <c r="L17" s="858" t="str">
        <f>'Laminates- copilot'!K9</f>
        <v>Printed</v>
      </c>
      <c r="M17" s="858" t="str">
        <f>'Laminates- copilot'!L9</f>
        <v>5-8</v>
      </c>
      <c r="N17" s="858">
        <f>'Laminates- copilot'!M9</f>
        <v>8</v>
      </c>
      <c r="O17" s="858" t="str">
        <f>'Laminates- copilot'!O9</f>
        <v>Marma</v>
      </c>
      <c r="P17" s="858" t="str">
        <f>'Laminates- copilot'!N9</f>
        <v>Europe to US</v>
      </c>
      <c r="Q17" s="858">
        <f t="shared" si="0"/>
        <v>15000</v>
      </c>
      <c r="R17" s="858">
        <f t="shared" si="1"/>
        <v>15000</v>
      </c>
      <c r="S17" s="858">
        <f>IFERROR('Laminates- copilot'!Q9/'Laminates- copilot'!P9*Q17,"")</f>
        <v>1284.3899999999999</v>
      </c>
      <c r="T17" s="203">
        <f>IFERROR('Laminates- copilot'!R9/'Laminates- copilot'!P9*Q17,"")</f>
        <v>17871.43194442504</v>
      </c>
      <c r="U17" s="912">
        <f>IFERROR('Laminates- copilot'!S9/'Laminates- copilot'!P9*Q17,"")</f>
        <v>20730.861055533045</v>
      </c>
      <c r="V17" s="913">
        <f t="shared" si="2"/>
        <v>13.914334387861196</v>
      </c>
      <c r="W17" s="914">
        <f t="shared" si="3"/>
        <v>16.140627889918985</v>
      </c>
      <c r="X17" s="913">
        <f t="shared" si="4"/>
        <v>1.1914287962950025</v>
      </c>
      <c r="Y17" s="913">
        <f t="shared" si="5"/>
        <v>13.914334387861196</v>
      </c>
      <c r="Z17" s="95">
        <f t="shared" si="6"/>
        <v>19465</v>
      </c>
      <c r="AA17" s="50" t="str">
        <f t="shared" si="7"/>
        <v>MOQ OK</v>
      </c>
      <c r="AB17" s="923">
        <f t="shared" si="8"/>
        <v>0.55955801813162298</v>
      </c>
      <c r="AC17" s="924">
        <f t="shared" si="9"/>
        <v>0.64908730103268264</v>
      </c>
      <c r="AD17" s="203">
        <f t="shared" si="10"/>
        <v>27977.900906581148</v>
      </c>
      <c r="AE17" s="912">
        <f t="shared" si="11"/>
        <v>32454.365051634129</v>
      </c>
      <c r="AF17" s="923" cm="1">
        <f t="array" ref="AF17">IF(O17="Quantum",IFERROR(_xlfn.LET(_xlpm.b,_xlfn.SWITCH(LOWER(B17),"zipper bag","Zipper pouch","open bag","Open pouch","sup with zipper","Stand-up pouch","stand-up pouch","Stand-up pouch",B17),_xlpm.w,G17,_xlpm.q,K17,_xlpm.types,'Converting-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missing"),IFERROR(_xlfn.LET(_xlpm.s,O17,_xlpm.b,_xlfn.SWITCH(LOWER(B17),"zipper bag","Zipper pouch","open bag","Open pouch",B17),_xlpm.w,G17,_xlpm.q,K17,_xlpm.src,'Converting-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7" s="923">
        <f>IFERROR(IF(OR(B17="Zipper pouch",B17="SUP with zipper"),HELPER!$DE$2*(AH17+AI17)/K17,HELPER!$DE$2*AH17/K17),"Data is missing")</f>
        <v>1.429714555554003E-2</v>
      </c>
      <c r="AH17" s="923">
        <f t="shared" si="12"/>
        <v>1.1914287962950025</v>
      </c>
      <c r="AI17" s="923" t="str">
        <f>IF(OR(B17="Zipper pouch",B17="SUP with zipper"),HELPER!$DC$2*G17/1000,"")</f>
        <v/>
      </c>
      <c r="AJ17" s="923" cm="1">
        <f t="array" ref="AJ17">IF(INDEX('Laminates- copilot'!$E$6:$E$257,ROUNDUP((ROW()-5)/3,0))+50&gt;IF(O17="Quantum",760,1220),"Width exceeds supplier maximum",IFERROR(AF17+AG17+N(AI17)+AH17*G17/1000/MAX(1,MIN(MAX(2,INT(900/INDEX('Laminates- copilot'!$E$6:$E$257,ROUNDUP((ROW()-5)/3,0)))),INT((IF(O17="Quantum",760,1220)-50)/INDEX('Laminates- copilot'!$E$6:$E$257,ROUNDUP((ROW()-5)/3,0))))),"Data is missing"))</f>
        <v>0.41966851359871726</v>
      </c>
      <c r="AK17" s="203">
        <f t="shared" si="13"/>
        <v>559.55801813162293</v>
      </c>
      <c r="AL17" t="str">
        <f t="shared" si="14"/>
        <v>PASS</v>
      </c>
      <c r="AM17" s="50" t="str">
        <f t="shared" si="15"/>
        <v/>
      </c>
    </row>
    <row r="18" spans="1:39" hidden="1">
      <c r="A18" t="s">
        <v>1646</v>
      </c>
      <c r="B18" t="s">
        <v>251</v>
      </c>
      <c r="C18" s="50" t="s">
        <v>2207</v>
      </c>
      <c r="D18">
        <f>'Laminates- copilot'!B10</f>
        <v>120</v>
      </c>
      <c r="E18" s="858">
        <f>'Laminates- copilot'!D10</f>
        <v>98</v>
      </c>
      <c r="F18" s="858">
        <v>350</v>
      </c>
      <c r="G18" s="858">
        <v>400</v>
      </c>
      <c r="H18" s="858">
        <v>60</v>
      </c>
      <c r="I18" s="858">
        <v>0</v>
      </c>
      <c r="J18" s="858">
        <v>820</v>
      </c>
      <c r="K18" s="858">
        <v>100000</v>
      </c>
      <c r="L18" s="858" t="str">
        <f>'Laminates- copilot'!K10</f>
        <v>Not Printed</v>
      </c>
      <c r="M18" s="858" t="str">
        <f>'Laminates- copilot'!L10</f>
        <v>0</v>
      </c>
      <c r="N18" s="858">
        <f>'Laminates- copilot'!M10</f>
        <v>1</v>
      </c>
      <c r="O18" s="858" t="str">
        <f>'Laminates- copilot'!O10</f>
        <v>Bastin</v>
      </c>
      <c r="P18" s="858" t="str">
        <f>'Laminates- copilot'!N10</f>
        <v>Europe to Europe</v>
      </c>
      <c r="Q18" s="858">
        <f t="shared" si="0"/>
        <v>40000</v>
      </c>
      <c r="R18" s="858">
        <f t="shared" si="1"/>
        <v>40000</v>
      </c>
      <c r="S18" s="858">
        <f>IFERROR('Laminates- copilot'!Q10/'Laminates- copilot'!P10*Q18,"")</f>
        <v>1331.96</v>
      </c>
      <c r="T18" s="203">
        <f>IFERROR('Laminates- copilot'!R10/'Laminates- copilot'!P10*Q18,"")</f>
        <v>14433.416733749997</v>
      </c>
      <c r="U18" s="912">
        <f>IFERROR('Laminates- copilot'!S10/'Laminates- copilot'!P10*Q18,"")</f>
        <v>16742.763411149997</v>
      </c>
      <c r="V18" s="913">
        <f t="shared" si="2"/>
        <v>10.836223860889213</v>
      </c>
      <c r="W18" s="914">
        <f t="shared" si="3"/>
        <v>12.570019678631487</v>
      </c>
      <c r="X18" s="913">
        <f t="shared" si="4"/>
        <v>0.36083541834374994</v>
      </c>
      <c r="Y18" s="913">
        <f t="shared" si="5"/>
        <v>10.836223860889213</v>
      </c>
      <c r="Z18" s="95">
        <f t="shared" si="6"/>
        <v>37539</v>
      </c>
      <c r="AA18" s="50" t="str">
        <f t="shared" si="7"/>
        <v>MOQ OK</v>
      </c>
      <c r="AB18" s="923">
        <f t="shared" si="8"/>
        <v>0.30700223989153314</v>
      </c>
      <c r="AC18" s="924">
        <f t="shared" si="9"/>
        <v>0.35612259827417841</v>
      </c>
      <c r="AD18" s="203">
        <f t="shared" si="10"/>
        <v>30700.223989153314</v>
      </c>
      <c r="AE18" s="912">
        <f t="shared" si="11"/>
        <v>35612.259827417838</v>
      </c>
      <c r="AF18" s="923" cm="1">
        <f t="array" ref="AF18">IF(O18="Quantum",IFERROR(_xlfn.LET(_xlpm.b,_xlfn.SWITCH(LOWER(B18),"zipper bag","Zipper pouch","open bag","Open pouch","sup with zipper","Stand-up pouch","stand-up pouch","Stand-up pouch",B18),_xlpm.w,G18,_xlpm.q,K18,_xlpm.types,'Converting-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missing"),IFERROR(_xlfn.LET(_xlpm.s,O18,_xlpm.b,_xlfn.SWITCH(LOWER(B18),"zipper bag","Zipper pouch","open bag","Open pouch",B18),_xlpm.w,G18,_xlpm.q,K18,_xlpm.src,'Converting-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8" s="923">
        <f>IFERROR(IF(OR(B18="Zipper pouch",B18="SUP with zipper"),HELPER!$DE$2*(AH18+AI18)/K18,HELPER!$DE$2*AH18/K18),"Data is missing")</f>
        <v>2.5106125100624998E-3</v>
      </c>
      <c r="AH18" s="923">
        <f t="shared" si="12"/>
        <v>0.36083541834374994</v>
      </c>
      <c r="AI18" s="923">
        <f>IF(OR(B18="Zipper pouch",B18="SUP with zipper"),HELPER!$DC$2*G18/1000,"")</f>
        <v>5.7599999999999991E-2</v>
      </c>
      <c r="AJ18" s="923" cm="1">
        <f t="array" ref="AJ18">IF(INDEX('Laminates- copilot'!$E$6:$E$257,ROUNDUP((ROW()-5)/3,0))+50&gt;IF(O18="Quantum",760,1220),"Width exceeds supplier maximum",IFERROR(AF18+AG18+N(AI18)+AH18*G18/1000/MAX(1,MIN(MAX(2,INT(900/INDEX('Laminates- copilot'!$E$6:$E$257,ROUNDUP((ROW()-5)/3,0)))),INT((IF(O18="Quantum",760,1220)-50)/INDEX('Laminates- copilot'!$E$6:$E$257,ROUNDUP((ROW()-5)/3,0))))),"Data is missing"))</f>
        <v>0.23025167991864987</v>
      </c>
      <c r="AK18" s="203">
        <f t="shared" si="13"/>
        <v>307.00223989153312</v>
      </c>
      <c r="AL18" t="str">
        <f t="shared" si="14"/>
        <v>PASS</v>
      </c>
      <c r="AM18" s="50" t="str">
        <f t="shared" si="15"/>
        <v/>
      </c>
    </row>
    <row r="19" spans="1:39" hidden="1">
      <c r="A19" t="s">
        <v>1647</v>
      </c>
      <c r="B19" t="s">
        <v>261</v>
      </c>
      <c r="C19" s="50" t="s">
        <v>2207</v>
      </c>
      <c r="D19">
        <f>'Laminates- copilot'!B10</f>
        <v>120</v>
      </c>
      <c r="E19" s="858">
        <f>'Laminates- copilot'!D10</f>
        <v>98</v>
      </c>
      <c r="F19" s="858">
        <v>350</v>
      </c>
      <c r="G19" s="858">
        <v>400</v>
      </c>
      <c r="H19" s="858">
        <v>60</v>
      </c>
      <c r="I19" s="858">
        <v>0</v>
      </c>
      <c r="J19" s="858">
        <v>820</v>
      </c>
      <c r="K19" s="858">
        <v>100000</v>
      </c>
      <c r="L19" s="858" t="str">
        <f>'Laminates- copilot'!K10</f>
        <v>Not Printed</v>
      </c>
      <c r="M19" s="858" t="str">
        <f>'Laminates- copilot'!L10</f>
        <v>0</v>
      </c>
      <c r="N19" s="858">
        <f>'Laminates- copilot'!M10</f>
        <v>1</v>
      </c>
      <c r="O19" s="858" t="str">
        <f>'Laminates- copilot'!O10</f>
        <v>Bastin</v>
      </c>
      <c r="P19" s="858" t="str">
        <f>'Laminates- copilot'!N10</f>
        <v>Europe to Europe</v>
      </c>
      <c r="Q19" s="858">
        <f t="shared" si="0"/>
        <v>40000</v>
      </c>
      <c r="R19" s="858">
        <f t="shared" si="1"/>
        <v>40000</v>
      </c>
      <c r="S19" s="858">
        <f>IFERROR('Laminates- copilot'!Q10/'Laminates- copilot'!P10*Q19,"")</f>
        <v>1331.96</v>
      </c>
      <c r="T19" s="203">
        <f>IFERROR('Laminates- copilot'!R10/'Laminates- copilot'!P10*Q19,"")</f>
        <v>14433.416733749997</v>
      </c>
      <c r="U19" s="912">
        <f>IFERROR('Laminates- copilot'!S10/'Laminates- copilot'!P10*Q19,"")</f>
        <v>16742.763411149997</v>
      </c>
      <c r="V19" s="913">
        <f t="shared" si="2"/>
        <v>10.836223860889213</v>
      </c>
      <c r="W19" s="914">
        <f t="shared" si="3"/>
        <v>12.570019678631487</v>
      </c>
      <c r="X19" s="913">
        <f t="shared" si="4"/>
        <v>0.36083541834374994</v>
      </c>
      <c r="Y19" s="913">
        <f t="shared" si="5"/>
        <v>10.836223860889213</v>
      </c>
      <c r="Z19" s="95">
        <f t="shared" si="6"/>
        <v>37539</v>
      </c>
      <c r="AA19" s="50" t="str">
        <f t="shared" si="7"/>
        <v>MOQ OK</v>
      </c>
      <c r="AB19" s="923">
        <f t="shared" si="8"/>
        <v>0.29706875873853983</v>
      </c>
      <c r="AC19" s="924">
        <f t="shared" si="9"/>
        <v>0.34459976013670618</v>
      </c>
      <c r="AD19" s="203">
        <f t="shared" si="10"/>
        <v>29706.875873853984</v>
      </c>
      <c r="AE19" s="912">
        <f t="shared" si="11"/>
        <v>34459.976013670617</v>
      </c>
      <c r="AF19" s="923" cm="1">
        <f t="array" ref="AF19">IF(O19="Quantum",IFERROR(_xlfn.LET(_xlpm.b,_xlfn.SWITCH(LOWER(B19),"zipper bag","Zipper pouch","open bag","Open pouch","sup with zipper","Stand-up pouch","stand-up pouch","Stand-up pouch",B19),_xlpm.w,G19,_xlpm.q,K19,_xlpm.types,'Converting-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missing"),IFERROR(_xlfn.LET(_xlpm.s,O19,_xlpm.b,_xlfn.SWITCH(LOWER(B19),"zipper bag","Zipper pouch","open bag","Open pouch",B19),_xlpm.w,G19,_xlpm.q,K19,_xlpm.src,'Converting-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9" s="923">
        <f>IFERROR(IF(OR(B19="Zipper pouch",B19="SUP with zipper"),HELPER!$DE$2*(AH19+AI19)/K19,HELPER!$DE$2*AH19/K19),"Data is missing")</f>
        <v>2.5106125100624998E-3</v>
      </c>
      <c r="AH19" s="923">
        <f t="shared" si="12"/>
        <v>0.36083541834374994</v>
      </c>
      <c r="AI19" s="923">
        <f>IF(OR(B19="Zipper pouch",B19="SUP with zipper"),HELPER!$DC$2*G19/1000,"")</f>
        <v>5.7599999999999991E-2</v>
      </c>
      <c r="AJ19" s="923" cm="1">
        <f t="array" ref="AJ19">IF(INDEX('Laminates- copilot'!$E$6:$E$257,ROUNDUP((ROW()-5)/3,0))+50&gt;IF(O19="Quantum",760,1220),"Width exceeds supplier maximum",IFERROR(AF19+AG19+N(AI19)+AH19*G19/1000/MAX(1,MIN(MAX(2,INT(900/INDEX('Laminates- copilot'!$E$6:$E$257,ROUNDUP((ROW()-5)/3,0)))),INT((IF(O19="Quantum",760,1220)-50)/INDEX('Laminates- copilot'!$E$6:$E$257,ROUNDUP((ROW()-5)/3,0))))),"Data is missing"))</f>
        <v>0.22280156905390486</v>
      </c>
      <c r="AK19" s="203">
        <f t="shared" si="13"/>
        <v>297.06875873853983</v>
      </c>
      <c r="AL19" t="str">
        <f t="shared" si="14"/>
        <v>PASS</v>
      </c>
      <c r="AM19" s="50" t="str">
        <f t="shared" si="15"/>
        <v/>
      </c>
    </row>
    <row r="20" spans="1:39" hidden="1">
      <c r="A20" t="s">
        <v>1648</v>
      </c>
      <c r="B20" t="s">
        <v>262</v>
      </c>
      <c r="C20" s="50" t="s">
        <v>2207</v>
      </c>
      <c r="D20">
        <f>'Laminates- copilot'!B10</f>
        <v>120</v>
      </c>
      <c r="E20" s="858">
        <f>'Laminates- copilot'!D10</f>
        <v>98</v>
      </c>
      <c r="F20" s="858">
        <v>350</v>
      </c>
      <c r="G20" s="858">
        <v>400</v>
      </c>
      <c r="H20" s="858">
        <v>0</v>
      </c>
      <c r="I20" s="858">
        <v>0</v>
      </c>
      <c r="J20" s="858">
        <v>700</v>
      </c>
      <c r="K20" s="858">
        <v>100000</v>
      </c>
      <c r="L20" s="858" t="str">
        <f>'Laminates- copilot'!K10</f>
        <v>Not Printed</v>
      </c>
      <c r="M20" s="858" t="str">
        <f>'Laminates- copilot'!L10</f>
        <v>0</v>
      </c>
      <c r="N20" s="858">
        <f>'Laminates- copilot'!M10</f>
        <v>1</v>
      </c>
      <c r="O20" s="858" t="str">
        <f>'Laminates- copilot'!O10</f>
        <v>Bastin</v>
      </c>
      <c r="P20" s="858" t="str">
        <f>'Laminates- copilot'!N10</f>
        <v>Europe to Europe</v>
      </c>
      <c r="Q20" s="858">
        <f t="shared" si="0"/>
        <v>40000</v>
      </c>
      <c r="R20" s="858">
        <f t="shared" si="1"/>
        <v>40000</v>
      </c>
      <c r="S20" s="858">
        <f>IFERROR('Laminates- copilot'!Q10/'Laminates- copilot'!P10*Q20,"")</f>
        <v>1331.96</v>
      </c>
      <c r="T20" s="203">
        <f>IFERROR('Laminates- copilot'!R10/'Laminates- copilot'!P10*Q20,"")</f>
        <v>14433.416733749997</v>
      </c>
      <c r="U20" s="912">
        <f>IFERROR('Laminates- copilot'!S10/'Laminates- copilot'!P10*Q20,"")</f>
        <v>16742.763411149997</v>
      </c>
      <c r="V20" s="913">
        <f t="shared" si="2"/>
        <v>10.836223860889213</v>
      </c>
      <c r="W20" s="914">
        <f t="shared" si="3"/>
        <v>12.570019678631487</v>
      </c>
      <c r="X20" s="913">
        <f t="shared" si="4"/>
        <v>0.36083541834374994</v>
      </c>
      <c r="Y20" s="913">
        <f t="shared" si="5"/>
        <v>10.836223860889213</v>
      </c>
      <c r="Z20" s="95">
        <f t="shared" si="6"/>
        <v>37539</v>
      </c>
      <c r="AA20" s="50" t="str">
        <f t="shared" si="7"/>
        <v>MOQ OK</v>
      </c>
      <c r="AB20" s="923">
        <f t="shared" si="8"/>
        <v>0.20667996035111794</v>
      </c>
      <c r="AC20" s="924">
        <f t="shared" si="9"/>
        <v>0.23974875400729678</v>
      </c>
      <c r="AD20" s="203">
        <f t="shared" si="10"/>
        <v>20667.996035111795</v>
      </c>
      <c r="AE20" s="912">
        <f t="shared" si="11"/>
        <v>23974.875400729681</v>
      </c>
      <c r="AF20" s="923" cm="1">
        <f t="array" ref="AF20">IF(O20="Quantum",IFERROR(_xlfn.LET(_xlpm.b,_xlfn.SWITCH(LOWER(B20),"zipper bag","Zipper pouch","open bag","Open pouch","sup with zipper","Stand-up pouch","stand-up pouch","Stand-up pouch",B20),_xlpm.w,G20,_xlpm.q,K20,_xlpm.types,'Converting-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missing"),IFERROR(_xlfn.LET(_xlpm.s,O20,_xlpm.b,_xlfn.SWITCH(LOWER(B20),"zipper bag","Zipper pouch","open bag","Open pouch",B20),_xlpm.w,G20,_xlpm.q,K20,_xlpm.src,'Converting-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0" s="923">
        <f>IFERROR(IF(OR(B20="Zipper pouch",B20="SUP with zipper"),HELPER!$DE$2*(AH20+AI20)/K20,HELPER!$DE$2*AH20/K20),"Data is missing")</f>
        <v>2.1650125100624996E-3</v>
      </c>
      <c r="AH20" s="923">
        <f t="shared" si="12"/>
        <v>0.36083541834374994</v>
      </c>
      <c r="AI20" s="923" t="str">
        <f>IF(OR(B20="Zipper pouch",B20="SUP with zipper"),HELPER!$DC$2*G20/1000,"")</f>
        <v/>
      </c>
      <c r="AJ20" s="923" cm="1">
        <f t="array" ref="AJ20">IF(INDEX('Laminates- copilot'!$E$6:$E$257,ROUNDUP((ROW()-5)/3,0))+50&gt;IF(O20="Quantum",760,1220),"Width exceeds supplier maximum",IFERROR(AF20+AG20+N(AI20)+AH20*G20/1000/MAX(1,MIN(MAX(2,INT(900/INDEX('Laminates- copilot'!$E$6:$E$257,ROUNDUP((ROW()-5)/3,0)))),INT((IF(O20="Quantum",760,1220)-50)/INDEX('Laminates- copilot'!$E$6:$E$257,ROUNDUP((ROW()-5)/3,0))))),"Data is missing"))</f>
        <v>0.15500997026333846</v>
      </c>
      <c r="AK20" s="203">
        <f t="shared" si="13"/>
        <v>206.67996035111793</v>
      </c>
      <c r="AL20" t="str">
        <f t="shared" si="14"/>
        <v>PASS</v>
      </c>
      <c r="AM20" s="50" t="str">
        <f t="shared" si="15"/>
        <v/>
      </c>
    </row>
    <row r="21" spans="1:39" hidden="1">
      <c r="A21" t="s">
        <v>1649</v>
      </c>
      <c r="B21" t="s">
        <v>251</v>
      </c>
      <c r="C21" s="50" t="s">
        <v>2208</v>
      </c>
      <c r="D21">
        <f>'Laminates- copilot'!B11</f>
        <v>120</v>
      </c>
      <c r="E21" s="858">
        <f>'Laminates- copilot'!D11</f>
        <v>98</v>
      </c>
      <c r="F21" s="858">
        <v>400</v>
      </c>
      <c r="G21" s="858">
        <v>500</v>
      </c>
      <c r="H21" s="858">
        <v>80</v>
      </c>
      <c r="I21" s="858">
        <v>0</v>
      </c>
      <c r="J21" s="858">
        <v>960</v>
      </c>
      <c r="K21" s="858">
        <v>100000</v>
      </c>
      <c r="L21" s="858" t="str">
        <f>'Laminates- copilot'!K11</f>
        <v>Printed</v>
      </c>
      <c r="M21" s="858" t="str">
        <f>'Laminates- copilot'!L11</f>
        <v>3-4</v>
      </c>
      <c r="N21" s="858">
        <f>'Laminates- copilot'!M11</f>
        <v>4</v>
      </c>
      <c r="O21" s="858" t="str">
        <f>'Laminates- copilot'!O11</f>
        <v>Quantum</v>
      </c>
      <c r="P21" s="858" t="str">
        <f>'Laminates- copilot'!N11</f>
        <v>Europe to US</v>
      </c>
      <c r="Q21" s="858">
        <f t="shared" si="0"/>
        <v>50000</v>
      </c>
      <c r="R21" s="858">
        <f t="shared" si="1"/>
        <v>50000</v>
      </c>
      <c r="S21" s="858">
        <f>IFERROR('Laminates- copilot'!Q11/'Laminates- copilot'!P11*Q21,"")</f>
        <v>2854.2</v>
      </c>
      <c r="T21" s="203">
        <f>IFERROR('Laminates- copilot'!R11/'Laminates- copilot'!P11*Q21,"")</f>
        <v>78694.810678543116</v>
      </c>
      <c r="U21" s="912">
        <f>IFERROR('Laminates- copilot'!S11/'Laminates- copilot'!P11*Q21,"")</f>
        <v>91285.980387110016</v>
      </c>
      <c r="V21" s="913">
        <f t="shared" si="2"/>
        <v>27.571582467431547</v>
      </c>
      <c r="W21" s="914">
        <f t="shared" si="3"/>
        <v>31.983035662220594</v>
      </c>
      <c r="X21" s="913">
        <f t="shared" si="4"/>
        <v>1.5738962135708623</v>
      </c>
      <c r="Y21" s="913">
        <f t="shared" si="5"/>
        <v>27.571582467431547</v>
      </c>
      <c r="Z21" s="95">
        <f t="shared" si="6"/>
        <v>17519</v>
      </c>
      <c r="AA21" s="50" t="str">
        <f t="shared" si="7"/>
        <v>MOQ OK</v>
      </c>
      <c r="AB21" s="923">
        <f t="shared" si="8"/>
        <v>1.5200887549726383</v>
      </c>
      <c r="AC21" s="924">
        <f t="shared" si="9"/>
        <v>1.7633029557682602</v>
      </c>
      <c r="AD21" s="203">
        <f t="shared" si="10"/>
        <v>152008.87549726383</v>
      </c>
      <c r="AE21" s="912">
        <f t="shared" si="11"/>
        <v>176330.29557682603</v>
      </c>
      <c r="AF21" s="923" cm="1">
        <f t="array" ref="AF21">IF(O21="Quantum",IFERROR(_xlfn.LET(_xlpm.b,_xlfn.SWITCH(LOWER(B21),"zipper bag","Zipper pouch","open bag","Open pouch","sup with zipper","Stand-up pouch","stand-up pouch","Stand-up pouch",B21),_xlpm.w,G21,_xlpm.q,K21,_xlpm.types,'Converting-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missing"),IFERROR(_xlfn.LET(_xlpm.s,O21,_xlpm.b,_xlfn.SWITCH(LOWER(B21),"zipper bag","Zipper pouch","open bag","Open pouch",B21),_xlpm.w,G21,_xlpm.q,K21,_xlpm.src,'Converting-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21" s="923">
        <f>IFERROR(IF(OR(B21="Zipper pouch",B21="SUP with zipper"),HELPER!$DE$2*(AH21+AI21)/K21,HELPER!$DE$2*AH21/K21),"Data is missing")</f>
        <v>9.8753772814251743E-3</v>
      </c>
      <c r="AH21" s="923">
        <f t="shared" si="12"/>
        <v>1.5738962135708623</v>
      </c>
      <c r="AI21" s="923">
        <f>IF(OR(B21="Zipper pouch",B21="SUP with zipper"),HELPER!$DC$2*G21/1000,"")</f>
        <v>7.1999999999999995E-2</v>
      </c>
      <c r="AJ21" s="923" cm="1">
        <f t="array" ref="AJ21">IF(INDEX('Laminates- copilot'!$E$6:$E$257,ROUNDUP((ROW()-5)/3,0))+50&gt;IF(O21="Quantum",760,1220),"Width exceeds supplier maximum",IFERROR(AF21+AG21+N(AI21)+AH21*G21/1000/MAX(1,MIN(MAX(2,INT(900/INDEX('Laminates- copilot'!$E$6:$E$257,ROUNDUP((ROW()-5)/3,0)))),INT((IF(O21="Quantum",760,1220)-50)/INDEX('Laminates- copilot'!$E$6:$E$257,ROUNDUP((ROW()-5)/3,0))))),"Data is missing"))</f>
        <v>1.1400665662294787</v>
      </c>
      <c r="AK21" s="203">
        <f t="shared" si="13"/>
        <v>1520.0887549726383</v>
      </c>
      <c r="AL21" t="str">
        <f t="shared" si="14"/>
        <v>PASS</v>
      </c>
      <c r="AM21" s="50" t="str">
        <f t="shared" si="15"/>
        <v/>
      </c>
    </row>
    <row r="22" spans="1:39" hidden="1">
      <c r="A22" t="s">
        <v>1650</v>
      </c>
      <c r="B22" t="s">
        <v>261</v>
      </c>
      <c r="C22" s="50" t="s">
        <v>2208</v>
      </c>
      <c r="D22">
        <f>'Laminates- copilot'!B11</f>
        <v>120</v>
      </c>
      <c r="E22" s="858">
        <f>'Laminates- copilot'!D11</f>
        <v>98</v>
      </c>
      <c r="F22" s="858">
        <v>400</v>
      </c>
      <c r="G22" s="858">
        <v>500</v>
      </c>
      <c r="H22" s="858">
        <v>80</v>
      </c>
      <c r="I22" s="858">
        <v>0</v>
      </c>
      <c r="J22" s="858">
        <v>960</v>
      </c>
      <c r="K22" s="858">
        <v>100000</v>
      </c>
      <c r="L22" s="858" t="str">
        <f>'Laminates- copilot'!K11</f>
        <v>Printed</v>
      </c>
      <c r="M22" s="858" t="str">
        <f>'Laminates- copilot'!L11</f>
        <v>3-4</v>
      </c>
      <c r="N22" s="858">
        <f>'Laminates- copilot'!M11</f>
        <v>4</v>
      </c>
      <c r="O22" s="858" t="str">
        <f>'Laminates- copilot'!O11</f>
        <v>Quantum</v>
      </c>
      <c r="P22" s="858" t="str">
        <f>'Laminates- copilot'!N11</f>
        <v>Europe to US</v>
      </c>
      <c r="Q22" s="858">
        <f t="shared" si="0"/>
        <v>50000</v>
      </c>
      <c r="R22" s="858">
        <f t="shared" si="1"/>
        <v>50000</v>
      </c>
      <c r="S22" s="858">
        <f>IFERROR('Laminates- copilot'!Q11/'Laminates- copilot'!P11*Q22,"")</f>
        <v>2854.2</v>
      </c>
      <c r="T22" s="203">
        <f>IFERROR('Laminates- copilot'!R11/'Laminates- copilot'!P11*Q22,"")</f>
        <v>78694.810678543116</v>
      </c>
      <c r="U22" s="912">
        <f>IFERROR('Laminates- copilot'!S11/'Laminates- copilot'!P11*Q22,"")</f>
        <v>91285.980387110016</v>
      </c>
      <c r="V22" s="913">
        <f t="shared" si="2"/>
        <v>27.571582467431547</v>
      </c>
      <c r="W22" s="914">
        <f t="shared" si="3"/>
        <v>31.983035662220594</v>
      </c>
      <c r="X22" s="913">
        <f t="shared" si="4"/>
        <v>1.5738962135708623</v>
      </c>
      <c r="Y22" s="913">
        <f t="shared" si="5"/>
        <v>27.571582467431547</v>
      </c>
      <c r="Z22" s="95">
        <f t="shared" si="6"/>
        <v>17519</v>
      </c>
      <c r="AA22" s="50" t="str">
        <f t="shared" si="7"/>
        <v>MOQ OK</v>
      </c>
      <c r="AB22" s="923">
        <f t="shared" si="8"/>
        <v>1.480670878177154</v>
      </c>
      <c r="AC22" s="924">
        <f t="shared" si="9"/>
        <v>1.7175782186854986</v>
      </c>
      <c r="AD22" s="203">
        <f t="shared" si="10"/>
        <v>148067.08781771539</v>
      </c>
      <c r="AE22" s="912">
        <f t="shared" si="11"/>
        <v>171757.82186854986</v>
      </c>
      <c r="AF22" s="923" cm="1">
        <f t="array" ref="AF22">IF(O22="Quantum",IFERROR(_xlfn.LET(_xlpm.b,_xlfn.SWITCH(LOWER(B22),"zipper bag","Zipper pouch","open bag","Open pouch","sup with zipper","Stand-up pouch","stand-up pouch","Stand-up pouch",B22),_xlpm.w,G22,_xlpm.q,K22,_xlpm.types,'Converting-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missing"),IFERROR(_xlfn.LET(_xlpm.s,O22,_xlpm.b,_xlfn.SWITCH(LOWER(B22),"zipper bag","Zipper pouch","open bag","Open pouch",B22),_xlpm.w,G22,_xlpm.q,K22,_xlpm.src,'Converting-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22" s="923">
        <f>IFERROR(IF(OR(B22="Zipper pouch",B22="SUP with zipper"),HELPER!$DE$2*(AH22+AI22)/K22,HELPER!$DE$2*AH22/K22),"Data is missing")</f>
        <v>9.8753772814251743E-3</v>
      </c>
      <c r="AH22" s="923">
        <f t="shared" si="12"/>
        <v>1.5738962135708623</v>
      </c>
      <c r="AI22" s="923">
        <f>IF(OR(B22="Zipper pouch",B22="SUP with zipper"),HELPER!$DC$2*G22/1000,"")</f>
        <v>7.1999999999999995E-2</v>
      </c>
      <c r="AJ22" s="923" cm="1">
        <f t="array" ref="AJ22">IF(INDEX('Laminates- copilot'!$E$6:$E$257,ROUNDUP((ROW()-5)/3,0))+50&gt;IF(O22="Quantum",760,1220),"Width exceeds supplier maximum",IFERROR(AF22+AG22+N(AI22)+AH22*G22/1000/MAX(1,MIN(MAX(2,INT(900/INDEX('Laminates- copilot'!$E$6:$E$257,ROUNDUP((ROW()-5)/3,0)))),INT((IF(O22="Quantum",760,1220)-50)/INDEX('Laminates- copilot'!$E$6:$E$257,ROUNDUP((ROW()-5)/3,0))))),"Data is missing"))</f>
        <v>1.1105031586328655</v>
      </c>
      <c r="AK22" s="203">
        <f t="shared" si="13"/>
        <v>1480.670878177154</v>
      </c>
      <c r="AL22" t="str">
        <f t="shared" si="14"/>
        <v>PASS</v>
      </c>
      <c r="AM22" s="50" t="str">
        <f t="shared" si="15"/>
        <v/>
      </c>
    </row>
    <row r="23" spans="1:39" hidden="1">
      <c r="A23" t="s">
        <v>1651</v>
      </c>
      <c r="B23" t="s">
        <v>262</v>
      </c>
      <c r="C23" s="50" t="s">
        <v>2208</v>
      </c>
      <c r="D23">
        <f>'Laminates- copilot'!B11</f>
        <v>120</v>
      </c>
      <c r="E23" s="858">
        <f>'Laminates- copilot'!D11</f>
        <v>98</v>
      </c>
      <c r="F23" s="858">
        <v>400</v>
      </c>
      <c r="G23" s="858">
        <v>500</v>
      </c>
      <c r="H23" s="858">
        <v>0</v>
      </c>
      <c r="I23" s="858">
        <v>20</v>
      </c>
      <c r="J23" s="858">
        <v>820</v>
      </c>
      <c r="K23" s="858">
        <v>100000</v>
      </c>
      <c r="L23" s="858" t="str">
        <f>'Laminates- copilot'!K11</f>
        <v>Printed</v>
      </c>
      <c r="M23" s="858" t="str">
        <f>'Laminates- copilot'!L11</f>
        <v>3-4</v>
      </c>
      <c r="N23" s="858">
        <f>'Laminates- copilot'!M11</f>
        <v>4</v>
      </c>
      <c r="O23" s="858" t="str">
        <f>'Laminates- copilot'!O11</f>
        <v>Quantum</v>
      </c>
      <c r="P23" s="858" t="str">
        <f>'Laminates- copilot'!N11</f>
        <v>Europe to US</v>
      </c>
      <c r="Q23" s="858">
        <f t="shared" si="0"/>
        <v>50000</v>
      </c>
      <c r="R23" s="858">
        <f t="shared" si="1"/>
        <v>50000</v>
      </c>
      <c r="S23" s="858">
        <f>IFERROR('Laminates- copilot'!Q11/'Laminates- copilot'!P11*Q23,"")</f>
        <v>2854.2</v>
      </c>
      <c r="T23" s="203">
        <f>IFERROR('Laminates- copilot'!R11/'Laminates- copilot'!P11*Q23,"")</f>
        <v>78694.810678543116</v>
      </c>
      <c r="U23" s="912">
        <f>IFERROR('Laminates- copilot'!S11/'Laminates- copilot'!P11*Q23,"")</f>
        <v>91285.980387110016</v>
      </c>
      <c r="V23" s="913">
        <f t="shared" si="2"/>
        <v>27.571582467431547</v>
      </c>
      <c r="W23" s="914">
        <f t="shared" si="3"/>
        <v>31.983035662220594</v>
      </c>
      <c r="X23" s="913">
        <f t="shared" si="4"/>
        <v>1.5738962135708623</v>
      </c>
      <c r="Y23" s="913">
        <f t="shared" si="5"/>
        <v>27.571582467431547</v>
      </c>
      <c r="Z23" s="95">
        <f t="shared" si="6"/>
        <v>17519</v>
      </c>
      <c r="AA23" s="50" t="str">
        <f t="shared" si="7"/>
        <v>MOQ OK</v>
      </c>
      <c r="AB23" s="923">
        <f t="shared" si="8"/>
        <v>1.3502617261660539</v>
      </c>
      <c r="AC23" s="924">
        <f t="shared" si="9"/>
        <v>1.5663036023526224</v>
      </c>
      <c r="AD23" s="203">
        <f t="shared" si="10"/>
        <v>135026.17261660538</v>
      </c>
      <c r="AE23" s="912">
        <f t="shared" si="11"/>
        <v>156630.36023526223</v>
      </c>
      <c r="AF23" s="923" cm="1">
        <f t="array" ref="AF23">IF(O23="Quantum",IFERROR(_xlfn.LET(_xlpm.b,_xlfn.SWITCH(LOWER(B23),"zipper bag","Zipper pouch","open bag","Open pouch","sup with zipper","Stand-up pouch","stand-up pouch","Stand-up pouch",B23),_xlpm.w,G23,_xlpm.q,K23,_xlpm.types,'Converting-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missing"),IFERROR(_xlfn.LET(_xlpm.s,O23,_xlpm.b,_xlfn.SWITCH(LOWER(B23),"zipper bag","Zipper pouch","open bag","Open pouch",B23),_xlpm.w,G23,_xlpm.q,K23,_xlpm.src,'Converting-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23" s="923">
        <f>IFERROR(IF(OR(B23="Zipper pouch",B23="SUP with zipper"),HELPER!$DE$2*(AH23+AI23)/K23,HELPER!$DE$2*AH23/K23),"Data is missing")</f>
        <v>9.4433772814251742E-3</v>
      </c>
      <c r="AH23" s="923">
        <f t="shared" si="12"/>
        <v>1.5738962135708623</v>
      </c>
      <c r="AI23" s="923" t="str">
        <f>IF(OR(B23="Zipper pouch",B23="SUP with zipper"),HELPER!$DC$2*G23/1000,"")</f>
        <v/>
      </c>
      <c r="AJ23" s="923" cm="1">
        <f t="array" ref="AJ23">IF(INDEX('Laminates- copilot'!$E$6:$E$257,ROUNDUP((ROW()-5)/3,0))+50&gt;IF(O23="Quantum",760,1220),"Width exceeds supplier maximum",IFERROR(AF23+AG23+N(AI23)+AH23*G23/1000/MAX(1,MIN(MAX(2,INT(900/INDEX('Laminates- copilot'!$E$6:$E$257,ROUNDUP((ROW()-5)/3,0)))),INT((IF(O23="Quantum",760,1220)-50)/INDEX('Laminates- copilot'!$E$6:$E$257,ROUNDUP((ROW()-5)/3,0))))),"Data is missing"))</f>
        <v>1.0126962946245404</v>
      </c>
      <c r="AK23" s="203">
        <f t="shared" si="13"/>
        <v>1350.2617261660539</v>
      </c>
      <c r="AL23" t="str">
        <f t="shared" si="14"/>
        <v>PASS</v>
      </c>
      <c r="AM23" s="50" t="str">
        <f t="shared" si="15"/>
        <v/>
      </c>
    </row>
    <row r="24" spans="1:39" hidden="1">
      <c r="A24" t="s">
        <v>1652</v>
      </c>
      <c r="B24" t="s">
        <v>251</v>
      </c>
      <c r="C24" s="50" t="s">
        <v>2209</v>
      </c>
      <c r="D24">
        <f>'Laminates- copilot'!B12</f>
        <v>120</v>
      </c>
      <c r="E24" s="858">
        <f>'Laminates- copilot'!D12</f>
        <v>98</v>
      </c>
      <c r="F24" s="858">
        <v>600</v>
      </c>
      <c r="G24" s="858">
        <v>200</v>
      </c>
      <c r="H24" s="858">
        <v>50</v>
      </c>
      <c r="I24" s="858">
        <v>0</v>
      </c>
      <c r="J24" s="858">
        <v>1300</v>
      </c>
      <c r="K24" s="858">
        <v>200000</v>
      </c>
      <c r="L24" s="858" t="str">
        <f>'Laminates- copilot'!K12</f>
        <v>Printed</v>
      </c>
      <c r="M24" s="858" t="str">
        <f>'Laminates- copilot'!L12</f>
        <v>5-8</v>
      </c>
      <c r="N24" s="858">
        <f>'Laminates- copilot'!M12</f>
        <v>8</v>
      </c>
      <c r="O24" s="858" t="str">
        <f>'Laminates- copilot'!O12</f>
        <v>Marma</v>
      </c>
      <c r="P24" s="858" t="str">
        <f>'Laminates- copilot'!N12</f>
        <v>Europe to Europe</v>
      </c>
      <c r="Q24" s="858">
        <f t="shared" si="0"/>
        <v>40000</v>
      </c>
      <c r="R24" s="858">
        <f t="shared" si="1"/>
        <v>40000</v>
      </c>
      <c r="S24" s="858">
        <f>IFERROR('Laminates- copilot'!Q12/'Laminates- copilot'!P12*Q24,"")</f>
        <v>3425.04</v>
      </c>
      <c r="T24" s="203">
        <f>IFERROR('Laminates- copilot'!R12/'Laminates- copilot'!P12*Q24,"")</f>
        <v>32495.124305298032</v>
      </c>
      <c r="U24" s="912">
        <f>IFERROR('Laminates- copilot'!S12/'Laminates- copilot'!P12*Q24,"")</f>
        <v>37694.34419414572</v>
      </c>
      <c r="V24" s="913">
        <f t="shared" si="2"/>
        <v>9.4875167312784754</v>
      </c>
      <c r="W24" s="914">
        <f t="shared" si="3"/>
        <v>11.005519408283034</v>
      </c>
      <c r="X24" s="913">
        <f t="shared" si="4"/>
        <v>0.81237810763245077</v>
      </c>
      <c r="Y24" s="913">
        <f t="shared" si="5"/>
        <v>9.4875167312784754</v>
      </c>
      <c r="Z24" s="95">
        <f t="shared" si="6"/>
        <v>29197</v>
      </c>
      <c r="AA24" s="50" t="str">
        <f t="shared" si="7"/>
        <v>MOQ OK</v>
      </c>
      <c r="AB24" s="923">
        <f t="shared" si="8"/>
        <v>0.3163647281243866</v>
      </c>
      <c r="AC24" s="924">
        <f t="shared" si="9"/>
        <v>0.36698308462428841</v>
      </c>
      <c r="AD24" s="203">
        <f t="shared" si="10"/>
        <v>63272.94562487732</v>
      </c>
      <c r="AE24" s="912">
        <f t="shared" si="11"/>
        <v>73396.616924857692</v>
      </c>
      <c r="AF24" s="923" cm="1">
        <f t="array" ref="AF24">IF(O24="Quantum",IFERROR(_xlfn.LET(_xlpm.b,_xlfn.SWITCH(LOWER(B24),"zipper bag","Zipper pouch","open bag","Open pouch","sup with zipper","Stand-up pouch","stand-up pouch","Stand-up pouch",B24),_xlpm.w,G24,_xlpm.q,K24,_xlpm.types,'Converting-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missing"),IFERROR(_xlfn.LET(_xlpm.s,O24,_xlpm.b,_xlfn.SWITCH(LOWER(B24),"zipper bag","Zipper pouch","open bag","Open pouch",B24),_xlpm.w,G24,_xlpm.q,K24,_xlpm.src,'Converting-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4" s="923">
        <f>IFERROR(IF(OR(B24="Zipper pouch",B24="SUP with zipper"),HELPER!$DE$2*(AH24+AI24)/K24,HELPER!$DE$2*AH24/K24),"Data is missing")</f>
        <v>2.5235343228973525E-3</v>
      </c>
      <c r="AH24" s="923">
        <f t="shared" si="12"/>
        <v>0.81237810763245077</v>
      </c>
      <c r="AI24" s="923">
        <f>IF(OR(B24="Zipper pouch",B24="SUP with zipper"),HELPER!$DC$2*G24/1000,"")</f>
        <v>2.8799999999999996E-2</v>
      </c>
      <c r="AJ24" s="923" cm="1">
        <f t="array" ref="AJ24">IF(INDEX('Laminates- copilot'!$E$6:$E$257,ROUNDUP((ROW()-5)/3,0))+50&gt;IF(O24="Quantum",760,1220),"Width exceeds supplier maximum",IFERROR(AF24+AG24+N(AI24)+AH24*G24/1000/MAX(1,MIN(MAX(2,INT(900/INDEX('Laminates- copilot'!$E$6:$E$257,ROUNDUP((ROW()-5)/3,0)))),INT((IF(O24="Quantum",760,1220)-50)/INDEX('Laminates- copilot'!$E$6:$E$257,ROUNDUP((ROW()-5)/3,0))))),"Data is missing"))</f>
        <v>0.23727354609328996</v>
      </c>
      <c r="AK24" s="203">
        <f t="shared" si="13"/>
        <v>316.3647281243866</v>
      </c>
      <c r="AL24" t="str">
        <f t="shared" si="14"/>
        <v>PASS</v>
      </c>
      <c r="AM24" s="50" t="str">
        <f t="shared" si="15"/>
        <v/>
      </c>
    </row>
    <row r="25" spans="1:39" hidden="1">
      <c r="A25" t="s">
        <v>1653</v>
      </c>
      <c r="B25" t="s">
        <v>261</v>
      </c>
      <c r="C25" s="50" t="s">
        <v>2209</v>
      </c>
      <c r="D25">
        <f>'Laminates- copilot'!B12</f>
        <v>120</v>
      </c>
      <c r="E25" s="858">
        <f>'Laminates- copilot'!D12</f>
        <v>98</v>
      </c>
      <c r="F25" s="858">
        <v>600</v>
      </c>
      <c r="G25" s="858">
        <v>200</v>
      </c>
      <c r="H25" s="858">
        <v>50</v>
      </c>
      <c r="I25" s="858">
        <v>0</v>
      </c>
      <c r="J25" s="858">
        <v>1300</v>
      </c>
      <c r="K25" s="858">
        <v>200000</v>
      </c>
      <c r="L25" s="858" t="str">
        <f>'Laminates- copilot'!K12</f>
        <v>Printed</v>
      </c>
      <c r="M25" s="858" t="str">
        <f>'Laminates- copilot'!L12</f>
        <v>5-8</v>
      </c>
      <c r="N25" s="858">
        <f>'Laminates- copilot'!M12</f>
        <v>8</v>
      </c>
      <c r="O25" s="858" t="str">
        <f>'Laminates- copilot'!O12</f>
        <v>Marma</v>
      </c>
      <c r="P25" s="858" t="str">
        <f>'Laminates- copilot'!N12</f>
        <v>Europe to Europe</v>
      </c>
      <c r="Q25" s="858">
        <f t="shared" si="0"/>
        <v>40000</v>
      </c>
      <c r="R25" s="858">
        <f t="shared" si="1"/>
        <v>40000</v>
      </c>
      <c r="S25" s="858">
        <f>IFERROR('Laminates- copilot'!Q12/'Laminates- copilot'!P12*Q25,"")</f>
        <v>3425.04</v>
      </c>
      <c r="T25" s="203">
        <f>IFERROR('Laminates- copilot'!R12/'Laminates- copilot'!P12*Q25,"")</f>
        <v>32495.124305298032</v>
      </c>
      <c r="U25" s="912">
        <f>IFERROR('Laminates- copilot'!S12/'Laminates- copilot'!P12*Q25,"")</f>
        <v>37694.34419414572</v>
      </c>
      <c r="V25" s="913">
        <f t="shared" si="2"/>
        <v>9.4875167312784754</v>
      </c>
      <c r="W25" s="914">
        <f t="shared" si="3"/>
        <v>11.005519408283034</v>
      </c>
      <c r="X25" s="913">
        <f t="shared" si="4"/>
        <v>0.81237810763245077</v>
      </c>
      <c r="Y25" s="913">
        <f t="shared" si="5"/>
        <v>9.4875167312784754</v>
      </c>
      <c r="Z25" s="95">
        <f t="shared" si="6"/>
        <v>29197</v>
      </c>
      <c r="AA25" s="50" t="str">
        <f t="shared" si="7"/>
        <v>MOQ OK</v>
      </c>
      <c r="AB25" s="923">
        <f t="shared" si="8"/>
        <v>0.31163449900391355</v>
      </c>
      <c r="AC25" s="924">
        <f t="shared" si="9"/>
        <v>0.36149601884453969</v>
      </c>
      <c r="AD25" s="203">
        <f t="shared" si="10"/>
        <v>62326.89980078271</v>
      </c>
      <c r="AE25" s="912">
        <f t="shared" si="11"/>
        <v>72299.203768907944</v>
      </c>
      <c r="AF25" s="923" cm="1">
        <f t="array" ref="AF25">IF(O25="Quantum",IFERROR(_xlfn.LET(_xlpm.b,_xlfn.SWITCH(LOWER(B25),"zipper bag","Zipper pouch","open bag","Open pouch","sup with zipper","Stand-up pouch","stand-up pouch","Stand-up pouch",B25),_xlpm.w,G25,_xlpm.q,K25,_xlpm.types,'Converting-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missing"),IFERROR(_xlfn.LET(_xlpm.s,O25,_xlpm.b,_xlfn.SWITCH(LOWER(B25),"zipper bag","Zipper pouch","open bag","Open pouch",B25),_xlpm.w,G25,_xlpm.q,K25,_xlpm.src,'Converting-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5" s="923">
        <f>IFERROR(IF(OR(B25="Zipper pouch",B25="SUP with zipper"),HELPER!$DE$2*(AH25+AI25)/K25,HELPER!$DE$2*AH25/K25),"Data is missing")</f>
        <v>2.5235343228973525E-3</v>
      </c>
      <c r="AH25" s="923">
        <f t="shared" si="12"/>
        <v>0.81237810763245077</v>
      </c>
      <c r="AI25" s="923">
        <f>IF(OR(B25="Zipper pouch",B25="SUP with zipper"),HELPER!$DC$2*G25/1000,"")</f>
        <v>2.8799999999999996E-2</v>
      </c>
      <c r="AJ25" s="923" cm="1">
        <f t="array" ref="AJ25">IF(INDEX('Laminates- copilot'!$E$6:$E$257,ROUNDUP((ROW()-5)/3,0))+50&gt;IF(O25="Quantum",760,1220),"Width exceeds supplier maximum",IFERROR(AF25+AG25+N(AI25)+AH25*G25/1000/MAX(1,MIN(MAX(2,INT(900/INDEX('Laminates- copilot'!$E$6:$E$257,ROUNDUP((ROW()-5)/3,0)))),INT((IF(O25="Quantum",760,1220)-50)/INDEX('Laminates- copilot'!$E$6:$E$257,ROUNDUP((ROW()-5)/3,0))))),"Data is missing"))</f>
        <v>0.23372587425293517</v>
      </c>
      <c r="AK25" s="203">
        <f t="shared" si="13"/>
        <v>311.63449900391356</v>
      </c>
      <c r="AL25" t="str">
        <f t="shared" si="14"/>
        <v>PASS</v>
      </c>
      <c r="AM25" s="50" t="str">
        <f t="shared" si="15"/>
        <v/>
      </c>
    </row>
    <row r="26" spans="1:39" hidden="1">
      <c r="A26" t="s">
        <v>1654</v>
      </c>
      <c r="B26" t="s">
        <v>262</v>
      </c>
      <c r="C26" s="50" t="s">
        <v>2209</v>
      </c>
      <c r="D26">
        <f>'Laminates- copilot'!B12</f>
        <v>120</v>
      </c>
      <c r="E26" s="858">
        <f>'Laminates- copilot'!D12</f>
        <v>98</v>
      </c>
      <c r="F26" s="858">
        <v>600</v>
      </c>
      <c r="G26" s="858">
        <v>200</v>
      </c>
      <c r="H26" s="858">
        <v>0</v>
      </c>
      <c r="I26" s="858">
        <v>0</v>
      </c>
      <c r="J26" s="858">
        <v>1200</v>
      </c>
      <c r="K26" s="858">
        <v>200000</v>
      </c>
      <c r="L26" s="858" t="str">
        <f>'Laminates- copilot'!K12</f>
        <v>Printed</v>
      </c>
      <c r="M26" s="858" t="str">
        <f>'Laminates- copilot'!L12</f>
        <v>5-8</v>
      </c>
      <c r="N26" s="858">
        <f>'Laminates- copilot'!M12</f>
        <v>8</v>
      </c>
      <c r="O26" s="858" t="str">
        <f>'Laminates- copilot'!O12</f>
        <v>Marma</v>
      </c>
      <c r="P26" s="858" t="str">
        <f>'Laminates- copilot'!N12</f>
        <v>Europe to Europe</v>
      </c>
      <c r="Q26" s="858">
        <f t="shared" si="0"/>
        <v>40000</v>
      </c>
      <c r="R26" s="858">
        <f t="shared" si="1"/>
        <v>40000</v>
      </c>
      <c r="S26" s="858">
        <f>IFERROR('Laminates- copilot'!Q12/'Laminates- copilot'!P12*Q26,"")</f>
        <v>3425.04</v>
      </c>
      <c r="T26" s="203">
        <f>IFERROR('Laminates- copilot'!R12/'Laminates- copilot'!P12*Q26,"")</f>
        <v>32495.124305298032</v>
      </c>
      <c r="U26" s="912">
        <f>IFERROR('Laminates- copilot'!S12/'Laminates- copilot'!P12*Q26,"")</f>
        <v>37694.34419414572</v>
      </c>
      <c r="V26" s="913">
        <f t="shared" si="2"/>
        <v>9.4875167312784754</v>
      </c>
      <c r="W26" s="914">
        <f t="shared" si="3"/>
        <v>11.005519408283034</v>
      </c>
      <c r="X26" s="913">
        <f t="shared" si="4"/>
        <v>0.81237810763245077</v>
      </c>
      <c r="Y26" s="913">
        <f t="shared" si="5"/>
        <v>9.4875167312784754</v>
      </c>
      <c r="Z26" s="95">
        <f t="shared" si="6"/>
        <v>29197</v>
      </c>
      <c r="AA26" s="50" t="str">
        <f t="shared" si="7"/>
        <v>MOQ OK</v>
      </c>
      <c r="AB26" s="923">
        <f t="shared" si="8"/>
        <v>0.2678341000934375</v>
      </c>
      <c r="AC26" s="924">
        <f t="shared" si="9"/>
        <v>0.3106875561083875</v>
      </c>
      <c r="AD26" s="203">
        <f t="shared" si="10"/>
        <v>53566.820018687496</v>
      </c>
      <c r="AE26" s="912">
        <f t="shared" si="11"/>
        <v>62137.511221677494</v>
      </c>
      <c r="AF26" s="923" cm="1">
        <f t="array" ref="AF26">IF(O26="Quantum",IFERROR(_xlfn.LET(_xlpm.b,_xlfn.SWITCH(LOWER(B26),"zipper bag","Zipper pouch","open bag","Open pouch","sup with zipper","Stand-up pouch","stand-up pouch","Stand-up pouch",B26),_xlpm.w,G26,_xlpm.q,K26,_xlpm.types,'Converting-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missing"),IFERROR(_xlfn.LET(_xlpm.s,O26,_xlpm.b,_xlfn.SWITCH(LOWER(B26),"zipper bag","Zipper pouch","open bag","Open pouch",B26),_xlpm.w,G26,_xlpm.q,K26,_xlpm.src,'Converting-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6" s="923">
        <f>IFERROR(IF(OR(B26="Zipper pouch",B26="SUP with zipper"),HELPER!$DE$2*(AH26+AI26)/K26,HELPER!$DE$2*AH26/K26),"Data is missing")</f>
        <v>2.4371343228973522E-3</v>
      </c>
      <c r="AH26" s="923">
        <f t="shared" si="12"/>
        <v>0.81237810763245077</v>
      </c>
      <c r="AI26" s="923" t="str">
        <f>IF(OR(B26="Zipper pouch",B26="SUP with zipper"),HELPER!$DC$2*G26/1000,"")</f>
        <v/>
      </c>
      <c r="AJ26" s="923" cm="1">
        <f t="array" ref="AJ26">IF(INDEX('Laminates- copilot'!$E$6:$E$257,ROUNDUP((ROW()-5)/3,0))+50&gt;IF(O26="Quantum",760,1220),"Width exceeds supplier maximum",IFERROR(AF26+AG26+N(AI26)+AH26*G26/1000/MAX(1,MIN(MAX(2,INT(900/INDEX('Laminates- copilot'!$E$6:$E$257,ROUNDUP((ROW()-5)/3,0)))),INT((IF(O26="Quantum",760,1220)-50)/INDEX('Laminates- copilot'!$E$6:$E$257,ROUNDUP((ROW()-5)/3,0))))),"Data is missing"))</f>
        <v>0.20087557507007814</v>
      </c>
      <c r="AK26" s="203">
        <f t="shared" si="13"/>
        <v>267.83410009343748</v>
      </c>
      <c r="AL26" t="str">
        <f t="shared" si="14"/>
        <v>PASS</v>
      </c>
      <c r="AM26" s="50" t="str">
        <f t="shared" si="15"/>
        <v/>
      </c>
    </row>
    <row r="27" spans="1:39" hidden="1">
      <c r="A27" t="s">
        <v>1655</v>
      </c>
      <c r="B27" t="s">
        <v>251</v>
      </c>
      <c r="C27" s="50" t="s">
        <v>2210</v>
      </c>
      <c r="D27">
        <f>'Laminates- copilot'!B13</f>
        <v>120</v>
      </c>
      <c r="E27" s="858">
        <f>'Laminates- copilot'!D13</f>
        <v>98</v>
      </c>
      <c r="F27" s="858">
        <v>700</v>
      </c>
      <c r="G27" s="858">
        <v>300</v>
      </c>
      <c r="H27" s="858">
        <v>75</v>
      </c>
      <c r="I27" s="858">
        <v>0</v>
      </c>
      <c r="J27" s="858">
        <v>1550</v>
      </c>
      <c r="K27" s="858">
        <v>200000</v>
      </c>
      <c r="L27" s="858" t="str">
        <f>'Laminates- copilot'!K13</f>
        <v>Not Printed</v>
      </c>
      <c r="M27" s="858" t="str">
        <f>'Laminates- copilot'!L13</f>
        <v>0</v>
      </c>
      <c r="N27" s="858">
        <f>'Laminates- copilot'!M13</f>
        <v>1</v>
      </c>
      <c r="O27" s="858" t="str">
        <f>'Laminates- copilot'!O13</f>
        <v>Bastin</v>
      </c>
      <c r="P27" s="858" t="str">
        <f>'Laminates- copilot'!N13</f>
        <v>Europe to US</v>
      </c>
      <c r="Q27" s="858">
        <f t="shared" si="0"/>
        <v>60000</v>
      </c>
      <c r="R27" s="858">
        <f t="shared" si="1"/>
        <v>60000</v>
      </c>
      <c r="S27" s="858">
        <f>IFERROR('Laminates- copilot'!Q13/'Laminates- copilot'!P13*Q27,"")</f>
        <v>1427.1000000000001</v>
      </c>
      <c r="T27" s="203">
        <f>IFERROR('Laminates- copilot'!R13/'Laminates- copilot'!P13*Q27,"")</f>
        <v>20101.004383754065</v>
      </c>
      <c r="U27" s="912">
        <f>IFERROR('Laminates- copilot'!S13/'Laminates- copilot'!P13*Q27,"")</f>
        <v>23317.165085154713</v>
      </c>
      <c r="V27" s="913">
        <f t="shared" si="2"/>
        <v>14.085210835788706</v>
      </c>
      <c r="W27" s="914">
        <f t="shared" si="3"/>
        <v>16.338844569514897</v>
      </c>
      <c r="X27" s="913">
        <f t="shared" si="4"/>
        <v>0.3350167397292344</v>
      </c>
      <c r="Y27" s="913">
        <f t="shared" si="5"/>
        <v>14.085210835788706</v>
      </c>
      <c r="Z27" s="95">
        <f t="shared" si="6"/>
        <v>70073</v>
      </c>
      <c r="AA27" s="50" t="str">
        <f t="shared" si="7"/>
        <v>MOQ OK</v>
      </c>
      <c r="AB27" s="923">
        <f t="shared" si="8"/>
        <v>0.19838247338479476</v>
      </c>
      <c r="AC27" s="924">
        <f t="shared" si="9"/>
        <v>0.2301236691263619</v>
      </c>
      <c r="AD27" s="203">
        <f t="shared" si="10"/>
        <v>39676.494676958951</v>
      </c>
      <c r="AE27" s="912">
        <f t="shared" si="11"/>
        <v>46024.733825272378</v>
      </c>
      <c r="AF27" s="923" cm="1">
        <f t="array" ref="AF27">IF(O27="Quantum",IFERROR(_xlfn.LET(_xlpm.b,_xlfn.SWITCH(LOWER(B27),"zipper bag","Zipper pouch","open bag","Open pouch","sup with zipper","Stand-up pouch","stand-up pouch","Stand-up pouch",B27),_xlpm.w,G27,_xlpm.q,K27,_xlpm.types,'Converting-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missing"),IFERROR(_xlfn.LET(_xlpm.s,O27,_xlpm.b,_xlfn.SWITCH(LOWER(B27),"zipper bag","Zipper pouch","open bag","Open pouch",B27),_xlpm.w,G27,_xlpm.q,K27,_xlpm.src,'Converting-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7" s="923">
        <f>IFERROR(IF(OR(B27="Zipper pouch",B27="SUP with zipper"),HELPER!$DE$2*(AH27+AI27)/K27,HELPER!$DE$2*AH27/K27),"Data is missing")</f>
        <v>1.1346502191877034E-3</v>
      </c>
      <c r="AH27" s="923">
        <f t="shared" si="12"/>
        <v>0.3350167397292344</v>
      </c>
      <c r="AI27" s="923">
        <f>IF(OR(B27="Zipper pouch",B27="SUP with zipper"),HELPER!$DC$2*G27/1000,"")</f>
        <v>4.3199999999999995E-2</v>
      </c>
      <c r="AJ27" s="923" cm="1">
        <f t="array" ref="AJ27">IF(INDEX('Laminates- copilot'!$E$6:$E$257,ROUNDUP((ROW()-5)/3,0))+50&gt;IF(O27="Quantum",760,1220),"Width exceeds supplier maximum",IFERROR(AF27+AG27+N(AI27)+AH27*G27/1000/MAX(1,MIN(MAX(2,INT(900/INDEX('Laminates- copilot'!$E$6:$E$257,ROUNDUP((ROW()-5)/3,0)))),INT((IF(O27="Quantum",760,1220)-50)/INDEX('Laminates- copilot'!$E$6:$E$257,ROUNDUP((ROW()-5)/3,0))))),"Data is missing"))</f>
        <v>0.14878685503859607</v>
      </c>
      <c r="AK27" s="203">
        <f t="shared" si="13"/>
        <v>198.38247338479476</v>
      </c>
      <c r="AL27" t="str">
        <f t="shared" si="14"/>
        <v>PASS</v>
      </c>
      <c r="AM27" s="50" t="str">
        <f t="shared" si="15"/>
        <v/>
      </c>
    </row>
    <row r="28" spans="1:39" hidden="1">
      <c r="A28" t="s">
        <v>1656</v>
      </c>
      <c r="B28" t="s">
        <v>261</v>
      </c>
      <c r="C28" s="50" t="s">
        <v>2210</v>
      </c>
      <c r="D28">
        <f>'Laminates- copilot'!B13</f>
        <v>120</v>
      </c>
      <c r="E28" s="858">
        <f>'Laminates- copilot'!D13</f>
        <v>98</v>
      </c>
      <c r="F28" s="858">
        <v>700</v>
      </c>
      <c r="G28" s="858">
        <v>300</v>
      </c>
      <c r="H28" s="858">
        <v>75</v>
      </c>
      <c r="I28" s="858">
        <v>0</v>
      </c>
      <c r="J28" s="858">
        <v>1550</v>
      </c>
      <c r="K28" s="858">
        <v>200000</v>
      </c>
      <c r="L28" s="858" t="str">
        <f>'Laminates- copilot'!K13</f>
        <v>Not Printed</v>
      </c>
      <c r="M28" s="858" t="str">
        <f>'Laminates- copilot'!L13</f>
        <v>0</v>
      </c>
      <c r="N28" s="858">
        <f>'Laminates- copilot'!M13</f>
        <v>1</v>
      </c>
      <c r="O28" s="858" t="str">
        <f>'Laminates- copilot'!O13</f>
        <v>Bastin</v>
      </c>
      <c r="P28" s="858" t="str">
        <f>'Laminates- copilot'!N13</f>
        <v>Europe to US</v>
      </c>
      <c r="Q28" s="858">
        <f t="shared" si="0"/>
        <v>60000</v>
      </c>
      <c r="R28" s="858">
        <f t="shared" si="1"/>
        <v>60000</v>
      </c>
      <c r="S28" s="858">
        <f>IFERROR('Laminates- copilot'!Q13/'Laminates- copilot'!P13*Q28,"")</f>
        <v>1427.1000000000001</v>
      </c>
      <c r="T28" s="203">
        <f>IFERROR('Laminates- copilot'!R13/'Laminates- copilot'!P13*Q28,"")</f>
        <v>20101.004383754065</v>
      </c>
      <c r="U28" s="912">
        <f>IFERROR('Laminates- copilot'!S13/'Laminates- copilot'!P13*Q28,"")</f>
        <v>23317.165085154713</v>
      </c>
      <c r="V28" s="913">
        <f t="shared" si="2"/>
        <v>14.085210835788706</v>
      </c>
      <c r="W28" s="914">
        <f t="shared" si="3"/>
        <v>16.338844569514897</v>
      </c>
      <c r="X28" s="913">
        <f t="shared" si="4"/>
        <v>0.3350167397292344</v>
      </c>
      <c r="Y28" s="913">
        <f t="shared" si="5"/>
        <v>14.085210835788706</v>
      </c>
      <c r="Z28" s="95">
        <f t="shared" si="6"/>
        <v>70073</v>
      </c>
      <c r="AA28" s="50" t="str">
        <f t="shared" si="7"/>
        <v>MOQ OK</v>
      </c>
      <c r="AB28" s="923">
        <f t="shared" si="8"/>
        <v>0.19078628191485869</v>
      </c>
      <c r="AC28" s="924">
        <f t="shared" si="9"/>
        <v>0.22131208702123606</v>
      </c>
      <c r="AD28" s="203">
        <f t="shared" si="10"/>
        <v>38157.25638297174</v>
      </c>
      <c r="AE28" s="912">
        <f t="shared" si="11"/>
        <v>44262.417404247215</v>
      </c>
      <c r="AF28" s="923" cm="1">
        <f t="array" ref="AF28">IF(O28="Quantum",IFERROR(_xlfn.LET(_xlpm.b,_xlfn.SWITCH(LOWER(B28),"zipper bag","Zipper pouch","open bag","Open pouch","sup with zipper","Stand-up pouch","stand-up pouch","Stand-up pouch",B28),_xlpm.w,G28,_xlpm.q,K28,_xlpm.types,'Converting-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missing"),IFERROR(_xlfn.LET(_xlpm.s,O28,_xlpm.b,_xlfn.SWITCH(LOWER(B28),"zipper bag","Zipper pouch","open bag","Open pouch",B28),_xlpm.w,G28,_xlpm.q,K28,_xlpm.src,'Converting-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8" s="923">
        <f>IFERROR(IF(OR(B28="Zipper pouch",B28="SUP with zipper"),HELPER!$DE$2*(AH28+AI28)/K28,HELPER!$DE$2*AH28/K28),"Data is missing")</f>
        <v>1.1346502191877034E-3</v>
      </c>
      <c r="AH28" s="923">
        <f t="shared" si="12"/>
        <v>0.3350167397292344</v>
      </c>
      <c r="AI28" s="923">
        <f>IF(OR(B28="Zipper pouch",B28="SUP with zipper"),HELPER!$DC$2*G28/1000,"")</f>
        <v>4.3199999999999995E-2</v>
      </c>
      <c r="AJ28" s="923" cm="1">
        <f t="array" ref="AJ28">IF(INDEX('Laminates- copilot'!$E$6:$E$257,ROUNDUP((ROW()-5)/3,0))+50&gt;IF(O28="Quantum",760,1220),"Width exceeds supplier maximum",IFERROR(AF28+AG28+N(AI28)+AH28*G28/1000/MAX(1,MIN(MAX(2,INT(900/INDEX('Laminates- copilot'!$E$6:$E$257,ROUNDUP((ROW()-5)/3,0)))),INT((IF(O28="Quantum",760,1220)-50)/INDEX('Laminates- copilot'!$E$6:$E$257,ROUNDUP((ROW()-5)/3,0))))),"Data is missing"))</f>
        <v>0.14308971143614402</v>
      </c>
      <c r="AK28" s="203">
        <f t="shared" si="13"/>
        <v>190.78628191485871</v>
      </c>
      <c r="AL28" t="str">
        <f t="shared" si="14"/>
        <v>PASS</v>
      </c>
      <c r="AM28" s="50" t="str">
        <f t="shared" si="15"/>
        <v/>
      </c>
    </row>
    <row r="29" spans="1:39" hidden="1">
      <c r="A29" t="s">
        <v>1657</v>
      </c>
      <c r="B29" t="s">
        <v>262</v>
      </c>
      <c r="C29" s="50" t="s">
        <v>2210</v>
      </c>
      <c r="D29">
        <f>'Laminates- copilot'!B13</f>
        <v>120</v>
      </c>
      <c r="E29" s="858">
        <f>'Laminates- copilot'!D13</f>
        <v>98</v>
      </c>
      <c r="F29" s="858">
        <v>700</v>
      </c>
      <c r="G29" s="858">
        <v>300</v>
      </c>
      <c r="H29" s="858">
        <v>0</v>
      </c>
      <c r="I29" s="858">
        <v>0</v>
      </c>
      <c r="J29" s="858">
        <v>1400</v>
      </c>
      <c r="K29" s="858">
        <v>200000</v>
      </c>
      <c r="L29" s="858" t="str">
        <f>'Laminates- copilot'!K13</f>
        <v>Not Printed</v>
      </c>
      <c r="M29" s="858" t="str">
        <f>'Laminates- copilot'!L13</f>
        <v>0</v>
      </c>
      <c r="N29" s="858">
        <f>'Laminates- copilot'!M13</f>
        <v>1</v>
      </c>
      <c r="O29" s="858" t="str">
        <f>'Laminates- copilot'!O13</f>
        <v>Bastin</v>
      </c>
      <c r="P29" s="858" t="str">
        <f>'Laminates- copilot'!N13</f>
        <v>Europe to US</v>
      </c>
      <c r="Q29" s="858">
        <f t="shared" si="0"/>
        <v>60000</v>
      </c>
      <c r="R29" s="858">
        <f t="shared" si="1"/>
        <v>60000</v>
      </c>
      <c r="S29" s="858">
        <f>IFERROR('Laminates- copilot'!Q13/'Laminates- copilot'!P13*Q29,"")</f>
        <v>1427.1000000000001</v>
      </c>
      <c r="T29" s="203">
        <f>IFERROR('Laminates- copilot'!R13/'Laminates- copilot'!P13*Q29,"")</f>
        <v>20101.004383754065</v>
      </c>
      <c r="U29" s="912">
        <f>IFERROR('Laminates- copilot'!S13/'Laminates- copilot'!P13*Q29,"")</f>
        <v>23317.165085154713</v>
      </c>
      <c r="V29" s="913">
        <f t="shared" si="2"/>
        <v>14.085210835788706</v>
      </c>
      <c r="W29" s="914">
        <f t="shared" si="3"/>
        <v>16.338844569514897</v>
      </c>
      <c r="X29" s="913">
        <f t="shared" si="4"/>
        <v>0.3350167397292344</v>
      </c>
      <c r="Y29" s="913">
        <f t="shared" si="5"/>
        <v>14.085210835788706</v>
      </c>
      <c r="Z29" s="95">
        <f t="shared" si="6"/>
        <v>70073</v>
      </c>
      <c r="AA29" s="50" t="str">
        <f t="shared" si="7"/>
        <v>MOQ OK</v>
      </c>
      <c r="AB29" s="923">
        <f t="shared" si="8"/>
        <v>0.12405907281802102</v>
      </c>
      <c r="AC29" s="924">
        <f t="shared" si="9"/>
        <v>0.14390852446890437</v>
      </c>
      <c r="AD29" s="203">
        <f t="shared" si="10"/>
        <v>24811.814563604203</v>
      </c>
      <c r="AE29" s="912">
        <f t="shared" si="11"/>
        <v>28781.704893780872</v>
      </c>
      <c r="AF29" s="923" cm="1">
        <f t="array" ref="AF29">IF(O29="Quantum",IFERROR(_xlfn.LET(_xlpm.b,_xlfn.SWITCH(LOWER(B29),"zipper bag","Zipper pouch","open bag","Open pouch","sup with zipper","Stand-up pouch","stand-up pouch","Stand-up pouch",B29),_xlpm.w,G29,_xlpm.q,K29,_xlpm.types,'Converting-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missing"),IFERROR(_xlfn.LET(_xlpm.s,O29,_xlpm.b,_xlfn.SWITCH(LOWER(B29),"zipper bag","Zipper pouch","open bag","Open pouch",B29),_xlpm.w,G29,_xlpm.q,K29,_xlpm.src,'Converting-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9" s="923">
        <f>IFERROR(IF(OR(B29="Zipper pouch",B29="SUP with zipper"),HELPER!$DE$2*(AH29+AI29)/K29,HELPER!$DE$2*AH29/K29),"Data is missing")</f>
        <v>1.0050502191877033E-3</v>
      </c>
      <c r="AH29" s="923">
        <f t="shared" si="12"/>
        <v>0.3350167397292344</v>
      </c>
      <c r="AI29" s="923" t="str">
        <f>IF(OR(B29="Zipper pouch",B29="SUP with zipper"),HELPER!$DC$2*G29/1000,"")</f>
        <v/>
      </c>
      <c r="AJ29" s="923" cm="1">
        <f t="array" ref="AJ29">IF(INDEX('Laminates- copilot'!$E$6:$E$257,ROUNDUP((ROW()-5)/3,0))+50&gt;IF(O29="Quantum",760,1220),"Width exceeds supplier maximum",IFERROR(AF29+AG29+N(AI29)+AH29*G29/1000/MAX(1,MIN(MAX(2,INT(900/INDEX('Laminates- copilot'!$E$6:$E$257,ROUNDUP((ROW()-5)/3,0)))),INT((IF(O29="Quantum",760,1220)-50)/INDEX('Laminates- copilot'!$E$6:$E$257,ROUNDUP((ROW()-5)/3,0))))),"Data is missing"))</f>
        <v>9.304430461351576E-2</v>
      </c>
      <c r="AK29" s="203">
        <f t="shared" si="13"/>
        <v>124.05907281802102</v>
      </c>
      <c r="AL29" t="str">
        <f t="shared" si="14"/>
        <v>PASS</v>
      </c>
      <c r="AM29" s="50" t="str">
        <f t="shared" si="15"/>
        <v/>
      </c>
    </row>
    <row r="30" spans="1:39" hidden="1">
      <c r="A30" t="s">
        <v>1658</v>
      </c>
      <c r="B30" t="s">
        <v>251</v>
      </c>
      <c r="C30" s="50" t="s">
        <v>1626</v>
      </c>
      <c r="D30">
        <f>'Laminates- copilot'!B14</f>
        <v>120</v>
      </c>
      <c r="E30" s="858">
        <f>'Laminates- copilot'!D14</f>
        <v>98</v>
      </c>
      <c r="F30" s="858">
        <v>250</v>
      </c>
      <c r="G30" s="858">
        <v>400</v>
      </c>
      <c r="H30" s="858">
        <v>50</v>
      </c>
      <c r="I30" s="858">
        <v>0</v>
      </c>
      <c r="J30" s="858">
        <v>600</v>
      </c>
      <c r="K30" s="858">
        <v>1000000</v>
      </c>
      <c r="L30" s="858" t="str">
        <f>'Laminates- copilot'!K14</f>
        <v>Printed</v>
      </c>
      <c r="M30" s="858" t="str">
        <f>'Laminates- copilot'!L14</f>
        <v>3-4</v>
      </c>
      <c r="N30" s="858">
        <f>'Laminates- copilot'!M14</f>
        <v>4</v>
      </c>
      <c r="O30" s="858" t="str">
        <f>'Laminates- copilot'!O14</f>
        <v>Marma</v>
      </c>
      <c r="P30" s="858" t="str">
        <f>'Laminates- copilot'!N14</f>
        <v>Europe to Europe</v>
      </c>
      <c r="Q30" s="858">
        <f t="shared" si="0"/>
        <v>400000</v>
      </c>
      <c r="R30" s="858">
        <f t="shared" si="1"/>
        <v>400000</v>
      </c>
      <c r="S30" s="858">
        <f>IFERROR('Laminates- copilot'!Q14/'Laminates- copilot'!P14*Q30,"")</f>
        <v>22833.599999999995</v>
      </c>
      <c r="T30" s="203">
        <f>IFERROR('Laminates- copilot'!R14/'Laminates- copilot'!P14*Q30,"")</f>
        <v>251560.47935000001</v>
      </c>
      <c r="U30" s="912">
        <f>IFERROR('Laminates- copilot'!S14/'Laminates- copilot'!P14*Q30,"")</f>
        <v>291810.15604600002</v>
      </c>
      <c r="V30" s="913">
        <f t="shared" si="2"/>
        <v>11.017118603724338</v>
      </c>
      <c r="W30" s="914">
        <f t="shared" si="3"/>
        <v>12.779857580320234</v>
      </c>
      <c r="X30" s="913">
        <f t="shared" si="4"/>
        <v>0.62890119837500003</v>
      </c>
      <c r="Y30" s="913">
        <f t="shared" si="5"/>
        <v>11.017118603724338</v>
      </c>
      <c r="Z30" s="95">
        <f t="shared" si="6"/>
        <v>21898</v>
      </c>
      <c r="AA30" s="50" t="str">
        <f t="shared" si="7"/>
        <v>MOQ OK</v>
      </c>
      <c r="AB30" s="923">
        <f t="shared" si="8"/>
        <v>0.51089050300635475</v>
      </c>
      <c r="AC30" s="924">
        <f t="shared" si="9"/>
        <v>0.59263298348737148</v>
      </c>
      <c r="AD30" s="203">
        <f t="shared" si="10"/>
        <v>510890.50300635473</v>
      </c>
      <c r="AE30" s="912">
        <f t="shared" si="11"/>
        <v>592632.98348737147</v>
      </c>
      <c r="AF30" s="923" cm="1">
        <f t="array" ref="AF30">IF(O30="Quantum",IFERROR(_xlfn.LET(_xlpm.b,_xlfn.SWITCH(LOWER(B30),"zipper bag","Zipper pouch","open bag","Open pouch","sup with zipper","Stand-up pouch","stand-up pouch","Stand-up pouch",B30),_xlpm.w,G30,_xlpm.q,K30,_xlpm.types,'Converting-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missing"),IFERROR(_xlfn.LET(_xlpm.s,O30,_xlpm.b,_xlfn.SWITCH(LOWER(B30),"zipper bag","Zipper pouch","open bag","Open pouch",B30),_xlpm.w,G30,_xlpm.q,K30,_xlpm.src,'Converting-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0" s="923">
        <f>IFERROR(IF(OR(B30="Zipper pouch",B30="SUP with zipper"),HELPER!$DE$2*(AH30+AI30)/K30,HELPER!$DE$2*AH30/K30),"Data is missing")</f>
        <v>4.11900719025E-4</v>
      </c>
      <c r="AH30" s="923">
        <f t="shared" si="12"/>
        <v>0.62890119837500003</v>
      </c>
      <c r="AI30" s="923">
        <f>IF(OR(B30="Zipper pouch",B30="SUP with zipper"),HELPER!$DC$2*G30/1000,"")</f>
        <v>5.7599999999999991E-2</v>
      </c>
      <c r="AJ30" s="923" cm="1">
        <f t="array" ref="AJ30">IF(INDEX('Laminates- copilot'!$E$6:$E$257,ROUNDUP((ROW()-5)/3,0))+50&gt;IF(O30="Quantum",760,1220),"Width exceeds supplier maximum",IFERROR(AF30+AG30+N(AI30)+AH30*G30/1000/MAX(1,MIN(MAX(2,INT(900/INDEX('Laminates- copilot'!$E$6:$E$257,ROUNDUP((ROW()-5)/3,0)))),INT((IF(O30="Quantum",760,1220)-50)/INDEX('Laminates- copilot'!$E$6:$E$257,ROUNDUP((ROW()-5)/3,0))))),"Data is missing"))</f>
        <v>0.38316787725476609</v>
      </c>
      <c r="AK30" s="203">
        <f t="shared" si="13"/>
        <v>510.89050300635472</v>
      </c>
      <c r="AL30" t="str">
        <f t="shared" si="14"/>
        <v>PASS</v>
      </c>
      <c r="AM30" s="50" t="str">
        <f t="shared" si="15"/>
        <v/>
      </c>
    </row>
    <row r="31" spans="1:39" hidden="1">
      <c r="A31" t="s">
        <v>1659</v>
      </c>
      <c r="B31" t="s">
        <v>261</v>
      </c>
      <c r="C31" s="50" t="s">
        <v>1626</v>
      </c>
      <c r="D31">
        <f>'Laminates- copilot'!B14</f>
        <v>120</v>
      </c>
      <c r="E31" s="858">
        <f>'Laminates- copilot'!D14</f>
        <v>98</v>
      </c>
      <c r="F31" s="858">
        <v>250</v>
      </c>
      <c r="G31" s="858">
        <v>400</v>
      </c>
      <c r="H31" s="858">
        <v>50</v>
      </c>
      <c r="I31" s="858">
        <v>0</v>
      </c>
      <c r="J31" s="858">
        <v>600</v>
      </c>
      <c r="K31" s="858">
        <v>1000000</v>
      </c>
      <c r="L31" s="858" t="str">
        <f>'Laminates- copilot'!K14</f>
        <v>Printed</v>
      </c>
      <c r="M31" s="858" t="str">
        <f>'Laminates- copilot'!L14</f>
        <v>3-4</v>
      </c>
      <c r="N31" s="858">
        <f>'Laminates- copilot'!M14</f>
        <v>4</v>
      </c>
      <c r="O31" s="858" t="str">
        <f>'Laminates- copilot'!O14</f>
        <v>Marma</v>
      </c>
      <c r="P31" s="858" t="str">
        <f>'Laminates- copilot'!N14</f>
        <v>Europe to Europe</v>
      </c>
      <c r="Q31" s="858">
        <f t="shared" si="0"/>
        <v>400000</v>
      </c>
      <c r="R31" s="858">
        <f t="shared" si="1"/>
        <v>400000</v>
      </c>
      <c r="S31" s="858">
        <f>IFERROR('Laminates- copilot'!Q14/'Laminates- copilot'!P14*Q31,"")</f>
        <v>22833.599999999995</v>
      </c>
      <c r="T31" s="203">
        <f>IFERROR('Laminates- copilot'!R14/'Laminates- copilot'!P14*Q31,"")</f>
        <v>251560.47935000001</v>
      </c>
      <c r="U31" s="912">
        <f>IFERROR('Laminates- copilot'!S14/'Laminates- copilot'!P14*Q31,"")</f>
        <v>291810.15604600002</v>
      </c>
      <c r="V31" s="913">
        <f t="shared" si="2"/>
        <v>11.017118603724338</v>
      </c>
      <c r="W31" s="914">
        <f t="shared" si="3"/>
        <v>12.779857580320234</v>
      </c>
      <c r="X31" s="913">
        <f t="shared" si="4"/>
        <v>0.62890119837500003</v>
      </c>
      <c r="Y31" s="913">
        <f t="shared" si="5"/>
        <v>11.017118603724338</v>
      </c>
      <c r="Z31" s="95">
        <f t="shared" si="6"/>
        <v>21898</v>
      </c>
      <c r="AA31" s="50" t="str">
        <f t="shared" si="7"/>
        <v>MOQ OK</v>
      </c>
      <c r="AB31" s="923">
        <f t="shared" si="8"/>
        <v>0.50324936365789841</v>
      </c>
      <c r="AC31" s="924">
        <f t="shared" si="9"/>
        <v>0.58376926184316213</v>
      </c>
      <c r="AD31" s="203">
        <f t="shared" si="10"/>
        <v>503249.36365789839</v>
      </c>
      <c r="AE31" s="912">
        <f t="shared" si="11"/>
        <v>583769.26184316212</v>
      </c>
      <c r="AF31" s="923" cm="1">
        <f t="array" ref="AF31">IF(O31="Quantum",IFERROR(_xlfn.LET(_xlpm.b,_xlfn.SWITCH(LOWER(B31),"zipper bag","Zipper pouch","open bag","Open pouch","sup with zipper","Stand-up pouch","stand-up pouch","Stand-up pouch",B31),_xlpm.w,G31,_xlpm.q,K31,_xlpm.types,'Converting-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missing"),IFERROR(_xlfn.LET(_xlpm.s,O31,_xlpm.b,_xlfn.SWITCH(LOWER(B31),"zipper bag","Zipper pouch","open bag","Open pouch",B31),_xlpm.w,G31,_xlpm.q,K31,_xlpm.src,'Converting-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1" s="923">
        <f>IFERROR(IF(OR(B31="Zipper pouch",B31="SUP with zipper"),HELPER!$DE$2*(AH31+AI31)/K31,HELPER!$DE$2*AH31/K31),"Data is missing")</f>
        <v>4.11900719025E-4</v>
      </c>
      <c r="AH31" s="923">
        <f t="shared" si="12"/>
        <v>0.62890119837500003</v>
      </c>
      <c r="AI31" s="923">
        <f>IF(OR(B31="Zipper pouch",B31="SUP with zipper"),HELPER!$DC$2*G31/1000,"")</f>
        <v>5.7599999999999991E-2</v>
      </c>
      <c r="AJ31" s="923" cm="1">
        <f t="array" ref="AJ31">IF(INDEX('Laminates- copilot'!$E$6:$E$257,ROUNDUP((ROW()-5)/3,0))+50&gt;IF(O31="Quantum",760,1220),"Width exceeds supplier maximum",IFERROR(AF31+AG31+N(AI31)+AH31*G31/1000/MAX(1,MIN(MAX(2,INT(900/INDEX('Laminates- copilot'!$E$6:$E$257,ROUNDUP((ROW()-5)/3,0)))),INT((IF(O31="Quantum",760,1220)-50)/INDEX('Laminates- copilot'!$E$6:$E$257,ROUNDUP((ROW()-5)/3,0))))),"Data is missing"))</f>
        <v>0.37743702274342383</v>
      </c>
      <c r="AK31" s="203">
        <f t="shared" si="13"/>
        <v>503.24936365789841</v>
      </c>
      <c r="AL31" t="str">
        <f t="shared" si="14"/>
        <v>PASS</v>
      </c>
      <c r="AM31" s="50" t="str">
        <f t="shared" si="15"/>
        <v/>
      </c>
    </row>
    <row r="32" spans="1:39" hidden="1">
      <c r="A32" t="s">
        <v>1660</v>
      </c>
      <c r="B32" t="s">
        <v>262</v>
      </c>
      <c r="C32" s="50" t="s">
        <v>1626</v>
      </c>
      <c r="D32">
        <f>'Laminates- copilot'!B14</f>
        <v>120</v>
      </c>
      <c r="E32" s="858">
        <f>'Laminates- copilot'!D14</f>
        <v>98</v>
      </c>
      <c r="F32" s="858">
        <v>250</v>
      </c>
      <c r="G32" s="858">
        <v>400</v>
      </c>
      <c r="H32" s="858">
        <v>0</v>
      </c>
      <c r="I32" s="858">
        <v>15</v>
      </c>
      <c r="J32" s="858">
        <v>515</v>
      </c>
      <c r="K32" s="858">
        <v>1000000</v>
      </c>
      <c r="L32" s="858" t="str">
        <f>'Laminates- copilot'!K14</f>
        <v>Printed</v>
      </c>
      <c r="M32" s="858" t="str">
        <f>'Laminates- copilot'!L14</f>
        <v>3-4</v>
      </c>
      <c r="N32" s="858">
        <f>'Laminates- copilot'!M14</f>
        <v>4</v>
      </c>
      <c r="O32" s="858" t="str">
        <f>'Laminates- copilot'!O14</f>
        <v>Marma</v>
      </c>
      <c r="P32" s="858" t="str">
        <f>'Laminates- copilot'!N14</f>
        <v>Europe to Europe</v>
      </c>
      <c r="Q32" s="858">
        <f t="shared" si="0"/>
        <v>400000</v>
      </c>
      <c r="R32" s="858">
        <f t="shared" si="1"/>
        <v>400000</v>
      </c>
      <c r="S32" s="858">
        <f>IFERROR('Laminates- copilot'!Q14/'Laminates- copilot'!P14*Q32,"")</f>
        <v>22833.599999999995</v>
      </c>
      <c r="T32" s="203">
        <f>IFERROR('Laminates- copilot'!R14/'Laminates- copilot'!P14*Q32,"")</f>
        <v>251560.47935000001</v>
      </c>
      <c r="U32" s="912">
        <f>IFERROR('Laminates- copilot'!S14/'Laminates- copilot'!P14*Q32,"")</f>
        <v>291810.15604600002</v>
      </c>
      <c r="V32" s="913">
        <f t="shared" si="2"/>
        <v>11.017118603724338</v>
      </c>
      <c r="W32" s="914">
        <f t="shared" si="3"/>
        <v>12.779857580320234</v>
      </c>
      <c r="X32" s="913">
        <f t="shared" si="4"/>
        <v>0.62890119837500003</v>
      </c>
      <c r="Y32" s="913">
        <f t="shared" si="5"/>
        <v>11.017118603724338</v>
      </c>
      <c r="Z32" s="95">
        <f t="shared" si="6"/>
        <v>21898</v>
      </c>
      <c r="AA32" s="50" t="str">
        <f t="shared" si="7"/>
        <v>MOQ OK</v>
      </c>
      <c r="AB32" s="923">
        <f t="shared" si="8"/>
        <v>0.41630482335988156</v>
      </c>
      <c r="AC32" s="924">
        <f t="shared" si="9"/>
        <v>0.48291359509746257</v>
      </c>
      <c r="AD32" s="203">
        <f t="shared" si="10"/>
        <v>416304.82335988159</v>
      </c>
      <c r="AE32" s="912">
        <f t="shared" si="11"/>
        <v>482913.59509746259</v>
      </c>
      <c r="AF32" s="923" cm="1">
        <f t="array" ref="AF32">IF(O32="Quantum",IFERROR(_xlfn.LET(_xlpm.b,_xlfn.SWITCH(LOWER(B32),"zipper bag","Zipper pouch","open bag","Open pouch","sup with zipper","Stand-up pouch","stand-up pouch","Stand-up pouch",B32),_xlpm.w,G32,_xlpm.q,K32,_xlpm.types,'Converting-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missing"),IFERROR(_xlfn.LET(_xlpm.s,O32,_xlpm.b,_xlfn.SWITCH(LOWER(B32),"zipper bag","Zipper pouch","open bag","Open pouch",B32),_xlpm.w,G32,_xlpm.q,K32,_xlpm.src,'Converting-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2" s="923">
        <f>IFERROR(IF(OR(B32="Zipper pouch",B32="SUP with zipper"),HELPER!$DE$2*(AH32+AI32)/K32,HELPER!$DE$2*AH32/K32),"Data is missing")</f>
        <v>3.7734071902500001E-4</v>
      </c>
      <c r="AH32" s="923">
        <f t="shared" si="12"/>
        <v>0.62890119837500003</v>
      </c>
      <c r="AI32" s="923" t="str">
        <f>IF(OR(B32="Zipper pouch",B32="SUP with zipper"),HELPER!$DC$2*G32/1000,"")</f>
        <v/>
      </c>
      <c r="AJ32" s="923" cm="1">
        <f t="array" ref="AJ32">IF(INDEX('Laminates- copilot'!$E$6:$E$257,ROUNDUP((ROW()-5)/3,0))+50&gt;IF(O32="Quantum",760,1220),"Width exceeds supplier maximum",IFERROR(AF32+AG32+N(AI32)+AH32*G32/1000/MAX(1,MIN(MAX(2,INT(900/INDEX('Laminates- copilot'!$E$6:$E$257,ROUNDUP((ROW()-5)/3,0)))),INT((IF(O32="Quantum",760,1220)-50)/INDEX('Laminates- copilot'!$E$6:$E$257,ROUNDUP((ROW()-5)/3,0))))),"Data is missing"))</f>
        <v>0.31222861751991116</v>
      </c>
      <c r="AK32" s="203">
        <f t="shared" si="13"/>
        <v>416.30482335988154</v>
      </c>
      <c r="AL32" t="str">
        <f t="shared" si="14"/>
        <v>PASS</v>
      </c>
      <c r="AM32" s="50" t="str">
        <f t="shared" si="15"/>
        <v/>
      </c>
    </row>
    <row r="33" spans="1:39" hidden="1">
      <c r="A33" t="s">
        <v>1661</v>
      </c>
      <c r="B33" t="s">
        <v>251</v>
      </c>
      <c r="C33" s="50" t="s">
        <v>1627</v>
      </c>
      <c r="D33">
        <f>'Laminates- copilot'!B15</f>
        <v>120</v>
      </c>
      <c r="E33" s="858">
        <f>'Laminates- copilot'!D15</f>
        <v>98</v>
      </c>
      <c r="F33" s="858">
        <v>350</v>
      </c>
      <c r="G33" s="858">
        <v>500</v>
      </c>
      <c r="H33" s="858">
        <v>100</v>
      </c>
      <c r="I33" s="858">
        <v>0</v>
      </c>
      <c r="J33" s="858">
        <v>900</v>
      </c>
      <c r="K33" s="858">
        <v>1600000</v>
      </c>
      <c r="L33" s="858" t="str">
        <f>'Laminates- copilot'!K15</f>
        <v>Printed</v>
      </c>
      <c r="M33" s="858" t="str">
        <f>'Laminates- copilot'!L15</f>
        <v>1-2</v>
      </c>
      <c r="N33" s="858">
        <f>'Laminates- copilot'!M15</f>
        <v>2</v>
      </c>
      <c r="O33" s="858" t="str">
        <f>'Laminates- copilot'!O15</f>
        <v>Quantum</v>
      </c>
      <c r="P33" s="858" t="str">
        <f>'Laminates- copilot'!N15</f>
        <v>Europe to Europe</v>
      </c>
      <c r="Q33" s="858">
        <f t="shared" si="0"/>
        <v>800000</v>
      </c>
      <c r="R33" s="858">
        <f t="shared" si="1"/>
        <v>800000</v>
      </c>
      <c r="S33" s="858">
        <f>IFERROR('Laminates- copilot'!Q15/'Laminates- copilot'!P15*Q33,"")</f>
        <v>34250.399999999994</v>
      </c>
      <c r="T33" s="203">
        <f>IFERROR('Laminates- copilot'!R15/'Laminates- copilot'!P15*Q33,"")</f>
        <v>944478.68862921</v>
      </c>
      <c r="U33" s="912">
        <f>IFERROR('Laminates- copilot'!S15/'Laminates- copilot'!P15*Q33,"")</f>
        <v>1095595.2788098836</v>
      </c>
      <c r="V33" s="913">
        <f t="shared" si="2"/>
        <v>27.575698054014264</v>
      </c>
      <c r="W33" s="914">
        <f t="shared" si="3"/>
        <v>31.987809742656548</v>
      </c>
      <c r="X33" s="913">
        <f t="shared" si="4"/>
        <v>1.1805983607865125</v>
      </c>
      <c r="Y33" s="913">
        <f t="shared" si="5"/>
        <v>27.575698054014264</v>
      </c>
      <c r="Z33" s="95">
        <f t="shared" si="6"/>
        <v>23358</v>
      </c>
      <c r="AA33" s="50" t="str">
        <f t="shared" si="7"/>
        <v>MOQ OK</v>
      </c>
      <c r="AB33" s="923">
        <f t="shared" si="8"/>
        <v>1.2391424193698406</v>
      </c>
      <c r="AC33" s="924">
        <f t="shared" si="9"/>
        <v>1.437405206469015</v>
      </c>
      <c r="AD33" s="203">
        <f t="shared" si="10"/>
        <v>1982627.870991745</v>
      </c>
      <c r="AE33" s="912">
        <f t="shared" si="11"/>
        <v>2299848.3303504242</v>
      </c>
      <c r="AF33" s="923" cm="1">
        <f t="array" ref="AF33">IF(O33="Quantum",IFERROR(_xlfn.LET(_xlpm.b,_xlfn.SWITCH(LOWER(B33),"zipper bag","Zipper pouch","open bag","Open pouch","sup with zipper","Stand-up pouch","stand-up pouch","Stand-up pouch",B33),_xlpm.w,G33,_xlpm.q,K33,_xlpm.types,'Converting-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missing"),IFERROR(_xlfn.LET(_xlpm.s,O33,_xlpm.b,_xlfn.SWITCH(LOWER(B33),"zipper bag","Zipper pouch","open bag","Open pouch",B33),_xlpm.w,G33,_xlpm.q,K33,_xlpm.src,'Converting-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33" s="923">
        <f>IFERROR(IF(OR(B33="Zipper pouch",B33="SUP with zipper"),HELPER!$DE$2*(AH33+AI33)/K33,HELPER!$DE$2*AH33/K33),"Data is missing")</f>
        <v>4.697243852949422E-4</v>
      </c>
      <c r="AH33" s="923">
        <f t="shared" si="12"/>
        <v>1.1805983607865125</v>
      </c>
      <c r="AI33" s="923">
        <f>IF(OR(B33="Zipper pouch",B33="SUP with zipper"),HELPER!$DC$2*G33/1000,"")</f>
        <v>7.1999999999999995E-2</v>
      </c>
      <c r="AJ33" s="923" cm="1">
        <f t="array" ref="AJ33">IF(INDEX('Laminates- copilot'!$E$6:$E$257,ROUNDUP((ROW()-5)/3,0))+50&gt;IF(O33="Quantum",760,1220),"Width exceeds supplier maximum",IFERROR(AF33+AG33+N(AI33)+AH33*G33/1000/MAX(1,MIN(MAX(2,INT(900/INDEX('Laminates- copilot'!$E$6:$E$257,ROUNDUP((ROW()-5)/3,0)))),INT((IF(O33="Quantum",760,1220)-50)/INDEX('Laminates- copilot'!$E$6:$E$257,ROUNDUP((ROW()-5)/3,0))))),"Data is missing"))</f>
        <v>0.9293568145273805</v>
      </c>
      <c r="AK33" s="203">
        <f t="shared" si="13"/>
        <v>1239.1424193698406</v>
      </c>
      <c r="AL33" t="str">
        <f t="shared" si="14"/>
        <v>PASS</v>
      </c>
      <c r="AM33" s="50" t="str">
        <f t="shared" si="15"/>
        <v/>
      </c>
    </row>
    <row r="34" spans="1:39" hidden="1">
      <c r="A34" t="s">
        <v>1662</v>
      </c>
      <c r="B34" t="s">
        <v>261</v>
      </c>
      <c r="C34" s="50" t="s">
        <v>1627</v>
      </c>
      <c r="D34">
        <f>'Laminates- copilot'!B15</f>
        <v>120</v>
      </c>
      <c r="E34" s="858">
        <f>'Laminates- copilot'!D15</f>
        <v>98</v>
      </c>
      <c r="F34" s="858">
        <v>350</v>
      </c>
      <c r="G34" s="858">
        <v>500</v>
      </c>
      <c r="H34" s="858">
        <v>100</v>
      </c>
      <c r="I34" s="858">
        <v>0</v>
      </c>
      <c r="J34" s="858">
        <v>900</v>
      </c>
      <c r="K34" s="858">
        <v>1600000</v>
      </c>
      <c r="L34" s="858" t="str">
        <f>'Laminates- copilot'!K15</f>
        <v>Printed</v>
      </c>
      <c r="M34" s="858" t="str">
        <f>'Laminates- copilot'!L15</f>
        <v>1-2</v>
      </c>
      <c r="N34" s="858">
        <f>'Laminates- copilot'!M15</f>
        <v>2</v>
      </c>
      <c r="O34" s="858" t="str">
        <f>'Laminates- copilot'!O15</f>
        <v>Quantum</v>
      </c>
      <c r="P34" s="858" t="str">
        <f>'Laminates- copilot'!N15</f>
        <v>Europe to Europe</v>
      </c>
      <c r="Q34" s="858">
        <f t="shared" si="0"/>
        <v>800000</v>
      </c>
      <c r="R34" s="858">
        <f t="shared" si="1"/>
        <v>800000</v>
      </c>
      <c r="S34" s="858">
        <f>IFERROR('Laminates- copilot'!Q15/'Laminates- copilot'!P15*Q34,"")</f>
        <v>34250.399999999994</v>
      </c>
      <c r="T34" s="203">
        <f>IFERROR('Laminates- copilot'!R15/'Laminates- copilot'!P15*Q34,"")</f>
        <v>944478.68862921</v>
      </c>
      <c r="U34" s="912">
        <f>IFERROR('Laminates- copilot'!S15/'Laminates- copilot'!P15*Q34,"")</f>
        <v>1095595.2788098836</v>
      </c>
      <c r="V34" s="913">
        <f t="shared" si="2"/>
        <v>27.575698054014264</v>
      </c>
      <c r="W34" s="914">
        <f t="shared" si="3"/>
        <v>31.987809742656548</v>
      </c>
      <c r="X34" s="913">
        <f t="shared" si="4"/>
        <v>1.1805983607865125</v>
      </c>
      <c r="Y34" s="913">
        <f t="shared" si="5"/>
        <v>27.575698054014264</v>
      </c>
      <c r="Z34" s="95">
        <f t="shared" si="6"/>
        <v>23358</v>
      </c>
      <c r="AA34" s="50" t="str">
        <f t="shared" si="7"/>
        <v>MOQ OK</v>
      </c>
      <c r="AB34" s="923">
        <f t="shared" si="8"/>
        <v>1.1997245425743563</v>
      </c>
      <c r="AC34" s="924">
        <f t="shared" si="9"/>
        <v>1.3916804693862532</v>
      </c>
      <c r="AD34" s="203">
        <f t="shared" si="10"/>
        <v>1919559.2681189701</v>
      </c>
      <c r="AE34" s="912">
        <f t="shared" si="11"/>
        <v>2226688.751018005</v>
      </c>
      <c r="AF34" s="923" cm="1">
        <f t="array" ref="AF34">IF(O34="Quantum",IFERROR(_xlfn.LET(_xlpm.b,_xlfn.SWITCH(LOWER(B34),"zipper bag","Zipper pouch","open bag","Open pouch","sup with zipper","Stand-up pouch","stand-up pouch","Stand-up pouch",B34),_xlpm.w,G34,_xlpm.q,K34,_xlpm.types,'Converting-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missing"),IFERROR(_xlfn.LET(_xlpm.s,O34,_xlpm.b,_xlfn.SWITCH(LOWER(B34),"zipper bag","Zipper pouch","open bag","Open pouch",B34),_xlpm.w,G34,_xlpm.q,K34,_xlpm.src,'Converting-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34" s="923">
        <f>IFERROR(IF(OR(B34="Zipper pouch",B34="SUP with zipper"),HELPER!$DE$2*(AH34+AI34)/K34,HELPER!$DE$2*AH34/K34),"Data is missing")</f>
        <v>4.697243852949422E-4</v>
      </c>
      <c r="AH34" s="923">
        <f t="shared" si="12"/>
        <v>1.1805983607865125</v>
      </c>
      <c r="AI34" s="923">
        <f>IF(OR(B34="Zipper pouch",B34="SUP with zipper"),HELPER!$DC$2*G34/1000,"")</f>
        <v>7.1999999999999995E-2</v>
      </c>
      <c r="AJ34" s="923" cm="1">
        <f t="array" ref="AJ34">IF(INDEX('Laminates- copilot'!$E$6:$E$257,ROUNDUP((ROW()-5)/3,0))+50&gt;IF(O34="Quantum",760,1220),"Width exceeds supplier maximum",IFERROR(AF34+AG34+N(AI34)+AH34*G34/1000/MAX(1,MIN(MAX(2,INT(900/INDEX('Laminates- copilot'!$E$6:$E$257,ROUNDUP((ROW()-5)/3,0)))),INT((IF(O34="Quantum",760,1220)-50)/INDEX('Laminates- copilot'!$E$6:$E$257,ROUNDUP((ROW()-5)/3,0))))),"Data is missing"))</f>
        <v>0.89979340693076726</v>
      </c>
      <c r="AK34" s="203">
        <f t="shared" si="13"/>
        <v>1199.7245425743563</v>
      </c>
      <c r="AL34" t="str">
        <f t="shared" si="14"/>
        <v>PASS</v>
      </c>
      <c r="AM34" s="50" t="str">
        <f t="shared" si="15"/>
        <v/>
      </c>
    </row>
    <row r="35" spans="1:39" hidden="1">
      <c r="A35" t="s">
        <v>1663</v>
      </c>
      <c r="B35" t="s">
        <v>262</v>
      </c>
      <c r="C35" s="50" t="s">
        <v>1627</v>
      </c>
      <c r="D35">
        <f>'Laminates- copilot'!B15</f>
        <v>120</v>
      </c>
      <c r="E35" s="858">
        <f>'Laminates- copilot'!D15</f>
        <v>98</v>
      </c>
      <c r="F35" s="858">
        <v>350</v>
      </c>
      <c r="G35" s="858">
        <v>500</v>
      </c>
      <c r="H35" s="858">
        <v>0</v>
      </c>
      <c r="I35" s="858">
        <v>25</v>
      </c>
      <c r="J35" s="858">
        <v>725</v>
      </c>
      <c r="K35" s="858">
        <v>1600000</v>
      </c>
      <c r="L35" s="858" t="str">
        <f>'Laminates- copilot'!K15</f>
        <v>Printed</v>
      </c>
      <c r="M35" s="858" t="str">
        <f>'Laminates- copilot'!L15</f>
        <v>1-2</v>
      </c>
      <c r="N35" s="858">
        <f>'Laminates- copilot'!M15</f>
        <v>2</v>
      </c>
      <c r="O35" s="858" t="str">
        <f>'Laminates- copilot'!O15</f>
        <v>Quantum</v>
      </c>
      <c r="P35" s="858" t="str">
        <f>'Laminates- copilot'!N15</f>
        <v>Europe to Europe</v>
      </c>
      <c r="Q35" s="858">
        <f t="shared" si="0"/>
        <v>800000</v>
      </c>
      <c r="R35" s="858">
        <f t="shared" si="1"/>
        <v>800000</v>
      </c>
      <c r="S35" s="858">
        <f>IFERROR('Laminates- copilot'!Q15/'Laminates- copilot'!P15*Q35,"")</f>
        <v>34250.399999999994</v>
      </c>
      <c r="T35" s="203">
        <f>IFERROR('Laminates- copilot'!R15/'Laminates- copilot'!P15*Q35,"")</f>
        <v>944478.68862921</v>
      </c>
      <c r="U35" s="912">
        <f>IFERROR('Laminates- copilot'!S15/'Laminates- copilot'!P15*Q35,"")</f>
        <v>1095595.2788098836</v>
      </c>
      <c r="V35" s="913">
        <f t="shared" si="2"/>
        <v>27.575698054014264</v>
      </c>
      <c r="W35" s="914">
        <f t="shared" si="3"/>
        <v>31.987809742656548</v>
      </c>
      <c r="X35" s="913">
        <f t="shared" si="4"/>
        <v>1.1805983607865125</v>
      </c>
      <c r="Y35" s="913">
        <f t="shared" si="5"/>
        <v>27.575698054014264</v>
      </c>
      <c r="Z35" s="95">
        <f t="shared" si="6"/>
        <v>23358</v>
      </c>
      <c r="AA35" s="50" t="str">
        <f t="shared" si="7"/>
        <v>MOQ OK</v>
      </c>
      <c r="AB35" s="923">
        <f t="shared" si="8"/>
        <v>1.0719243560804976</v>
      </c>
      <c r="AC35" s="924">
        <f t="shared" si="9"/>
        <v>1.2434322530533772</v>
      </c>
      <c r="AD35" s="203">
        <f t="shared" si="10"/>
        <v>1715078.9697287963</v>
      </c>
      <c r="AE35" s="912">
        <f t="shared" si="11"/>
        <v>1989491.6048854035</v>
      </c>
      <c r="AF35" s="923" cm="1">
        <f t="array" ref="AF35">IF(O35="Quantum",IFERROR(_xlfn.LET(_xlpm.b,_xlfn.SWITCH(LOWER(B35),"zipper bag","Zipper pouch","open bag","Open pouch","sup with zipper","Stand-up pouch","stand-up pouch","Stand-up pouch",B35),_xlpm.w,G35,_xlpm.q,K35,_xlpm.types,'Converting-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missing"),IFERROR(_xlfn.LET(_xlpm.s,O35,_xlpm.b,_xlfn.SWITCH(LOWER(B35),"zipper bag","Zipper pouch","open bag","Open pouch",B35),_xlpm.w,G35,_xlpm.q,K35,_xlpm.src,'Converting-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35" s="923">
        <f>IFERROR(IF(OR(B35="Zipper pouch",B35="SUP with zipper"),HELPER!$DE$2*(AH35+AI35)/K35,HELPER!$DE$2*AH35/K35),"Data is missing")</f>
        <v>4.4272438529494219E-4</v>
      </c>
      <c r="AH35" s="923">
        <f t="shared" si="12"/>
        <v>1.1805983607865125</v>
      </c>
      <c r="AI35" s="923" t="str">
        <f>IF(OR(B35="Zipper pouch",B35="SUP with zipper"),HELPER!$DC$2*G35/1000,"")</f>
        <v/>
      </c>
      <c r="AJ35" s="923" cm="1">
        <f t="array" ref="AJ35">IF(INDEX('Laminates- copilot'!$E$6:$E$257,ROUNDUP((ROW()-5)/3,0))+50&gt;IF(O35="Quantum",760,1220),"Width exceeds supplier maximum",IFERROR(AF35+AG35+N(AI35)+AH35*G35/1000/MAX(1,MIN(MAX(2,INT(900/INDEX('Laminates- copilot'!$E$6:$E$257,ROUNDUP((ROW()-5)/3,0)))),INT((IF(O35="Quantum",760,1220)-50)/INDEX('Laminates- copilot'!$E$6:$E$257,ROUNDUP((ROW()-5)/3,0))))),"Data is missing"))</f>
        <v>0.80394326706037322</v>
      </c>
      <c r="AK35" s="203">
        <f t="shared" si="13"/>
        <v>1071.9243560804975</v>
      </c>
      <c r="AL35" t="str">
        <f t="shared" si="14"/>
        <v>PASS</v>
      </c>
      <c r="AM35" s="50" t="str">
        <f t="shared" si="15"/>
        <v/>
      </c>
    </row>
    <row r="36" spans="1:39" hidden="1">
      <c r="A36" t="s">
        <v>1664</v>
      </c>
      <c r="B36" t="s">
        <v>251</v>
      </c>
      <c r="C36" s="50" t="s">
        <v>2203</v>
      </c>
      <c r="D36">
        <f>'Laminates- copilot'!B16</f>
        <v>418</v>
      </c>
      <c r="E36" s="858">
        <f>'Laminates- copilot'!D16</f>
        <v>51</v>
      </c>
      <c r="F36" s="858">
        <v>100</v>
      </c>
      <c r="G36" s="858">
        <v>100</v>
      </c>
      <c r="H36" s="858">
        <v>20</v>
      </c>
      <c r="I36" s="858">
        <v>0</v>
      </c>
      <c r="J36" s="858">
        <v>240</v>
      </c>
      <c r="K36" s="858">
        <v>25000</v>
      </c>
      <c r="L36" s="858" t="str">
        <f>'Laminates- copilot'!K16</f>
        <v>Not Printed</v>
      </c>
      <c r="M36" s="858" t="str">
        <f>'Laminates- copilot'!L16</f>
        <v>0</v>
      </c>
      <c r="N36" s="858">
        <f>'Laminates- copilot'!M16</f>
        <v>1</v>
      </c>
      <c r="O36" s="858" t="str">
        <f>'Laminates- copilot'!O16</f>
        <v>Marma</v>
      </c>
      <c r="P36" s="858" t="str">
        <f>'Laminates- copilot'!N16</f>
        <v>Europe to Europe</v>
      </c>
      <c r="Q36" s="858">
        <f t="shared" si="0"/>
        <v>2500</v>
      </c>
      <c r="R36" s="858">
        <f t="shared" si="1"/>
        <v>2500</v>
      </c>
      <c r="S36" s="858">
        <f>IFERROR('Laminates- copilot'!Q16/'Laminates- copilot'!P16*Q36,"")</f>
        <v>20.211000000000002</v>
      </c>
      <c r="T36" s="203">
        <f>IFERROR('Laminates- copilot'!R16/'Laminates- copilot'!P16*Q36,"")</f>
        <v>224.84503765484831</v>
      </c>
      <c r="U36" s="912">
        <f>IFERROR('Laminates- copilot'!S16/'Laminates- copilot'!P16*Q36,"")</f>
        <v>260.82024367962401</v>
      </c>
      <c r="V36" s="913">
        <f t="shared" si="2"/>
        <v>11.124884352820162</v>
      </c>
      <c r="W36" s="914">
        <f t="shared" si="3"/>
        <v>12.904865849271387</v>
      </c>
      <c r="X36" s="913">
        <f t="shared" si="4"/>
        <v>8.9938015061939325E-2</v>
      </c>
      <c r="Y36" s="913">
        <f t="shared" si="5"/>
        <v>11.124884352820162</v>
      </c>
      <c r="Z36" s="95">
        <f t="shared" si="6"/>
        <v>618476</v>
      </c>
      <c r="AA36" s="50" t="str">
        <f t="shared" si="7"/>
        <v>Below MOQ by 593,476 bags</v>
      </c>
      <c r="AB36" s="923">
        <f t="shared" si="8"/>
        <v>7.5182675665908472E-2</v>
      </c>
      <c r="AC36" s="924">
        <f t="shared" si="9"/>
        <v>8.7211903772453817E-2</v>
      </c>
      <c r="AD36" s="203">
        <f t="shared" si="10"/>
        <v>1879.5668916477118</v>
      </c>
      <c r="AE36" s="912">
        <f t="shared" si="11"/>
        <v>2180.2975943113456</v>
      </c>
      <c r="AF36" s="923" cm="1">
        <f t="array" ref="AF36">IF(O36="Quantum",IFERROR(_xlfn.LET(_xlpm.b,_xlfn.SWITCH(LOWER(B36),"zipper bag","Zipper pouch","open bag","Open pouch","sup with zipper","Stand-up pouch","stand-up pouch","Stand-up pouch",B36),_xlpm.w,G36,_xlpm.q,K36,_xlpm.types,'Converting-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missing"),IFERROR(_xlfn.LET(_xlpm.s,O36,_xlpm.b,_xlfn.SWITCH(LOWER(B36),"zipper bag","Zipper pouch","open bag","Open pouch",B36),_xlpm.w,G36,_xlpm.q,K36,_xlpm.src,'Converting-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6" s="923">
        <f>IFERROR(IF(OR(B36="Zipper pouch",B36="SUP with zipper"),HELPER!$DE$2*(AH36+AI36)/K36,HELPER!$DE$2*AH36/K36),"Data is missing")</f>
        <v>2.504112361486544E-3</v>
      </c>
      <c r="AH36" s="923">
        <f t="shared" si="12"/>
        <v>8.9938015061939325E-2</v>
      </c>
      <c r="AI36" s="923">
        <f>IF(OR(B36="Zipper pouch",B36="SUP with zipper"),HELPER!$DC$2*G36/1000,"")</f>
        <v>1.4399999999999998E-2</v>
      </c>
      <c r="AJ36" s="923" cm="1">
        <f t="array" ref="AJ36">IF(INDEX('Laminates- copilot'!$E$6:$E$257,ROUNDUP((ROW()-5)/3,0))+50&gt;IF(O36="Quantum",760,1220),"Width exceeds supplier maximum",IFERROR(AF36+AG36+N(AI36)+AH36*G36/1000/MAX(1,MIN(MAX(2,INT(900/INDEX('Laminates- copilot'!$E$6:$E$257,ROUNDUP((ROW()-5)/3,0)))),INT((IF(O36="Quantum",760,1220)-50)/INDEX('Laminates- copilot'!$E$6:$E$257,ROUNDUP((ROW()-5)/3,0))))),"Data is missing"))</f>
        <v>5.6387006749431354E-2</v>
      </c>
      <c r="AK36" s="203">
        <f t="shared" si="13"/>
        <v>75.182675665908477</v>
      </c>
      <c r="AL36" t="str">
        <f t="shared" si="14"/>
        <v>PASS</v>
      </c>
      <c r="AM36" s="50" t="str">
        <f t="shared" si="15"/>
        <v/>
      </c>
    </row>
    <row r="37" spans="1:39" hidden="1">
      <c r="A37" t="s">
        <v>1665</v>
      </c>
      <c r="B37" t="s">
        <v>261</v>
      </c>
      <c r="C37" s="50" t="s">
        <v>2203</v>
      </c>
      <c r="D37">
        <f>'Laminates- copilot'!B16</f>
        <v>418</v>
      </c>
      <c r="E37" s="858">
        <f>'Laminates- copilot'!D16</f>
        <v>51</v>
      </c>
      <c r="F37" s="858">
        <v>100</v>
      </c>
      <c r="G37" s="858">
        <v>100</v>
      </c>
      <c r="H37" s="858">
        <v>20</v>
      </c>
      <c r="I37" s="858">
        <v>0</v>
      </c>
      <c r="J37" s="858">
        <v>240</v>
      </c>
      <c r="K37" s="858">
        <v>25000</v>
      </c>
      <c r="L37" s="858" t="str">
        <f>'Laminates- copilot'!K16</f>
        <v>Not Printed</v>
      </c>
      <c r="M37" s="858" t="str">
        <f>'Laminates- copilot'!L16</f>
        <v>0</v>
      </c>
      <c r="N37" s="858">
        <f>'Laminates- copilot'!M16</f>
        <v>1</v>
      </c>
      <c r="O37" s="858" t="str">
        <f>'Laminates- copilot'!O16</f>
        <v>Marma</v>
      </c>
      <c r="P37" s="858" t="str">
        <f>'Laminates- copilot'!N16</f>
        <v>Europe to Europe</v>
      </c>
      <c r="Q37" s="858">
        <f t="shared" si="0"/>
        <v>2500</v>
      </c>
      <c r="R37" s="858">
        <f t="shared" si="1"/>
        <v>2500</v>
      </c>
      <c r="S37" s="858">
        <f>IFERROR('Laminates- copilot'!Q16/'Laminates- copilot'!P16*Q37,"")</f>
        <v>20.211000000000002</v>
      </c>
      <c r="T37" s="203">
        <f>IFERROR('Laminates- copilot'!R16/'Laminates- copilot'!P16*Q37,"")</f>
        <v>224.84503765484831</v>
      </c>
      <c r="U37" s="912">
        <f>IFERROR('Laminates- copilot'!S16/'Laminates- copilot'!P16*Q37,"")</f>
        <v>260.82024367962401</v>
      </c>
      <c r="V37" s="913">
        <f t="shared" si="2"/>
        <v>11.124884352820162</v>
      </c>
      <c r="W37" s="914">
        <f t="shared" si="3"/>
        <v>12.904865849271387</v>
      </c>
      <c r="X37" s="913">
        <f t="shared" si="4"/>
        <v>8.9938015061939325E-2</v>
      </c>
      <c r="Y37" s="913">
        <f t="shared" si="5"/>
        <v>11.124884352820162</v>
      </c>
      <c r="Z37" s="95">
        <f t="shared" si="6"/>
        <v>618476</v>
      </c>
      <c r="AA37" s="50" t="str">
        <f t="shared" si="7"/>
        <v>Below MOQ by 593,476 bags</v>
      </c>
      <c r="AB37" s="923">
        <f t="shared" si="8"/>
        <v>7.1757337337290075E-2</v>
      </c>
      <c r="AC37" s="924">
        <f t="shared" si="9"/>
        <v>8.323851131125648E-2</v>
      </c>
      <c r="AD37" s="203">
        <f t="shared" si="10"/>
        <v>1793.9334334322518</v>
      </c>
      <c r="AE37" s="912">
        <f t="shared" si="11"/>
        <v>2080.962782781412</v>
      </c>
      <c r="AF37" s="923" cm="1">
        <f t="array" ref="AF37">IF(O37="Quantum",IFERROR(_xlfn.LET(_xlpm.b,_xlfn.SWITCH(LOWER(B37),"zipper bag","Zipper pouch","open bag","Open pouch","sup with zipper","Stand-up pouch","stand-up pouch","Stand-up pouch",B37),_xlpm.w,G37,_xlpm.q,K37,_xlpm.types,'Converting-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missing"),IFERROR(_xlfn.LET(_xlpm.s,O37,_xlpm.b,_xlfn.SWITCH(LOWER(B37),"zipper bag","Zipper pouch","open bag","Open pouch",B37),_xlpm.w,G37,_xlpm.q,K37,_xlpm.src,'Converting-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7" s="923">
        <f>IFERROR(IF(OR(B37="Zipper pouch",B37="SUP with zipper"),HELPER!$DE$2*(AH37+AI37)/K37,HELPER!$DE$2*AH37/K37),"Data is missing")</f>
        <v>2.504112361486544E-3</v>
      </c>
      <c r="AH37" s="923">
        <f t="shared" si="12"/>
        <v>8.9938015061939325E-2</v>
      </c>
      <c r="AI37" s="923">
        <f>IF(OR(B37="Zipper pouch",B37="SUP with zipper"),HELPER!$DC$2*G37/1000,"")</f>
        <v>1.4399999999999998E-2</v>
      </c>
      <c r="AJ37" s="923" cm="1">
        <f t="array" ref="AJ37">IF(INDEX('Laminates- copilot'!$E$6:$E$257,ROUNDUP((ROW()-5)/3,0))+50&gt;IF(O37="Quantum",760,1220),"Width exceeds supplier maximum",IFERROR(AF37+AG37+N(AI37)+AH37*G37/1000/MAX(1,MIN(MAX(2,INT(900/INDEX('Laminates- copilot'!$E$6:$E$257,ROUNDUP((ROW()-5)/3,0)))),INT((IF(O37="Quantum",760,1220)-50)/INDEX('Laminates- copilot'!$E$6:$E$257,ROUNDUP((ROW()-5)/3,0))))),"Data is missing"))</f>
        <v>5.3818003002967553E-2</v>
      </c>
      <c r="AK37" s="203">
        <f t="shared" si="13"/>
        <v>71.757337337290082</v>
      </c>
      <c r="AL37" t="str">
        <f t="shared" si="14"/>
        <v>PASS</v>
      </c>
      <c r="AM37" s="50" t="str">
        <f t="shared" si="15"/>
        <v/>
      </c>
    </row>
    <row r="38" spans="1:39" hidden="1">
      <c r="A38" t="s">
        <v>1666</v>
      </c>
      <c r="B38" t="s">
        <v>262</v>
      </c>
      <c r="C38" s="50" t="s">
        <v>2203</v>
      </c>
      <c r="D38">
        <f>'Laminates- copilot'!B16</f>
        <v>418</v>
      </c>
      <c r="E38" s="858">
        <f>'Laminates- copilot'!D16</f>
        <v>51</v>
      </c>
      <c r="F38" s="858">
        <v>100</v>
      </c>
      <c r="G38" s="858">
        <v>100</v>
      </c>
      <c r="H38" s="858">
        <v>0</v>
      </c>
      <c r="I38" s="858">
        <v>0</v>
      </c>
      <c r="J38" s="858">
        <v>200</v>
      </c>
      <c r="K38" s="858">
        <v>25000</v>
      </c>
      <c r="L38" s="858" t="str">
        <f>'Laminates- copilot'!K16</f>
        <v>Not Printed</v>
      </c>
      <c r="M38" s="858" t="str">
        <f>'Laminates- copilot'!L16</f>
        <v>0</v>
      </c>
      <c r="N38" s="858">
        <f>'Laminates- copilot'!M16</f>
        <v>1</v>
      </c>
      <c r="O38" s="858" t="str">
        <f>'Laminates- copilot'!O16</f>
        <v>Marma</v>
      </c>
      <c r="P38" s="858" t="str">
        <f>'Laminates- copilot'!N16</f>
        <v>Europe to Europe</v>
      </c>
      <c r="Q38" s="858">
        <f t="shared" si="0"/>
        <v>2500</v>
      </c>
      <c r="R38" s="858">
        <f t="shared" si="1"/>
        <v>2500</v>
      </c>
      <c r="S38" s="858">
        <f>IFERROR('Laminates- copilot'!Q16/'Laminates- copilot'!P16*Q38,"")</f>
        <v>20.211000000000002</v>
      </c>
      <c r="T38" s="203">
        <f>IFERROR('Laminates- copilot'!R16/'Laminates- copilot'!P16*Q38,"")</f>
        <v>224.84503765484831</v>
      </c>
      <c r="U38" s="912">
        <f>IFERROR('Laminates- copilot'!S16/'Laminates- copilot'!P16*Q38,"")</f>
        <v>260.82024367962401</v>
      </c>
      <c r="V38" s="913">
        <f t="shared" si="2"/>
        <v>11.124884352820162</v>
      </c>
      <c r="W38" s="914">
        <f t="shared" si="3"/>
        <v>12.904865849271387</v>
      </c>
      <c r="X38" s="913">
        <f t="shared" si="4"/>
        <v>8.9938015061939325E-2</v>
      </c>
      <c r="Y38" s="913">
        <f t="shared" si="5"/>
        <v>11.124884352820162</v>
      </c>
      <c r="Z38" s="95">
        <f t="shared" si="6"/>
        <v>618476</v>
      </c>
      <c r="AA38" s="50" t="str">
        <f t="shared" si="7"/>
        <v>Below MOQ by 593,476 bags</v>
      </c>
      <c r="AB38" s="923">
        <f t="shared" si="8"/>
        <v>4.8325932989424454E-2</v>
      </c>
      <c r="AC38" s="924">
        <f t="shared" si="9"/>
        <v>5.6058082267732366E-2</v>
      </c>
      <c r="AD38" s="203">
        <f t="shared" si="10"/>
        <v>1208.1483247356114</v>
      </c>
      <c r="AE38" s="912">
        <f t="shared" si="11"/>
        <v>1401.452056693309</v>
      </c>
      <c r="AF38" s="923" cm="1">
        <f t="array" ref="AF38">IF(O38="Quantum",IFERROR(_xlfn.LET(_xlpm.b,_xlfn.SWITCH(LOWER(B38),"zipper bag","Zipper pouch","open bag","Open pouch","sup with zipper","Stand-up pouch","stand-up pouch","Stand-up pouch",B38),_xlpm.w,G38,_xlpm.q,K38,_xlpm.types,'Converting-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missing"),IFERROR(_xlfn.LET(_xlpm.s,O38,_xlpm.b,_xlfn.SWITCH(LOWER(B38),"zipper bag","Zipper pouch","open bag","Open pouch",B38),_xlpm.w,G38,_xlpm.q,K38,_xlpm.src,'Converting-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8" s="923">
        <f>IFERROR(IF(OR(B38="Zipper pouch",B38="SUP with zipper"),HELPER!$DE$2*(AH38+AI38)/K38,HELPER!$DE$2*AH38/K38),"Data is missing")</f>
        <v>2.1585123614865438E-3</v>
      </c>
      <c r="AH38" s="923">
        <f t="shared" si="12"/>
        <v>8.9938015061939325E-2</v>
      </c>
      <c r="AI38" s="923" t="str">
        <f>IF(OR(B38="Zipper pouch",B38="SUP with zipper"),HELPER!$DC$2*G38/1000,"")</f>
        <v/>
      </c>
      <c r="AJ38" s="923" cm="1">
        <f t="array" ref="AJ38">IF(INDEX('Laminates- copilot'!$E$6:$E$257,ROUNDUP((ROW()-5)/3,0))+50&gt;IF(O38="Quantum",760,1220),"Width exceeds supplier maximum",IFERROR(AF38+AG38+N(AI38)+AH38*G38/1000/MAX(1,MIN(MAX(2,INT(900/INDEX('Laminates- copilot'!$E$6:$E$257,ROUNDUP((ROW()-5)/3,0)))),INT((IF(O38="Quantum",760,1220)-50)/INDEX('Laminates- copilot'!$E$6:$E$257,ROUNDUP((ROW()-5)/3,0))))),"Data is missing"))</f>
        <v>3.6244449742068342E-2</v>
      </c>
      <c r="AK38" s="203">
        <f t="shared" si="13"/>
        <v>48.325932989424452</v>
      </c>
      <c r="AL38" t="str">
        <f t="shared" si="14"/>
        <v>PASS</v>
      </c>
      <c r="AM38" s="50" t="str">
        <f t="shared" si="15"/>
        <v/>
      </c>
    </row>
    <row r="39" spans="1:39" hidden="1">
      <c r="A39" t="s">
        <v>1667</v>
      </c>
      <c r="B39" t="s">
        <v>251</v>
      </c>
      <c r="C39" s="50" t="s">
        <v>2204</v>
      </c>
      <c r="D39">
        <f>'Laminates- copilot'!B17</f>
        <v>418</v>
      </c>
      <c r="E39" s="858">
        <f>'Laminates- copilot'!D17</f>
        <v>51</v>
      </c>
      <c r="F39" s="858">
        <v>150</v>
      </c>
      <c r="G39" s="858">
        <v>150</v>
      </c>
      <c r="H39" s="858">
        <v>25</v>
      </c>
      <c r="I39" s="858">
        <v>0</v>
      </c>
      <c r="J39" s="858">
        <v>350</v>
      </c>
      <c r="K39" s="858">
        <v>25000</v>
      </c>
      <c r="L39" s="858" t="str">
        <f>'Laminates- copilot'!K17</f>
        <v>Printed</v>
      </c>
      <c r="M39" s="858" t="str">
        <f>'Laminates- copilot'!L17</f>
        <v>1-2</v>
      </c>
      <c r="N39" s="858">
        <f>'Laminates- copilot'!M17</f>
        <v>1</v>
      </c>
      <c r="O39" s="858" t="str">
        <f>'Laminates- copilot'!O17</f>
        <v>Bastin</v>
      </c>
      <c r="P39" s="858" t="str">
        <f>'Laminates- copilot'!N17</f>
        <v>Europe to US</v>
      </c>
      <c r="Q39" s="858">
        <f t="shared" si="0"/>
        <v>3750</v>
      </c>
      <c r="R39" s="858">
        <f t="shared" si="1"/>
        <v>3750</v>
      </c>
      <c r="S39" s="858">
        <f>IFERROR('Laminates- copilot'!Q17/'Laminates- copilot'!P17*Q39,"")</f>
        <v>30.316500000000001</v>
      </c>
      <c r="T39" s="203">
        <f>IFERROR('Laminates- copilot'!R17/'Laminates- copilot'!P17*Q39,"")</f>
        <v>16239.40613738337</v>
      </c>
      <c r="U39" s="912">
        <f>IFERROR('Laminates- copilot'!S17/'Laminates- copilot'!P17*Q39,"")</f>
        <v>18837.711119364707</v>
      </c>
      <c r="V39" s="913">
        <f t="shared" si="2"/>
        <v>535.66230064101626</v>
      </c>
      <c r="W39" s="914">
        <f t="shared" si="3"/>
        <v>621.36826874357882</v>
      </c>
      <c r="X39" s="913">
        <f t="shared" si="4"/>
        <v>4.3305083033022322</v>
      </c>
      <c r="Y39" s="913">
        <f t="shared" si="5"/>
        <v>535.66230064101626</v>
      </c>
      <c r="Z39" s="95">
        <f t="shared" si="6"/>
        <v>412317</v>
      </c>
      <c r="AA39" s="50" t="str">
        <f t="shared" si="7"/>
        <v>Below MOQ by 387,317 bags</v>
      </c>
      <c r="AB39" s="923">
        <f t="shared" si="8"/>
        <v>0.36707649117361757</v>
      </c>
      <c r="AC39" s="924">
        <f t="shared" si="9"/>
        <v>0.42580872976139633</v>
      </c>
      <c r="AD39" s="203">
        <f t="shared" si="10"/>
        <v>9176.9122793404385</v>
      </c>
      <c r="AE39" s="912">
        <f t="shared" si="11"/>
        <v>10645.218244034908</v>
      </c>
      <c r="AF39" s="923" cm="1">
        <f t="array" ref="AF39">IF(O39="Quantum",IFERROR(_xlfn.LET(_xlpm.b,_xlfn.SWITCH(LOWER(B39),"zipper bag","Zipper pouch","open bag","Open pouch","sup with zipper","Stand-up pouch","stand-up pouch","Stand-up pouch",B39),_xlpm.w,G39,_xlpm.q,K39,_xlpm.types,'Converting-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missing"),IFERROR(_xlfn.LET(_xlpm.s,O39,_xlpm.b,_xlfn.SWITCH(LOWER(B39),"zipper bag","Zipper pouch","open bag","Open pouch",B39),_xlpm.w,G39,_xlpm.q,K39,_xlpm.src,'Converting-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9" s="923">
        <f>IFERROR(IF(OR(B39="Zipper pouch",B39="SUP with zipper"),HELPER!$DE$2*(AH39+AI39)/K39,HELPER!$DE$2*AH39/K39),"Data is missing")</f>
        <v>0.10445059927925358</v>
      </c>
      <c r="AH39" s="923">
        <f t="shared" si="12"/>
        <v>4.3305083033022322</v>
      </c>
      <c r="AI39" s="923">
        <f>IF(OR(B39="Zipper pouch",B39="SUP with zipper"),HELPER!$DC$2*G39/1000,"")</f>
        <v>2.1599999999999998E-2</v>
      </c>
      <c r="AJ39" s="923" cm="1">
        <f t="array" ref="AJ39">IF(INDEX('Laminates- copilot'!$E$6:$E$257,ROUNDUP((ROW()-5)/3,0))+50&gt;IF(O39="Quantum",760,1220),"Width exceeds supplier maximum",IFERROR(AF39+AG39+N(AI39)+AH39*G39/1000/MAX(1,MIN(MAX(2,INT(900/INDEX('Laminates- copilot'!$E$6:$E$257,ROUNDUP((ROW()-5)/3,0)))),INT((IF(O39="Quantum",760,1220)-50)/INDEX('Laminates- copilot'!$E$6:$E$257,ROUNDUP((ROW()-5)/3,0))))),"Data is missing"))</f>
        <v>0.27530736838021319</v>
      </c>
      <c r="AK39" s="203">
        <f t="shared" si="13"/>
        <v>367.07649117361757</v>
      </c>
      <c r="AL39" t="str">
        <f t="shared" si="14"/>
        <v>PASS</v>
      </c>
      <c r="AM39" s="50" t="str">
        <f t="shared" si="15"/>
        <v/>
      </c>
    </row>
    <row r="40" spans="1:39" hidden="1">
      <c r="A40" t="s">
        <v>1668</v>
      </c>
      <c r="B40" t="s">
        <v>261</v>
      </c>
      <c r="C40" s="50" t="s">
        <v>2204</v>
      </c>
      <c r="D40">
        <f>'Laminates- copilot'!B17</f>
        <v>418</v>
      </c>
      <c r="E40" s="858">
        <f>'Laminates- copilot'!D17</f>
        <v>51</v>
      </c>
      <c r="F40" s="858">
        <v>150</v>
      </c>
      <c r="G40" s="858">
        <v>150</v>
      </c>
      <c r="H40" s="858">
        <v>25</v>
      </c>
      <c r="I40" s="858">
        <v>0</v>
      </c>
      <c r="J40" s="858">
        <v>350</v>
      </c>
      <c r="K40" s="858">
        <v>25000</v>
      </c>
      <c r="L40" s="858" t="str">
        <f>'Laminates- copilot'!K17</f>
        <v>Printed</v>
      </c>
      <c r="M40" s="858" t="str">
        <f>'Laminates- copilot'!L17</f>
        <v>1-2</v>
      </c>
      <c r="N40" s="858">
        <f>'Laminates- copilot'!M17</f>
        <v>1</v>
      </c>
      <c r="O40" s="858" t="str">
        <f>'Laminates- copilot'!O17</f>
        <v>Bastin</v>
      </c>
      <c r="P40" s="858" t="str">
        <f>'Laminates- copilot'!N17</f>
        <v>Europe to US</v>
      </c>
      <c r="Q40" s="858">
        <f t="shared" si="0"/>
        <v>3750</v>
      </c>
      <c r="R40" s="858">
        <f t="shared" si="1"/>
        <v>3750</v>
      </c>
      <c r="S40" s="858">
        <f>IFERROR('Laminates- copilot'!Q17/'Laminates- copilot'!P17*Q40,"")</f>
        <v>30.316500000000001</v>
      </c>
      <c r="T40" s="203">
        <f>IFERROR('Laminates- copilot'!R17/'Laminates- copilot'!P17*Q40,"")</f>
        <v>16239.40613738337</v>
      </c>
      <c r="U40" s="912">
        <f>IFERROR('Laminates- copilot'!S17/'Laminates- copilot'!P17*Q40,"")</f>
        <v>18837.711119364707</v>
      </c>
      <c r="V40" s="913">
        <f t="shared" si="2"/>
        <v>535.66230064101626</v>
      </c>
      <c r="W40" s="914">
        <f t="shared" si="3"/>
        <v>621.36826874357882</v>
      </c>
      <c r="X40" s="913">
        <f t="shared" si="4"/>
        <v>4.3305083033022322</v>
      </c>
      <c r="Y40" s="913">
        <f t="shared" si="5"/>
        <v>535.66230064101626</v>
      </c>
      <c r="Z40" s="95">
        <f t="shared" si="6"/>
        <v>412317</v>
      </c>
      <c r="AA40" s="50" t="str">
        <f t="shared" si="7"/>
        <v>Below MOQ by 387,317 bags</v>
      </c>
      <c r="AB40" s="923">
        <f t="shared" si="8"/>
        <v>0.36191108097406105</v>
      </c>
      <c r="AC40" s="924">
        <f t="shared" si="9"/>
        <v>0.4198168539299108</v>
      </c>
      <c r="AD40" s="203">
        <f t="shared" si="10"/>
        <v>9047.7770243515261</v>
      </c>
      <c r="AE40" s="912">
        <f t="shared" si="11"/>
        <v>10495.42134824777</v>
      </c>
      <c r="AF40" s="923" cm="1">
        <f t="array" ref="AF40">IF(O40="Quantum",IFERROR(_xlfn.LET(_xlpm.b,_xlfn.SWITCH(LOWER(B40),"zipper bag","Zipper pouch","open bag","Open pouch","sup with zipper","Stand-up pouch","stand-up pouch","Stand-up pouch",B40),_xlpm.w,G40,_xlpm.q,K40,_xlpm.types,'Converting-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missing"),IFERROR(_xlfn.LET(_xlpm.s,O40,_xlpm.b,_xlfn.SWITCH(LOWER(B40),"zipper bag","Zipper pouch","open bag","Open pouch",B40),_xlpm.w,G40,_xlpm.q,K40,_xlpm.src,'Converting-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0" s="923">
        <f>IFERROR(IF(OR(B40="Zipper pouch",B40="SUP with zipper"),HELPER!$DE$2*(AH40+AI40)/K40,HELPER!$DE$2*AH40/K40),"Data is missing")</f>
        <v>0.10445059927925358</v>
      </c>
      <c r="AH40" s="923">
        <f t="shared" si="12"/>
        <v>4.3305083033022322</v>
      </c>
      <c r="AI40" s="923">
        <f>IF(OR(B40="Zipper pouch",B40="SUP with zipper"),HELPER!$DC$2*G40/1000,"")</f>
        <v>2.1599999999999998E-2</v>
      </c>
      <c r="AJ40" s="923" cm="1">
        <f t="array" ref="AJ40">IF(INDEX('Laminates- copilot'!$E$6:$E$257,ROUNDUP((ROW()-5)/3,0))+50&gt;IF(O40="Quantum",760,1220),"Width exceeds supplier maximum",IFERROR(AF40+AG40+N(AI40)+AH40*G40/1000/MAX(1,MIN(MAX(2,INT(900/INDEX('Laminates- copilot'!$E$6:$E$257,ROUNDUP((ROW()-5)/3,0)))),INT((IF(O40="Quantum",760,1220)-50)/INDEX('Laminates- copilot'!$E$6:$E$257,ROUNDUP((ROW()-5)/3,0))))),"Data is missing"))</f>
        <v>0.27143331073054577</v>
      </c>
      <c r="AK40" s="203">
        <f t="shared" si="13"/>
        <v>361.91108097406106</v>
      </c>
      <c r="AL40" t="str">
        <f t="shared" si="14"/>
        <v>PASS</v>
      </c>
      <c r="AM40" s="50" t="str">
        <f t="shared" si="15"/>
        <v/>
      </c>
    </row>
    <row r="41" spans="1:39" hidden="1">
      <c r="A41" t="s">
        <v>1669</v>
      </c>
      <c r="B41" t="s">
        <v>262</v>
      </c>
      <c r="C41" s="50" t="s">
        <v>2204</v>
      </c>
      <c r="D41">
        <f>'Laminates- copilot'!B17</f>
        <v>418</v>
      </c>
      <c r="E41" s="858">
        <f>'Laminates- copilot'!D17</f>
        <v>51</v>
      </c>
      <c r="F41" s="858">
        <v>150</v>
      </c>
      <c r="G41" s="858">
        <v>150</v>
      </c>
      <c r="H41" s="858">
        <v>0</v>
      </c>
      <c r="I41" s="858">
        <v>0</v>
      </c>
      <c r="J41" s="858">
        <v>300</v>
      </c>
      <c r="K41" s="858">
        <v>25000</v>
      </c>
      <c r="L41" s="858" t="str">
        <f>'Laminates- copilot'!K17</f>
        <v>Printed</v>
      </c>
      <c r="M41" s="858" t="str">
        <f>'Laminates- copilot'!L17</f>
        <v>1-2</v>
      </c>
      <c r="N41" s="858">
        <f>'Laminates- copilot'!M17</f>
        <v>1</v>
      </c>
      <c r="O41" s="858" t="str">
        <f>'Laminates- copilot'!O17</f>
        <v>Bastin</v>
      </c>
      <c r="P41" s="858" t="str">
        <f>'Laminates- copilot'!N17</f>
        <v>Europe to US</v>
      </c>
      <c r="Q41" s="858">
        <f t="shared" si="0"/>
        <v>3750</v>
      </c>
      <c r="R41" s="858">
        <f t="shared" si="1"/>
        <v>3750</v>
      </c>
      <c r="S41" s="858">
        <f>IFERROR('Laminates- copilot'!Q17/'Laminates- copilot'!P17*Q41,"")</f>
        <v>30.316500000000001</v>
      </c>
      <c r="T41" s="203">
        <f>IFERROR('Laminates- copilot'!R17/'Laminates- copilot'!P17*Q41,"")</f>
        <v>16239.40613738337</v>
      </c>
      <c r="U41" s="912">
        <f>IFERROR('Laminates- copilot'!S17/'Laminates- copilot'!P17*Q41,"")</f>
        <v>18837.711119364707</v>
      </c>
      <c r="V41" s="913">
        <f t="shared" si="2"/>
        <v>535.66230064101626</v>
      </c>
      <c r="W41" s="914">
        <f t="shared" si="3"/>
        <v>621.36826874357882</v>
      </c>
      <c r="X41" s="913">
        <f t="shared" si="4"/>
        <v>4.3305083033022322</v>
      </c>
      <c r="Y41" s="913">
        <f t="shared" si="5"/>
        <v>535.66230064101626</v>
      </c>
      <c r="Z41" s="95">
        <f t="shared" si="6"/>
        <v>412317</v>
      </c>
      <c r="AA41" s="50" t="str">
        <f t="shared" si="7"/>
        <v>Below MOQ by 387,317 bags</v>
      </c>
      <c r="AB41" s="923">
        <f t="shared" si="8"/>
        <v>0.32658584213780484</v>
      </c>
      <c r="AC41" s="924">
        <f t="shared" si="9"/>
        <v>0.37883957687985359</v>
      </c>
      <c r="AD41" s="203">
        <f t="shared" si="10"/>
        <v>8164.6460534451207</v>
      </c>
      <c r="AE41" s="912">
        <f t="shared" si="11"/>
        <v>9470.9894219963389</v>
      </c>
      <c r="AF41" s="923" cm="1">
        <f t="array" ref="AF41">IF(O41="Quantum",IFERROR(_xlfn.LET(_xlpm.b,_xlfn.SWITCH(LOWER(B41),"zipper bag","Zipper pouch","open bag","Open pouch","sup with zipper","Stand-up pouch","stand-up pouch","Stand-up pouch",B41),_xlpm.w,G41,_xlpm.q,K41,_xlpm.types,'Converting-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missing"),IFERROR(_xlfn.LET(_xlpm.s,O41,_xlpm.b,_xlfn.SWITCH(LOWER(B41),"zipper bag","Zipper pouch","open bag","Open pouch",B41),_xlpm.w,G41,_xlpm.q,K41,_xlpm.src,'Converting-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1" s="923">
        <f>IFERROR(IF(OR(B41="Zipper pouch",B41="SUP with zipper"),HELPER!$DE$2*(AH41+AI41)/K41,HELPER!$DE$2*AH41/K41),"Data is missing")</f>
        <v>0.10393219927925358</v>
      </c>
      <c r="AH41" s="923">
        <f t="shared" si="12"/>
        <v>4.3305083033022322</v>
      </c>
      <c r="AI41" s="923" t="str">
        <f>IF(OR(B41="Zipper pouch",B41="SUP with zipper"),HELPER!$DC$2*G41/1000,"")</f>
        <v/>
      </c>
      <c r="AJ41" s="923" cm="1">
        <f t="array" ref="AJ41">IF(INDEX('Laminates- copilot'!$E$6:$E$257,ROUNDUP((ROW()-5)/3,0))+50&gt;IF(O41="Quantum",760,1220),"Width exceeds supplier maximum",IFERROR(AF41+AG41+N(AI41)+AH41*G41/1000/MAX(1,MIN(MAX(2,INT(900/INDEX('Laminates- copilot'!$E$6:$E$257,ROUNDUP((ROW()-5)/3,0)))),INT((IF(O41="Quantum",760,1220)-50)/INDEX('Laminates- copilot'!$E$6:$E$257,ROUNDUP((ROW()-5)/3,0))))),"Data is missing"))</f>
        <v>0.24493938160335363</v>
      </c>
      <c r="AK41" s="203">
        <f t="shared" si="13"/>
        <v>326.58584213780483</v>
      </c>
      <c r="AL41" t="str">
        <f t="shared" si="14"/>
        <v>PASS</v>
      </c>
      <c r="AM41" s="50" t="str">
        <f t="shared" si="15"/>
        <v/>
      </c>
    </row>
    <row r="42" spans="1:39" hidden="1">
      <c r="A42" t="s">
        <v>1670</v>
      </c>
      <c r="B42" t="s">
        <v>251</v>
      </c>
      <c r="C42" s="50" t="s">
        <v>2205</v>
      </c>
      <c r="D42">
        <f>'Laminates- copilot'!B18</f>
        <v>418</v>
      </c>
      <c r="E42" s="858">
        <f>'Laminates- copilot'!D18</f>
        <v>51</v>
      </c>
      <c r="F42" s="858">
        <v>250</v>
      </c>
      <c r="G42" s="858">
        <v>200</v>
      </c>
      <c r="H42" s="858">
        <v>40</v>
      </c>
      <c r="I42" s="858">
        <v>0</v>
      </c>
      <c r="J42" s="858">
        <v>580</v>
      </c>
      <c r="K42" s="858">
        <v>50000</v>
      </c>
      <c r="L42" s="858" t="str">
        <f>'Laminates- copilot'!K18</f>
        <v>Printed</v>
      </c>
      <c r="M42" s="858" t="str">
        <f>'Laminates- copilot'!L18</f>
        <v>3-4</v>
      </c>
      <c r="N42" s="858">
        <f>'Laminates- copilot'!M18</f>
        <v>4</v>
      </c>
      <c r="O42" s="858" t="str">
        <f>'Laminates- copilot'!O18</f>
        <v>Quantum</v>
      </c>
      <c r="P42" s="858" t="str">
        <f>'Laminates- copilot'!N18</f>
        <v>Europe to Europe</v>
      </c>
      <c r="Q42" s="858">
        <f t="shared" si="0"/>
        <v>10000</v>
      </c>
      <c r="R42" s="858">
        <f t="shared" si="1"/>
        <v>10000</v>
      </c>
      <c r="S42" s="858">
        <f>IFERROR('Laminates- copilot'!Q18/'Laminates- copilot'!P18*Q42,"")</f>
        <v>235.79499999999999</v>
      </c>
      <c r="T42" s="203">
        <f>IFERROR('Laminates- copilot'!R18/'Laminates- copilot'!P18*Q42,"")</f>
        <v>6627.8020839289211</v>
      </c>
      <c r="U42" s="912">
        <f>IFERROR('Laminates- copilot'!S18/'Laminates- copilot'!P18*Q42,"")</f>
        <v>7688.250417357548</v>
      </c>
      <c r="V42" s="913">
        <f t="shared" si="2"/>
        <v>28.108323263550634</v>
      </c>
      <c r="W42" s="914">
        <f t="shared" si="3"/>
        <v>32.605654985718729</v>
      </c>
      <c r="X42" s="913">
        <f t="shared" si="4"/>
        <v>0.66278020839289209</v>
      </c>
      <c r="Y42" s="913">
        <f t="shared" si="5"/>
        <v>28.108323263550634</v>
      </c>
      <c r="Z42" s="95">
        <f t="shared" si="6"/>
        <v>106025</v>
      </c>
      <c r="AA42" s="50" t="str">
        <f t="shared" si="7"/>
        <v>Below MOQ by 56,025 bags</v>
      </c>
      <c r="AB42" s="923">
        <f t="shared" si="8"/>
        <v>0.29353343769869117</v>
      </c>
      <c r="AC42" s="924">
        <f t="shared" si="9"/>
        <v>0.34049878773048176</v>
      </c>
      <c r="AD42" s="203">
        <f t="shared" si="10"/>
        <v>14676.671884934558</v>
      </c>
      <c r="AE42" s="912">
        <f t="shared" si="11"/>
        <v>17024.939386524085</v>
      </c>
      <c r="AF42" s="923" cm="1">
        <f t="array" ref="AF42">IF(O42="Quantum",IFERROR(_xlfn.LET(_xlpm.b,_xlfn.SWITCH(LOWER(B42),"zipper bag","Zipper pouch","open bag","Open pouch","sup with zipper","Stand-up pouch","stand-up pouch","Stand-up pouch",B42),_xlpm.w,G42,_xlpm.q,K42,_xlpm.types,'Converting-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missing"),IFERROR(_xlfn.LET(_xlpm.s,O42,_xlpm.b,_xlfn.SWITCH(LOWER(B42),"zipper bag","Zipper pouch","open bag","Open pouch",B42),_xlpm.w,G42,_xlpm.q,K42,_xlpm.src,'Converting-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42" s="923">
        <f>IFERROR(IF(OR(B42="Zipper pouch",B42="SUP with zipper"),HELPER!$DE$2*(AH42+AI42)/K42,HELPER!$DE$2*AH42/K42),"Data is missing")</f>
        <v>8.2989625007147058E-3</v>
      </c>
      <c r="AH42" s="923">
        <f t="shared" si="12"/>
        <v>0.66278020839289209</v>
      </c>
      <c r="AI42" s="923">
        <f>IF(OR(B42="Zipper pouch",B42="SUP with zipper"),HELPER!$DC$2*G42/1000,"")</f>
        <v>2.8799999999999996E-2</v>
      </c>
      <c r="AJ42" s="923" cm="1">
        <f t="array" ref="AJ42">IF(INDEX('Laminates- copilot'!$E$6:$E$257,ROUNDUP((ROW()-5)/3,0))+50&gt;IF(O42="Quantum",760,1220),"Width exceeds supplier maximum",IFERROR(AF42+AG42+N(AI42)+AH42*G42/1000/MAX(1,MIN(MAX(2,INT(900/INDEX('Laminates- copilot'!$E$6:$E$257,ROUNDUP((ROW()-5)/3,0)))),INT((IF(O42="Quantum",760,1220)-50)/INDEX('Laminates- copilot'!$E$6:$E$257,ROUNDUP((ROW()-5)/3,0))))),"Data is missing"))</f>
        <v>0.22015007827401836</v>
      </c>
      <c r="AK42" s="203">
        <f t="shared" si="13"/>
        <v>293.53343769869116</v>
      </c>
      <c r="AL42" t="str">
        <f t="shared" si="14"/>
        <v>PASS</v>
      </c>
      <c r="AM42" s="50" t="str">
        <f t="shared" si="15"/>
        <v/>
      </c>
    </row>
    <row r="43" spans="1:39" hidden="1">
      <c r="A43" t="s">
        <v>1671</v>
      </c>
      <c r="B43" t="s">
        <v>261</v>
      </c>
      <c r="C43" s="50" t="s">
        <v>2205</v>
      </c>
      <c r="D43">
        <f>'Laminates- copilot'!B18</f>
        <v>418</v>
      </c>
      <c r="E43" s="858">
        <f>'Laminates- copilot'!D18</f>
        <v>51</v>
      </c>
      <c r="F43" s="858">
        <v>250</v>
      </c>
      <c r="G43" s="858">
        <v>200</v>
      </c>
      <c r="H43" s="858">
        <v>40</v>
      </c>
      <c r="I43" s="858">
        <v>0</v>
      </c>
      <c r="J43" s="858">
        <v>580</v>
      </c>
      <c r="K43" s="858">
        <v>50000</v>
      </c>
      <c r="L43" s="858" t="str">
        <f>'Laminates- copilot'!K18</f>
        <v>Printed</v>
      </c>
      <c r="M43" s="858" t="str">
        <f>'Laminates- copilot'!L18</f>
        <v>3-4</v>
      </c>
      <c r="N43" s="858">
        <f>'Laminates- copilot'!M18</f>
        <v>4</v>
      </c>
      <c r="O43" s="858" t="str">
        <f>'Laminates- copilot'!O18</f>
        <v>Quantum</v>
      </c>
      <c r="P43" s="858" t="str">
        <f>'Laminates- copilot'!N18</f>
        <v>Europe to Europe</v>
      </c>
      <c r="Q43" s="858">
        <f t="shared" si="0"/>
        <v>10000</v>
      </c>
      <c r="R43" s="858">
        <f t="shared" si="1"/>
        <v>10000</v>
      </c>
      <c r="S43" s="858">
        <f>IFERROR('Laminates- copilot'!Q18/'Laminates- copilot'!P18*Q43,"")</f>
        <v>235.79499999999999</v>
      </c>
      <c r="T43" s="203">
        <f>IFERROR('Laminates- copilot'!R18/'Laminates- copilot'!P18*Q43,"")</f>
        <v>6627.8020839289211</v>
      </c>
      <c r="U43" s="912">
        <f>IFERROR('Laminates- copilot'!S18/'Laminates- copilot'!P18*Q43,"")</f>
        <v>7688.250417357548</v>
      </c>
      <c r="V43" s="913">
        <f t="shared" si="2"/>
        <v>28.108323263550634</v>
      </c>
      <c r="W43" s="914">
        <f t="shared" si="3"/>
        <v>32.605654985718729</v>
      </c>
      <c r="X43" s="913">
        <f t="shared" si="4"/>
        <v>0.66278020839289209</v>
      </c>
      <c r="Y43" s="913">
        <f t="shared" si="5"/>
        <v>28.108323263550634</v>
      </c>
      <c r="Z43" s="95">
        <f t="shared" si="6"/>
        <v>106025</v>
      </c>
      <c r="AA43" s="50" t="str">
        <f t="shared" si="7"/>
        <v>Below MOQ by 56,025 bags</v>
      </c>
      <c r="AB43" s="923">
        <f t="shared" si="8"/>
        <v>0.27776628698049749</v>
      </c>
      <c r="AC43" s="924">
        <f t="shared" si="9"/>
        <v>0.32220889289737709</v>
      </c>
      <c r="AD43" s="203">
        <f t="shared" si="10"/>
        <v>13888.314349024875</v>
      </c>
      <c r="AE43" s="912">
        <f t="shared" si="11"/>
        <v>16110.444644868854</v>
      </c>
      <c r="AF43" s="923" cm="1">
        <f t="array" ref="AF43">IF(O43="Quantum",IFERROR(_xlfn.LET(_xlpm.b,_xlfn.SWITCH(LOWER(B43),"zipper bag","Zipper pouch","open bag","Open pouch","sup with zipper","Stand-up pouch","stand-up pouch","Stand-up pouch",B43),_xlpm.w,G43,_xlpm.q,K43,_xlpm.types,'Converting-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missing"),IFERROR(_xlfn.LET(_xlpm.s,O43,_xlpm.b,_xlfn.SWITCH(LOWER(B43),"zipper bag","Zipper pouch","open bag","Open pouch",B43),_xlpm.w,G43,_xlpm.q,K43,_xlpm.src,'Converting-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43" s="923">
        <f>IFERROR(IF(OR(B43="Zipper pouch",B43="SUP with zipper"),HELPER!$DE$2*(AH43+AI43)/K43,HELPER!$DE$2*AH43/K43),"Data is missing")</f>
        <v>8.2989625007147058E-3</v>
      </c>
      <c r="AH43" s="923">
        <f t="shared" si="12"/>
        <v>0.66278020839289209</v>
      </c>
      <c r="AI43" s="923">
        <f>IF(OR(B43="Zipper pouch",B43="SUP with zipper"),HELPER!$DC$2*G43/1000,"")</f>
        <v>2.8799999999999996E-2</v>
      </c>
      <c r="AJ43" s="923" cm="1">
        <f t="array" ref="AJ43">IF(INDEX('Laminates- copilot'!$E$6:$E$257,ROUNDUP((ROW()-5)/3,0))+50&gt;IF(O43="Quantum",760,1220),"Width exceeds supplier maximum",IFERROR(AF43+AG43+N(AI43)+AH43*G43/1000/MAX(1,MIN(MAX(2,INT(900/INDEX('Laminates- copilot'!$E$6:$E$257,ROUNDUP((ROW()-5)/3,0)))),INT((IF(O43="Quantum",760,1220)-50)/INDEX('Laminates- copilot'!$E$6:$E$257,ROUNDUP((ROW()-5)/3,0))))),"Data is missing"))</f>
        <v>0.2083247152353731</v>
      </c>
      <c r="AK43" s="203">
        <f t="shared" si="13"/>
        <v>277.76628698049751</v>
      </c>
      <c r="AL43" t="str">
        <f t="shared" si="14"/>
        <v>PASS</v>
      </c>
      <c r="AM43" s="50" t="str">
        <f t="shared" si="15"/>
        <v/>
      </c>
    </row>
    <row r="44" spans="1:39" hidden="1">
      <c r="A44" t="s">
        <v>1672</v>
      </c>
      <c r="B44" t="s">
        <v>262</v>
      </c>
      <c r="C44" s="50" t="s">
        <v>2205</v>
      </c>
      <c r="D44">
        <f>'Laminates- copilot'!B18</f>
        <v>418</v>
      </c>
      <c r="E44" s="858">
        <f>'Laminates- copilot'!D18</f>
        <v>51</v>
      </c>
      <c r="F44" s="858">
        <v>250</v>
      </c>
      <c r="G44" s="858">
        <v>200</v>
      </c>
      <c r="H44" s="858">
        <v>0</v>
      </c>
      <c r="I44" s="858">
        <v>0</v>
      </c>
      <c r="J44" s="858">
        <v>500</v>
      </c>
      <c r="K44" s="858">
        <v>50000</v>
      </c>
      <c r="L44" s="858" t="str">
        <f>'Laminates- copilot'!K18</f>
        <v>Printed</v>
      </c>
      <c r="M44" s="858" t="str">
        <f>'Laminates- copilot'!L18</f>
        <v>3-4</v>
      </c>
      <c r="N44" s="858">
        <f>'Laminates- copilot'!M18</f>
        <v>4</v>
      </c>
      <c r="O44" s="858" t="str">
        <f>'Laminates- copilot'!O18</f>
        <v>Quantum</v>
      </c>
      <c r="P44" s="858" t="str">
        <f>'Laminates- copilot'!N18</f>
        <v>Europe to Europe</v>
      </c>
      <c r="Q44" s="858">
        <f t="shared" si="0"/>
        <v>10000</v>
      </c>
      <c r="R44" s="858">
        <f t="shared" si="1"/>
        <v>10000</v>
      </c>
      <c r="S44" s="858">
        <f>IFERROR('Laminates- copilot'!Q18/'Laminates- copilot'!P18*Q44,"")</f>
        <v>235.79499999999999</v>
      </c>
      <c r="T44" s="203">
        <f>IFERROR('Laminates- copilot'!R18/'Laminates- copilot'!P18*Q44,"")</f>
        <v>6627.8020839289211</v>
      </c>
      <c r="U44" s="912">
        <f>IFERROR('Laminates- copilot'!S18/'Laminates- copilot'!P18*Q44,"")</f>
        <v>7688.250417357548</v>
      </c>
      <c r="V44" s="913">
        <f t="shared" si="2"/>
        <v>28.108323263550634</v>
      </c>
      <c r="W44" s="914">
        <f t="shared" si="3"/>
        <v>32.605654985718729</v>
      </c>
      <c r="X44" s="913">
        <f t="shared" si="4"/>
        <v>0.66278020839289209</v>
      </c>
      <c r="Y44" s="913">
        <f t="shared" si="5"/>
        <v>28.108323263550634</v>
      </c>
      <c r="Z44" s="95">
        <f t="shared" si="6"/>
        <v>106025</v>
      </c>
      <c r="AA44" s="50" t="str">
        <f t="shared" si="7"/>
        <v>Below MOQ by 56,025 bags</v>
      </c>
      <c r="AB44" s="923">
        <f t="shared" si="8"/>
        <v>0.22169406525651722</v>
      </c>
      <c r="AC44" s="924">
        <f t="shared" si="9"/>
        <v>0.25716511569755995</v>
      </c>
      <c r="AD44" s="203">
        <f t="shared" si="10"/>
        <v>11084.70326282586</v>
      </c>
      <c r="AE44" s="912">
        <f t="shared" si="11"/>
        <v>12858.255784877998</v>
      </c>
      <c r="AF44" s="923" cm="1">
        <f t="array" ref="AF44">IF(O44="Quantum",IFERROR(_xlfn.LET(_xlpm.b,_xlfn.SWITCH(LOWER(B44),"zipper bag","Zipper pouch","open bag","Open pouch","sup with zipper","Stand-up pouch","stand-up pouch","Stand-up pouch",B44),_xlpm.w,G44,_xlpm.q,K44,_xlpm.types,'Converting-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missing"),IFERROR(_xlfn.LET(_xlpm.s,O44,_xlpm.b,_xlfn.SWITCH(LOWER(B44),"zipper bag","Zipper pouch","open bag","Open pouch",B44),_xlpm.w,G44,_xlpm.q,K44,_xlpm.src,'Converting-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44" s="923">
        <f>IFERROR(IF(OR(B44="Zipper pouch",B44="SUP with zipper"),HELPER!$DE$2*(AH44+AI44)/K44,HELPER!$DE$2*AH44/K44),"Data is missing")</f>
        <v>7.9533625007147061E-3</v>
      </c>
      <c r="AH44" s="923">
        <f t="shared" si="12"/>
        <v>0.66278020839289209</v>
      </c>
      <c r="AI44" s="923" t="str">
        <f>IF(OR(B44="Zipper pouch",B44="SUP with zipper"),HELPER!$DC$2*G44/1000,"")</f>
        <v/>
      </c>
      <c r="AJ44" s="923" cm="1">
        <f t="array" ref="AJ44">IF(INDEX('Laminates- copilot'!$E$6:$E$257,ROUNDUP((ROW()-5)/3,0))+50&gt;IF(O44="Quantum",760,1220),"Width exceeds supplier maximum",IFERROR(AF44+AG44+N(AI44)+AH44*G44/1000/MAX(1,MIN(MAX(2,INT(900/INDEX('Laminates- copilot'!$E$6:$E$257,ROUNDUP((ROW()-5)/3,0)))),INT((IF(O44="Quantum",760,1220)-50)/INDEX('Laminates- copilot'!$E$6:$E$257,ROUNDUP((ROW()-5)/3,0))))),"Data is missing"))</f>
        <v>0.16627054894238791</v>
      </c>
      <c r="AK44" s="203">
        <f t="shared" si="13"/>
        <v>221.69406525651721</v>
      </c>
      <c r="AL44" t="str">
        <f t="shared" si="14"/>
        <v>PASS</v>
      </c>
      <c r="AM44" s="50" t="str">
        <f t="shared" si="15"/>
        <v/>
      </c>
    </row>
    <row r="45" spans="1:39">
      <c r="A45" t="s">
        <v>1673</v>
      </c>
      <c r="B45" t="s">
        <v>251</v>
      </c>
      <c r="C45" s="50" t="s">
        <v>2206</v>
      </c>
      <c r="D45">
        <f>'Laminates- copilot'!B19</f>
        <v>418</v>
      </c>
      <c r="E45" s="858">
        <f>'Laminates- copilot'!D19</f>
        <v>51</v>
      </c>
      <c r="F45" s="858">
        <v>300</v>
      </c>
      <c r="G45" s="858">
        <v>300</v>
      </c>
      <c r="H45" s="858">
        <v>50</v>
      </c>
      <c r="I45" s="858">
        <v>0</v>
      </c>
      <c r="J45" s="858">
        <v>700</v>
      </c>
      <c r="K45" s="858">
        <v>50000</v>
      </c>
      <c r="L45" s="858" t="str">
        <f>'Laminates- copilot'!K19</f>
        <v>Printed</v>
      </c>
      <c r="M45" s="858" t="str">
        <f>'Laminates- copilot'!L19</f>
        <v>5-8</v>
      </c>
      <c r="N45" s="858">
        <f>'Laminates- copilot'!M19</f>
        <v>8</v>
      </c>
      <c r="O45" s="858" t="str">
        <f>'Laminates- copilot'!O19</f>
        <v>Marma</v>
      </c>
      <c r="P45" s="858" t="str">
        <f>'Laminates- copilot'!N19</f>
        <v>Europe to US</v>
      </c>
      <c r="Q45" s="858">
        <f t="shared" si="0"/>
        <v>15000</v>
      </c>
      <c r="R45" s="858">
        <f t="shared" si="1"/>
        <v>15000</v>
      </c>
      <c r="S45" s="858">
        <f>IFERROR('Laminates- copilot'!Q19/'Laminates- copilot'!P19*Q45,"")</f>
        <v>909.495</v>
      </c>
      <c r="T45" s="203">
        <f>IFERROR('Laminates- copilot'!R19/'Laminates- copilot'!P19*Q45,"")</f>
        <v>16662.955346016177</v>
      </c>
      <c r="U45" s="912">
        <f>IFERROR('Laminates- copilot'!S19/'Laminates- copilot'!P19*Q45,"")</f>
        <v>19329.028201378766</v>
      </c>
      <c r="V45" s="913">
        <f t="shared" si="2"/>
        <v>18.321107148490292</v>
      </c>
      <c r="W45" s="914">
        <f t="shared" si="3"/>
        <v>21.252484292248738</v>
      </c>
      <c r="X45" s="913">
        <f t="shared" si="4"/>
        <v>1.1108636897344117</v>
      </c>
      <c r="Y45" s="913">
        <f t="shared" si="5"/>
        <v>18.321107148490292</v>
      </c>
      <c r="Z45" s="95">
        <f t="shared" si="6"/>
        <v>27488</v>
      </c>
      <c r="AA45" s="50" t="str">
        <f t="shared" si="7"/>
        <v>MOQ OK</v>
      </c>
      <c r="AB45" s="923">
        <f t="shared" si="8"/>
        <v>0.59706536500762786</v>
      </c>
      <c r="AC45" s="924">
        <f t="shared" si="9"/>
        <v>0.69259582340884829</v>
      </c>
      <c r="AD45" s="203">
        <f t="shared" si="10"/>
        <v>29853.268250381392</v>
      </c>
      <c r="AE45" s="912">
        <f t="shared" si="11"/>
        <v>34629.791170442411</v>
      </c>
      <c r="AF45" s="923" cm="1">
        <f t="array" ref="AF45">IF(O45="Quantum",IFERROR(_xlfn.LET(_xlpm.b,_xlfn.SWITCH(LOWER(B45),"zipper bag","Zipper pouch","open bag","Open pouch","sup with zipper","Stand-up pouch","stand-up pouch","Stand-up pouch",B45),_xlpm.w,G45,_xlpm.q,K45,_xlpm.types,'Converting-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missing"),IFERROR(_xlfn.LET(_xlpm.s,O45,_xlpm.b,_xlfn.SWITCH(LOWER(B45),"zipper bag","Zipper pouch","open bag","Open pouch",B45),_xlpm.w,G45,_xlpm.q,K45,_xlpm.src,'Converting-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5" s="923">
        <f>IFERROR(IF(OR(B45="Zipper pouch",B45="SUP with zipper"),HELPER!$DE$2*(AH45+AI45)/K45,HELPER!$DE$2*AH45/K45),"Data is missing")</f>
        <v>1.384876427681294E-2</v>
      </c>
      <c r="AH45" s="923">
        <f t="shared" si="12"/>
        <v>1.1108636897344117</v>
      </c>
      <c r="AI45" s="923">
        <f>IF(OR(B45="Zipper pouch",B45="SUP with zipper"),HELPER!$DC$2*G45/1000,"")</f>
        <v>4.3199999999999995E-2</v>
      </c>
      <c r="AJ45" s="923" cm="1">
        <f t="array" ref="AJ45">IF(INDEX('Laminates- copilot'!$E$6:$E$257,ROUNDUP((ROW()-5)/3,0))+50&gt;IF(O45="Quantum",760,1220),"Width exceeds supplier maximum",IFERROR(AF45+AG45+N(AI45)+AH45*G45/1000/MAX(1,MIN(MAX(2,INT(900/INDEX('Laminates- copilot'!$E$6:$E$257,ROUNDUP((ROW()-5)/3,0)))),INT((IF(O45="Quantum",760,1220)-50)/INDEX('Laminates- copilot'!$E$6:$E$257,ROUNDUP((ROW()-5)/3,0))))),"Data is missing"))</f>
        <v>0.44779902375572089</v>
      </c>
      <c r="AK45" s="203">
        <f t="shared" si="13"/>
        <v>597.06536500762786</v>
      </c>
      <c r="AL45" t="str">
        <f t="shared" si="14"/>
        <v>PASS</v>
      </c>
      <c r="AM45" s="50" t="str">
        <f t="shared" si="15"/>
        <v/>
      </c>
    </row>
    <row r="46" spans="1:39">
      <c r="A46" t="s">
        <v>1674</v>
      </c>
      <c r="B46" t="s">
        <v>261</v>
      </c>
      <c r="C46" s="50" t="s">
        <v>2206</v>
      </c>
      <c r="D46">
        <f>'Laminates- copilot'!B19</f>
        <v>418</v>
      </c>
      <c r="E46" s="858">
        <f>'Laminates- copilot'!D19</f>
        <v>51</v>
      </c>
      <c r="F46" s="858">
        <v>300</v>
      </c>
      <c r="G46" s="858">
        <v>300</v>
      </c>
      <c r="H46" s="858">
        <v>50</v>
      </c>
      <c r="I46" s="858">
        <v>0</v>
      </c>
      <c r="J46" s="858">
        <v>700</v>
      </c>
      <c r="K46" s="858">
        <v>50000</v>
      </c>
      <c r="L46" s="858" t="str">
        <f>'Laminates- copilot'!K19</f>
        <v>Printed</v>
      </c>
      <c r="M46" s="858" t="str">
        <f>'Laminates- copilot'!L19</f>
        <v>5-8</v>
      </c>
      <c r="N46" s="858">
        <f>'Laminates- copilot'!M19</f>
        <v>8</v>
      </c>
      <c r="O46" s="858" t="str">
        <f>'Laminates- copilot'!O19</f>
        <v>Marma</v>
      </c>
      <c r="P46" s="858" t="str">
        <f>'Laminates- copilot'!N19</f>
        <v>Europe to US</v>
      </c>
      <c r="Q46" s="858">
        <f t="shared" si="0"/>
        <v>15000</v>
      </c>
      <c r="R46" s="858">
        <f t="shared" si="1"/>
        <v>15000</v>
      </c>
      <c r="S46" s="858">
        <f>IFERROR('Laminates- copilot'!Q19/'Laminates- copilot'!P19*Q46,"")</f>
        <v>909.495</v>
      </c>
      <c r="T46" s="203">
        <f>IFERROR('Laminates- copilot'!R19/'Laminates- copilot'!P19*Q46,"")</f>
        <v>16662.955346016177</v>
      </c>
      <c r="U46" s="912">
        <f>IFERROR('Laminates- copilot'!S19/'Laminates- copilot'!P19*Q46,"")</f>
        <v>19329.028201378766</v>
      </c>
      <c r="V46" s="913">
        <f t="shared" si="2"/>
        <v>18.321107148490292</v>
      </c>
      <c r="W46" s="914">
        <f t="shared" si="3"/>
        <v>21.252484292248738</v>
      </c>
      <c r="X46" s="913">
        <f t="shared" si="4"/>
        <v>1.1108636897344117</v>
      </c>
      <c r="Y46" s="913">
        <f t="shared" si="5"/>
        <v>18.321107148490292</v>
      </c>
      <c r="Z46" s="95">
        <f t="shared" si="6"/>
        <v>27488</v>
      </c>
      <c r="AA46" s="50" t="str">
        <f t="shared" si="7"/>
        <v>MOQ OK</v>
      </c>
      <c r="AB46" s="923">
        <f t="shared" si="8"/>
        <v>0.5912221407999847</v>
      </c>
      <c r="AC46" s="924">
        <f t="shared" si="9"/>
        <v>0.68581768332798221</v>
      </c>
      <c r="AD46" s="203">
        <f t="shared" si="10"/>
        <v>29561.107039999235</v>
      </c>
      <c r="AE46" s="912">
        <f t="shared" si="11"/>
        <v>34290.884166399112</v>
      </c>
      <c r="AF46" s="923" cm="1">
        <f t="array" ref="AF46">IF(O46="Quantum",IFERROR(_xlfn.LET(_xlpm.b,_xlfn.SWITCH(LOWER(B46),"zipper bag","Zipper pouch","open bag","Open pouch","sup with zipper","Stand-up pouch","stand-up pouch","Stand-up pouch",B46),_xlpm.w,G46,_xlpm.q,K46,_xlpm.types,'Converting-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missing"),IFERROR(_xlfn.LET(_xlpm.s,O46,_xlpm.b,_xlfn.SWITCH(LOWER(B46),"zipper bag","Zipper pouch","open bag","Open pouch",B46),_xlpm.w,G46,_xlpm.q,K46,_xlpm.src,'Converting-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6" s="923">
        <f>IFERROR(IF(OR(B46="Zipper pouch",B46="SUP with zipper"),HELPER!$DE$2*(AH46+AI46)/K46,HELPER!$DE$2*AH46/K46),"Data is missing")</f>
        <v>1.384876427681294E-2</v>
      </c>
      <c r="AH46" s="923">
        <f t="shared" si="12"/>
        <v>1.1108636897344117</v>
      </c>
      <c r="AI46" s="923">
        <f>IF(OR(B46="Zipper pouch",B46="SUP with zipper"),HELPER!$DC$2*G46/1000,"")</f>
        <v>4.3199999999999995E-2</v>
      </c>
      <c r="AJ46" s="923" cm="1">
        <f t="array" ref="AJ46">IF(INDEX('Laminates- copilot'!$E$6:$E$257,ROUNDUP((ROW()-5)/3,0))+50&gt;IF(O46="Quantum",760,1220),"Width exceeds supplier maximum",IFERROR(AF46+AG46+N(AI46)+AH46*G46/1000/MAX(1,MIN(MAX(2,INT(900/INDEX('Laminates- copilot'!$E$6:$E$257,ROUNDUP((ROW()-5)/3,0)))),INT((IF(O46="Quantum",760,1220)-50)/INDEX('Laminates- copilot'!$E$6:$E$257,ROUNDUP((ROW()-5)/3,0))))),"Data is missing"))</f>
        <v>0.44341660559998852</v>
      </c>
      <c r="AK46" s="203">
        <f t="shared" si="13"/>
        <v>591.22214079998469</v>
      </c>
      <c r="AL46" t="str">
        <f t="shared" si="14"/>
        <v>PASS</v>
      </c>
      <c r="AM46" s="50" t="str">
        <f t="shared" si="15"/>
        <v/>
      </c>
    </row>
    <row r="47" spans="1:39">
      <c r="A47" t="s">
        <v>1675</v>
      </c>
      <c r="B47" t="s">
        <v>262</v>
      </c>
      <c r="C47" s="50" t="s">
        <v>2206</v>
      </c>
      <c r="D47">
        <f>'Laminates- copilot'!B19</f>
        <v>418</v>
      </c>
      <c r="E47" s="858">
        <f>'Laminates- copilot'!D19</f>
        <v>51</v>
      </c>
      <c r="F47" s="858">
        <v>300</v>
      </c>
      <c r="G47" s="858">
        <v>300</v>
      </c>
      <c r="H47" s="858">
        <v>0</v>
      </c>
      <c r="I47" s="858">
        <v>10</v>
      </c>
      <c r="J47" s="858">
        <v>610</v>
      </c>
      <c r="K47" s="858">
        <v>50000</v>
      </c>
      <c r="L47" s="858" t="str">
        <f>'Laminates- copilot'!K19</f>
        <v>Printed</v>
      </c>
      <c r="M47" s="858" t="str">
        <f>'Laminates- copilot'!L19</f>
        <v>5-8</v>
      </c>
      <c r="N47" s="858">
        <f>'Laminates- copilot'!M19</f>
        <v>8</v>
      </c>
      <c r="O47" s="858" t="str">
        <f>'Laminates- copilot'!O19</f>
        <v>Marma</v>
      </c>
      <c r="P47" s="858" t="str">
        <f>'Laminates- copilot'!N19</f>
        <v>Europe to US</v>
      </c>
      <c r="Q47" s="858">
        <f t="shared" si="0"/>
        <v>15000</v>
      </c>
      <c r="R47" s="858">
        <f t="shared" si="1"/>
        <v>15000</v>
      </c>
      <c r="S47" s="858">
        <f>IFERROR('Laminates- copilot'!Q19/'Laminates- copilot'!P19*Q47,"")</f>
        <v>909.495</v>
      </c>
      <c r="T47" s="203">
        <f>IFERROR('Laminates- copilot'!R19/'Laminates- copilot'!P19*Q47,"")</f>
        <v>16662.955346016177</v>
      </c>
      <c r="U47" s="912">
        <f>IFERROR('Laminates- copilot'!S19/'Laminates- copilot'!P19*Q47,"")</f>
        <v>19329.028201378766</v>
      </c>
      <c r="V47" s="913">
        <f t="shared" si="2"/>
        <v>18.321107148490292</v>
      </c>
      <c r="W47" s="914">
        <f t="shared" si="3"/>
        <v>21.252484292248738</v>
      </c>
      <c r="X47" s="913">
        <f t="shared" si="4"/>
        <v>1.1108636897344117</v>
      </c>
      <c r="Y47" s="913">
        <f t="shared" si="5"/>
        <v>18.321107148490292</v>
      </c>
      <c r="Z47" s="95">
        <f t="shared" si="6"/>
        <v>27488</v>
      </c>
      <c r="AA47" s="50" t="str">
        <f t="shared" si="7"/>
        <v>MOQ OK</v>
      </c>
      <c r="AB47" s="923">
        <f t="shared" si="8"/>
        <v>0.52604293380241718</v>
      </c>
      <c r="AC47" s="924">
        <f t="shared" si="9"/>
        <v>0.61020980321080387</v>
      </c>
      <c r="AD47" s="203">
        <f t="shared" si="10"/>
        <v>26302.146690120859</v>
      </c>
      <c r="AE47" s="912">
        <f t="shared" si="11"/>
        <v>30510.490160540194</v>
      </c>
      <c r="AF47" s="923" cm="1">
        <f t="array" ref="AF47">IF(O47="Quantum",IFERROR(_xlfn.LET(_xlpm.b,_xlfn.SWITCH(LOWER(B47),"zipper bag","Zipper pouch","open bag","Open pouch","sup with zipper","Stand-up pouch","stand-up pouch","Stand-up pouch",B47),_xlpm.w,G47,_xlpm.q,K47,_xlpm.types,'Converting-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missing"),IFERROR(_xlfn.LET(_xlpm.s,O47,_xlpm.b,_xlfn.SWITCH(LOWER(B47),"zipper bag","Zipper pouch","open bag","Open pouch",B47),_xlpm.w,G47,_xlpm.q,K47,_xlpm.src,'Converting-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7" s="923">
        <f>IFERROR(IF(OR(B47="Zipper pouch",B47="SUP with zipper"),HELPER!$DE$2*(AH47+AI47)/K47,HELPER!$DE$2*AH47/K47),"Data is missing")</f>
        <v>1.3330364276812941E-2</v>
      </c>
      <c r="AH47" s="923">
        <f t="shared" si="12"/>
        <v>1.1108636897344117</v>
      </c>
      <c r="AI47" s="923" t="str">
        <f>IF(OR(B47="Zipper pouch",B47="SUP with zipper"),HELPER!$DC$2*G47/1000,"")</f>
        <v/>
      </c>
      <c r="AJ47" s="923" cm="1">
        <f t="array" ref="AJ47">IF(INDEX('Laminates- copilot'!$E$6:$E$257,ROUNDUP((ROW()-5)/3,0))+50&gt;IF(O47="Quantum",760,1220),"Width exceeds supplier maximum",IFERROR(AF47+AG47+N(AI47)+AH47*G47/1000/MAX(1,MIN(MAX(2,INT(900/INDEX('Laminates- copilot'!$E$6:$E$257,ROUNDUP((ROW()-5)/3,0)))),INT((IF(O47="Quantum",760,1220)-50)/INDEX('Laminates- copilot'!$E$6:$E$257,ROUNDUP((ROW()-5)/3,0))))),"Data is missing"))</f>
        <v>0.39453220035181291</v>
      </c>
      <c r="AK47" s="203">
        <f t="shared" si="13"/>
        <v>526.04293380241722</v>
      </c>
      <c r="AL47" t="str">
        <f t="shared" si="14"/>
        <v>PASS</v>
      </c>
      <c r="AM47" s="50" t="str">
        <f t="shared" si="15"/>
        <v/>
      </c>
    </row>
    <row r="48" spans="1:39" hidden="1">
      <c r="A48" t="s">
        <v>1676</v>
      </c>
      <c r="B48" t="s">
        <v>251</v>
      </c>
      <c r="C48" s="50" t="s">
        <v>2207</v>
      </c>
      <c r="D48">
        <f>'Laminates- copilot'!B20</f>
        <v>418</v>
      </c>
      <c r="E48" s="858">
        <f>'Laminates- copilot'!D20</f>
        <v>51</v>
      </c>
      <c r="F48" s="858">
        <v>350</v>
      </c>
      <c r="G48" s="858">
        <v>400</v>
      </c>
      <c r="H48" s="858">
        <v>60</v>
      </c>
      <c r="I48" s="858">
        <v>0</v>
      </c>
      <c r="J48" s="858">
        <v>820</v>
      </c>
      <c r="K48" s="858">
        <v>100000</v>
      </c>
      <c r="L48" s="858" t="str">
        <f>'Laminates- copilot'!K20</f>
        <v>Not Printed</v>
      </c>
      <c r="M48" s="858" t="str">
        <f>'Laminates- copilot'!L20</f>
        <v>0</v>
      </c>
      <c r="N48" s="858">
        <f>'Laminates- copilot'!M20</f>
        <v>1</v>
      </c>
      <c r="O48" s="858" t="str">
        <f>'Laminates- copilot'!O20</f>
        <v>Bastin</v>
      </c>
      <c r="P48" s="858" t="str">
        <f>'Laminates- copilot'!N20</f>
        <v>Europe to Europe</v>
      </c>
      <c r="Q48" s="858">
        <f t="shared" si="0"/>
        <v>40000</v>
      </c>
      <c r="R48" s="858">
        <f t="shared" si="1"/>
        <v>40000</v>
      </c>
      <c r="S48" s="858">
        <f>IFERROR('Laminates- copilot'!Q20/'Laminates- copilot'!P20*Q48,"")</f>
        <v>943.18</v>
      </c>
      <c r="T48" s="203">
        <f>IFERROR('Laminates- copilot'!R20/'Laminates- copilot'!P20*Q48,"")</f>
        <v>13295.423399843748</v>
      </c>
      <c r="U48" s="912">
        <f>IFERROR('Laminates- copilot'!S20/'Laminates- copilot'!P20*Q48,"")</f>
        <v>15422.691143818747</v>
      </c>
      <c r="V48" s="913">
        <f t="shared" si="2"/>
        <v>14.096379694060253</v>
      </c>
      <c r="W48" s="914">
        <f t="shared" si="3"/>
        <v>16.351800445109891</v>
      </c>
      <c r="X48" s="913">
        <f t="shared" si="4"/>
        <v>0.33238558499609372</v>
      </c>
      <c r="Y48" s="913">
        <f t="shared" si="5"/>
        <v>14.096379694060253</v>
      </c>
      <c r="Z48" s="95">
        <f t="shared" si="6"/>
        <v>53013</v>
      </c>
      <c r="AA48" s="50" t="str">
        <f t="shared" si="7"/>
        <v>MOQ OK</v>
      </c>
      <c r="AB48" s="923">
        <f t="shared" si="8"/>
        <v>0.29918801899871023</v>
      </c>
      <c r="AC48" s="924">
        <f t="shared" si="9"/>
        <v>0.34705810203850385</v>
      </c>
      <c r="AD48" s="203">
        <f t="shared" si="10"/>
        <v>29918.801899871021</v>
      </c>
      <c r="AE48" s="912">
        <f t="shared" si="11"/>
        <v>34705.810203850386</v>
      </c>
      <c r="AF48" s="923" cm="1">
        <f t="array" ref="AF48">IF(O48="Quantum",IFERROR(_xlfn.LET(_xlpm.b,_xlfn.SWITCH(LOWER(B48),"zipper bag","Zipper pouch","open bag","Open pouch","sup with zipper","Stand-up pouch","stand-up pouch","Stand-up pouch",B48),_xlpm.w,G48,_xlpm.q,K48,_xlpm.types,'Converting-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missing"),IFERROR(_xlfn.LET(_xlpm.s,O48,_xlpm.b,_xlfn.SWITCH(LOWER(B48),"zipper bag","Zipper pouch","open bag","Open pouch",B48),_xlpm.w,G48,_xlpm.q,K48,_xlpm.src,'Converting-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8" s="923">
        <f>IFERROR(IF(OR(B48="Zipper pouch",B48="SUP with zipper"),HELPER!$DE$2*(AH48+AI48)/K48,HELPER!$DE$2*AH48/K48),"Data is missing")</f>
        <v>2.3399135099765622E-3</v>
      </c>
      <c r="AH48" s="923">
        <f t="shared" si="12"/>
        <v>0.33238558499609372</v>
      </c>
      <c r="AI48" s="923">
        <f>IF(OR(B48="Zipper pouch",B48="SUP with zipper"),HELPER!$DC$2*G48/1000,"")</f>
        <v>5.7599999999999991E-2</v>
      </c>
      <c r="AJ48" s="923" cm="1">
        <f t="array" ref="AJ48">IF(INDEX('Laminates- copilot'!$E$6:$E$257,ROUNDUP((ROW()-5)/3,0))+50&gt;IF(O48="Quantum",760,1220),"Width exceeds supplier maximum",IFERROR(AF48+AG48+N(AI48)+AH48*G48/1000/MAX(1,MIN(MAX(2,INT(900/INDEX('Laminates- copilot'!$E$6:$E$257,ROUNDUP((ROW()-5)/3,0)))),INT((IF(O48="Quantum",760,1220)-50)/INDEX('Laminates- copilot'!$E$6:$E$257,ROUNDUP((ROW()-5)/3,0))))),"Data is missing"))</f>
        <v>0.22439101424903268</v>
      </c>
      <c r="AK48" s="203">
        <f t="shared" si="13"/>
        <v>299.18801899871022</v>
      </c>
      <c r="AL48" t="str">
        <f t="shared" si="14"/>
        <v>PASS</v>
      </c>
      <c r="AM48" s="50" t="str">
        <f t="shared" si="15"/>
        <v/>
      </c>
    </row>
    <row r="49" spans="1:39" hidden="1">
      <c r="A49" t="s">
        <v>1677</v>
      </c>
      <c r="B49" t="s">
        <v>261</v>
      </c>
      <c r="C49" s="50" t="s">
        <v>2207</v>
      </c>
      <c r="D49">
        <f>'Laminates- copilot'!B20</f>
        <v>418</v>
      </c>
      <c r="E49" s="858">
        <f>'Laminates- copilot'!D20</f>
        <v>51</v>
      </c>
      <c r="F49" s="858">
        <v>350</v>
      </c>
      <c r="G49" s="858">
        <v>400</v>
      </c>
      <c r="H49" s="858">
        <v>60</v>
      </c>
      <c r="I49" s="858">
        <v>0</v>
      </c>
      <c r="J49" s="858">
        <v>820</v>
      </c>
      <c r="K49" s="858">
        <v>100000</v>
      </c>
      <c r="L49" s="858" t="str">
        <f>'Laminates- copilot'!K20</f>
        <v>Not Printed</v>
      </c>
      <c r="M49" s="858" t="str">
        <f>'Laminates- copilot'!L20</f>
        <v>0</v>
      </c>
      <c r="N49" s="858">
        <f>'Laminates- copilot'!M20</f>
        <v>1</v>
      </c>
      <c r="O49" s="858" t="str">
        <f>'Laminates- copilot'!O20</f>
        <v>Bastin</v>
      </c>
      <c r="P49" s="858" t="str">
        <f>'Laminates- copilot'!N20</f>
        <v>Europe to Europe</v>
      </c>
      <c r="Q49" s="858">
        <f t="shared" si="0"/>
        <v>40000</v>
      </c>
      <c r="R49" s="858">
        <f t="shared" si="1"/>
        <v>40000</v>
      </c>
      <c r="S49" s="858">
        <f>IFERROR('Laminates- copilot'!Q20/'Laminates- copilot'!P20*Q49,"")</f>
        <v>943.18</v>
      </c>
      <c r="T49" s="203">
        <f>IFERROR('Laminates- copilot'!R20/'Laminates- copilot'!P20*Q49,"")</f>
        <v>13295.423399843748</v>
      </c>
      <c r="U49" s="912">
        <f>IFERROR('Laminates- copilot'!S20/'Laminates- copilot'!P20*Q49,"")</f>
        <v>15422.691143818747</v>
      </c>
      <c r="V49" s="913">
        <f t="shared" si="2"/>
        <v>14.096379694060253</v>
      </c>
      <c r="W49" s="914">
        <f t="shared" si="3"/>
        <v>16.351800445109891</v>
      </c>
      <c r="X49" s="913">
        <f t="shared" si="4"/>
        <v>0.33238558499609372</v>
      </c>
      <c r="Y49" s="913">
        <f t="shared" si="5"/>
        <v>14.096379694060253</v>
      </c>
      <c r="Z49" s="95">
        <f t="shared" si="6"/>
        <v>53013</v>
      </c>
      <c r="AA49" s="50" t="str">
        <f t="shared" si="7"/>
        <v>MOQ OK</v>
      </c>
      <c r="AB49" s="923">
        <f t="shared" si="8"/>
        <v>0.28925453784571692</v>
      </c>
      <c r="AC49" s="924">
        <f t="shared" si="9"/>
        <v>0.33553526390103161</v>
      </c>
      <c r="AD49" s="203">
        <f t="shared" si="10"/>
        <v>28925.453784571691</v>
      </c>
      <c r="AE49" s="912">
        <f t="shared" si="11"/>
        <v>33553.526390103158</v>
      </c>
      <c r="AF49" s="923" cm="1">
        <f t="array" ref="AF49">IF(O49="Quantum",IFERROR(_xlfn.LET(_xlpm.b,_xlfn.SWITCH(LOWER(B49),"zipper bag","Zipper pouch","open bag","Open pouch","sup with zipper","Stand-up pouch","stand-up pouch","Stand-up pouch",B49),_xlpm.w,G49,_xlpm.q,K49,_xlpm.types,'Converting-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missing"),IFERROR(_xlfn.LET(_xlpm.s,O49,_xlpm.b,_xlfn.SWITCH(LOWER(B49),"zipper bag","Zipper pouch","open bag","Open pouch",B49),_xlpm.w,G49,_xlpm.q,K49,_xlpm.src,'Converting-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9" s="923">
        <f>IFERROR(IF(OR(B49="Zipper pouch",B49="SUP with zipper"),HELPER!$DE$2*(AH49+AI49)/K49,HELPER!$DE$2*AH49/K49),"Data is missing")</f>
        <v>2.3399135099765622E-3</v>
      </c>
      <c r="AH49" s="923">
        <f t="shared" si="12"/>
        <v>0.33238558499609372</v>
      </c>
      <c r="AI49" s="923">
        <f>IF(OR(B49="Zipper pouch",B49="SUP with zipper"),HELPER!$DC$2*G49/1000,"")</f>
        <v>5.7599999999999991E-2</v>
      </c>
      <c r="AJ49" s="923" cm="1">
        <f t="array" ref="AJ49">IF(INDEX('Laminates- copilot'!$E$6:$E$257,ROUNDUP((ROW()-5)/3,0))+50&gt;IF(O49="Quantum",760,1220),"Width exceeds supplier maximum",IFERROR(AF49+AG49+N(AI49)+AH49*G49/1000/MAX(1,MIN(MAX(2,INT(900/INDEX('Laminates- copilot'!$E$6:$E$257,ROUNDUP((ROW()-5)/3,0)))),INT((IF(O49="Quantum",760,1220)-50)/INDEX('Laminates- copilot'!$E$6:$E$257,ROUNDUP((ROW()-5)/3,0))))),"Data is missing"))</f>
        <v>0.21694090338428768</v>
      </c>
      <c r="AK49" s="203">
        <f t="shared" si="13"/>
        <v>289.25453784571692</v>
      </c>
      <c r="AL49" t="str">
        <f t="shared" si="14"/>
        <v>PASS</v>
      </c>
      <c r="AM49" s="50" t="str">
        <f t="shared" si="15"/>
        <v/>
      </c>
    </row>
    <row r="50" spans="1:39" hidden="1">
      <c r="A50" t="s">
        <v>1678</v>
      </c>
      <c r="B50" t="s">
        <v>262</v>
      </c>
      <c r="C50" s="50" t="s">
        <v>2207</v>
      </c>
      <c r="D50">
        <f>'Laminates- copilot'!B20</f>
        <v>418</v>
      </c>
      <c r="E50" s="858">
        <f>'Laminates- copilot'!D20</f>
        <v>51</v>
      </c>
      <c r="F50" s="858">
        <v>350</v>
      </c>
      <c r="G50" s="858">
        <v>400</v>
      </c>
      <c r="H50" s="858">
        <v>0</v>
      </c>
      <c r="I50" s="858">
        <v>0</v>
      </c>
      <c r="J50" s="858">
        <v>700</v>
      </c>
      <c r="K50" s="858">
        <v>100000</v>
      </c>
      <c r="L50" s="858" t="str">
        <f>'Laminates- copilot'!K20</f>
        <v>Not Printed</v>
      </c>
      <c r="M50" s="858" t="str">
        <f>'Laminates- copilot'!L20</f>
        <v>0</v>
      </c>
      <c r="N50" s="858">
        <f>'Laminates- copilot'!M20</f>
        <v>1</v>
      </c>
      <c r="O50" s="858" t="str">
        <f>'Laminates- copilot'!O20</f>
        <v>Bastin</v>
      </c>
      <c r="P50" s="858" t="str">
        <f>'Laminates- copilot'!N20</f>
        <v>Europe to Europe</v>
      </c>
      <c r="Q50" s="858">
        <f t="shared" si="0"/>
        <v>40000</v>
      </c>
      <c r="R50" s="858">
        <f t="shared" si="1"/>
        <v>40000</v>
      </c>
      <c r="S50" s="858">
        <f>IFERROR('Laminates- copilot'!Q20/'Laminates- copilot'!P20*Q50,"")</f>
        <v>943.18</v>
      </c>
      <c r="T50" s="203">
        <f>IFERROR('Laminates- copilot'!R20/'Laminates- copilot'!P20*Q50,"")</f>
        <v>13295.423399843748</v>
      </c>
      <c r="U50" s="912">
        <f>IFERROR('Laminates- copilot'!S20/'Laminates- copilot'!P20*Q50,"")</f>
        <v>15422.691143818747</v>
      </c>
      <c r="V50" s="913">
        <f t="shared" si="2"/>
        <v>14.096379694060253</v>
      </c>
      <c r="W50" s="914">
        <f t="shared" si="3"/>
        <v>16.351800445109891</v>
      </c>
      <c r="X50" s="913">
        <f t="shared" si="4"/>
        <v>0.33238558499609372</v>
      </c>
      <c r="Y50" s="913">
        <f t="shared" si="5"/>
        <v>14.096379694060253</v>
      </c>
      <c r="Z50" s="95">
        <f t="shared" si="6"/>
        <v>53013</v>
      </c>
      <c r="AA50" s="50" t="str">
        <f t="shared" si="7"/>
        <v>MOQ OK</v>
      </c>
      <c r="AB50" s="923">
        <f t="shared" si="8"/>
        <v>0.19886573945829503</v>
      </c>
      <c r="AC50" s="924">
        <f t="shared" si="9"/>
        <v>0.23068425777162221</v>
      </c>
      <c r="AD50" s="203">
        <f t="shared" si="10"/>
        <v>19886.573945829503</v>
      </c>
      <c r="AE50" s="912">
        <f t="shared" si="11"/>
        <v>23068.425777162221</v>
      </c>
      <c r="AF50" s="923" cm="1">
        <f t="array" ref="AF50">IF(O50="Quantum",IFERROR(_xlfn.LET(_xlpm.b,_xlfn.SWITCH(LOWER(B50),"zipper bag","Zipper pouch","open bag","Open pouch","sup with zipper","Stand-up pouch","stand-up pouch","Stand-up pouch",B50),_xlpm.w,G50,_xlpm.q,K50,_xlpm.types,'Converting-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missing"),IFERROR(_xlfn.LET(_xlpm.s,O50,_xlpm.b,_xlfn.SWITCH(LOWER(B50),"zipper bag","Zipper pouch","open bag","Open pouch",B50),_xlpm.w,G50,_xlpm.q,K50,_xlpm.src,'Converting-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50" s="923">
        <f>IFERROR(IF(OR(B50="Zipper pouch",B50="SUP with zipper"),HELPER!$DE$2*(AH50+AI50)/K50,HELPER!$DE$2*AH50/K50),"Data is missing")</f>
        <v>1.9943135099765624E-3</v>
      </c>
      <c r="AH50" s="923">
        <f t="shared" si="12"/>
        <v>0.33238558499609372</v>
      </c>
      <c r="AI50" s="923" t="str">
        <f>IF(OR(B50="Zipper pouch",B50="SUP with zipper"),HELPER!$DC$2*G50/1000,"")</f>
        <v/>
      </c>
      <c r="AJ50" s="923" cm="1">
        <f t="array" ref="AJ50">IF(INDEX('Laminates- copilot'!$E$6:$E$257,ROUNDUP((ROW()-5)/3,0))+50&gt;IF(O50="Quantum",760,1220),"Width exceeds supplier maximum",IFERROR(AF50+AG50+N(AI50)+AH50*G50/1000/MAX(1,MIN(MAX(2,INT(900/INDEX('Laminates- copilot'!$E$6:$E$257,ROUNDUP((ROW()-5)/3,0)))),INT((IF(O50="Quantum",760,1220)-50)/INDEX('Laminates- copilot'!$E$6:$E$257,ROUNDUP((ROW()-5)/3,0))))),"Data is missing"))</f>
        <v>0.14914930459372128</v>
      </c>
      <c r="AK50" s="203">
        <f t="shared" si="13"/>
        <v>198.86573945829502</v>
      </c>
      <c r="AL50" t="str">
        <f t="shared" si="14"/>
        <v>PASS</v>
      </c>
      <c r="AM50" s="50" t="str">
        <f t="shared" si="15"/>
        <v/>
      </c>
    </row>
    <row r="51" spans="1:39" hidden="1">
      <c r="A51" t="s">
        <v>1679</v>
      </c>
      <c r="B51" t="s">
        <v>251</v>
      </c>
      <c r="C51" s="50" t="s">
        <v>2208</v>
      </c>
      <c r="D51">
        <f>'Laminates- copilot'!B21</f>
        <v>418</v>
      </c>
      <c r="E51" s="858">
        <f>'Laminates- copilot'!D21</f>
        <v>51</v>
      </c>
      <c r="F51" s="858">
        <v>400</v>
      </c>
      <c r="G51" s="858">
        <v>500</v>
      </c>
      <c r="H51" s="858">
        <v>80</v>
      </c>
      <c r="I51" s="858">
        <v>0</v>
      </c>
      <c r="J51" s="858">
        <v>960</v>
      </c>
      <c r="K51" s="858">
        <v>100000</v>
      </c>
      <c r="L51" s="858" t="str">
        <f>'Laminates- copilot'!K21</f>
        <v>Printed</v>
      </c>
      <c r="M51" s="858" t="str">
        <f>'Laminates- copilot'!L21</f>
        <v>3-4</v>
      </c>
      <c r="N51" s="858">
        <f>'Laminates- copilot'!M21</f>
        <v>4</v>
      </c>
      <c r="O51" s="858" t="str">
        <f>'Laminates- copilot'!O21</f>
        <v>Quantum</v>
      </c>
      <c r="P51" s="858" t="str">
        <f>'Laminates- copilot'!N21</f>
        <v>Europe to US</v>
      </c>
      <c r="Q51" s="858">
        <f t="shared" si="0"/>
        <v>50000</v>
      </c>
      <c r="R51" s="858">
        <f t="shared" si="1"/>
        <v>50000</v>
      </c>
      <c r="S51" s="858">
        <f>IFERROR('Laminates- copilot'!Q21/'Laminates- copilot'!P21*Q51,"")</f>
        <v>2021.1</v>
      </c>
      <c r="T51" s="203">
        <f>IFERROR('Laminates- copilot'!R21/'Laminates- copilot'!P21*Q51,"")</f>
        <v>73060.194159511855</v>
      </c>
      <c r="U51" s="912">
        <f>IFERROR('Laminates- copilot'!S21/'Laminates- copilot'!P21*Q51,"")</f>
        <v>84749.825225033754</v>
      </c>
      <c r="V51" s="913">
        <f t="shared" si="2"/>
        <v>36.148727999362656</v>
      </c>
      <c r="W51" s="914">
        <f t="shared" si="3"/>
        <v>41.932524479260678</v>
      </c>
      <c r="X51" s="913">
        <f t="shared" si="4"/>
        <v>1.4612038831902372</v>
      </c>
      <c r="Y51" s="913">
        <f t="shared" si="5"/>
        <v>36.148727999362656</v>
      </c>
      <c r="Z51" s="95">
        <f t="shared" si="6"/>
        <v>24740</v>
      </c>
      <c r="AA51" s="50" t="str">
        <f t="shared" si="7"/>
        <v>MOQ OK</v>
      </c>
      <c r="AB51" s="923">
        <f t="shared" si="8"/>
        <v>1.4440589960758432</v>
      </c>
      <c r="AC51" s="924">
        <f t="shared" si="9"/>
        <v>1.6751084354479779</v>
      </c>
      <c r="AD51" s="203">
        <f t="shared" si="10"/>
        <v>144405.89960758432</v>
      </c>
      <c r="AE51" s="912">
        <f t="shared" si="11"/>
        <v>167510.8435447978</v>
      </c>
      <c r="AF51" s="923" cm="1">
        <f t="array" ref="AF51">IF(O51="Quantum",IFERROR(_xlfn.LET(_xlpm.b,_xlfn.SWITCH(LOWER(B51),"zipper bag","Zipper pouch","open bag","Open pouch","sup with zipper","Stand-up pouch","stand-up pouch","Stand-up pouch",B51),_xlpm.w,G51,_xlpm.q,K51,_xlpm.types,'Converting-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missing"),IFERROR(_xlfn.LET(_xlpm.s,O51,_xlpm.b,_xlfn.SWITCH(LOWER(B51),"zipper bag","Zipper pouch","open bag","Open pouch",B51),_xlpm.w,G51,_xlpm.q,K51,_xlpm.src,'Converting-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51" s="923">
        <f>IFERROR(IF(OR(B51="Zipper pouch",B51="SUP with zipper"),HELPER!$DE$2*(AH51+AI51)/K51,HELPER!$DE$2*AH51/K51),"Data is missing")</f>
        <v>9.1992232991414229E-3</v>
      </c>
      <c r="AH51" s="923">
        <f t="shared" si="12"/>
        <v>1.4612038831902372</v>
      </c>
      <c r="AI51" s="923">
        <f>IF(OR(B51="Zipper pouch",B51="SUP with zipper"),HELPER!$DC$2*G51/1000,"")</f>
        <v>7.1999999999999995E-2</v>
      </c>
      <c r="AJ51" s="923" cm="1">
        <f t="array" ref="AJ51">IF(INDEX('Laminates- copilot'!$E$6:$E$257,ROUNDUP((ROW()-5)/3,0))+50&gt;IF(O51="Quantum",760,1220),"Width exceeds supplier maximum",IFERROR(AF51+AG51+N(AI51)+AH51*G51/1000/MAX(1,MIN(MAX(2,INT(900/INDEX('Laminates- copilot'!$E$6:$E$257,ROUNDUP((ROW()-5)/3,0)))),INT((IF(O51="Quantum",760,1220)-50)/INDEX('Laminates- copilot'!$E$6:$E$257,ROUNDUP((ROW()-5)/3,0))))),"Data is missing"))</f>
        <v>1.0830442470568824</v>
      </c>
      <c r="AK51" s="203">
        <f t="shared" si="13"/>
        <v>1444.0589960758432</v>
      </c>
      <c r="AL51" t="str">
        <f t="shared" si="14"/>
        <v>PASS</v>
      </c>
      <c r="AM51" s="50" t="str">
        <f t="shared" si="15"/>
        <v/>
      </c>
    </row>
    <row r="52" spans="1:39" hidden="1">
      <c r="A52" t="s">
        <v>1680</v>
      </c>
      <c r="B52" t="s">
        <v>261</v>
      </c>
      <c r="C52" s="50" t="s">
        <v>2208</v>
      </c>
      <c r="D52">
        <f>'Laminates- copilot'!B21</f>
        <v>418</v>
      </c>
      <c r="E52" s="858">
        <f>'Laminates- copilot'!D21</f>
        <v>51</v>
      </c>
      <c r="F52" s="858">
        <v>400</v>
      </c>
      <c r="G52" s="858">
        <v>500</v>
      </c>
      <c r="H52" s="858">
        <v>80</v>
      </c>
      <c r="I52" s="858">
        <v>0</v>
      </c>
      <c r="J52" s="858">
        <v>960</v>
      </c>
      <c r="K52" s="858">
        <v>100000</v>
      </c>
      <c r="L52" s="858" t="str">
        <f>'Laminates- copilot'!K21</f>
        <v>Printed</v>
      </c>
      <c r="M52" s="858" t="str">
        <f>'Laminates- copilot'!L21</f>
        <v>3-4</v>
      </c>
      <c r="N52" s="858">
        <f>'Laminates- copilot'!M21</f>
        <v>4</v>
      </c>
      <c r="O52" s="858" t="str">
        <f>'Laminates- copilot'!O21</f>
        <v>Quantum</v>
      </c>
      <c r="P52" s="858" t="str">
        <f>'Laminates- copilot'!N21</f>
        <v>Europe to US</v>
      </c>
      <c r="Q52" s="858">
        <f t="shared" si="0"/>
        <v>50000</v>
      </c>
      <c r="R52" s="858">
        <f t="shared" si="1"/>
        <v>50000</v>
      </c>
      <c r="S52" s="858">
        <f>IFERROR('Laminates- copilot'!Q21/'Laminates- copilot'!P21*Q52,"")</f>
        <v>2021.1</v>
      </c>
      <c r="T52" s="203">
        <f>IFERROR('Laminates- copilot'!R21/'Laminates- copilot'!P21*Q52,"")</f>
        <v>73060.194159511855</v>
      </c>
      <c r="U52" s="912">
        <f>IFERROR('Laminates- copilot'!S21/'Laminates- copilot'!P21*Q52,"")</f>
        <v>84749.825225033754</v>
      </c>
      <c r="V52" s="913">
        <f t="shared" si="2"/>
        <v>36.148727999362656</v>
      </c>
      <c r="W52" s="914">
        <f t="shared" si="3"/>
        <v>41.932524479260678</v>
      </c>
      <c r="X52" s="913">
        <f t="shared" si="4"/>
        <v>1.4612038831902372</v>
      </c>
      <c r="Y52" s="913">
        <f t="shared" si="5"/>
        <v>36.148727999362656</v>
      </c>
      <c r="Z52" s="95">
        <f t="shared" si="6"/>
        <v>24740</v>
      </c>
      <c r="AA52" s="50" t="str">
        <f t="shared" si="7"/>
        <v>MOQ OK</v>
      </c>
      <c r="AB52" s="923">
        <f t="shared" si="8"/>
        <v>1.404641119280359</v>
      </c>
      <c r="AC52" s="924">
        <f t="shared" si="9"/>
        <v>1.6293836983652163</v>
      </c>
      <c r="AD52" s="203">
        <f t="shared" si="10"/>
        <v>140464.11192803588</v>
      </c>
      <c r="AE52" s="912">
        <f t="shared" si="11"/>
        <v>162938.36983652163</v>
      </c>
      <c r="AF52" s="923" cm="1">
        <f t="array" ref="AF52">IF(O52="Quantum",IFERROR(_xlfn.LET(_xlpm.b,_xlfn.SWITCH(LOWER(B52),"zipper bag","Zipper pouch","open bag","Open pouch","sup with zipper","Stand-up pouch","stand-up pouch","Stand-up pouch",B52),_xlpm.w,G52,_xlpm.q,K52,_xlpm.types,'Converting-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missing"),IFERROR(_xlfn.LET(_xlpm.s,O52,_xlpm.b,_xlfn.SWITCH(LOWER(B52),"zipper bag","Zipper pouch","open bag","Open pouch",B52),_xlpm.w,G52,_xlpm.q,K52,_xlpm.src,'Converting-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52" s="923">
        <f>IFERROR(IF(OR(B52="Zipper pouch",B52="SUP with zipper"),HELPER!$DE$2*(AH52+AI52)/K52,HELPER!$DE$2*AH52/K52),"Data is missing")</f>
        <v>9.1992232991414229E-3</v>
      </c>
      <c r="AH52" s="923">
        <f t="shared" si="12"/>
        <v>1.4612038831902372</v>
      </c>
      <c r="AI52" s="923">
        <f>IF(OR(B52="Zipper pouch",B52="SUP with zipper"),HELPER!$DC$2*G52/1000,"")</f>
        <v>7.1999999999999995E-2</v>
      </c>
      <c r="AJ52" s="923" cm="1">
        <f t="array" ref="AJ52">IF(INDEX('Laminates- copilot'!$E$6:$E$257,ROUNDUP((ROW()-5)/3,0))+50&gt;IF(O52="Quantum",760,1220),"Width exceeds supplier maximum",IFERROR(AF52+AG52+N(AI52)+AH52*G52/1000/MAX(1,MIN(MAX(2,INT(900/INDEX('Laminates- copilot'!$E$6:$E$257,ROUNDUP((ROW()-5)/3,0)))),INT((IF(O52="Quantum",760,1220)-50)/INDEX('Laminates- copilot'!$E$6:$E$257,ROUNDUP((ROW()-5)/3,0))))),"Data is missing"))</f>
        <v>1.0534808394602693</v>
      </c>
      <c r="AK52" s="203">
        <f t="shared" si="13"/>
        <v>1404.6411192803589</v>
      </c>
      <c r="AL52" t="str">
        <f t="shared" si="14"/>
        <v>PASS</v>
      </c>
      <c r="AM52" s="50" t="str">
        <f t="shared" si="15"/>
        <v/>
      </c>
    </row>
    <row r="53" spans="1:39" hidden="1">
      <c r="A53" t="s">
        <v>1681</v>
      </c>
      <c r="B53" t="s">
        <v>262</v>
      </c>
      <c r="C53" s="50" t="s">
        <v>2208</v>
      </c>
      <c r="D53">
        <f>'Laminates- copilot'!B21</f>
        <v>418</v>
      </c>
      <c r="E53" s="858">
        <f>'Laminates- copilot'!D21</f>
        <v>51</v>
      </c>
      <c r="F53" s="858">
        <v>400</v>
      </c>
      <c r="G53" s="858">
        <v>500</v>
      </c>
      <c r="H53" s="858">
        <v>0</v>
      </c>
      <c r="I53" s="858">
        <v>20</v>
      </c>
      <c r="J53" s="858">
        <v>820</v>
      </c>
      <c r="K53" s="858">
        <v>100000</v>
      </c>
      <c r="L53" s="858" t="str">
        <f>'Laminates- copilot'!K21</f>
        <v>Printed</v>
      </c>
      <c r="M53" s="858" t="str">
        <f>'Laminates- copilot'!L21</f>
        <v>3-4</v>
      </c>
      <c r="N53" s="858">
        <f>'Laminates- copilot'!M21</f>
        <v>4</v>
      </c>
      <c r="O53" s="858" t="str">
        <f>'Laminates- copilot'!O21</f>
        <v>Quantum</v>
      </c>
      <c r="P53" s="858" t="str">
        <f>'Laminates- copilot'!N21</f>
        <v>Europe to US</v>
      </c>
      <c r="Q53" s="858">
        <f t="shared" si="0"/>
        <v>50000</v>
      </c>
      <c r="R53" s="858">
        <f t="shared" si="1"/>
        <v>50000</v>
      </c>
      <c r="S53" s="858">
        <f>IFERROR('Laminates- copilot'!Q21/'Laminates- copilot'!P21*Q53,"")</f>
        <v>2021.1</v>
      </c>
      <c r="T53" s="203">
        <f>IFERROR('Laminates- copilot'!R21/'Laminates- copilot'!P21*Q53,"")</f>
        <v>73060.194159511855</v>
      </c>
      <c r="U53" s="912">
        <f>IFERROR('Laminates- copilot'!S21/'Laminates- copilot'!P21*Q53,"")</f>
        <v>84749.825225033754</v>
      </c>
      <c r="V53" s="913">
        <f t="shared" si="2"/>
        <v>36.148727999362656</v>
      </c>
      <c r="W53" s="914">
        <f t="shared" si="3"/>
        <v>41.932524479260678</v>
      </c>
      <c r="X53" s="913">
        <f t="shared" si="4"/>
        <v>1.4612038831902372</v>
      </c>
      <c r="Y53" s="913">
        <f t="shared" si="5"/>
        <v>36.148727999362656</v>
      </c>
      <c r="Z53" s="95">
        <f t="shared" si="6"/>
        <v>24740</v>
      </c>
      <c r="AA53" s="50" t="str">
        <f t="shared" si="7"/>
        <v>MOQ OK</v>
      </c>
      <c r="AB53" s="923">
        <f t="shared" si="8"/>
        <v>1.2742319672692588</v>
      </c>
      <c r="AC53" s="924">
        <f t="shared" si="9"/>
        <v>1.4781090820323401</v>
      </c>
      <c r="AD53" s="203">
        <f t="shared" si="10"/>
        <v>127423.19672692587</v>
      </c>
      <c r="AE53" s="912">
        <f t="shared" si="11"/>
        <v>147810.90820323399</v>
      </c>
      <c r="AF53" s="923" cm="1">
        <f t="array" ref="AF53">IF(O53="Quantum",IFERROR(_xlfn.LET(_xlpm.b,_xlfn.SWITCH(LOWER(B53),"zipper bag","Zipper pouch","open bag","Open pouch","sup with zipper","Stand-up pouch","stand-up pouch","Stand-up pouch",B53),_xlpm.w,G53,_xlpm.q,K53,_xlpm.types,'Converting-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missing"),IFERROR(_xlfn.LET(_xlpm.s,O53,_xlpm.b,_xlfn.SWITCH(LOWER(B53),"zipper bag","Zipper pouch","open bag","Open pouch",B53),_xlpm.w,G53,_xlpm.q,K53,_xlpm.src,'Converting-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53" s="923">
        <f>IFERROR(IF(OR(B53="Zipper pouch",B53="SUP with zipper"),HELPER!$DE$2*(AH53+AI53)/K53,HELPER!$DE$2*AH53/K53),"Data is missing")</f>
        <v>8.7672232991414228E-3</v>
      </c>
      <c r="AH53" s="923">
        <f t="shared" si="12"/>
        <v>1.4612038831902372</v>
      </c>
      <c r="AI53" s="923" t="str">
        <f>IF(OR(B53="Zipper pouch",B53="SUP with zipper"),HELPER!$DC$2*G53/1000,"")</f>
        <v/>
      </c>
      <c r="AJ53" s="923" cm="1">
        <f t="array" ref="AJ53">IF(INDEX('Laminates- copilot'!$E$6:$E$257,ROUNDUP((ROW()-5)/3,0))+50&gt;IF(O53="Quantum",760,1220),"Width exceeds supplier maximum",IFERROR(AF53+AG53+N(AI53)+AH53*G53/1000/MAX(1,MIN(MAX(2,INT(900/INDEX('Laminates- copilot'!$E$6:$E$257,ROUNDUP((ROW()-5)/3,0)))),INT((IF(O53="Quantum",760,1220)-50)/INDEX('Laminates- copilot'!$E$6:$E$257,ROUNDUP((ROW()-5)/3,0))))),"Data is missing"))</f>
        <v>0.9556739754519441</v>
      </c>
      <c r="AK53" s="203">
        <f t="shared" si="13"/>
        <v>1274.2319672692588</v>
      </c>
      <c r="AL53" t="str">
        <f t="shared" si="14"/>
        <v>PASS</v>
      </c>
      <c r="AM53" s="50" t="str">
        <f t="shared" si="15"/>
        <v/>
      </c>
    </row>
    <row r="54" spans="1:39" hidden="1">
      <c r="A54" t="s">
        <v>1682</v>
      </c>
      <c r="B54" t="s">
        <v>251</v>
      </c>
      <c r="C54" s="50" t="s">
        <v>2209</v>
      </c>
      <c r="D54">
        <f>'Laminates- copilot'!B22</f>
        <v>418</v>
      </c>
      <c r="E54" s="858">
        <f>'Laminates- copilot'!D22</f>
        <v>51</v>
      </c>
      <c r="F54" s="858">
        <v>600</v>
      </c>
      <c r="G54" s="858">
        <v>200</v>
      </c>
      <c r="H54" s="858">
        <v>50</v>
      </c>
      <c r="I54" s="858">
        <v>0</v>
      </c>
      <c r="J54" s="858">
        <v>1300</v>
      </c>
      <c r="K54" s="858">
        <v>200000</v>
      </c>
      <c r="L54" s="858" t="str">
        <f>'Laminates- copilot'!K22</f>
        <v>Printed</v>
      </c>
      <c r="M54" s="858" t="str">
        <f>'Laminates- copilot'!L22</f>
        <v>5-8</v>
      </c>
      <c r="N54" s="858">
        <f>'Laminates- copilot'!M22</f>
        <v>8</v>
      </c>
      <c r="O54" s="858" t="str">
        <f>'Laminates- copilot'!O22</f>
        <v>Marma</v>
      </c>
      <c r="P54" s="858" t="str">
        <f>'Laminates- copilot'!N22</f>
        <v>Europe to Europe</v>
      </c>
      <c r="Q54" s="858">
        <f t="shared" si="0"/>
        <v>40000</v>
      </c>
      <c r="R54" s="858">
        <f t="shared" si="1"/>
        <v>40000</v>
      </c>
      <c r="S54" s="858">
        <f>IFERROR('Laminates- copilot'!Q22/'Laminates- copilot'!P22*Q54,"")</f>
        <v>2425.3200000000002</v>
      </c>
      <c r="T54" s="203">
        <f>IFERROR('Laminates- copilot'!R22/'Laminates- copilot'!P22*Q54,"")</f>
        <v>52122.330903510912</v>
      </c>
      <c r="U54" s="912">
        <f>IFERROR('Laminates- copilot'!S22/'Laminates- copilot'!P22*Q54,"")</f>
        <v>60461.903848072659</v>
      </c>
      <c r="V54" s="913">
        <f t="shared" si="2"/>
        <v>21.490908788741653</v>
      </c>
      <c r="W54" s="914">
        <f t="shared" si="3"/>
        <v>24.92945419494032</v>
      </c>
      <c r="X54" s="913">
        <f t="shared" si="4"/>
        <v>1.3030582725877728</v>
      </c>
      <c r="Y54" s="913">
        <f t="shared" si="5"/>
        <v>21.490908788741653</v>
      </c>
      <c r="Z54" s="95">
        <f t="shared" si="6"/>
        <v>41232</v>
      </c>
      <c r="AA54" s="50" t="str">
        <f t="shared" si="7"/>
        <v>MOQ OK</v>
      </c>
      <c r="AB54" s="923">
        <f t="shared" si="8"/>
        <v>0.44917549277229379</v>
      </c>
      <c r="AC54" s="924">
        <f t="shared" si="9"/>
        <v>0.52104357161586079</v>
      </c>
      <c r="AD54" s="203">
        <f t="shared" si="10"/>
        <v>89835.09855445876</v>
      </c>
      <c r="AE54" s="912">
        <f t="shared" si="11"/>
        <v>104208.71432317216</v>
      </c>
      <c r="AF54" s="923" cm="1">
        <f t="array" ref="AF54">IF(O54="Quantum",IFERROR(_xlfn.LET(_xlpm.b,_xlfn.SWITCH(LOWER(B54),"zipper bag","Zipper pouch","open bag","Open pouch","sup with zipper","Stand-up pouch","stand-up pouch","Stand-up pouch",B54),_xlpm.w,G54,_xlpm.q,K54,_xlpm.types,'Converting-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missing"),IFERROR(_xlfn.LET(_xlpm.s,O54,_xlpm.b,_xlfn.SWITCH(LOWER(B54),"zipper bag","Zipper pouch","open bag","Open pouch",B54),_xlpm.w,G54,_xlpm.q,K54,_xlpm.src,'Converting-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54" s="923">
        <f>IFERROR(IF(OR(B54="Zipper pouch",B54="SUP with zipper"),HELPER!$DE$2*(AH54+AI54)/K54,HELPER!$DE$2*AH54/K54),"Data is missing")</f>
        <v>3.995574817763318E-3</v>
      </c>
      <c r="AH54" s="923">
        <f t="shared" si="12"/>
        <v>1.3030582725877728</v>
      </c>
      <c r="AI54" s="923">
        <f>IF(OR(B54="Zipper pouch",B54="SUP with zipper"),HELPER!$DC$2*G54/1000,"")</f>
        <v>2.8799999999999996E-2</v>
      </c>
      <c r="AJ54" s="923" cm="1">
        <f t="array" ref="AJ54">IF(INDEX('Laminates- copilot'!$E$6:$E$257,ROUNDUP((ROW()-5)/3,0))+50&gt;IF(O54="Quantum",760,1220),"Width exceeds supplier maximum",IFERROR(AF54+AG54+N(AI54)+AH54*G54/1000/MAX(1,MIN(MAX(2,INT(900/INDEX('Laminates- copilot'!$E$6:$E$257,ROUNDUP((ROW()-5)/3,0)))),INT((IF(O54="Quantum",760,1220)-50)/INDEX('Laminates- copilot'!$E$6:$E$257,ROUNDUP((ROW()-5)/3,0))))),"Data is missing"))</f>
        <v>0.33688161957922036</v>
      </c>
      <c r="AK54" s="203">
        <f t="shared" si="13"/>
        <v>449.17549277229381</v>
      </c>
      <c r="AL54" t="str">
        <f t="shared" si="14"/>
        <v>PASS</v>
      </c>
      <c r="AM54" s="50" t="str">
        <f t="shared" si="15"/>
        <v/>
      </c>
    </row>
    <row r="55" spans="1:39" hidden="1">
      <c r="A55" t="s">
        <v>1683</v>
      </c>
      <c r="B55" t="s">
        <v>261</v>
      </c>
      <c r="C55" s="50" t="s">
        <v>2209</v>
      </c>
      <c r="D55">
        <f>'Laminates- copilot'!B22</f>
        <v>418</v>
      </c>
      <c r="E55" s="858">
        <f>'Laminates- copilot'!D22</f>
        <v>51</v>
      </c>
      <c r="F55" s="858">
        <v>600</v>
      </c>
      <c r="G55" s="858">
        <v>200</v>
      </c>
      <c r="H55" s="858">
        <v>50</v>
      </c>
      <c r="I55" s="858">
        <v>0</v>
      </c>
      <c r="J55" s="858">
        <v>1300</v>
      </c>
      <c r="K55" s="858">
        <v>200000</v>
      </c>
      <c r="L55" s="858" t="str">
        <f>'Laminates- copilot'!K22</f>
        <v>Printed</v>
      </c>
      <c r="M55" s="858" t="str">
        <f>'Laminates- copilot'!L22</f>
        <v>5-8</v>
      </c>
      <c r="N55" s="858">
        <f>'Laminates- copilot'!M22</f>
        <v>8</v>
      </c>
      <c r="O55" s="858" t="str">
        <f>'Laminates- copilot'!O22</f>
        <v>Marma</v>
      </c>
      <c r="P55" s="858" t="str">
        <f>'Laminates- copilot'!N22</f>
        <v>Europe to Europe</v>
      </c>
      <c r="Q55" s="858">
        <f t="shared" si="0"/>
        <v>40000</v>
      </c>
      <c r="R55" s="858">
        <f t="shared" si="1"/>
        <v>40000</v>
      </c>
      <c r="S55" s="858">
        <f>IFERROR('Laminates- copilot'!Q22/'Laminates- copilot'!P22*Q55,"")</f>
        <v>2425.3200000000002</v>
      </c>
      <c r="T55" s="203">
        <f>IFERROR('Laminates- copilot'!R22/'Laminates- copilot'!P22*Q55,"")</f>
        <v>52122.330903510912</v>
      </c>
      <c r="U55" s="912">
        <f>IFERROR('Laminates- copilot'!S22/'Laminates- copilot'!P22*Q55,"")</f>
        <v>60461.903848072659</v>
      </c>
      <c r="V55" s="913">
        <f t="shared" si="2"/>
        <v>21.490908788741653</v>
      </c>
      <c r="W55" s="914">
        <f t="shared" si="3"/>
        <v>24.92945419494032</v>
      </c>
      <c r="X55" s="913">
        <f t="shared" si="4"/>
        <v>1.3030582725877728</v>
      </c>
      <c r="Y55" s="913">
        <f t="shared" si="5"/>
        <v>21.490908788741653</v>
      </c>
      <c r="Z55" s="95">
        <f t="shared" si="6"/>
        <v>41232</v>
      </c>
      <c r="AA55" s="50" t="str">
        <f t="shared" si="7"/>
        <v>MOQ OK</v>
      </c>
      <c r="AB55" s="923">
        <f t="shared" si="8"/>
        <v>0.44444526365182074</v>
      </c>
      <c r="AC55" s="924">
        <f t="shared" si="9"/>
        <v>0.51555650583611201</v>
      </c>
      <c r="AD55" s="203">
        <f t="shared" si="10"/>
        <v>88889.052730364143</v>
      </c>
      <c r="AE55" s="912">
        <f t="shared" si="11"/>
        <v>103111.30116722239</v>
      </c>
      <c r="AF55" s="923" cm="1">
        <f t="array" ref="AF55">IF(O55="Quantum",IFERROR(_xlfn.LET(_xlpm.b,_xlfn.SWITCH(LOWER(B55),"zipper bag","Zipper pouch","open bag","Open pouch","sup with zipper","Stand-up pouch","stand-up pouch","Stand-up pouch",B55),_xlpm.w,G55,_xlpm.q,K55,_xlpm.types,'Converting-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missing"),IFERROR(_xlfn.LET(_xlpm.s,O55,_xlpm.b,_xlfn.SWITCH(LOWER(B55),"zipper bag","Zipper pouch","open bag","Open pouch",B55),_xlpm.w,G55,_xlpm.q,K55,_xlpm.src,'Converting-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55" s="923">
        <f>IFERROR(IF(OR(B55="Zipper pouch",B55="SUP with zipper"),HELPER!$DE$2*(AH55+AI55)/K55,HELPER!$DE$2*AH55/K55),"Data is missing")</f>
        <v>3.995574817763318E-3</v>
      </c>
      <c r="AH55" s="923">
        <f t="shared" si="12"/>
        <v>1.3030582725877728</v>
      </c>
      <c r="AI55" s="923">
        <f>IF(OR(B55="Zipper pouch",B55="SUP with zipper"),HELPER!$DC$2*G55/1000,"")</f>
        <v>2.8799999999999996E-2</v>
      </c>
      <c r="AJ55" s="923" cm="1">
        <f t="array" ref="AJ55">IF(INDEX('Laminates- copilot'!$E$6:$E$257,ROUNDUP((ROW()-5)/3,0))+50&gt;IF(O55="Quantum",760,1220),"Width exceeds supplier maximum",IFERROR(AF55+AG55+N(AI55)+AH55*G55/1000/MAX(1,MIN(MAX(2,INT(900/INDEX('Laminates- copilot'!$E$6:$E$257,ROUNDUP((ROW()-5)/3,0)))),INT((IF(O55="Quantum",760,1220)-50)/INDEX('Laminates- copilot'!$E$6:$E$257,ROUNDUP((ROW()-5)/3,0))))),"Data is missing"))</f>
        <v>0.33333394773886554</v>
      </c>
      <c r="AK55" s="203">
        <f t="shared" si="13"/>
        <v>444.44526365182077</v>
      </c>
      <c r="AL55" t="str">
        <f t="shared" si="14"/>
        <v>PASS</v>
      </c>
      <c r="AM55" s="50" t="str">
        <f t="shared" si="15"/>
        <v/>
      </c>
    </row>
    <row r="56" spans="1:39" hidden="1">
      <c r="A56" t="s">
        <v>1684</v>
      </c>
      <c r="B56" t="s">
        <v>262</v>
      </c>
      <c r="C56" s="50" t="s">
        <v>2209</v>
      </c>
      <c r="D56">
        <f>'Laminates- copilot'!B22</f>
        <v>418</v>
      </c>
      <c r="E56" s="858">
        <f>'Laminates- copilot'!D22</f>
        <v>51</v>
      </c>
      <c r="F56" s="858">
        <v>600</v>
      </c>
      <c r="G56" s="858">
        <v>200</v>
      </c>
      <c r="H56" s="858">
        <v>0</v>
      </c>
      <c r="I56" s="858">
        <v>0</v>
      </c>
      <c r="J56" s="858">
        <v>1200</v>
      </c>
      <c r="K56" s="858">
        <v>200000</v>
      </c>
      <c r="L56" s="858" t="str">
        <f>'Laminates- copilot'!K22</f>
        <v>Printed</v>
      </c>
      <c r="M56" s="858" t="str">
        <f>'Laminates- copilot'!L22</f>
        <v>5-8</v>
      </c>
      <c r="N56" s="858">
        <f>'Laminates- copilot'!M22</f>
        <v>8</v>
      </c>
      <c r="O56" s="858" t="str">
        <f>'Laminates- copilot'!O22</f>
        <v>Marma</v>
      </c>
      <c r="P56" s="858" t="str">
        <f>'Laminates- copilot'!N22</f>
        <v>Europe to Europe</v>
      </c>
      <c r="Q56" s="858">
        <f t="shared" si="0"/>
        <v>40000</v>
      </c>
      <c r="R56" s="858">
        <f t="shared" si="1"/>
        <v>40000</v>
      </c>
      <c r="S56" s="858">
        <f>IFERROR('Laminates- copilot'!Q22/'Laminates- copilot'!P22*Q56,"")</f>
        <v>2425.3200000000002</v>
      </c>
      <c r="T56" s="203">
        <f>IFERROR('Laminates- copilot'!R22/'Laminates- copilot'!P22*Q56,"")</f>
        <v>52122.330903510912</v>
      </c>
      <c r="U56" s="912">
        <f>IFERROR('Laminates- copilot'!S22/'Laminates- copilot'!P22*Q56,"")</f>
        <v>60461.903848072659</v>
      </c>
      <c r="V56" s="913">
        <f t="shared" si="2"/>
        <v>21.490908788741653</v>
      </c>
      <c r="W56" s="914">
        <f t="shared" si="3"/>
        <v>24.92945419494032</v>
      </c>
      <c r="X56" s="913">
        <f t="shared" si="4"/>
        <v>1.3030582725877728</v>
      </c>
      <c r="Y56" s="913">
        <f t="shared" si="5"/>
        <v>21.490908788741653</v>
      </c>
      <c r="Z56" s="95">
        <f t="shared" si="6"/>
        <v>41232</v>
      </c>
      <c r="AA56" s="50" t="str">
        <f t="shared" si="7"/>
        <v>MOQ OK</v>
      </c>
      <c r="AB56" s="923">
        <f t="shared" si="8"/>
        <v>0.4006448647413447</v>
      </c>
      <c r="AC56" s="924">
        <f t="shared" si="9"/>
        <v>0.46474804309995982</v>
      </c>
      <c r="AD56" s="203">
        <f t="shared" si="10"/>
        <v>80128.972948268944</v>
      </c>
      <c r="AE56" s="912">
        <f t="shared" si="11"/>
        <v>92949.608619991966</v>
      </c>
      <c r="AF56" s="923" cm="1">
        <f t="array" ref="AF56">IF(O56="Quantum",IFERROR(_xlfn.LET(_xlpm.b,_xlfn.SWITCH(LOWER(B56),"zipper bag","Zipper pouch","open bag","Open pouch","sup with zipper","Stand-up pouch","stand-up pouch","Stand-up pouch",B56),_xlpm.w,G56,_xlpm.q,K56,_xlpm.types,'Converting-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missing"),IFERROR(_xlfn.LET(_xlpm.s,O56,_xlpm.b,_xlfn.SWITCH(LOWER(B56),"zipper bag","Zipper pouch","open bag","Open pouch",B56),_xlpm.w,G56,_xlpm.q,K56,_xlpm.src,'Converting-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56" s="923">
        <f>IFERROR(IF(OR(B56="Zipper pouch",B56="SUP with zipper"),HELPER!$DE$2*(AH56+AI56)/K56,HELPER!$DE$2*AH56/K56),"Data is missing")</f>
        <v>3.9091748177633185E-3</v>
      </c>
      <c r="AH56" s="923">
        <f t="shared" si="12"/>
        <v>1.3030582725877728</v>
      </c>
      <c r="AI56" s="923" t="str">
        <f>IF(OR(B56="Zipper pouch",B56="SUP with zipper"),HELPER!$DC$2*G56/1000,"")</f>
        <v/>
      </c>
      <c r="AJ56" s="923" cm="1">
        <f t="array" ref="AJ56">IF(INDEX('Laminates- copilot'!$E$6:$E$257,ROUNDUP((ROW()-5)/3,0))+50&gt;IF(O56="Quantum",760,1220),"Width exceeds supplier maximum",IFERROR(AF56+AG56+N(AI56)+AH56*G56/1000/MAX(1,MIN(MAX(2,INT(900/INDEX('Laminates- copilot'!$E$6:$E$257,ROUNDUP((ROW()-5)/3,0)))),INT((IF(O56="Quantum",760,1220)-50)/INDEX('Laminates- copilot'!$E$6:$E$257,ROUNDUP((ROW()-5)/3,0))))),"Data is missing"))</f>
        <v>0.30048364855600851</v>
      </c>
      <c r="AK56" s="203">
        <f t="shared" si="13"/>
        <v>400.64486474134469</v>
      </c>
      <c r="AL56" t="str">
        <f t="shared" si="14"/>
        <v>PASS</v>
      </c>
      <c r="AM56" s="50" t="str">
        <f t="shared" si="15"/>
        <v/>
      </c>
    </row>
    <row r="57" spans="1:39" hidden="1">
      <c r="A57" t="s">
        <v>1685</v>
      </c>
      <c r="B57" t="s">
        <v>251</v>
      </c>
      <c r="C57" s="50" t="s">
        <v>2210</v>
      </c>
      <c r="D57">
        <f>'Laminates- copilot'!B23</f>
        <v>418</v>
      </c>
      <c r="E57" s="858">
        <f>'Laminates- copilot'!D23</f>
        <v>51</v>
      </c>
      <c r="F57" s="858">
        <v>700</v>
      </c>
      <c r="G57" s="858">
        <v>300</v>
      </c>
      <c r="H57" s="858">
        <v>75</v>
      </c>
      <c r="I57" s="858">
        <v>0</v>
      </c>
      <c r="J57" s="858">
        <v>1550</v>
      </c>
      <c r="K57" s="858">
        <v>200000</v>
      </c>
      <c r="L57" s="858" t="str">
        <f>'Laminates- copilot'!K23</f>
        <v>Not Printed</v>
      </c>
      <c r="M57" s="858" t="str">
        <f>'Laminates- copilot'!L23</f>
        <v>0</v>
      </c>
      <c r="N57" s="858">
        <f>'Laminates- copilot'!M23</f>
        <v>1</v>
      </c>
      <c r="O57" s="858" t="str">
        <f>'Laminates- copilot'!O23</f>
        <v>Bastin</v>
      </c>
      <c r="P57" s="858" t="str">
        <f>'Laminates- copilot'!N23</f>
        <v>Europe to US</v>
      </c>
      <c r="Q57" s="858">
        <f t="shared" si="0"/>
        <v>60000</v>
      </c>
      <c r="R57" s="858">
        <f t="shared" si="1"/>
        <v>60000</v>
      </c>
      <c r="S57" s="858">
        <f>IFERROR('Laminates- copilot'!Q23/'Laminates- copilot'!P23*Q57,"")</f>
        <v>1010.55</v>
      </c>
      <c r="T57" s="203">
        <f>IFERROR('Laminates- copilot'!R23/'Laminates- copilot'!P23*Q57,"")</f>
        <v>17177.133790214477</v>
      </c>
      <c r="U57" s="912">
        <f>IFERROR('Laminates- copilot'!S23/'Laminates- copilot'!P23*Q57,"")</f>
        <v>19925.475196648789</v>
      </c>
      <c r="V57" s="913">
        <f t="shared" si="2"/>
        <v>16.997806927133222</v>
      </c>
      <c r="W57" s="914">
        <f t="shared" si="3"/>
        <v>19.717456035474534</v>
      </c>
      <c r="X57" s="913">
        <f t="shared" si="4"/>
        <v>0.28628556317024129</v>
      </c>
      <c r="Y57" s="913">
        <f t="shared" si="5"/>
        <v>16.997806927133222</v>
      </c>
      <c r="Z57" s="95">
        <f t="shared" si="6"/>
        <v>98957</v>
      </c>
      <c r="AA57" s="50" t="str">
        <f t="shared" si="7"/>
        <v>MOQ OK</v>
      </c>
      <c r="AB57" s="923">
        <f t="shared" si="8"/>
        <v>0.19169005847069306</v>
      </c>
      <c r="AC57" s="924">
        <f t="shared" si="9"/>
        <v>0.22236046782600394</v>
      </c>
      <c r="AD57" s="203">
        <f t="shared" si="10"/>
        <v>38338.011694138615</v>
      </c>
      <c r="AE57" s="912">
        <f t="shared" si="11"/>
        <v>44472.09356520079</v>
      </c>
      <c r="AF57" s="923" cm="1">
        <f t="array" ref="AF57">IF(O57="Quantum",IFERROR(_xlfn.LET(_xlpm.b,_xlfn.SWITCH(LOWER(B57),"zipper bag","Zipper pouch","open bag","Open pouch","sup with zipper","Stand-up pouch","stand-up pouch","Stand-up pouch",B57),_xlpm.w,G57,_xlpm.q,K57,_xlpm.types,'Converting-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missing"),IFERROR(_xlfn.LET(_xlpm.s,O57,_xlpm.b,_xlfn.SWITCH(LOWER(B57),"zipper bag","Zipper pouch","open bag","Open pouch",B57),_xlpm.w,G57,_xlpm.q,K57,_xlpm.src,'Converting-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57" s="923">
        <f>IFERROR(IF(OR(B57="Zipper pouch",B57="SUP with zipper"),HELPER!$DE$2*(AH57+AI57)/K57,HELPER!$DE$2*AH57/K57),"Data is missing")</f>
        <v>9.8845668951072388E-4</v>
      </c>
      <c r="AH57" s="923">
        <f t="shared" si="12"/>
        <v>0.28628556317024129</v>
      </c>
      <c r="AI57" s="923">
        <f>IF(OR(B57="Zipper pouch",B57="SUP with zipper"),HELPER!$DC$2*G57/1000,"")</f>
        <v>4.3199999999999995E-2</v>
      </c>
      <c r="AJ57" s="923" cm="1">
        <f t="array" ref="AJ57">IF(INDEX('Laminates- copilot'!$E$6:$E$257,ROUNDUP((ROW()-5)/3,0))+50&gt;IF(O57="Quantum",760,1220),"Width exceeds supplier maximum",IFERROR(AF57+AG57+N(AI57)+AH57*G57/1000/MAX(1,MIN(MAX(2,INT(900/INDEX('Laminates- copilot'!$E$6:$E$257,ROUNDUP((ROW()-5)/3,0)))),INT((IF(O57="Quantum",760,1220)-50)/INDEX('Laminates- copilot'!$E$6:$E$257,ROUNDUP((ROW()-5)/3,0))))),"Data is missing"))</f>
        <v>0.14376754385301979</v>
      </c>
      <c r="AK57" s="203">
        <f t="shared" si="13"/>
        <v>191.69005847069306</v>
      </c>
      <c r="AL57" t="str">
        <f t="shared" si="14"/>
        <v>PASS</v>
      </c>
      <c r="AM57" s="50" t="str">
        <f t="shared" si="15"/>
        <v/>
      </c>
    </row>
    <row r="58" spans="1:39" hidden="1">
      <c r="A58" t="s">
        <v>1686</v>
      </c>
      <c r="B58" t="s">
        <v>261</v>
      </c>
      <c r="C58" s="50" t="s">
        <v>2210</v>
      </c>
      <c r="D58">
        <f>'Laminates- copilot'!B23</f>
        <v>418</v>
      </c>
      <c r="E58" s="858">
        <f>'Laminates- copilot'!D23</f>
        <v>51</v>
      </c>
      <c r="F58" s="858">
        <v>700</v>
      </c>
      <c r="G58" s="858">
        <v>300</v>
      </c>
      <c r="H58" s="858">
        <v>75</v>
      </c>
      <c r="I58" s="858">
        <v>0</v>
      </c>
      <c r="J58" s="858">
        <v>1550</v>
      </c>
      <c r="K58" s="858">
        <v>200000</v>
      </c>
      <c r="L58" s="858" t="str">
        <f>'Laminates- copilot'!K23</f>
        <v>Not Printed</v>
      </c>
      <c r="M58" s="858" t="str">
        <f>'Laminates- copilot'!L23</f>
        <v>0</v>
      </c>
      <c r="N58" s="858">
        <f>'Laminates- copilot'!M23</f>
        <v>1</v>
      </c>
      <c r="O58" s="858" t="str">
        <f>'Laminates- copilot'!O23</f>
        <v>Bastin</v>
      </c>
      <c r="P58" s="858" t="str">
        <f>'Laminates- copilot'!N23</f>
        <v>Europe to US</v>
      </c>
      <c r="Q58" s="858">
        <f t="shared" si="0"/>
        <v>60000</v>
      </c>
      <c r="R58" s="858">
        <f t="shared" si="1"/>
        <v>60000</v>
      </c>
      <c r="S58" s="858">
        <f>IFERROR('Laminates- copilot'!Q23/'Laminates- copilot'!P23*Q58,"")</f>
        <v>1010.55</v>
      </c>
      <c r="T58" s="203">
        <f>IFERROR('Laminates- copilot'!R23/'Laminates- copilot'!P23*Q58,"")</f>
        <v>17177.133790214477</v>
      </c>
      <c r="U58" s="912">
        <f>IFERROR('Laminates- copilot'!S23/'Laminates- copilot'!P23*Q58,"")</f>
        <v>19925.475196648789</v>
      </c>
      <c r="V58" s="913">
        <f t="shared" si="2"/>
        <v>16.997806927133222</v>
      </c>
      <c r="W58" s="914">
        <f t="shared" si="3"/>
        <v>19.717456035474534</v>
      </c>
      <c r="X58" s="913">
        <f t="shared" si="4"/>
        <v>0.28628556317024129</v>
      </c>
      <c r="Y58" s="913">
        <f t="shared" si="5"/>
        <v>16.997806927133222</v>
      </c>
      <c r="Z58" s="95">
        <f t="shared" si="6"/>
        <v>98957</v>
      </c>
      <c r="AA58" s="50" t="str">
        <f t="shared" si="7"/>
        <v>MOQ OK</v>
      </c>
      <c r="AB58" s="923">
        <f t="shared" si="8"/>
        <v>0.184093867000757</v>
      </c>
      <c r="AC58" s="924">
        <f t="shared" si="9"/>
        <v>0.2135488857208781</v>
      </c>
      <c r="AD58" s="203">
        <f t="shared" si="10"/>
        <v>36818.773400151404</v>
      </c>
      <c r="AE58" s="912">
        <f t="shared" si="11"/>
        <v>42709.777144175627</v>
      </c>
      <c r="AF58" s="923" cm="1">
        <f t="array" ref="AF58">IF(O58="Quantum",IFERROR(_xlfn.LET(_xlpm.b,_xlfn.SWITCH(LOWER(B58),"zipper bag","Zipper pouch","open bag","Open pouch","sup with zipper","Stand-up pouch","stand-up pouch","Stand-up pouch",B58),_xlpm.w,G58,_xlpm.q,K58,_xlpm.types,'Converting-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missing"),IFERROR(_xlfn.LET(_xlpm.s,O58,_xlpm.b,_xlfn.SWITCH(LOWER(B58),"zipper bag","Zipper pouch","open bag","Open pouch",B58),_xlpm.w,G58,_xlpm.q,K58,_xlpm.src,'Converting-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58" s="923">
        <f>IFERROR(IF(OR(B58="Zipper pouch",B58="SUP with zipper"),HELPER!$DE$2*(AH58+AI58)/K58,HELPER!$DE$2*AH58/K58),"Data is missing")</f>
        <v>9.8845668951072388E-4</v>
      </c>
      <c r="AH58" s="923">
        <f t="shared" si="12"/>
        <v>0.28628556317024129</v>
      </c>
      <c r="AI58" s="923">
        <f>IF(OR(B58="Zipper pouch",B58="SUP with zipper"),HELPER!$DC$2*G58/1000,"")</f>
        <v>4.3199999999999995E-2</v>
      </c>
      <c r="AJ58" s="923" cm="1">
        <f t="array" ref="AJ58">IF(INDEX('Laminates- copilot'!$E$6:$E$257,ROUNDUP((ROW()-5)/3,0))+50&gt;IF(O58="Quantum",760,1220),"Width exceeds supplier maximum",IFERROR(AF58+AG58+N(AI58)+AH58*G58/1000/MAX(1,MIN(MAX(2,INT(900/INDEX('Laminates- copilot'!$E$6:$E$257,ROUNDUP((ROW()-5)/3,0)))),INT((IF(O58="Quantum",760,1220)-50)/INDEX('Laminates- copilot'!$E$6:$E$257,ROUNDUP((ROW()-5)/3,0))))),"Data is missing"))</f>
        <v>0.13807040025056774</v>
      </c>
      <c r="AK58" s="203">
        <f t="shared" si="13"/>
        <v>184.093867000757</v>
      </c>
      <c r="AL58" t="str">
        <f t="shared" si="14"/>
        <v>PASS</v>
      </c>
      <c r="AM58" s="50" t="str">
        <f t="shared" si="15"/>
        <v/>
      </c>
    </row>
    <row r="59" spans="1:39" hidden="1">
      <c r="A59" t="s">
        <v>1687</v>
      </c>
      <c r="B59" t="s">
        <v>262</v>
      </c>
      <c r="C59" s="50" t="s">
        <v>2210</v>
      </c>
      <c r="D59">
        <f>'Laminates- copilot'!B23</f>
        <v>418</v>
      </c>
      <c r="E59" s="858">
        <f>'Laminates- copilot'!D23</f>
        <v>51</v>
      </c>
      <c r="F59" s="858">
        <v>700</v>
      </c>
      <c r="G59" s="858">
        <v>300</v>
      </c>
      <c r="H59" s="858">
        <v>0</v>
      </c>
      <c r="I59" s="858">
        <v>0</v>
      </c>
      <c r="J59" s="858">
        <v>1400</v>
      </c>
      <c r="K59" s="858">
        <v>200000</v>
      </c>
      <c r="L59" s="858" t="str">
        <f>'Laminates- copilot'!K23</f>
        <v>Not Printed</v>
      </c>
      <c r="M59" s="858" t="str">
        <f>'Laminates- copilot'!L23</f>
        <v>0</v>
      </c>
      <c r="N59" s="858">
        <f>'Laminates- copilot'!M23</f>
        <v>1</v>
      </c>
      <c r="O59" s="858" t="str">
        <f>'Laminates- copilot'!O23</f>
        <v>Bastin</v>
      </c>
      <c r="P59" s="858" t="str">
        <f>'Laminates- copilot'!N23</f>
        <v>Europe to US</v>
      </c>
      <c r="Q59" s="858">
        <f t="shared" si="0"/>
        <v>60000</v>
      </c>
      <c r="R59" s="858">
        <f t="shared" si="1"/>
        <v>60000</v>
      </c>
      <c r="S59" s="858">
        <f>IFERROR('Laminates- copilot'!Q23/'Laminates- copilot'!P23*Q59,"")</f>
        <v>1010.55</v>
      </c>
      <c r="T59" s="203">
        <f>IFERROR('Laminates- copilot'!R23/'Laminates- copilot'!P23*Q59,"")</f>
        <v>17177.133790214477</v>
      </c>
      <c r="U59" s="912">
        <f>IFERROR('Laminates- copilot'!S23/'Laminates- copilot'!P23*Q59,"")</f>
        <v>19925.475196648789</v>
      </c>
      <c r="V59" s="913">
        <f t="shared" si="2"/>
        <v>16.997806927133222</v>
      </c>
      <c r="W59" s="914">
        <f t="shared" si="3"/>
        <v>19.717456035474534</v>
      </c>
      <c r="X59" s="913">
        <f t="shared" si="4"/>
        <v>0.28628556317024129</v>
      </c>
      <c r="Y59" s="913">
        <f t="shared" si="5"/>
        <v>16.997806927133222</v>
      </c>
      <c r="Z59" s="95">
        <f t="shared" si="6"/>
        <v>98957</v>
      </c>
      <c r="AA59" s="50" t="str">
        <f t="shared" si="7"/>
        <v>MOQ OK</v>
      </c>
      <c r="AB59" s="923">
        <f t="shared" si="8"/>
        <v>0.11736665790391927</v>
      </c>
      <c r="AC59" s="924">
        <f t="shared" si="9"/>
        <v>0.13614532316854636</v>
      </c>
      <c r="AD59" s="203">
        <f t="shared" si="10"/>
        <v>23473.331580783855</v>
      </c>
      <c r="AE59" s="912">
        <f t="shared" si="11"/>
        <v>27229.064633709269</v>
      </c>
      <c r="AF59" s="923" cm="1">
        <f t="array" ref="AF59">IF(O59="Quantum",IFERROR(_xlfn.LET(_xlpm.b,_xlfn.SWITCH(LOWER(B59),"zipper bag","Zipper pouch","open bag","Open pouch","sup with zipper","Stand-up pouch","stand-up pouch","Stand-up pouch",B59),_xlpm.w,G59,_xlpm.q,K59,_xlpm.types,'Converting-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missing"),IFERROR(_xlfn.LET(_xlpm.s,O59,_xlpm.b,_xlfn.SWITCH(LOWER(B59),"zipper bag","Zipper pouch","open bag","Open pouch",B59),_xlpm.w,G59,_xlpm.q,K59,_xlpm.src,'Converting-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59" s="923">
        <f>IFERROR(IF(OR(B59="Zipper pouch",B59="SUP with zipper"),HELPER!$DE$2*(AH59+AI59)/K59,HELPER!$DE$2*AH59/K59),"Data is missing")</f>
        <v>8.5885668951072387E-4</v>
      </c>
      <c r="AH59" s="923">
        <f t="shared" si="12"/>
        <v>0.28628556317024129</v>
      </c>
      <c r="AI59" s="923" t="str">
        <f>IF(OR(B59="Zipper pouch",B59="SUP with zipper"),HELPER!$DC$2*G59/1000,"")</f>
        <v/>
      </c>
      <c r="AJ59" s="923" cm="1">
        <f t="array" ref="AJ59">IF(INDEX('Laminates- copilot'!$E$6:$E$257,ROUNDUP((ROW()-5)/3,0))+50&gt;IF(O59="Quantum",760,1220),"Width exceeds supplier maximum",IFERROR(AF59+AG59+N(AI59)+AH59*G59/1000/MAX(1,MIN(MAX(2,INT(900/INDEX('Laminates- copilot'!$E$6:$E$257,ROUNDUP((ROW()-5)/3,0)))),INT((IF(O59="Quantum",760,1220)-50)/INDEX('Laminates- copilot'!$E$6:$E$257,ROUNDUP((ROW()-5)/3,0))))),"Data is missing"))</f>
        <v>8.8024993427939457E-2</v>
      </c>
      <c r="AK59" s="203">
        <f t="shared" si="13"/>
        <v>117.36665790391928</v>
      </c>
      <c r="AL59" t="str">
        <f t="shared" si="14"/>
        <v>PASS</v>
      </c>
      <c r="AM59" s="50" t="str">
        <f t="shared" si="15"/>
        <v/>
      </c>
    </row>
    <row r="60" spans="1:39" hidden="1">
      <c r="A60" t="s">
        <v>1688</v>
      </c>
      <c r="B60" t="s">
        <v>251</v>
      </c>
      <c r="C60" s="50" t="s">
        <v>1626</v>
      </c>
      <c r="D60">
        <f>'Laminates- copilot'!B24</f>
        <v>418</v>
      </c>
      <c r="E60" s="858">
        <f>'Laminates- copilot'!D24</f>
        <v>51</v>
      </c>
      <c r="F60" s="858">
        <v>250</v>
      </c>
      <c r="G60" s="858">
        <v>400</v>
      </c>
      <c r="H60" s="858">
        <v>50</v>
      </c>
      <c r="I60" s="858">
        <v>0</v>
      </c>
      <c r="J60" s="858">
        <v>600</v>
      </c>
      <c r="K60" s="858">
        <v>1000000</v>
      </c>
      <c r="L60" s="858" t="str">
        <f>'Laminates- copilot'!K24</f>
        <v>Printed</v>
      </c>
      <c r="M60" s="858" t="str">
        <f>'Laminates- copilot'!L24</f>
        <v>3-4</v>
      </c>
      <c r="N60" s="858">
        <f>'Laminates- copilot'!M24</f>
        <v>4</v>
      </c>
      <c r="O60" s="858" t="str">
        <f>'Laminates- copilot'!O24</f>
        <v>Marma</v>
      </c>
      <c r="P60" s="858" t="str">
        <f>'Laminates- copilot'!N24</f>
        <v>Europe to Europe</v>
      </c>
      <c r="Q60" s="858">
        <f t="shared" si="0"/>
        <v>400000</v>
      </c>
      <c r="R60" s="858">
        <f t="shared" si="1"/>
        <v>400000</v>
      </c>
      <c r="S60" s="858">
        <f>IFERROR('Laminates- copilot'!Q24/'Laminates- copilot'!P24*Q60,"")</f>
        <v>16168.8</v>
      </c>
      <c r="T60" s="203">
        <f>IFERROR('Laminates- copilot'!R24/'Laminates- copilot'!P24*Q60,"")</f>
        <v>345387.16724374995</v>
      </c>
      <c r="U60" s="912">
        <f>IFERROR('Laminates- copilot'!S24/'Laminates- copilot'!P24*Q60,"")</f>
        <v>400649.11400274996</v>
      </c>
      <c r="V60" s="913">
        <f t="shared" si="2"/>
        <v>21.361335859417519</v>
      </c>
      <c r="W60" s="914">
        <f t="shared" si="3"/>
        <v>24.779149596924324</v>
      </c>
      <c r="X60" s="913">
        <f t="shared" si="4"/>
        <v>0.86346791810937484</v>
      </c>
      <c r="Y60" s="913">
        <f t="shared" si="5"/>
        <v>21.361335859417519</v>
      </c>
      <c r="Z60" s="95">
        <f t="shared" si="6"/>
        <v>30924</v>
      </c>
      <c r="AA60" s="50" t="str">
        <f t="shared" si="7"/>
        <v>MOQ OK</v>
      </c>
      <c r="AB60" s="923">
        <f t="shared" si="8"/>
        <v>0.63618040690714217</v>
      </c>
      <c r="AC60" s="924">
        <f t="shared" si="9"/>
        <v>0.7379692720122849</v>
      </c>
      <c r="AD60" s="203">
        <f t="shared" si="10"/>
        <v>636180.40690714214</v>
      </c>
      <c r="AE60" s="912">
        <f t="shared" si="11"/>
        <v>737969.27201228484</v>
      </c>
      <c r="AF60" s="923" cm="1">
        <f t="array" ref="AF60">IF(O60="Quantum",IFERROR(_xlfn.LET(_xlpm.b,_xlfn.SWITCH(LOWER(B60),"zipper bag","Zipper pouch","open bag","Open pouch","sup with zipper","Stand-up pouch","stand-up pouch","Stand-up pouch",B60),_xlpm.w,G60,_xlpm.q,K60,_xlpm.types,'Converting-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missing"),IFERROR(_xlfn.LET(_xlpm.s,O60,_xlpm.b,_xlfn.SWITCH(LOWER(B60),"zipper bag","Zipper pouch","open bag","Open pouch",B60),_xlpm.w,G60,_xlpm.q,K60,_xlpm.src,'Converting-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60" s="923">
        <f>IFERROR(IF(OR(B60="Zipper pouch",B60="SUP with zipper"),HELPER!$DE$2*(AH60+AI60)/K60,HELPER!$DE$2*AH60/K60),"Data is missing")</f>
        <v>5.5264075086562496E-4</v>
      </c>
      <c r="AH60" s="923">
        <f t="shared" si="12"/>
        <v>0.86346791810937484</v>
      </c>
      <c r="AI60" s="923">
        <f>IF(OR(B60="Zipper pouch",B60="SUP with zipper"),HELPER!$DC$2*G60/1000,"")</f>
        <v>5.7599999999999991E-2</v>
      </c>
      <c r="AJ60" s="923" cm="1">
        <f t="array" ref="AJ60">IF(INDEX('Laminates- copilot'!$E$6:$E$257,ROUNDUP((ROW()-5)/3,0))+50&gt;IF(O60="Quantum",760,1220),"Width exceeds supplier maximum",IFERROR(AF60+AG60+N(AI60)+AH60*G60/1000/MAX(1,MIN(MAX(2,INT(900/INDEX('Laminates- copilot'!$E$6:$E$257,ROUNDUP((ROW()-5)/3,0)))),INT((IF(O60="Quantum",760,1220)-50)/INDEX('Laminates- copilot'!$E$6:$E$257,ROUNDUP((ROW()-5)/3,0))))),"Data is missing"))</f>
        <v>0.47713530518035663</v>
      </c>
      <c r="AK60" s="203">
        <f t="shared" si="13"/>
        <v>636.18040690714213</v>
      </c>
      <c r="AL60" t="str">
        <f t="shared" si="14"/>
        <v>PASS</v>
      </c>
      <c r="AM60" s="50" t="str">
        <f t="shared" si="15"/>
        <v/>
      </c>
    </row>
    <row r="61" spans="1:39" hidden="1">
      <c r="A61" t="s">
        <v>1689</v>
      </c>
      <c r="B61" t="s">
        <v>261</v>
      </c>
      <c r="C61" s="50" t="s">
        <v>1626</v>
      </c>
      <c r="D61">
        <f>'Laminates- copilot'!B24</f>
        <v>418</v>
      </c>
      <c r="E61" s="858">
        <f>'Laminates- copilot'!D24</f>
        <v>51</v>
      </c>
      <c r="F61" s="858">
        <v>250</v>
      </c>
      <c r="G61" s="858">
        <v>400</v>
      </c>
      <c r="H61" s="858">
        <v>50</v>
      </c>
      <c r="I61" s="858">
        <v>0</v>
      </c>
      <c r="J61" s="858">
        <v>600</v>
      </c>
      <c r="K61" s="858">
        <v>1000000</v>
      </c>
      <c r="L61" s="858" t="str">
        <f>'Laminates- copilot'!K24</f>
        <v>Printed</v>
      </c>
      <c r="M61" s="858" t="str">
        <f>'Laminates- copilot'!L24</f>
        <v>3-4</v>
      </c>
      <c r="N61" s="858">
        <f>'Laminates- copilot'!M24</f>
        <v>4</v>
      </c>
      <c r="O61" s="858" t="str">
        <f>'Laminates- copilot'!O24</f>
        <v>Marma</v>
      </c>
      <c r="P61" s="858" t="str">
        <f>'Laminates- copilot'!N24</f>
        <v>Europe to Europe</v>
      </c>
      <c r="Q61" s="858">
        <f t="shared" si="0"/>
        <v>400000</v>
      </c>
      <c r="R61" s="858">
        <f t="shared" si="1"/>
        <v>400000</v>
      </c>
      <c r="S61" s="858">
        <f>IFERROR('Laminates- copilot'!Q24/'Laminates- copilot'!P24*Q61,"")</f>
        <v>16168.8</v>
      </c>
      <c r="T61" s="203">
        <f>IFERROR('Laminates- copilot'!R24/'Laminates- copilot'!P24*Q61,"")</f>
        <v>345387.16724374995</v>
      </c>
      <c r="U61" s="912">
        <f>IFERROR('Laminates- copilot'!S24/'Laminates- copilot'!P24*Q61,"")</f>
        <v>400649.11400274996</v>
      </c>
      <c r="V61" s="913">
        <f t="shared" si="2"/>
        <v>21.361335859417519</v>
      </c>
      <c r="W61" s="914">
        <f t="shared" si="3"/>
        <v>24.779149596924324</v>
      </c>
      <c r="X61" s="913">
        <f t="shared" si="4"/>
        <v>0.86346791810937484</v>
      </c>
      <c r="Y61" s="913">
        <f t="shared" si="5"/>
        <v>21.361335859417519</v>
      </c>
      <c r="Z61" s="95">
        <f t="shared" si="6"/>
        <v>30924</v>
      </c>
      <c r="AA61" s="50" t="str">
        <f t="shared" si="7"/>
        <v>MOQ OK</v>
      </c>
      <c r="AB61" s="923">
        <f t="shared" si="8"/>
        <v>0.62853926755868583</v>
      </c>
      <c r="AC61" s="924">
        <f t="shared" si="9"/>
        <v>0.72910555036807556</v>
      </c>
      <c r="AD61" s="203">
        <f t="shared" si="10"/>
        <v>628539.26755868585</v>
      </c>
      <c r="AE61" s="912">
        <f t="shared" si="11"/>
        <v>729105.55036807549</v>
      </c>
      <c r="AF61" s="923" cm="1">
        <f t="array" ref="AF61">IF(O61="Quantum",IFERROR(_xlfn.LET(_xlpm.b,_xlfn.SWITCH(LOWER(B61),"zipper bag","Zipper pouch","open bag","Open pouch","sup with zipper","Stand-up pouch","stand-up pouch","Stand-up pouch",B61),_xlpm.w,G61,_xlpm.q,K61,_xlpm.types,'Converting-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missing"),IFERROR(_xlfn.LET(_xlpm.s,O61,_xlpm.b,_xlfn.SWITCH(LOWER(B61),"zipper bag","Zipper pouch","open bag","Open pouch",B61),_xlpm.w,G61,_xlpm.q,K61,_xlpm.src,'Converting-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61" s="923">
        <f>IFERROR(IF(OR(B61="Zipper pouch",B61="SUP with zipper"),HELPER!$DE$2*(AH61+AI61)/K61,HELPER!$DE$2*AH61/K61),"Data is missing")</f>
        <v>5.5264075086562496E-4</v>
      </c>
      <c r="AH61" s="923">
        <f t="shared" si="12"/>
        <v>0.86346791810937484</v>
      </c>
      <c r="AI61" s="923">
        <f>IF(OR(B61="Zipper pouch",B61="SUP with zipper"),HELPER!$DC$2*G61/1000,"")</f>
        <v>5.7599999999999991E-2</v>
      </c>
      <c r="AJ61" s="923" cm="1">
        <f t="array" ref="AJ61">IF(INDEX('Laminates- copilot'!$E$6:$E$257,ROUNDUP((ROW()-5)/3,0))+50&gt;IF(O61="Quantum",760,1220),"Width exceeds supplier maximum",IFERROR(AF61+AG61+N(AI61)+AH61*G61/1000/MAX(1,MIN(MAX(2,INT(900/INDEX('Laminates- copilot'!$E$6:$E$257,ROUNDUP((ROW()-5)/3,0)))),INT((IF(O61="Quantum",760,1220)-50)/INDEX('Laminates- copilot'!$E$6:$E$257,ROUNDUP((ROW()-5)/3,0))))),"Data is missing"))</f>
        <v>0.47140445066901437</v>
      </c>
      <c r="AK61" s="203">
        <f t="shared" si="13"/>
        <v>628.53926755868588</v>
      </c>
      <c r="AL61" t="str">
        <f t="shared" si="14"/>
        <v>PASS</v>
      </c>
      <c r="AM61" s="50" t="str">
        <f t="shared" si="15"/>
        <v/>
      </c>
    </row>
    <row r="62" spans="1:39" hidden="1">
      <c r="A62" t="s">
        <v>1690</v>
      </c>
      <c r="B62" t="s">
        <v>262</v>
      </c>
      <c r="C62" s="50" t="s">
        <v>1626</v>
      </c>
      <c r="D62">
        <f>'Laminates- copilot'!B24</f>
        <v>418</v>
      </c>
      <c r="E62" s="858">
        <f>'Laminates- copilot'!D24</f>
        <v>51</v>
      </c>
      <c r="F62" s="858">
        <v>250</v>
      </c>
      <c r="G62" s="858">
        <v>400</v>
      </c>
      <c r="H62" s="858">
        <v>0</v>
      </c>
      <c r="I62" s="858">
        <v>15</v>
      </c>
      <c r="J62" s="858">
        <v>515</v>
      </c>
      <c r="K62" s="858">
        <v>1000000</v>
      </c>
      <c r="L62" s="858" t="str">
        <f>'Laminates- copilot'!K24</f>
        <v>Printed</v>
      </c>
      <c r="M62" s="858" t="str">
        <f>'Laminates- copilot'!L24</f>
        <v>3-4</v>
      </c>
      <c r="N62" s="858">
        <f>'Laminates- copilot'!M24</f>
        <v>4</v>
      </c>
      <c r="O62" s="858" t="str">
        <f>'Laminates- copilot'!O24</f>
        <v>Marma</v>
      </c>
      <c r="P62" s="858" t="str">
        <f>'Laminates- copilot'!N24</f>
        <v>Europe to Europe</v>
      </c>
      <c r="Q62" s="858">
        <f t="shared" si="0"/>
        <v>400000</v>
      </c>
      <c r="R62" s="858">
        <f t="shared" si="1"/>
        <v>400000</v>
      </c>
      <c r="S62" s="858">
        <f>IFERROR('Laminates- copilot'!Q24/'Laminates- copilot'!P24*Q62,"")</f>
        <v>16168.8</v>
      </c>
      <c r="T62" s="203">
        <f>IFERROR('Laminates- copilot'!R24/'Laminates- copilot'!P24*Q62,"")</f>
        <v>345387.16724374995</v>
      </c>
      <c r="U62" s="912">
        <f>IFERROR('Laminates- copilot'!S24/'Laminates- copilot'!P24*Q62,"")</f>
        <v>400649.11400274996</v>
      </c>
      <c r="V62" s="913">
        <f t="shared" si="2"/>
        <v>21.361335859417519</v>
      </c>
      <c r="W62" s="914">
        <f t="shared" si="3"/>
        <v>24.779149596924324</v>
      </c>
      <c r="X62" s="913">
        <f t="shared" si="4"/>
        <v>0.86346791810937484</v>
      </c>
      <c r="Y62" s="913">
        <f t="shared" si="5"/>
        <v>21.361335859417519</v>
      </c>
      <c r="Z62" s="95">
        <f t="shared" si="6"/>
        <v>30924</v>
      </c>
      <c r="AA62" s="50" t="str">
        <f t="shared" si="7"/>
        <v>MOQ OK</v>
      </c>
      <c r="AB62" s="923">
        <f t="shared" si="8"/>
        <v>0.54159472726066893</v>
      </c>
      <c r="AC62" s="924">
        <f t="shared" si="9"/>
        <v>0.62824988362237588</v>
      </c>
      <c r="AD62" s="203">
        <f t="shared" si="10"/>
        <v>541594.72726066888</v>
      </c>
      <c r="AE62" s="912">
        <f t="shared" si="11"/>
        <v>628249.8836223759</v>
      </c>
      <c r="AF62" s="923" cm="1">
        <f t="array" ref="AF62">IF(O62="Quantum",IFERROR(_xlfn.LET(_xlpm.b,_xlfn.SWITCH(LOWER(B62),"zipper bag","Zipper pouch","open bag","Open pouch","sup with zipper","Stand-up pouch","stand-up pouch","Stand-up pouch",B62),_xlpm.w,G62,_xlpm.q,K62,_xlpm.types,'Converting-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missing"),IFERROR(_xlfn.LET(_xlpm.s,O62,_xlpm.b,_xlfn.SWITCH(LOWER(B62),"zipper bag","Zipper pouch","open bag","Open pouch",B62),_xlpm.w,G62,_xlpm.q,K62,_xlpm.src,'Converting-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62" s="923">
        <f>IFERROR(IF(OR(B62="Zipper pouch",B62="SUP with zipper"),HELPER!$DE$2*(AH62+AI62)/K62,HELPER!$DE$2*AH62/K62),"Data is missing")</f>
        <v>5.1808075086562486E-4</v>
      </c>
      <c r="AH62" s="923">
        <f t="shared" si="12"/>
        <v>0.86346791810937484</v>
      </c>
      <c r="AI62" s="923" t="str">
        <f>IF(OR(B62="Zipper pouch",B62="SUP with zipper"),HELPER!$DC$2*G62/1000,"")</f>
        <v/>
      </c>
      <c r="AJ62" s="923" cm="1">
        <f t="array" ref="AJ62">IF(INDEX('Laminates- copilot'!$E$6:$E$257,ROUNDUP((ROW()-5)/3,0))+50&gt;IF(O62="Quantum",760,1220),"Width exceeds supplier maximum",IFERROR(AF62+AG62+N(AI62)+AH62*G62/1000/MAX(1,MIN(MAX(2,INT(900/INDEX('Laminates- copilot'!$E$6:$E$257,ROUNDUP((ROW()-5)/3,0)))),INT((IF(O62="Quantum",760,1220)-50)/INDEX('Laminates- copilot'!$E$6:$E$257,ROUNDUP((ROW()-5)/3,0))))),"Data is missing"))</f>
        <v>0.4061960454455017</v>
      </c>
      <c r="AK62" s="203">
        <f t="shared" si="13"/>
        <v>541.59472726066895</v>
      </c>
      <c r="AL62" t="str">
        <f t="shared" si="14"/>
        <v>PASS</v>
      </c>
      <c r="AM62" s="50" t="str">
        <f t="shared" si="15"/>
        <v/>
      </c>
    </row>
    <row r="63" spans="1:39" hidden="1">
      <c r="A63" t="s">
        <v>1691</v>
      </c>
      <c r="B63" t="s">
        <v>251</v>
      </c>
      <c r="C63" s="50" t="s">
        <v>1627</v>
      </c>
      <c r="D63">
        <f>'Laminates- copilot'!B25</f>
        <v>418</v>
      </c>
      <c r="E63" s="858">
        <f>'Laminates- copilot'!D25</f>
        <v>51</v>
      </c>
      <c r="F63" s="858">
        <v>350</v>
      </c>
      <c r="G63" s="858">
        <v>500</v>
      </c>
      <c r="H63" s="858">
        <v>100</v>
      </c>
      <c r="I63" s="858">
        <v>0</v>
      </c>
      <c r="J63" s="858">
        <v>900</v>
      </c>
      <c r="K63" s="858">
        <v>1600000</v>
      </c>
      <c r="L63" s="858" t="str">
        <f>'Laminates- copilot'!K25</f>
        <v>Printed</v>
      </c>
      <c r="M63" s="858" t="str">
        <f>'Laminates- copilot'!L25</f>
        <v>1-2</v>
      </c>
      <c r="N63" s="858">
        <f>'Laminates- copilot'!M25</f>
        <v>2</v>
      </c>
      <c r="O63" s="858" t="str">
        <f>'Laminates- copilot'!O25</f>
        <v>Quantum</v>
      </c>
      <c r="P63" s="858" t="str">
        <f>'Laminates- copilot'!N25</f>
        <v>Europe to Europe</v>
      </c>
      <c r="Q63" s="858">
        <f t="shared" si="0"/>
        <v>800000</v>
      </c>
      <c r="R63" s="858">
        <f t="shared" si="1"/>
        <v>800000</v>
      </c>
      <c r="S63" s="858">
        <f>IFERROR('Laminates- copilot'!Q25/'Laminates- copilot'!P25*Q63,"")</f>
        <v>24253.200000000001</v>
      </c>
      <c r="T63" s="203">
        <f>IFERROR('Laminates- copilot'!R25/'Laminates- copilot'!P25*Q63,"")</f>
        <v>922896.18657329958</v>
      </c>
      <c r="U63" s="912">
        <f>IFERROR('Laminates- copilot'!S25/'Laminates- copilot'!P25*Q63,"")</f>
        <v>1070559.5764250276</v>
      </c>
      <c r="V63" s="913">
        <f t="shared" si="2"/>
        <v>38.05255333619067</v>
      </c>
      <c r="W63" s="914">
        <f t="shared" si="3"/>
        <v>44.140961869981176</v>
      </c>
      <c r="X63" s="913">
        <f t="shared" si="4"/>
        <v>1.1536202332166245</v>
      </c>
      <c r="Y63" s="913">
        <f t="shared" si="5"/>
        <v>38.05255333619067</v>
      </c>
      <c r="Z63" s="95">
        <f t="shared" si="6"/>
        <v>32986</v>
      </c>
      <c r="AA63" s="50" t="str">
        <f t="shared" si="7"/>
        <v>MOQ OK</v>
      </c>
      <c r="AB63" s="923">
        <f t="shared" si="8"/>
        <v>1.2211435119261305</v>
      </c>
      <c r="AC63" s="924">
        <f t="shared" si="9"/>
        <v>1.4165264738343113</v>
      </c>
      <c r="AD63" s="203">
        <f t="shared" si="10"/>
        <v>1953829.6190818087</v>
      </c>
      <c r="AE63" s="912">
        <f t="shared" si="11"/>
        <v>2266442.3581348979</v>
      </c>
      <c r="AF63" s="923" cm="1">
        <f t="array" ref="AF63">IF(O63="Quantum",IFERROR(_xlfn.LET(_xlpm.b,_xlfn.SWITCH(LOWER(B63),"zipper bag","Zipper pouch","open bag","Open pouch","sup with zipper","Stand-up pouch","stand-up pouch","Stand-up pouch",B63),_xlpm.w,G63,_xlpm.q,K63,_xlpm.types,'Converting-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missing"),IFERROR(_xlfn.LET(_xlpm.s,O63,_xlpm.b,_xlfn.SWITCH(LOWER(B63),"zipper bag","Zipper pouch","open bag","Open pouch",B63),_xlpm.w,G63,_xlpm.q,K63,_xlpm.src,'Converting-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63" s="923">
        <f>IFERROR(IF(OR(B63="Zipper pouch",B63="SUP with zipper"),HELPER!$DE$2*(AH63+AI63)/K63,HELPER!$DE$2*AH63/K63),"Data is missing")</f>
        <v>4.5960758745623422E-4</v>
      </c>
      <c r="AH63" s="923">
        <f t="shared" si="12"/>
        <v>1.1536202332166245</v>
      </c>
      <c r="AI63" s="923">
        <f>IF(OR(B63="Zipper pouch",B63="SUP with zipper"),HELPER!$DC$2*G63/1000,"")</f>
        <v>7.1999999999999995E-2</v>
      </c>
      <c r="AJ63" s="923" cm="1">
        <f t="array" ref="AJ63">IF(INDEX('Laminates- copilot'!$E$6:$E$257,ROUNDUP((ROW()-5)/3,0))+50&gt;IF(O63="Quantum",760,1220),"Width exceeds supplier maximum",IFERROR(AF63+AG63+N(AI63)+AH63*G63/1000/MAX(1,MIN(MAX(2,INT(900/INDEX('Laminates- copilot'!$E$6:$E$257,ROUNDUP((ROW()-5)/3,0)))),INT((IF(O63="Quantum",760,1220)-50)/INDEX('Laminates- copilot'!$E$6:$E$257,ROUNDUP((ROW()-5)/3,0))))),"Data is missing"))</f>
        <v>0.91585763394459785</v>
      </c>
      <c r="AK63" s="203">
        <f t="shared" si="13"/>
        <v>1221.1435119261305</v>
      </c>
      <c r="AL63" t="str">
        <f t="shared" si="14"/>
        <v>PASS</v>
      </c>
      <c r="AM63" s="50" t="str">
        <f t="shared" si="15"/>
        <v/>
      </c>
    </row>
    <row r="64" spans="1:39" hidden="1">
      <c r="A64" t="s">
        <v>1692</v>
      </c>
      <c r="B64" t="s">
        <v>261</v>
      </c>
      <c r="C64" s="50" t="s">
        <v>1627</v>
      </c>
      <c r="D64">
        <f>'Laminates- copilot'!B25</f>
        <v>418</v>
      </c>
      <c r="E64" s="858">
        <f>'Laminates- copilot'!D25</f>
        <v>51</v>
      </c>
      <c r="F64" s="858">
        <v>350</v>
      </c>
      <c r="G64" s="858">
        <v>500</v>
      </c>
      <c r="H64" s="858">
        <v>100</v>
      </c>
      <c r="I64" s="858">
        <v>0</v>
      </c>
      <c r="J64" s="858">
        <v>900</v>
      </c>
      <c r="K64" s="858">
        <v>1600000</v>
      </c>
      <c r="L64" s="858" t="str">
        <f>'Laminates- copilot'!K25</f>
        <v>Printed</v>
      </c>
      <c r="M64" s="858" t="str">
        <f>'Laminates- copilot'!L25</f>
        <v>1-2</v>
      </c>
      <c r="N64" s="858">
        <f>'Laminates- copilot'!M25</f>
        <v>2</v>
      </c>
      <c r="O64" s="858" t="str">
        <f>'Laminates- copilot'!O25</f>
        <v>Quantum</v>
      </c>
      <c r="P64" s="858" t="str">
        <f>'Laminates- copilot'!N25</f>
        <v>Europe to Europe</v>
      </c>
      <c r="Q64" s="858">
        <f t="shared" si="0"/>
        <v>800000</v>
      </c>
      <c r="R64" s="858">
        <f t="shared" si="1"/>
        <v>800000</v>
      </c>
      <c r="S64" s="858">
        <f>IFERROR('Laminates- copilot'!Q25/'Laminates- copilot'!P25*Q64,"")</f>
        <v>24253.200000000001</v>
      </c>
      <c r="T64" s="203">
        <f>IFERROR('Laminates- copilot'!R25/'Laminates- copilot'!P25*Q64,"")</f>
        <v>922896.18657329958</v>
      </c>
      <c r="U64" s="912">
        <f>IFERROR('Laminates- copilot'!S25/'Laminates- copilot'!P25*Q64,"")</f>
        <v>1070559.5764250276</v>
      </c>
      <c r="V64" s="913">
        <f t="shared" si="2"/>
        <v>38.05255333619067</v>
      </c>
      <c r="W64" s="914">
        <f t="shared" si="3"/>
        <v>44.140961869981176</v>
      </c>
      <c r="X64" s="913">
        <f t="shared" si="4"/>
        <v>1.1536202332166245</v>
      </c>
      <c r="Y64" s="913">
        <f t="shared" si="5"/>
        <v>38.05255333619067</v>
      </c>
      <c r="Z64" s="95">
        <f t="shared" si="6"/>
        <v>32986</v>
      </c>
      <c r="AA64" s="50" t="str">
        <f t="shared" si="7"/>
        <v>MOQ OK</v>
      </c>
      <c r="AB64" s="923">
        <f t="shared" si="8"/>
        <v>1.1817256351306462</v>
      </c>
      <c r="AC64" s="924">
        <f t="shared" si="9"/>
        <v>1.3708017367515495</v>
      </c>
      <c r="AD64" s="203">
        <f t="shared" si="10"/>
        <v>1890761.016209034</v>
      </c>
      <c r="AE64" s="912">
        <f t="shared" si="11"/>
        <v>2193282.7788024792</v>
      </c>
      <c r="AF64" s="923" cm="1">
        <f t="array" ref="AF64">IF(O64="Quantum",IFERROR(_xlfn.LET(_xlpm.b,_xlfn.SWITCH(LOWER(B64),"zipper bag","Zipper pouch","open bag","Open pouch","sup with zipper","Stand-up pouch","stand-up pouch","Stand-up pouch",B64),_xlpm.w,G64,_xlpm.q,K64,_xlpm.types,'Converting-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missing"),IFERROR(_xlfn.LET(_xlpm.s,O64,_xlpm.b,_xlfn.SWITCH(LOWER(B64),"zipper bag","Zipper pouch","open bag","Open pouch",B64),_xlpm.w,G64,_xlpm.q,K64,_xlpm.src,'Converting-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64" s="923">
        <f>IFERROR(IF(OR(B64="Zipper pouch",B64="SUP with zipper"),HELPER!$DE$2*(AH64+AI64)/K64,HELPER!$DE$2*AH64/K64),"Data is missing")</f>
        <v>4.5960758745623422E-4</v>
      </c>
      <c r="AH64" s="923">
        <f t="shared" si="12"/>
        <v>1.1536202332166245</v>
      </c>
      <c r="AI64" s="923">
        <f>IF(OR(B64="Zipper pouch",B64="SUP with zipper"),HELPER!$DC$2*G64/1000,"")</f>
        <v>7.1999999999999995E-2</v>
      </c>
      <c r="AJ64" s="923" cm="1">
        <f t="array" ref="AJ64">IF(INDEX('Laminates- copilot'!$E$6:$E$257,ROUNDUP((ROW()-5)/3,0))+50&gt;IF(O64="Quantum",760,1220),"Width exceeds supplier maximum",IFERROR(AF64+AG64+N(AI64)+AH64*G64/1000/MAX(1,MIN(MAX(2,INT(900/INDEX('Laminates- copilot'!$E$6:$E$257,ROUNDUP((ROW()-5)/3,0)))),INT((IF(O64="Quantum",760,1220)-50)/INDEX('Laminates- copilot'!$E$6:$E$257,ROUNDUP((ROW()-5)/3,0))))),"Data is missing"))</f>
        <v>0.8862942263479846</v>
      </c>
      <c r="AK64" s="203">
        <f t="shared" si="13"/>
        <v>1181.7256351306462</v>
      </c>
      <c r="AL64" t="str">
        <f t="shared" si="14"/>
        <v>PASS</v>
      </c>
      <c r="AM64" s="50" t="str">
        <f t="shared" si="15"/>
        <v/>
      </c>
    </row>
    <row r="65" spans="1:39" hidden="1">
      <c r="A65" t="s">
        <v>1693</v>
      </c>
      <c r="B65" t="s">
        <v>262</v>
      </c>
      <c r="C65" s="50" t="s">
        <v>1627</v>
      </c>
      <c r="D65">
        <f>'Laminates- copilot'!B25</f>
        <v>418</v>
      </c>
      <c r="E65" s="858">
        <f>'Laminates- copilot'!D25</f>
        <v>51</v>
      </c>
      <c r="F65" s="858">
        <v>350</v>
      </c>
      <c r="G65" s="858">
        <v>500</v>
      </c>
      <c r="H65" s="858">
        <v>0</v>
      </c>
      <c r="I65" s="858">
        <v>25</v>
      </c>
      <c r="J65" s="858">
        <v>725</v>
      </c>
      <c r="K65" s="858">
        <v>1600000</v>
      </c>
      <c r="L65" s="858" t="str">
        <f>'Laminates- copilot'!K25</f>
        <v>Printed</v>
      </c>
      <c r="M65" s="858" t="str">
        <f>'Laminates- copilot'!L25</f>
        <v>1-2</v>
      </c>
      <c r="N65" s="858">
        <f>'Laminates- copilot'!M25</f>
        <v>2</v>
      </c>
      <c r="O65" s="858" t="str">
        <f>'Laminates- copilot'!O25</f>
        <v>Quantum</v>
      </c>
      <c r="P65" s="858" t="str">
        <f>'Laminates- copilot'!N25</f>
        <v>Europe to Europe</v>
      </c>
      <c r="Q65" s="858">
        <f t="shared" si="0"/>
        <v>800000</v>
      </c>
      <c r="R65" s="858">
        <f t="shared" si="1"/>
        <v>800000</v>
      </c>
      <c r="S65" s="858">
        <f>IFERROR('Laminates- copilot'!Q25/'Laminates- copilot'!P25*Q65,"")</f>
        <v>24253.200000000001</v>
      </c>
      <c r="T65" s="203">
        <f>IFERROR('Laminates- copilot'!R25/'Laminates- copilot'!P25*Q65,"")</f>
        <v>922896.18657329958</v>
      </c>
      <c r="U65" s="912">
        <f>IFERROR('Laminates- copilot'!S25/'Laminates- copilot'!P25*Q65,"")</f>
        <v>1070559.5764250276</v>
      </c>
      <c r="V65" s="913">
        <f t="shared" si="2"/>
        <v>38.05255333619067</v>
      </c>
      <c r="W65" s="914">
        <f t="shared" si="3"/>
        <v>44.140961869981176</v>
      </c>
      <c r="X65" s="913">
        <f t="shared" si="4"/>
        <v>1.1536202332166245</v>
      </c>
      <c r="Y65" s="913">
        <f t="shared" si="5"/>
        <v>38.05255333619067</v>
      </c>
      <c r="Z65" s="95">
        <f t="shared" si="6"/>
        <v>32986</v>
      </c>
      <c r="AA65" s="50" t="str">
        <f t="shared" si="7"/>
        <v>MOQ OK</v>
      </c>
      <c r="AB65" s="923">
        <f t="shared" si="8"/>
        <v>1.0539254486367875</v>
      </c>
      <c r="AC65" s="924">
        <f t="shared" si="9"/>
        <v>1.2225535204186735</v>
      </c>
      <c r="AD65" s="203">
        <f t="shared" si="10"/>
        <v>1686280.71781886</v>
      </c>
      <c r="AE65" s="912">
        <f t="shared" si="11"/>
        <v>1956085.6326698775</v>
      </c>
      <c r="AF65" s="923" cm="1">
        <f t="array" ref="AF65">IF(O65="Quantum",IFERROR(_xlfn.LET(_xlpm.b,_xlfn.SWITCH(LOWER(B65),"zipper bag","Zipper pouch","open bag","Open pouch","sup with zipper","Stand-up pouch","stand-up pouch","Stand-up pouch",B65),_xlpm.w,G65,_xlpm.q,K65,_xlpm.types,'Converting-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missing"),IFERROR(_xlfn.LET(_xlpm.s,O65,_xlpm.b,_xlfn.SWITCH(LOWER(B65),"zipper bag","Zipper pouch","open bag","Open pouch",B65),_xlpm.w,G65,_xlpm.q,K65,_xlpm.src,'Converting-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65" s="923">
        <f>IFERROR(IF(OR(B65="Zipper pouch",B65="SUP with zipper"),HELPER!$DE$2*(AH65+AI65)/K65,HELPER!$DE$2*AH65/K65),"Data is missing")</f>
        <v>4.3260758745623421E-4</v>
      </c>
      <c r="AH65" s="923">
        <f t="shared" si="12"/>
        <v>1.1536202332166245</v>
      </c>
      <c r="AI65" s="923" t="str">
        <f>IF(OR(B65="Zipper pouch",B65="SUP with zipper"),HELPER!$DC$2*G65/1000,"")</f>
        <v/>
      </c>
      <c r="AJ65" s="923" cm="1">
        <f t="array" ref="AJ65">IF(INDEX('Laminates- copilot'!$E$6:$E$257,ROUNDUP((ROW()-5)/3,0))+50&gt;IF(O65="Quantum",760,1220),"Width exceeds supplier maximum",IFERROR(AF65+AG65+N(AI65)+AH65*G65/1000/MAX(1,MIN(MAX(2,INT(900/INDEX('Laminates- copilot'!$E$6:$E$257,ROUNDUP((ROW()-5)/3,0)))),INT((IF(O65="Quantum",760,1220)-50)/INDEX('Laminates- copilot'!$E$6:$E$257,ROUNDUP((ROW()-5)/3,0))))),"Data is missing"))</f>
        <v>0.79044408647759057</v>
      </c>
      <c r="AK65" s="203">
        <f t="shared" si="13"/>
        <v>1053.9254486367875</v>
      </c>
      <c r="AL65" t="str">
        <f t="shared" si="14"/>
        <v>PASS</v>
      </c>
      <c r="AM65" s="50" t="str">
        <f t="shared" si="15"/>
        <v/>
      </c>
    </row>
    <row r="66" spans="1:39" hidden="1">
      <c r="A66" t="s">
        <v>1694</v>
      </c>
      <c r="B66" t="s">
        <v>251</v>
      </c>
      <c r="C66" s="50" t="s">
        <v>2203</v>
      </c>
      <c r="D66">
        <f>'Laminates- copilot'!B26</f>
        <v>428</v>
      </c>
      <c r="E66" s="858">
        <f>'Laminates- copilot'!D26</f>
        <v>80</v>
      </c>
      <c r="F66" s="858">
        <v>100</v>
      </c>
      <c r="G66" s="858">
        <v>100</v>
      </c>
      <c r="H66" s="858">
        <v>20</v>
      </c>
      <c r="I66" s="858">
        <v>0</v>
      </c>
      <c r="J66" s="858">
        <v>240</v>
      </c>
      <c r="K66" s="858">
        <v>25000</v>
      </c>
      <c r="L66" s="858" t="str">
        <f>'Laminates- copilot'!K26</f>
        <v>Not Printed</v>
      </c>
      <c r="M66" s="858" t="str">
        <f>'Laminates- copilot'!L26</f>
        <v>0</v>
      </c>
      <c r="N66" s="858">
        <f>'Laminates- copilot'!M26</f>
        <v>1</v>
      </c>
      <c r="O66" s="858" t="str">
        <f>'Laminates- copilot'!O26</f>
        <v>Marma</v>
      </c>
      <c r="P66" s="858" t="str">
        <f>'Laminates- copilot'!N26</f>
        <v>Europe to Europe</v>
      </c>
      <c r="Q66" s="858">
        <f t="shared" si="0"/>
        <v>2500</v>
      </c>
      <c r="R66" s="858">
        <f t="shared" si="1"/>
        <v>2500</v>
      </c>
      <c r="S66" s="858">
        <f>IFERROR('Laminates- copilot'!Q26/'Laminates- copilot'!P26*Q66,"")</f>
        <v>30.786000000000005</v>
      </c>
      <c r="T66" s="203">
        <f>IFERROR('Laminates- copilot'!R26/'Laminates- copilot'!P26*Q66,"")</f>
        <v>368.78263097929334</v>
      </c>
      <c r="U66" s="912">
        <f>IFERROR('Laminates- copilot'!S26/'Laminates- copilot'!P26*Q66,"")</f>
        <v>427.78785193598026</v>
      </c>
      <c r="V66" s="913">
        <f t="shared" si="2"/>
        <v>11.978907002510663</v>
      </c>
      <c r="W66" s="914">
        <f t="shared" si="3"/>
        <v>13.895532122912369</v>
      </c>
      <c r="X66" s="913">
        <f t="shared" si="4"/>
        <v>0.14751305239171733</v>
      </c>
      <c r="Y66" s="913">
        <f t="shared" si="5"/>
        <v>11.978907002510663</v>
      </c>
      <c r="Z66" s="95">
        <f t="shared" si="6"/>
        <v>406029</v>
      </c>
      <c r="AA66" s="50" t="str">
        <f t="shared" si="7"/>
        <v>Below MOQ by 381,029 bags</v>
      </c>
      <c r="AB66" s="923">
        <f t="shared" si="8"/>
        <v>7.812174423817142E-2</v>
      </c>
      <c r="AC66" s="924">
        <f t="shared" si="9"/>
        <v>9.0621223316278837E-2</v>
      </c>
      <c r="AD66" s="203">
        <f t="shared" si="10"/>
        <v>1953.0436059542856</v>
      </c>
      <c r="AE66" s="912">
        <f t="shared" si="11"/>
        <v>2265.5305829069712</v>
      </c>
      <c r="AF66" s="923" cm="1">
        <f t="array" ref="AF66">IF(O66="Quantum",IFERROR(_xlfn.LET(_xlpm.b,_xlfn.SWITCH(LOWER(B66),"zipper bag","Zipper pouch","open bag","Open pouch","sup with zipper","Stand-up pouch","stand-up pouch","Stand-up pouch",B66),_xlpm.w,G66,_xlpm.q,K66,_xlpm.types,'Converting-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missing"),IFERROR(_xlfn.LET(_xlpm.s,O66,_xlpm.b,_xlfn.SWITCH(LOWER(B66),"zipper bag","Zipper pouch","open bag","Open pouch",B66),_xlpm.w,G66,_xlpm.q,K66,_xlpm.src,'Converting-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66" s="923">
        <f>IFERROR(IF(OR(B66="Zipper pouch",B66="SUP with zipper"),HELPER!$DE$2*(AH66+AI66)/K66,HELPER!$DE$2*AH66/K66),"Data is missing")</f>
        <v>3.8859132574012157E-3</v>
      </c>
      <c r="AH66" s="923">
        <f t="shared" si="12"/>
        <v>0.14751305239171733</v>
      </c>
      <c r="AI66" s="923">
        <f>IF(OR(B66="Zipper pouch",B66="SUP with zipper"),HELPER!$DC$2*G66/1000,"")</f>
        <v>1.4399999999999998E-2</v>
      </c>
      <c r="AJ66" s="923" cm="1">
        <f t="array" ref="AJ66">IF(INDEX('Laminates- copilot'!$E$6:$E$257,ROUNDUP((ROW()-5)/3,0))+50&gt;IF(O66="Quantum",760,1220),"Width exceeds supplier maximum",IFERROR(AF66+AG66+N(AI66)+AH66*G66/1000/MAX(1,MIN(MAX(2,INT(900/INDEX('Laminates- copilot'!$E$6:$E$257,ROUNDUP((ROW()-5)/3,0)))),INT((IF(O66="Quantum",760,1220)-50)/INDEX('Laminates- copilot'!$E$6:$E$257,ROUNDUP((ROW()-5)/3,0))))),"Data is missing"))</f>
        <v>5.8591308178628565E-2</v>
      </c>
      <c r="AK66" s="203">
        <f t="shared" si="13"/>
        <v>78.121744238171416</v>
      </c>
      <c r="AL66" t="str">
        <f t="shared" si="14"/>
        <v>PASS</v>
      </c>
      <c r="AM66" s="50" t="str">
        <f t="shared" si="15"/>
        <v/>
      </c>
    </row>
    <row r="67" spans="1:39" hidden="1">
      <c r="A67" t="s">
        <v>1695</v>
      </c>
      <c r="B67" t="s">
        <v>261</v>
      </c>
      <c r="C67" s="50" t="s">
        <v>2203</v>
      </c>
      <c r="D67">
        <f>'Laminates- copilot'!B26</f>
        <v>428</v>
      </c>
      <c r="E67" s="858">
        <f>'Laminates- copilot'!D26</f>
        <v>80</v>
      </c>
      <c r="F67" s="858">
        <v>100</v>
      </c>
      <c r="G67" s="858">
        <v>100</v>
      </c>
      <c r="H67" s="858">
        <v>20</v>
      </c>
      <c r="I67" s="858">
        <v>0</v>
      </c>
      <c r="J67" s="858">
        <v>240</v>
      </c>
      <c r="K67" s="858">
        <v>25000</v>
      </c>
      <c r="L67" s="858" t="str">
        <f>'Laminates- copilot'!K26</f>
        <v>Not Printed</v>
      </c>
      <c r="M67" s="858" t="str">
        <f>'Laminates- copilot'!L26</f>
        <v>0</v>
      </c>
      <c r="N67" s="858">
        <f>'Laminates- copilot'!M26</f>
        <v>1</v>
      </c>
      <c r="O67" s="858" t="str">
        <f>'Laminates- copilot'!O26</f>
        <v>Marma</v>
      </c>
      <c r="P67" s="858" t="str">
        <f>'Laminates- copilot'!N26</f>
        <v>Europe to Europe</v>
      </c>
      <c r="Q67" s="858">
        <f t="shared" si="0"/>
        <v>2500</v>
      </c>
      <c r="R67" s="858">
        <f t="shared" si="1"/>
        <v>2500</v>
      </c>
      <c r="S67" s="858">
        <f>IFERROR('Laminates- copilot'!Q26/'Laminates- copilot'!P26*Q67,"")</f>
        <v>30.786000000000005</v>
      </c>
      <c r="T67" s="203">
        <f>IFERROR('Laminates- copilot'!R26/'Laminates- copilot'!P26*Q67,"")</f>
        <v>368.78263097929334</v>
      </c>
      <c r="U67" s="912">
        <f>IFERROR('Laminates- copilot'!S26/'Laminates- copilot'!P26*Q67,"")</f>
        <v>427.78785193598026</v>
      </c>
      <c r="V67" s="913">
        <f t="shared" si="2"/>
        <v>11.978907002510663</v>
      </c>
      <c r="W67" s="914">
        <f t="shared" si="3"/>
        <v>13.895532122912369</v>
      </c>
      <c r="X67" s="913">
        <f t="shared" si="4"/>
        <v>0.14751305239171733</v>
      </c>
      <c r="Y67" s="913">
        <f t="shared" si="5"/>
        <v>11.978907002510663</v>
      </c>
      <c r="Z67" s="95">
        <f t="shared" si="6"/>
        <v>406029</v>
      </c>
      <c r="AA67" s="50" t="str">
        <f t="shared" si="7"/>
        <v>Below MOQ by 381,029 bags</v>
      </c>
      <c r="AB67" s="923">
        <f t="shared" si="8"/>
        <v>7.4696405909553024E-2</v>
      </c>
      <c r="AC67" s="924">
        <f t="shared" si="9"/>
        <v>8.6647830855081501E-2</v>
      </c>
      <c r="AD67" s="203">
        <f t="shared" si="10"/>
        <v>1867.4101477388256</v>
      </c>
      <c r="AE67" s="912">
        <f t="shared" si="11"/>
        <v>2166.1957713770375</v>
      </c>
      <c r="AF67" s="923" cm="1">
        <f t="array" ref="AF67">IF(O67="Quantum",IFERROR(_xlfn.LET(_xlpm.b,_xlfn.SWITCH(LOWER(B67),"zipper bag","Zipper pouch","open bag","Open pouch","sup with zipper","Stand-up pouch","stand-up pouch","Stand-up pouch",B67),_xlpm.w,G67,_xlpm.q,K67,_xlpm.types,'Converting-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missing"),IFERROR(_xlfn.LET(_xlpm.s,O67,_xlpm.b,_xlfn.SWITCH(LOWER(B67),"zipper bag","Zipper pouch","open bag","Open pouch",B67),_xlpm.w,G67,_xlpm.q,K67,_xlpm.src,'Converting-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67" s="923">
        <f>IFERROR(IF(OR(B67="Zipper pouch",B67="SUP with zipper"),HELPER!$DE$2*(AH67+AI67)/K67,HELPER!$DE$2*AH67/K67),"Data is missing")</f>
        <v>3.8859132574012157E-3</v>
      </c>
      <c r="AH67" s="923">
        <f t="shared" si="12"/>
        <v>0.14751305239171733</v>
      </c>
      <c r="AI67" s="923">
        <f>IF(OR(B67="Zipper pouch",B67="SUP with zipper"),HELPER!$DC$2*G67/1000,"")</f>
        <v>1.4399999999999998E-2</v>
      </c>
      <c r="AJ67" s="923" cm="1">
        <f t="array" ref="AJ67">IF(INDEX('Laminates- copilot'!$E$6:$E$257,ROUNDUP((ROW()-5)/3,0))+50&gt;IF(O67="Quantum",760,1220),"Width exceeds supplier maximum",IFERROR(AF67+AG67+N(AI67)+AH67*G67/1000/MAX(1,MIN(MAX(2,INT(900/INDEX('Laminates- copilot'!$E$6:$E$257,ROUNDUP((ROW()-5)/3,0)))),INT((IF(O67="Quantum",760,1220)-50)/INDEX('Laminates- copilot'!$E$6:$E$257,ROUNDUP((ROW()-5)/3,0))))),"Data is missing"))</f>
        <v>5.6022304432164764E-2</v>
      </c>
      <c r="AK67" s="203">
        <f t="shared" si="13"/>
        <v>74.696405909553022</v>
      </c>
      <c r="AL67" t="str">
        <f t="shared" si="14"/>
        <v>PASS</v>
      </c>
      <c r="AM67" s="50" t="str">
        <f t="shared" si="15"/>
        <v/>
      </c>
    </row>
    <row r="68" spans="1:39" hidden="1">
      <c r="A68" t="s">
        <v>1696</v>
      </c>
      <c r="B68" t="s">
        <v>262</v>
      </c>
      <c r="C68" s="50" t="s">
        <v>2203</v>
      </c>
      <c r="D68">
        <f>'Laminates- copilot'!B26</f>
        <v>428</v>
      </c>
      <c r="E68" s="858">
        <f>'Laminates- copilot'!D26</f>
        <v>80</v>
      </c>
      <c r="F68" s="858">
        <v>100</v>
      </c>
      <c r="G68" s="858">
        <v>100</v>
      </c>
      <c r="H68" s="858">
        <v>0</v>
      </c>
      <c r="I68" s="858">
        <v>0</v>
      </c>
      <c r="J68" s="858">
        <v>200</v>
      </c>
      <c r="K68" s="858">
        <v>25000</v>
      </c>
      <c r="L68" s="858" t="str">
        <f>'Laminates- copilot'!K26</f>
        <v>Not Printed</v>
      </c>
      <c r="M68" s="858" t="str">
        <f>'Laminates- copilot'!L26</f>
        <v>0</v>
      </c>
      <c r="N68" s="858">
        <f>'Laminates- copilot'!M26</f>
        <v>1</v>
      </c>
      <c r="O68" s="858" t="str">
        <f>'Laminates- copilot'!O26</f>
        <v>Marma</v>
      </c>
      <c r="P68" s="858" t="str">
        <f>'Laminates- copilot'!N26</f>
        <v>Europe to Europe</v>
      </c>
      <c r="Q68" s="858">
        <f t="shared" si="0"/>
        <v>2500</v>
      </c>
      <c r="R68" s="858">
        <f t="shared" si="1"/>
        <v>2500</v>
      </c>
      <c r="S68" s="858">
        <f>IFERROR('Laminates- copilot'!Q26/'Laminates- copilot'!P26*Q68,"")</f>
        <v>30.786000000000005</v>
      </c>
      <c r="T68" s="203">
        <f>IFERROR('Laminates- copilot'!R26/'Laminates- copilot'!P26*Q68,"")</f>
        <v>368.78263097929334</v>
      </c>
      <c r="U68" s="912">
        <f>IFERROR('Laminates- copilot'!S26/'Laminates- copilot'!P26*Q68,"")</f>
        <v>427.78785193598026</v>
      </c>
      <c r="V68" s="913">
        <f t="shared" si="2"/>
        <v>11.978907002510663</v>
      </c>
      <c r="W68" s="914">
        <f t="shared" si="3"/>
        <v>13.895532122912369</v>
      </c>
      <c r="X68" s="913">
        <f t="shared" si="4"/>
        <v>0.14751305239171733</v>
      </c>
      <c r="Y68" s="913">
        <f t="shared" si="5"/>
        <v>11.978907002510663</v>
      </c>
      <c r="Z68" s="95">
        <f t="shared" si="6"/>
        <v>406029</v>
      </c>
      <c r="AA68" s="50" t="str">
        <f t="shared" si="7"/>
        <v>Below MOQ by 381,029 bags</v>
      </c>
      <c r="AB68" s="923">
        <f t="shared" si="8"/>
        <v>5.1265001561687402E-2</v>
      </c>
      <c r="AC68" s="924">
        <f t="shared" si="9"/>
        <v>5.946740181155738E-2</v>
      </c>
      <c r="AD68" s="203">
        <f t="shared" si="10"/>
        <v>1281.6250390421851</v>
      </c>
      <c r="AE68" s="912">
        <f t="shared" si="11"/>
        <v>1486.6850452889346</v>
      </c>
      <c r="AF68" s="923" cm="1">
        <f t="array" ref="AF68">IF(O68="Quantum",IFERROR(_xlfn.LET(_xlpm.b,_xlfn.SWITCH(LOWER(B68),"zipper bag","Zipper pouch","open bag","Open pouch","sup with zipper","Stand-up pouch","stand-up pouch","Stand-up pouch",B68),_xlpm.w,G68,_xlpm.q,K68,_xlpm.types,'Converting-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missing"),IFERROR(_xlfn.LET(_xlpm.s,O68,_xlpm.b,_xlfn.SWITCH(LOWER(B68),"zipper bag","Zipper pouch","open bag","Open pouch",B68),_xlpm.w,G68,_xlpm.q,K68,_xlpm.src,'Converting-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68" s="923">
        <f>IFERROR(IF(OR(B68="Zipper pouch",B68="SUP with zipper"),HELPER!$DE$2*(AH68+AI68)/K68,HELPER!$DE$2*AH68/K68),"Data is missing")</f>
        <v>3.540313257401216E-3</v>
      </c>
      <c r="AH68" s="923">
        <f t="shared" si="12"/>
        <v>0.14751305239171733</v>
      </c>
      <c r="AI68" s="923" t="str">
        <f>IF(OR(B68="Zipper pouch",B68="SUP with zipper"),HELPER!$DC$2*G68/1000,"")</f>
        <v/>
      </c>
      <c r="AJ68" s="923" cm="1">
        <f t="array" ref="AJ68">IF(INDEX('Laminates- copilot'!$E$6:$E$257,ROUNDUP((ROW()-5)/3,0))+50&gt;IF(O68="Quantum",760,1220),"Width exceeds supplier maximum",IFERROR(AF68+AG68+N(AI68)+AH68*G68/1000/MAX(1,MIN(MAX(2,INT(900/INDEX('Laminates- copilot'!$E$6:$E$257,ROUNDUP((ROW()-5)/3,0)))),INT((IF(O68="Quantum",760,1220)-50)/INDEX('Laminates- copilot'!$E$6:$E$257,ROUNDUP((ROW()-5)/3,0))))),"Data is missing"))</f>
        <v>3.8448751171265554E-2</v>
      </c>
      <c r="AK68" s="203">
        <f t="shared" si="13"/>
        <v>51.265001561687406</v>
      </c>
      <c r="AL68" t="str">
        <f t="shared" si="14"/>
        <v>PASS</v>
      </c>
      <c r="AM68" s="50" t="str">
        <f t="shared" si="15"/>
        <v/>
      </c>
    </row>
    <row r="69" spans="1:39" hidden="1">
      <c r="A69" t="s">
        <v>1697</v>
      </c>
      <c r="B69" t="s">
        <v>251</v>
      </c>
      <c r="C69" s="50" t="s">
        <v>2204</v>
      </c>
      <c r="D69">
        <f>'Laminates- copilot'!B27</f>
        <v>428</v>
      </c>
      <c r="E69" s="858">
        <f>'Laminates- copilot'!D27</f>
        <v>80</v>
      </c>
      <c r="F69" s="858">
        <v>150</v>
      </c>
      <c r="G69" s="858">
        <v>150</v>
      </c>
      <c r="H69" s="858">
        <v>25</v>
      </c>
      <c r="I69" s="858">
        <v>0</v>
      </c>
      <c r="J69" s="858">
        <v>350</v>
      </c>
      <c r="K69" s="858">
        <v>25000</v>
      </c>
      <c r="L69" s="858" t="str">
        <f>'Laminates- copilot'!K27</f>
        <v>Printed</v>
      </c>
      <c r="M69" s="858" t="str">
        <f>'Laminates- copilot'!L27</f>
        <v>1-2</v>
      </c>
      <c r="N69" s="858">
        <f>'Laminates- copilot'!M27</f>
        <v>1</v>
      </c>
      <c r="O69" s="858" t="str">
        <f>'Laminates- copilot'!O27</f>
        <v>Bastin</v>
      </c>
      <c r="P69" s="858" t="str">
        <f>'Laminates- copilot'!N27</f>
        <v>Europe to US</v>
      </c>
      <c r="Q69" s="858">
        <f t="shared" si="0"/>
        <v>3750</v>
      </c>
      <c r="R69" s="858">
        <f t="shared" si="1"/>
        <v>3750</v>
      </c>
      <c r="S69" s="858">
        <f>IFERROR('Laminates- copilot'!Q27/'Laminates- copilot'!P27*Q69,"")</f>
        <v>46.179000000000002</v>
      </c>
      <c r="T69" s="203">
        <f>IFERROR('Laminates- copilot'!R27/'Laminates- copilot'!P27*Q69,"")</f>
        <v>12045.141615123885</v>
      </c>
      <c r="U69" s="912">
        <f>IFERROR('Laminates- copilot'!S27/'Laminates- copilot'!P27*Q69,"")</f>
        <v>13972.364273543706</v>
      </c>
      <c r="V69" s="913">
        <f t="shared" si="2"/>
        <v>260.83591275523253</v>
      </c>
      <c r="W69" s="914">
        <f t="shared" si="3"/>
        <v>302.56965879606975</v>
      </c>
      <c r="X69" s="913">
        <f t="shared" si="4"/>
        <v>3.212037764033036</v>
      </c>
      <c r="Y69" s="913">
        <f t="shared" si="5"/>
        <v>260.83591275523253</v>
      </c>
      <c r="Z69" s="95">
        <f t="shared" si="6"/>
        <v>270686</v>
      </c>
      <c r="AA69" s="50" t="str">
        <f t="shared" si="7"/>
        <v>Below MOQ by 245,686 bags</v>
      </c>
      <c r="AB69" s="923">
        <f t="shared" si="8"/>
        <v>0.29932913279502621</v>
      </c>
      <c r="AC69" s="924">
        <f t="shared" si="9"/>
        <v>0.34722179404223036</v>
      </c>
      <c r="AD69" s="203">
        <f t="shared" si="10"/>
        <v>7483.228319875655</v>
      </c>
      <c r="AE69" s="912">
        <f t="shared" si="11"/>
        <v>8680.5448510557599</v>
      </c>
      <c r="AF69" s="923" cm="1">
        <f t="array" ref="AF69">IF(O69="Quantum",IFERROR(_xlfn.LET(_xlpm.b,_xlfn.SWITCH(LOWER(B69),"zipper bag","Zipper pouch","open bag","Open pouch","sup with zipper","Stand-up pouch","stand-up pouch","Stand-up pouch",B69),_xlpm.w,G69,_xlpm.q,K69,_xlpm.types,'Converting-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missing"),IFERROR(_xlfn.LET(_xlpm.s,O69,_xlpm.b,_xlfn.SWITCH(LOWER(B69),"zipper bag","Zipper pouch","open bag","Open pouch",B69),_xlpm.w,G69,_xlpm.q,K69,_xlpm.src,'Converting-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69" s="923">
        <f>IFERROR(IF(OR(B69="Zipper pouch",B69="SUP with zipper"),HELPER!$DE$2*(AH69+AI69)/K69,HELPER!$DE$2*AH69/K69),"Data is missing")</f>
        <v>7.7607306336792858E-2</v>
      </c>
      <c r="AH69" s="923">
        <f t="shared" si="12"/>
        <v>3.212037764033036</v>
      </c>
      <c r="AI69" s="923">
        <f>IF(OR(B69="Zipper pouch",B69="SUP with zipper"),HELPER!$DC$2*G69/1000,"")</f>
        <v>2.1599999999999998E-2</v>
      </c>
      <c r="AJ69" s="923" cm="1">
        <f t="array" ref="AJ69">IF(INDEX('Laminates- copilot'!$E$6:$E$257,ROUNDUP((ROW()-5)/3,0))+50&gt;IF(O69="Quantum",760,1220),"Width exceeds supplier maximum",IFERROR(AF69+AG69+N(AI69)+AH69*G69/1000/MAX(1,MIN(MAX(2,INT(900/INDEX('Laminates- copilot'!$E$6:$E$257,ROUNDUP((ROW()-5)/3,0)))),INT((IF(O69="Quantum",760,1220)-50)/INDEX('Laminates- copilot'!$E$6:$E$257,ROUNDUP((ROW()-5)/3,0))))),"Data is missing"))</f>
        <v>0.22449684959626967</v>
      </c>
      <c r="AK69" s="203">
        <f t="shared" si="13"/>
        <v>299.32913279502623</v>
      </c>
      <c r="AL69" t="str">
        <f t="shared" si="14"/>
        <v>PASS</v>
      </c>
      <c r="AM69" s="50" t="str">
        <f t="shared" si="15"/>
        <v/>
      </c>
    </row>
    <row r="70" spans="1:39" hidden="1">
      <c r="A70" t="s">
        <v>1698</v>
      </c>
      <c r="B70" t="s">
        <v>261</v>
      </c>
      <c r="C70" s="50" t="s">
        <v>2204</v>
      </c>
      <c r="D70">
        <f>'Laminates- copilot'!B27</f>
        <v>428</v>
      </c>
      <c r="E70" s="858">
        <f>'Laminates- copilot'!D27</f>
        <v>80</v>
      </c>
      <c r="F70" s="858">
        <v>150</v>
      </c>
      <c r="G70" s="858">
        <v>150</v>
      </c>
      <c r="H70" s="858">
        <v>25</v>
      </c>
      <c r="I70" s="858">
        <v>0</v>
      </c>
      <c r="J70" s="858">
        <v>350</v>
      </c>
      <c r="K70" s="858">
        <v>25000</v>
      </c>
      <c r="L70" s="858" t="str">
        <f>'Laminates- copilot'!K27</f>
        <v>Printed</v>
      </c>
      <c r="M70" s="858" t="str">
        <f>'Laminates- copilot'!L27</f>
        <v>1-2</v>
      </c>
      <c r="N70" s="858">
        <f>'Laminates- copilot'!M27</f>
        <v>1</v>
      </c>
      <c r="O70" s="858" t="str">
        <f>'Laminates- copilot'!O27</f>
        <v>Bastin</v>
      </c>
      <c r="P70" s="858" t="str">
        <f>'Laminates- copilot'!N27</f>
        <v>Europe to US</v>
      </c>
      <c r="Q70" s="858">
        <f t="shared" ref="Q70:Q133" si="16">K70*G70/1000</f>
        <v>3750</v>
      </c>
      <c r="R70" s="858">
        <f t="shared" ref="R70:R133" si="17">Q70</f>
        <v>3750</v>
      </c>
      <c r="S70" s="858">
        <f>IFERROR('Laminates- copilot'!Q27/'Laminates- copilot'!P27*Q70,"")</f>
        <v>46.179000000000002</v>
      </c>
      <c r="T70" s="203">
        <f>IFERROR('Laminates- copilot'!R27/'Laminates- copilot'!P27*Q70,"")</f>
        <v>12045.141615123885</v>
      </c>
      <c r="U70" s="912">
        <f>IFERROR('Laminates- copilot'!S27/'Laminates- copilot'!P27*Q70,"")</f>
        <v>13972.364273543706</v>
      </c>
      <c r="V70" s="913">
        <f t="shared" ref="V70:V133" si="18">IFERROR(T70/S70,"")</f>
        <v>260.83591275523253</v>
      </c>
      <c r="W70" s="914">
        <f t="shared" ref="W70:W133" si="19">IFERROR(U70/S70,"")</f>
        <v>302.56965879606975</v>
      </c>
      <c r="X70" s="913">
        <f t="shared" ref="X70:X133" si="20">IFERROR(T70/Q70,"")</f>
        <v>3.212037764033036</v>
      </c>
      <c r="Y70" s="913">
        <f t="shared" ref="Y70:Y133" si="21">V70</f>
        <v>260.83591275523253</v>
      </c>
      <c r="Z70" s="95">
        <f t="shared" ref="Z70:Z133" si="22">IFERROR(ROUNDUP((500*Q70/S70)*1000/G70,0),"")</f>
        <v>270686</v>
      </c>
      <c r="AA70" s="50" t="str">
        <f t="shared" ref="AA70:AA133" si="23">IF(OR(K70="",Z70=""),"MOQ data missing",IF(K70&gt;=Z70,"MOQ OK","Below MOQ by "&amp;TEXT(Z70-K70,"#,##0")&amp;" bags"))</f>
        <v>Below MOQ by 245,686 bags</v>
      </c>
      <c r="AB70" s="923">
        <f t="shared" ref="AB70:AB133" si="24">IFERROR(AJ70/(1-25%),"Data is missing")</f>
        <v>0.29416372259546969</v>
      </c>
      <c r="AC70" s="924">
        <f t="shared" ref="AC70:AC133" si="25">IFERROR(AB70*1.16,"Data is missing")</f>
        <v>0.34122991821074483</v>
      </c>
      <c r="AD70" s="203">
        <f t="shared" ref="AD70:AD133" si="26">IFERROR(AB70*K70,"Data is missing")</f>
        <v>7354.0930648867425</v>
      </c>
      <c r="AE70" s="912">
        <f t="shared" ref="AE70:AE133" si="27">IFERROR(AD70*1.16,"Data is missing")</f>
        <v>8530.74795526862</v>
      </c>
      <c r="AF70" s="923" cm="1">
        <f t="array" ref="AF70">IF(O70="Quantum",IFERROR(_xlfn.LET(_xlpm.b,_xlfn.SWITCH(LOWER(B70),"zipper bag","Zipper pouch","open bag","Open pouch","sup with zipper","Stand-up pouch","stand-up pouch","Stand-up pouch",B70),_xlpm.w,G70,_xlpm.q,K70,_xlpm.types,'Converting-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missing"),IFERROR(_xlfn.LET(_xlpm.s,O70,_xlpm.b,_xlfn.SWITCH(LOWER(B70),"zipper bag","Zipper pouch","open bag","Open pouch",B70),_xlpm.w,G70,_xlpm.q,K70,_xlpm.src,'Converting-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70" s="923">
        <f>IFERROR(IF(OR(B70="Zipper pouch",B70="SUP with zipper"),HELPER!$DE$2*(AH70+AI70)/K70,HELPER!$DE$2*AH70/K70),"Data is missing")</f>
        <v>7.7607306336792858E-2</v>
      </c>
      <c r="AH70" s="923">
        <f t="shared" ref="AH70:AH133" si="28">X70</f>
        <v>3.212037764033036</v>
      </c>
      <c r="AI70" s="923">
        <f>IF(OR(B70="Zipper pouch",B70="SUP with zipper"),HELPER!$DC$2*G70/1000,"")</f>
        <v>2.1599999999999998E-2</v>
      </c>
      <c r="AJ70" s="923" cm="1">
        <f t="array" ref="AJ70">IF(INDEX('Laminates- copilot'!$E$6:$E$257,ROUNDUP((ROW()-5)/3,0))+50&gt;IF(O70="Quantum",760,1220),"Width exceeds supplier maximum",IFERROR(AF70+AG70+N(AI70)+AH70*G70/1000/MAX(1,MIN(MAX(2,INT(900/INDEX('Laminates- copilot'!$E$6:$E$257,ROUNDUP((ROW()-5)/3,0)))),INT((IF(O70="Quantum",760,1220)-50)/INDEX('Laminates- copilot'!$E$6:$E$257,ROUNDUP((ROW()-5)/3,0))))),"Data is missing"))</f>
        <v>0.22062279194660225</v>
      </c>
      <c r="AK70" s="203">
        <f t="shared" ref="AK70:AK133" si="29">IFERROR(AB70*1000,"Data is missing")</f>
        <v>294.16372259546966</v>
      </c>
      <c r="AL70" t="str">
        <f t="shared" ref="AL70:AL133" si="30">IF(AND(ISNUMBER(AB70),ISNUMBER(AD70),K70&gt;0,ISNUMBER(AJ70),AM70=""),IF(AND(ABS(AD70-AB70*K70)&lt;0.05,ABS(AB70-AJ70/(1-25%))&lt;0.0001),"PASS","CHECK"),"CHECK")</f>
        <v>PASS</v>
      </c>
      <c r="AM70" s="50" t="str">
        <f t="shared" ref="AM70:AM133" si="31">_xlfn.TEXTJOIN("; ",TRUE,IF(OR(AF70="Data is missing",AG70="Data is missing",AJ70="Data is missing"),"Missing conversion data",""),IF(NOT(ISNUMBER(S70)),"Missing laminate weight",""),IF(NOT(ISNUMBER(T70)),"Missing laminate cost",""))</f>
        <v/>
      </c>
    </row>
    <row r="71" spans="1:39" hidden="1">
      <c r="A71" t="s">
        <v>1699</v>
      </c>
      <c r="B71" t="s">
        <v>262</v>
      </c>
      <c r="C71" s="50" t="s">
        <v>2204</v>
      </c>
      <c r="D71">
        <f>'Laminates- copilot'!B27</f>
        <v>428</v>
      </c>
      <c r="E71" s="858">
        <f>'Laminates- copilot'!D27</f>
        <v>80</v>
      </c>
      <c r="F71" s="858">
        <v>150</v>
      </c>
      <c r="G71" s="858">
        <v>150</v>
      </c>
      <c r="H71" s="858">
        <v>0</v>
      </c>
      <c r="I71" s="858">
        <v>0</v>
      </c>
      <c r="J71" s="858">
        <v>300</v>
      </c>
      <c r="K71" s="858">
        <v>25000</v>
      </c>
      <c r="L71" s="858" t="str">
        <f>'Laminates- copilot'!K27</f>
        <v>Printed</v>
      </c>
      <c r="M71" s="858" t="str">
        <f>'Laminates- copilot'!L27</f>
        <v>1-2</v>
      </c>
      <c r="N71" s="858">
        <f>'Laminates- copilot'!M27</f>
        <v>1</v>
      </c>
      <c r="O71" s="858" t="str">
        <f>'Laminates- copilot'!O27</f>
        <v>Bastin</v>
      </c>
      <c r="P71" s="858" t="str">
        <f>'Laminates- copilot'!N27</f>
        <v>Europe to US</v>
      </c>
      <c r="Q71" s="858">
        <f t="shared" si="16"/>
        <v>3750</v>
      </c>
      <c r="R71" s="858">
        <f t="shared" si="17"/>
        <v>3750</v>
      </c>
      <c r="S71" s="858">
        <f>IFERROR('Laminates- copilot'!Q27/'Laminates- copilot'!P27*Q71,"")</f>
        <v>46.179000000000002</v>
      </c>
      <c r="T71" s="203">
        <f>IFERROR('Laminates- copilot'!R27/'Laminates- copilot'!P27*Q71,"")</f>
        <v>12045.141615123885</v>
      </c>
      <c r="U71" s="912">
        <f>IFERROR('Laminates- copilot'!S27/'Laminates- copilot'!P27*Q71,"")</f>
        <v>13972.364273543706</v>
      </c>
      <c r="V71" s="913">
        <f t="shared" si="18"/>
        <v>260.83591275523253</v>
      </c>
      <c r="W71" s="914">
        <f t="shared" si="19"/>
        <v>302.56965879606975</v>
      </c>
      <c r="X71" s="913">
        <f t="shared" si="20"/>
        <v>3.212037764033036</v>
      </c>
      <c r="Y71" s="913">
        <f t="shared" si="21"/>
        <v>260.83591275523253</v>
      </c>
      <c r="Z71" s="95">
        <f t="shared" si="22"/>
        <v>270686</v>
      </c>
      <c r="AA71" s="50" t="str">
        <f t="shared" si="23"/>
        <v>Below MOQ by 245,686 bags</v>
      </c>
      <c r="AB71" s="923">
        <f t="shared" si="24"/>
        <v>0.25883848375921353</v>
      </c>
      <c r="AC71" s="924">
        <f t="shared" si="25"/>
        <v>0.30025264116068767</v>
      </c>
      <c r="AD71" s="203">
        <f t="shared" si="26"/>
        <v>6470.9620939803381</v>
      </c>
      <c r="AE71" s="912">
        <f t="shared" si="27"/>
        <v>7506.3160290171918</v>
      </c>
      <c r="AF71" s="923" cm="1">
        <f t="array" ref="AF71">IF(O71="Quantum",IFERROR(_xlfn.LET(_xlpm.b,_xlfn.SWITCH(LOWER(B71),"zipper bag","Zipper pouch","open bag","Open pouch","sup with zipper","Stand-up pouch","stand-up pouch","Stand-up pouch",B71),_xlpm.w,G71,_xlpm.q,K71,_xlpm.types,'Converting-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missing"),IFERROR(_xlfn.LET(_xlpm.s,O71,_xlpm.b,_xlfn.SWITCH(LOWER(B71),"zipper bag","Zipper pouch","open bag","Open pouch",B71),_xlpm.w,G71,_xlpm.q,K71,_xlpm.src,'Converting-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71" s="923">
        <f>IFERROR(IF(OR(B71="Zipper pouch",B71="SUP with zipper"),HELPER!$DE$2*(AH71+AI71)/K71,HELPER!$DE$2*AH71/K71),"Data is missing")</f>
        <v>7.7088906336792856E-2</v>
      </c>
      <c r="AH71" s="923">
        <f t="shared" si="28"/>
        <v>3.212037764033036</v>
      </c>
      <c r="AI71" s="923" t="str">
        <f>IF(OR(B71="Zipper pouch",B71="SUP with zipper"),HELPER!$DC$2*G71/1000,"")</f>
        <v/>
      </c>
      <c r="AJ71" s="923" cm="1">
        <f t="array" ref="AJ71">IF(INDEX('Laminates- copilot'!$E$6:$E$257,ROUNDUP((ROW()-5)/3,0))+50&gt;IF(O71="Quantum",760,1220),"Width exceeds supplier maximum",IFERROR(AF71+AG71+N(AI71)+AH71*G71/1000/MAX(1,MIN(MAX(2,INT(900/INDEX('Laminates- copilot'!$E$6:$E$257,ROUNDUP((ROW()-5)/3,0)))),INT((IF(O71="Quantum",760,1220)-50)/INDEX('Laminates- copilot'!$E$6:$E$257,ROUNDUP((ROW()-5)/3,0))))),"Data is missing"))</f>
        <v>0.19412886281941014</v>
      </c>
      <c r="AK71" s="203">
        <f t="shared" si="29"/>
        <v>258.83848375921355</v>
      </c>
      <c r="AL71" t="str">
        <f t="shared" si="30"/>
        <v>PASS</v>
      </c>
      <c r="AM71" s="50" t="str">
        <f t="shared" si="31"/>
        <v/>
      </c>
    </row>
    <row r="72" spans="1:39" hidden="1">
      <c r="A72" t="s">
        <v>1700</v>
      </c>
      <c r="B72" t="s">
        <v>251</v>
      </c>
      <c r="C72" s="50" t="s">
        <v>2205</v>
      </c>
      <c r="D72">
        <f>'Laminates- copilot'!B28</f>
        <v>428</v>
      </c>
      <c r="E72" s="858">
        <f>'Laminates- copilot'!D28</f>
        <v>80</v>
      </c>
      <c r="F72" s="858">
        <v>250</v>
      </c>
      <c r="G72" s="858">
        <v>200</v>
      </c>
      <c r="H72" s="858">
        <v>40</v>
      </c>
      <c r="I72" s="858">
        <v>0</v>
      </c>
      <c r="J72" s="858">
        <v>580</v>
      </c>
      <c r="K72" s="858">
        <v>50000</v>
      </c>
      <c r="L72" s="858" t="str">
        <f>'Laminates- copilot'!K28</f>
        <v>Printed</v>
      </c>
      <c r="M72" s="858" t="str">
        <f>'Laminates- copilot'!L28</f>
        <v>3-4</v>
      </c>
      <c r="N72" s="858">
        <f>'Laminates- copilot'!M28</f>
        <v>4</v>
      </c>
      <c r="O72" s="858" t="str">
        <f>'Laminates- copilot'!O28</f>
        <v>Quantum</v>
      </c>
      <c r="P72" s="858" t="str">
        <f>'Laminates- copilot'!N28</f>
        <v>Europe to Europe</v>
      </c>
      <c r="Q72" s="858">
        <f t="shared" si="16"/>
        <v>10000</v>
      </c>
      <c r="R72" s="858">
        <f t="shared" si="17"/>
        <v>10000</v>
      </c>
      <c r="S72" s="858">
        <f>IFERROR('Laminates- copilot'!Q28/'Laminates- copilot'!P28*Q72,"")</f>
        <v>359.17000000000007</v>
      </c>
      <c r="T72" s="203">
        <f>IFERROR('Laminates- copilot'!R28/'Laminates- copilot'!P28*Q72,"")</f>
        <v>8299.8989936703401</v>
      </c>
      <c r="U72" s="912">
        <f>IFERROR('Laminates- copilot'!S28/'Laminates- copilot'!P28*Q72,"")</f>
        <v>9627.8828326575931</v>
      </c>
      <c r="V72" s="913">
        <f t="shared" si="18"/>
        <v>23.108553035248875</v>
      </c>
      <c r="W72" s="914">
        <f t="shared" si="19"/>
        <v>26.805921520888692</v>
      </c>
      <c r="X72" s="913">
        <f t="shared" si="20"/>
        <v>0.82998989936703405</v>
      </c>
      <c r="Y72" s="913">
        <f t="shared" si="21"/>
        <v>23.108553035248875</v>
      </c>
      <c r="Z72" s="95">
        <f t="shared" si="22"/>
        <v>69605</v>
      </c>
      <c r="AA72" s="50" t="str">
        <f t="shared" si="23"/>
        <v>Below MOQ by 19,605 bags</v>
      </c>
      <c r="AB72" s="923">
        <f t="shared" si="24"/>
        <v>0.31850341821749634</v>
      </c>
      <c r="AC72" s="924">
        <f t="shared" si="25"/>
        <v>0.36946396513229574</v>
      </c>
      <c r="AD72" s="203">
        <f t="shared" si="26"/>
        <v>15925.170910874816</v>
      </c>
      <c r="AE72" s="912">
        <f t="shared" si="27"/>
        <v>18473.198256614785</v>
      </c>
      <c r="AF72" s="923" cm="1">
        <f t="array" ref="AF72">IF(O72="Quantum",IFERROR(_xlfn.LET(_xlpm.b,_xlfn.SWITCH(LOWER(B72),"zipper bag","Zipper pouch","open bag","Open pouch","sup with zipper","Stand-up pouch","stand-up pouch","Stand-up pouch",B72),_xlpm.w,G72,_xlpm.q,K72,_xlpm.types,'Converting-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missing"),IFERROR(_xlfn.LET(_xlpm.s,O72,_xlpm.b,_xlfn.SWITCH(LOWER(B72),"zipper bag","Zipper pouch","open bag","Open pouch",B72),_xlpm.w,G72,_xlpm.q,K72,_xlpm.src,'Converting-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72" s="923">
        <f>IFERROR(IF(OR(B72="Zipper pouch",B72="SUP with zipper"),HELPER!$DE$2*(AH72+AI72)/K72,HELPER!$DE$2*AH72/K72),"Data is missing")</f>
        <v>1.0305478792404408E-2</v>
      </c>
      <c r="AH72" s="923">
        <f t="shared" si="28"/>
        <v>0.82998989936703405</v>
      </c>
      <c r="AI72" s="923">
        <f>IF(OR(B72="Zipper pouch",B72="SUP with zipper"),HELPER!$DC$2*G72/1000,"")</f>
        <v>2.8799999999999996E-2</v>
      </c>
      <c r="AJ72" s="923" cm="1">
        <f t="array" ref="AJ72">IF(INDEX('Laminates- copilot'!$E$6:$E$257,ROUNDUP((ROW()-5)/3,0))+50&gt;IF(O72="Quantum",760,1220),"Width exceeds supplier maximum",IFERROR(AF72+AG72+N(AI72)+AH72*G72/1000/MAX(1,MIN(MAX(2,INT(900/INDEX('Laminates- copilot'!$E$6:$E$257,ROUNDUP((ROW()-5)/3,0)))),INT((IF(O72="Quantum",760,1220)-50)/INDEX('Laminates- copilot'!$E$6:$E$257,ROUNDUP((ROW()-5)/3,0))))),"Data is missing"))</f>
        <v>0.23887756366312227</v>
      </c>
      <c r="AK72" s="203">
        <f t="shared" si="29"/>
        <v>318.50341821749635</v>
      </c>
      <c r="AL72" t="str">
        <f t="shared" si="30"/>
        <v>PASS</v>
      </c>
      <c r="AM72" s="50" t="str">
        <f t="shared" si="31"/>
        <v/>
      </c>
    </row>
    <row r="73" spans="1:39" hidden="1">
      <c r="A73" t="s">
        <v>1701</v>
      </c>
      <c r="B73" t="s">
        <v>261</v>
      </c>
      <c r="C73" s="50" t="s">
        <v>2205</v>
      </c>
      <c r="D73">
        <f>'Laminates- copilot'!B28</f>
        <v>428</v>
      </c>
      <c r="E73" s="858">
        <f>'Laminates- copilot'!D28</f>
        <v>80</v>
      </c>
      <c r="F73" s="858">
        <v>250</v>
      </c>
      <c r="G73" s="858">
        <v>200</v>
      </c>
      <c r="H73" s="858">
        <v>40</v>
      </c>
      <c r="I73" s="858">
        <v>0</v>
      </c>
      <c r="J73" s="858">
        <v>580</v>
      </c>
      <c r="K73" s="858">
        <v>50000</v>
      </c>
      <c r="L73" s="858" t="str">
        <f>'Laminates- copilot'!K28</f>
        <v>Printed</v>
      </c>
      <c r="M73" s="858" t="str">
        <f>'Laminates- copilot'!L28</f>
        <v>3-4</v>
      </c>
      <c r="N73" s="858">
        <f>'Laminates- copilot'!M28</f>
        <v>4</v>
      </c>
      <c r="O73" s="858" t="str">
        <f>'Laminates- copilot'!O28</f>
        <v>Quantum</v>
      </c>
      <c r="P73" s="858" t="str">
        <f>'Laminates- copilot'!N28</f>
        <v>Europe to Europe</v>
      </c>
      <c r="Q73" s="858">
        <f t="shared" si="16"/>
        <v>10000</v>
      </c>
      <c r="R73" s="858">
        <f t="shared" si="17"/>
        <v>10000</v>
      </c>
      <c r="S73" s="858">
        <f>IFERROR('Laminates- copilot'!Q28/'Laminates- copilot'!P28*Q73,"")</f>
        <v>359.17000000000007</v>
      </c>
      <c r="T73" s="203">
        <f>IFERROR('Laminates- copilot'!R28/'Laminates- copilot'!P28*Q73,"")</f>
        <v>8299.8989936703401</v>
      </c>
      <c r="U73" s="912">
        <f>IFERROR('Laminates- copilot'!S28/'Laminates- copilot'!P28*Q73,"")</f>
        <v>9627.8828326575931</v>
      </c>
      <c r="V73" s="913">
        <f t="shared" si="18"/>
        <v>23.108553035248875</v>
      </c>
      <c r="W73" s="914">
        <f t="shared" si="19"/>
        <v>26.805921520888692</v>
      </c>
      <c r="X73" s="913">
        <f t="shared" si="20"/>
        <v>0.82998989936703405</v>
      </c>
      <c r="Y73" s="913">
        <f t="shared" si="21"/>
        <v>23.108553035248875</v>
      </c>
      <c r="Z73" s="95">
        <f t="shared" si="22"/>
        <v>69605</v>
      </c>
      <c r="AA73" s="50" t="str">
        <f t="shared" si="23"/>
        <v>Below MOQ by 19,605 bags</v>
      </c>
      <c r="AB73" s="923">
        <f t="shared" si="24"/>
        <v>0.30273626749930266</v>
      </c>
      <c r="AC73" s="924">
        <f t="shared" si="25"/>
        <v>0.35117407029919107</v>
      </c>
      <c r="AD73" s="203">
        <f t="shared" si="26"/>
        <v>15136.813374965133</v>
      </c>
      <c r="AE73" s="912">
        <f t="shared" si="27"/>
        <v>17558.703514959554</v>
      </c>
      <c r="AF73" s="923" cm="1">
        <f t="array" ref="AF73">IF(O73="Quantum",IFERROR(_xlfn.LET(_xlpm.b,_xlfn.SWITCH(LOWER(B73),"zipper bag","Zipper pouch","open bag","Open pouch","sup with zipper","Stand-up pouch","stand-up pouch","Stand-up pouch",B73),_xlpm.w,G73,_xlpm.q,K73,_xlpm.types,'Converting-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missing"),IFERROR(_xlfn.LET(_xlpm.s,O73,_xlpm.b,_xlfn.SWITCH(LOWER(B73),"zipper bag","Zipper pouch","open bag","Open pouch",B73),_xlpm.w,G73,_xlpm.q,K73,_xlpm.src,'Converting-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73" s="923">
        <f>IFERROR(IF(OR(B73="Zipper pouch",B73="SUP with zipper"),HELPER!$DE$2*(AH73+AI73)/K73,HELPER!$DE$2*AH73/K73),"Data is missing")</f>
        <v>1.0305478792404408E-2</v>
      </c>
      <c r="AH73" s="923">
        <f t="shared" si="28"/>
        <v>0.82998989936703405</v>
      </c>
      <c r="AI73" s="923">
        <f>IF(OR(B73="Zipper pouch",B73="SUP with zipper"),HELPER!$DC$2*G73/1000,"")</f>
        <v>2.8799999999999996E-2</v>
      </c>
      <c r="AJ73" s="923" cm="1">
        <f t="array" ref="AJ73">IF(INDEX('Laminates- copilot'!$E$6:$E$257,ROUNDUP((ROW()-5)/3,0))+50&gt;IF(O73="Quantum",760,1220),"Width exceeds supplier maximum",IFERROR(AF73+AG73+N(AI73)+AH73*G73/1000/MAX(1,MIN(MAX(2,INT(900/INDEX('Laminates- copilot'!$E$6:$E$257,ROUNDUP((ROW()-5)/3,0)))),INT((IF(O73="Quantum",760,1220)-50)/INDEX('Laminates- copilot'!$E$6:$E$257,ROUNDUP((ROW()-5)/3,0))))),"Data is missing"))</f>
        <v>0.22705220062447701</v>
      </c>
      <c r="AK73" s="203">
        <f t="shared" si="29"/>
        <v>302.73626749930264</v>
      </c>
      <c r="AL73" t="str">
        <f t="shared" si="30"/>
        <v>PASS</v>
      </c>
      <c r="AM73" s="50" t="str">
        <f t="shared" si="31"/>
        <v/>
      </c>
    </row>
    <row r="74" spans="1:39" hidden="1">
      <c r="A74" t="s">
        <v>1702</v>
      </c>
      <c r="B74" t="s">
        <v>262</v>
      </c>
      <c r="C74" s="50" t="s">
        <v>2205</v>
      </c>
      <c r="D74">
        <f>'Laminates- copilot'!B28</f>
        <v>428</v>
      </c>
      <c r="E74" s="858">
        <f>'Laminates- copilot'!D28</f>
        <v>80</v>
      </c>
      <c r="F74" s="858">
        <v>250</v>
      </c>
      <c r="G74" s="858">
        <v>200</v>
      </c>
      <c r="H74" s="858">
        <v>0</v>
      </c>
      <c r="I74" s="858">
        <v>0</v>
      </c>
      <c r="J74" s="858">
        <v>500</v>
      </c>
      <c r="K74" s="858">
        <v>50000</v>
      </c>
      <c r="L74" s="858" t="str">
        <f>'Laminates- copilot'!K28</f>
        <v>Printed</v>
      </c>
      <c r="M74" s="858" t="str">
        <f>'Laminates- copilot'!L28</f>
        <v>3-4</v>
      </c>
      <c r="N74" s="858">
        <f>'Laminates- copilot'!M28</f>
        <v>4</v>
      </c>
      <c r="O74" s="858" t="str">
        <f>'Laminates- copilot'!O28</f>
        <v>Quantum</v>
      </c>
      <c r="P74" s="858" t="str">
        <f>'Laminates- copilot'!N28</f>
        <v>Europe to Europe</v>
      </c>
      <c r="Q74" s="858">
        <f t="shared" si="16"/>
        <v>10000</v>
      </c>
      <c r="R74" s="858">
        <f t="shared" si="17"/>
        <v>10000</v>
      </c>
      <c r="S74" s="858">
        <f>IFERROR('Laminates- copilot'!Q28/'Laminates- copilot'!P28*Q74,"")</f>
        <v>359.17000000000007</v>
      </c>
      <c r="T74" s="203">
        <f>IFERROR('Laminates- copilot'!R28/'Laminates- copilot'!P28*Q74,"")</f>
        <v>8299.8989936703401</v>
      </c>
      <c r="U74" s="912">
        <f>IFERROR('Laminates- copilot'!S28/'Laminates- copilot'!P28*Q74,"")</f>
        <v>9627.8828326575931</v>
      </c>
      <c r="V74" s="913">
        <f t="shared" si="18"/>
        <v>23.108553035248875</v>
      </c>
      <c r="W74" s="914">
        <f t="shared" si="19"/>
        <v>26.805921520888692</v>
      </c>
      <c r="X74" s="913">
        <f t="shared" si="20"/>
        <v>0.82998989936703405</v>
      </c>
      <c r="Y74" s="913">
        <f t="shared" si="21"/>
        <v>23.108553035248875</v>
      </c>
      <c r="Z74" s="95">
        <f t="shared" si="22"/>
        <v>69605</v>
      </c>
      <c r="AA74" s="50" t="str">
        <f t="shared" si="23"/>
        <v>Below MOQ by 19,605 bags</v>
      </c>
      <c r="AB74" s="923">
        <f t="shared" si="24"/>
        <v>0.24666404577532242</v>
      </c>
      <c r="AC74" s="924">
        <f t="shared" si="25"/>
        <v>0.28613029309937399</v>
      </c>
      <c r="AD74" s="203">
        <f t="shared" si="26"/>
        <v>12333.202288766121</v>
      </c>
      <c r="AE74" s="912">
        <f t="shared" si="27"/>
        <v>14306.5146549687</v>
      </c>
      <c r="AF74" s="923" cm="1">
        <f t="array" ref="AF74">IF(O74="Quantum",IFERROR(_xlfn.LET(_xlpm.b,_xlfn.SWITCH(LOWER(B74),"zipper bag","Zipper pouch","open bag","Open pouch","sup with zipper","Stand-up pouch","stand-up pouch","Stand-up pouch",B74),_xlpm.w,G74,_xlpm.q,K74,_xlpm.types,'Converting-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missing"),IFERROR(_xlfn.LET(_xlpm.s,O74,_xlpm.b,_xlfn.SWITCH(LOWER(B74),"zipper bag","Zipper pouch","open bag","Open pouch",B74),_xlpm.w,G74,_xlpm.q,K74,_xlpm.src,'Converting-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74" s="923">
        <f>IFERROR(IF(OR(B74="Zipper pouch",B74="SUP with zipper"),HELPER!$DE$2*(AH74+AI74)/K74,HELPER!$DE$2*AH74/K74),"Data is missing")</f>
        <v>9.9598787924044078E-3</v>
      </c>
      <c r="AH74" s="923">
        <f t="shared" si="28"/>
        <v>0.82998989936703405</v>
      </c>
      <c r="AI74" s="923" t="str">
        <f>IF(OR(B74="Zipper pouch",B74="SUP with zipper"),HELPER!$DC$2*G74/1000,"")</f>
        <v/>
      </c>
      <c r="AJ74" s="923" cm="1">
        <f t="array" ref="AJ74">IF(INDEX('Laminates- copilot'!$E$6:$E$257,ROUNDUP((ROW()-5)/3,0))+50&gt;IF(O74="Quantum",760,1220),"Width exceeds supplier maximum",IFERROR(AF74+AG74+N(AI74)+AH74*G74/1000/MAX(1,MIN(MAX(2,INT(900/INDEX('Laminates- copilot'!$E$6:$E$257,ROUNDUP((ROW()-5)/3,0)))),INT((IF(O74="Quantum",760,1220)-50)/INDEX('Laminates- copilot'!$E$6:$E$257,ROUNDUP((ROW()-5)/3,0))))),"Data is missing"))</f>
        <v>0.18499803433149181</v>
      </c>
      <c r="AK74" s="203">
        <f t="shared" si="29"/>
        <v>246.66404577532242</v>
      </c>
      <c r="AL74" t="str">
        <f t="shared" si="30"/>
        <v>PASS</v>
      </c>
      <c r="AM74" s="50" t="str">
        <f t="shared" si="31"/>
        <v/>
      </c>
    </row>
    <row r="75" spans="1:39">
      <c r="A75" t="s">
        <v>1703</v>
      </c>
      <c r="B75" t="s">
        <v>251</v>
      </c>
      <c r="C75" s="50" t="s">
        <v>2206</v>
      </c>
      <c r="D75">
        <f>'Laminates- copilot'!B29</f>
        <v>428</v>
      </c>
      <c r="E75" s="858">
        <f>'Laminates- copilot'!D29</f>
        <v>80</v>
      </c>
      <c r="F75" s="858">
        <v>300</v>
      </c>
      <c r="G75" s="858">
        <v>300</v>
      </c>
      <c r="H75" s="858">
        <v>50</v>
      </c>
      <c r="I75" s="858">
        <v>0</v>
      </c>
      <c r="J75" s="858">
        <v>700</v>
      </c>
      <c r="K75" s="858">
        <v>50000</v>
      </c>
      <c r="L75" s="858" t="str">
        <f>'Laminates- copilot'!K29</f>
        <v>Printed</v>
      </c>
      <c r="M75" s="858" t="str">
        <f>'Laminates- copilot'!L29</f>
        <v>5-8</v>
      </c>
      <c r="N75" s="858">
        <f>'Laminates- copilot'!M29</f>
        <v>8</v>
      </c>
      <c r="O75" s="858" t="str">
        <f>'Laminates- copilot'!O29</f>
        <v>Marma</v>
      </c>
      <c r="P75" s="858" t="str">
        <f>'Laminates- copilot'!N29</f>
        <v>Europe to US</v>
      </c>
      <c r="Q75" s="858">
        <f t="shared" si="16"/>
        <v>15000</v>
      </c>
      <c r="R75" s="858">
        <f t="shared" si="17"/>
        <v>15000</v>
      </c>
      <c r="S75" s="858">
        <f>IFERROR('Laminates- copilot'!Q29/'Laminates- copilot'!P29*Q75,"")</f>
        <v>1385.37</v>
      </c>
      <c r="T75" s="203">
        <f>IFERROR('Laminates- copilot'!R29/'Laminates- copilot'!P29*Q75,"")</f>
        <v>24726.486935908531</v>
      </c>
      <c r="U75" s="912">
        <f>IFERROR('Laminates- copilot'!S29/'Laminates- copilot'!P29*Q75,"")</f>
        <v>28682.724845653898</v>
      </c>
      <c r="V75" s="913">
        <f t="shared" si="18"/>
        <v>17.84829102399253</v>
      </c>
      <c r="W75" s="914">
        <f t="shared" si="19"/>
        <v>20.704017587831338</v>
      </c>
      <c r="X75" s="913">
        <f t="shared" si="20"/>
        <v>1.6484324623939022</v>
      </c>
      <c r="Y75" s="913">
        <f t="shared" si="21"/>
        <v>17.84829102399253</v>
      </c>
      <c r="Z75" s="95">
        <f t="shared" si="22"/>
        <v>18046</v>
      </c>
      <c r="AA75" s="50" t="str">
        <f t="shared" si="23"/>
        <v>MOQ OK</v>
      </c>
      <c r="AB75" s="923">
        <f t="shared" si="24"/>
        <v>0.82069397443397596</v>
      </c>
      <c r="AC75" s="924">
        <f t="shared" si="25"/>
        <v>0.95200501034341201</v>
      </c>
      <c r="AD75" s="203">
        <f t="shared" si="26"/>
        <v>41034.698721698798</v>
      </c>
      <c r="AE75" s="912">
        <f t="shared" si="27"/>
        <v>47600.2505171706</v>
      </c>
      <c r="AF75" s="923" cm="1">
        <f t="array" ref="AF75">IF(O75="Quantum",IFERROR(_xlfn.LET(_xlpm.b,_xlfn.SWITCH(LOWER(B75),"zipper bag","Zipper pouch","open bag","Open pouch","sup with zipper","Stand-up pouch","stand-up pouch","Stand-up pouch",B75),_xlpm.w,G75,_xlpm.q,K75,_xlpm.types,'Converting-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missing"),IFERROR(_xlfn.LET(_xlpm.s,O75,_xlpm.b,_xlfn.SWITCH(LOWER(B75),"zipper bag","Zipper pouch","open bag","Open pouch",B75),_xlpm.w,G75,_xlpm.q,K75,_xlpm.src,'Converting-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75" s="923">
        <f>IFERROR(IF(OR(B75="Zipper pouch",B75="SUP with zipper"),HELPER!$DE$2*(AH75+AI75)/K75,HELPER!$DE$2*AH75/K75),"Data is missing")</f>
        <v>2.0299589548726824E-2</v>
      </c>
      <c r="AH75" s="923">
        <f t="shared" si="28"/>
        <v>1.6484324623939022</v>
      </c>
      <c r="AI75" s="923">
        <f>IF(OR(B75="Zipper pouch",B75="SUP with zipper"),HELPER!$DC$2*G75/1000,"")</f>
        <v>4.3199999999999995E-2</v>
      </c>
      <c r="AJ75" s="923" cm="1">
        <f t="array" ref="AJ75">IF(INDEX('Laminates- copilot'!$E$6:$E$257,ROUNDUP((ROW()-5)/3,0))+50&gt;IF(O75="Quantum",760,1220),"Width exceeds supplier maximum",IFERROR(AF75+AG75+N(AI75)+AH75*G75/1000/MAX(1,MIN(MAX(2,INT(900/INDEX('Laminates- copilot'!$E$6:$E$257,ROUNDUP((ROW()-5)/3,0)))),INT((IF(O75="Quantum",760,1220)-50)/INDEX('Laminates- copilot'!$E$6:$E$257,ROUNDUP((ROW()-5)/3,0))))),"Data is missing"))</f>
        <v>0.61552048082548194</v>
      </c>
      <c r="AK75" s="203">
        <f t="shared" si="29"/>
        <v>820.693974433976</v>
      </c>
      <c r="AL75" t="str">
        <f t="shared" si="30"/>
        <v>PASS</v>
      </c>
      <c r="AM75" s="50" t="str">
        <f t="shared" si="31"/>
        <v/>
      </c>
    </row>
    <row r="76" spans="1:39">
      <c r="A76" t="s">
        <v>1704</v>
      </c>
      <c r="B76" t="s">
        <v>261</v>
      </c>
      <c r="C76" s="50" t="s">
        <v>2206</v>
      </c>
      <c r="D76">
        <f>'Laminates- copilot'!B29</f>
        <v>428</v>
      </c>
      <c r="E76" s="858">
        <f>'Laminates- copilot'!D29</f>
        <v>80</v>
      </c>
      <c r="F76" s="858">
        <v>300</v>
      </c>
      <c r="G76" s="858">
        <v>300</v>
      </c>
      <c r="H76" s="858">
        <v>50</v>
      </c>
      <c r="I76" s="858">
        <v>0</v>
      </c>
      <c r="J76" s="858">
        <v>700</v>
      </c>
      <c r="K76" s="858">
        <v>50000</v>
      </c>
      <c r="L76" s="858" t="str">
        <f>'Laminates- copilot'!K29</f>
        <v>Printed</v>
      </c>
      <c r="M76" s="858" t="str">
        <f>'Laminates- copilot'!L29</f>
        <v>5-8</v>
      </c>
      <c r="N76" s="858">
        <f>'Laminates- copilot'!M29</f>
        <v>8</v>
      </c>
      <c r="O76" s="858" t="str">
        <f>'Laminates- copilot'!O29</f>
        <v>Marma</v>
      </c>
      <c r="P76" s="858" t="str">
        <f>'Laminates- copilot'!N29</f>
        <v>Europe to US</v>
      </c>
      <c r="Q76" s="858">
        <f t="shared" si="16"/>
        <v>15000</v>
      </c>
      <c r="R76" s="858">
        <f t="shared" si="17"/>
        <v>15000</v>
      </c>
      <c r="S76" s="858">
        <f>IFERROR('Laminates- copilot'!Q29/'Laminates- copilot'!P29*Q76,"")</f>
        <v>1385.37</v>
      </c>
      <c r="T76" s="203">
        <f>IFERROR('Laminates- copilot'!R29/'Laminates- copilot'!P29*Q76,"")</f>
        <v>24726.486935908531</v>
      </c>
      <c r="U76" s="912">
        <f>IFERROR('Laminates- copilot'!S29/'Laminates- copilot'!P29*Q76,"")</f>
        <v>28682.724845653898</v>
      </c>
      <c r="V76" s="913">
        <f t="shared" si="18"/>
        <v>17.84829102399253</v>
      </c>
      <c r="W76" s="914">
        <f t="shared" si="19"/>
        <v>20.704017587831338</v>
      </c>
      <c r="X76" s="913">
        <f t="shared" si="20"/>
        <v>1.6484324623939022</v>
      </c>
      <c r="Y76" s="913">
        <f t="shared" si="21"/>
        <v>17.84829102399253</v>
      </c>
      <c r="Z76" s="95">
        <f t="shared" si="22"/>
        <v>18046</v>
      </c>
      <c r="AA76" s="50" t="str">
        <f t="shared" si="23"/>
        <v>MOQ OK</v>
      </c>
      <c r="AB76" s="923">
        <f t="shared" si="24"/>
        <v>0.8148507502263328</v>
      </c>
      <c r="AC76" s="924">
        <f t="shared" si="25"/>
        <v>0.94522687026254593</v>
      </c>
      <c r="AD76" s="203">
        <f t="shared" si="26"/>
        <v>40742.537511316637</v>
      </c>
      <c r="AE76" s="912">
        <f t="shared" si="27"/>
        <v>47261.343513127293</v>
      </c>
      <c r="AF76" s="923" cm="1">
        <f t="array" ref="AF76">IF(O76="Quantum",IFERROR(_xlfn.LET(_xlpm.b,_xlfn.SWITCH(LOWER(B76),"zipper bag","Zipper pouch","open bag","Open pouch","sup with zipper","Stand-up pouch","stand-up pouch","Stand-up pouch",B76),_xlpm.w,G76,_xlpm.q,K76,_xlpm.types,'Converting-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missing"),IFERROR(_xlfn.LET(_xlpm.s,O76,_xlpm.b,_xlfn.SWITCH(LOWER(B76),"zipper bag","Zipper pouch","open bag","Open pouch",B76),_xlpm.w,G76,_xlpm.q,K76,_xlpm.src,'Converting-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76" s="923">
        <f>IFERROR(IF(OR(B76="Zipper pouch",B76="SUP with zipper"),HELPER!$DE$2*(AH76+AI76)/K76,HELPER!$DE$2*AH76/K76),"Data is missing")</f>
        <v>2.0299589548726824E-2</v>
      </c>
      <c r="AH76" s="923">
        <f t="shared" si="28"/>
        <v>1.6484324623939022</v>
      </c>
      <c r="AI76" s="923">
        <f>IF(OR(B76="Zipper pouch",B76="SUP with zipper"),HELPER!$DC$2*G76/1000,"")</f>
        <v>4.3199999999999995E-2</v>
      </c>
      <c r="AJ76" s="923" cm="1">
        <f t="array" ref="AJ76">IF(INDEX('Laminates- copilot'!$E$6:$E$257,ROUNDUP((ROW()-5)/3,0))+50&gt;IF(O76="Quantum",760,1220),"Width exceeds supplier maximum",IFERROR(AF76+AG76+N(AI76)+AH76*G76/1000/MAX(1,MIN(MAX(2,INT(900/INDEX('Laminates- copilot'!$E$6:$E$257,ROUNDUP((ROW()-5)/3,0)))),INT((IF(O76="Quantum",760,1220)-50)/INDEX('Laminates- copilot'!$E$6:$E$257,ROUNDUP((ROW()-5)/3,0))))),"Data is missing"))</f>
        <v>0.61113806266974957</v>
      </c>
      <c r="AK76" s="203">
        <f t="shared" si="29"/>
        <v>814.85075022633282</v>
      </c>
      <c r="AL76" t="str">
        <f t="shared" si="30"/>
        <v>PASS</v>
      </c>
      <c r="AM76" s="50" t="str">
        <f t="shared" si="31"/>
        <v/>
      </c>
    </row>
    <row r="77" spans="1:39">
      <c r="A77" t="s">
        <v>1705</v>
      </c>
      <c r="B77" t="s">
        <v>262</v>
      </c>
      <c r="C77" s="50" t="s">
        <v>2206</v>
      </c>
      <c r="D77">
        <f>'Laminates- copilot'!B29</f>
        <v>428</v>
      </c>
      <c r="E77" s="858">
        <f>'Laminates- copilot'!D29</f>
        <v>80</v>
      </c>
      <c r="F77" s="858">
        <v>300</v>
      </c>
      <c r="G77" s="858">
        <v>300</v>
      </c>
      <c r="H77" s="858">
        <v>0</v>
      </c>
      <c r="I77" s="858">
        <v>10</v>
      </c>
      <c r="J77" s="858">
        <v>610</v>
      </c>
      <c r="K77" s="858">
        <v>50000</v>
      </c>
      <c r="L77" s="858" t="str">
        <f>'Laminates- copilot'!K29</f>
        <v>Printed</v>
      </c>
      <c r="M77" s="858" t="str">
        <f>'Laminates- copilot'!L29</f>
        <v>5-8</v>
      </c>
      <c r="N77" s="858">
        <f>'Laminates- copilot'!M29</f>
        <v>8</v>
      </c>
      <c r="O77" s="858" t="str">
        <f>'Laminates- copilot'!O29</f>
        <v>Marma</v>
      </c>
      <c r="P77" s="858" t="str">
        <f>'Laminates- copilot'!N29</f>
        <v>Europe to US</v>
      </c>
      <c r="Q77" s="858">
        <f t="shared" si="16"/>
        <v>15000</v>
      </c>
      <c r="R77" s="858">
        <f t="shared" si="17"/>
        <v>15000</v>
      </c>
      <c r="S77" s="858">
        <f>IFERROR('Laminates- copilot'!Q29/'Laminates- copilot'!P29*Q77,"")</f>
        <v>1385.37</v>
      </c>
      <c r="T77" s="203">
        <f>IFERROR('Laminates- copilot'!R29/'Laminates- copilot'!P29*Q77,"")</f>
        <v>24726.486935908531</v>
      </c>
      <c r="U77" s="912">
        <f>IFERROR('Laminates- copilot'!S29/'Laminates- copilot'!P29*Q77,"")</f>
        <v>28682.724845653898</v>
      </c>
      <c r="V77" s="913">
        <f t="shared" si="18"/>
        <v>17.84829102399253</v>
      </c>
      <c r="W77" s="914">
        <f t="shared" si="19"/>
        <v>20.704017587831338</v>
      </c>
      <c r="X77" s="913">
        <f t="shared" si="20"/>
        <v>1.6484324623939022</v>
      </c>
      <c r="Y77" s="913">
        <f t="shared" si="21"/>
        <v>17.84829102399253</v>
      </c>
      <c r="Z77" s="95">
        <f t="shared" si="22"/>
        <v>18046</v>
      </c>
      <c r="AA77" s="50" t="str">
        <f t="shared" si="23"/>
        <v>MOQ OK</v>
      </c>
      <c r="AB77" s="923">
        <f t="shared" si="24"/>
        <v>0.74967154322876528</v>
      </c>
      <c r="AC77" s="924">
        <f t="shared" si="25"/>
        <v>0.8696189901453677</v>
      </c>
      <c r="AD77" s="203">
        <f t="shared" si="26"/>
        <v>37483.577161438261</v>
      </c>
      <c r="AE77" s="912">
        <f t="shared" si="27"/>
        <v>43480.949507268379</v>
      </c>
      <c r="AF77" s="923" cm="1">
        <f t="array" ref="AF77">IF(O77="Quantum",IFERROR(_xlfn.LET(_xlpm.b,_xlfn.SWITCH(LOWER(B77),"zipper bag","Zipper pouch","open bag","Open pouch","sup with zipper","Stand-up pouch","stand-up pouch","Stand-up pouch",B77),_xlpm.w,G77,_xlpm.q,K77,_xlpm.types,'Converting-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missing"),IFERROR(_xlfn.LET(_xlpm.s,O77,_xlpm.b,_xlfn.SWITCH(LOWER(B77),"zipper bag","Zipper pouch","open bag","Open pouch",B77),_xlpm.w,G77,_xlpm.q,K77,_xlpm.src,'Converting-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77" s="923">
        <f>IFERROR(IF(OR(B77="Zipper pouch",B77="SUP with zipper"),HELPER!$DE$2*(AH77+AI77)/K77,HELPER!$DE$2*AH77/K77),"Data is missing")</f>
        <v>1.9781189548726826E-2</v>
      </c>
      <c r="AH77" s="923">
        <f t="shared" si="28"/>
        <v>1.6484324623939022</v>
      </c>
      <c r="AI77" s="923" t="str">
        <f>IF(OR(B77="Zipper pouch",B77="SUP with zipper"),HELPER!$DC$2*G77/1000,"")</f>
        <v/>
      </c>
      <c r="AJ77" s="923" cm="1">
        <f t="array" ref="AJ77">IF(INDEX('Laminates- copilot'!$E$6:$E$257,ROUNDUP((ROW()-5)/3,0))+50&gt;IF(O77="Quantum",760,1220),"Width exceeds supplier maximum",IFERROR(AF77+AG77+N(AI77)+AH77*G77/1000/MAX(1,MIN(MAX(2,INT(900/INDEX('Laminates- copilot'!$E$6:$E$257,ROUNDUP((ROW()-5)/3,0)))),INT((IF(O77="Quantum",760,1220)-50)/INDEX('Laminates- copilot'!$E$6:$E$257,ROUNDUP((ROW()-5)/3,0))))),"Data is missing"))</f>
        <v>0.56225365742157396</v>
      </c>
      <c r="AK77" s="203">
        <f t="shared" si="29"/>
        <v>749.67154322876524</v>
      </c>
      <c r="AL77" t="str">
        <f t="shared" si="30"/>
        <v>PASS</v>
      </c>
      <c r="AM77" s="50" t="str">
        <f t="shared" si="31"/>
        <v/>
      </c>
    </row>
    <row r="78" spans="1:39" hidden="1">
      <c r="A78" t="s">
        <v>1706</v>
      </c>
      <c r="B78" t="s">
        <v>251</v>
      </c>
      <c r="C78" s="50" t="s">
        <v>2207</v>
      </c>
      <c r="D78">
        <f>'Laminates- copilot'!B30</f>
        <v>428</v>
      </c>
      <c r="E78" s="858">
        <f>'Laminates- copilot'!D30</f>
        <v>80</v>
      </c>
      <c r="F78" s="858">
        <v>350</v>
      </c>
      <c r="G78" s="858">
        <v>400</v>
      </c>
      <c r="H78" s="858">
        <v>60</v>
      </c>
      <c r="I78" s="858">
        <v>0</v>
      </c>
      <c r="J78" s="858">
        <v>820</v>
      </c>
      <c r="K78" s="858">
        <v>100000</v>
      </c>
      <c r="L78" s="858" t="str">
        <f>'Laminates- copilot'!K30</f>
        <v>Not Printed</v>
      </c>
      <c r="M78" s="858" t="str">
        <f>'Laminates- copilot'!L30</f>
        <v>0</v>
      </c>
      <c r="N78" s="858">
        <f>'Laminates- copilot'!M30</f>
        <v>1</v>
      </c>
      <c r="O78" s="858" t="str">
        <f>'Laminates- copilot'!O30</f>
        <v>Bastin</v>
      </c>
      <c r="P78" s="858" t="str">
        <f>'Laminates- copilot'!N30</f>
        <v>Europe to Europe</v>
      </c>
      <c r="Q78" s="858">
        <f t="shared" si="16"/>
        <v>40000</v>
      </c>
      <c r="R78" s="858">
        <f t="shared" si="17"/>
        <v>40000</v>
      </c>
      <c r="S78" s="858">
        <f>IFERROR('Laminates- copilot'!Q30/'Laminates- copilot'!P30*Q78,"")</f>
        <v>1436.6800000000003</v>
      </c>
      <c r="T78" s="203">
        <f>IFERROR('Laminates- copilot'!R30/'Laminates- copilot'!P30*Q78,"")</f>
        <v>21338.132499687501</v>
      </c>
      <c r="U78" s="912">
        <f>IFERROR('Laminates- copilot'!S30/'Laminates- copilot'!P30*Q78,"")</f>
        <v>24752.233699637494</v>
      </c>
      <c r="V78" s="913">
        <f t="shared" si="18"/>
        <v>14.852390580844375</v>
      </c>
      <c r="W78" s="914">
        <f t="shared" si="19"/>
        <v>17.228773073779472</v>
      </c>
      <c r="X78" s="913">
        <f t="shared" si="20"/>
        <v>0.53345331249218753</v>
      </c>
      <c r="Y78" s="913">
        <f t="shared" si="21"/>
        <v>14.852390580844375</v>
      </c>
      <c r="Z78" s="95">
        <f t="shared" si="22"/>
        <v>34803</v>
      </c>
      <c r="AA78" s="50" t="str">
        <f t="shared" si="23"/>
        <v>MOQ OK</v>
      </c>
      <c r="AB78" s="923">
        <f t="shared" si="24"/>
        <v>0.35441462148430403</v>
      </c>
      <c r="AC78" s="924">
        <f t="shared" si="25"/>
        <v>0.41112096092179262</v>
      </c>
      <c r="AD78" s="203">
        <f t="shared" si="26"/>
        <v>35441.462148430401</v>
      </c>
      <c r="AE78" s="912">
        <f t="shared" si="27"/>
        <v>41112.096092179265</v>
      </c>
      <c r="AF78" s="923" cm="1">
        <f t="array" ref="AF78">IF(O78="Quantum",IFERROR(_xlfn.LET(_xlpm.b,_xlfn.SWITCH(LOWER(B78),"zipper bag","Zipper pouch","open bag","Open pouch","sup with zipper","Stand-up pouch","stand-up pouch","Stand-up pouch",B78),_xlpm.w,G78,_xlpm.q,K78,_xlpm.types,'Converting-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missing"),IFERROR(_xlfn.LET(_xlpm.s,O78,_xlpm.b,_xlfn.SWITCH(LOWER(B78),"zipper bag","Zipper pouch","open bag","Open pouch",B78),_xlpm.w,G78,_xlpm.q,K78,_xlpm.src,'Converting-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78" s="923">
        <f>IFERROR(IF(OR(B78="Zipper pouch",B78="SUP with zipper"),HELPER!$DE$2*(AH78+AI78)/K78,HELPER!$DE$2*AH78/K78),"Data is missing")</f>
        <v>3.5463198749531252E-3</v>
      </c>
      <c r="AH78" s="923">
        <f t="shared" si="28"/>
        <v>0.53345331249218753</v>
      </c>
      <c r="AI78" s="923">
        <f>IF(OR(B78="Zipper pouch",B78="SUP with zipper"),HELPER!$DC$2*G78/1000,"")</f>
        <v>5.7599999999999991E-2</v>
      </c>
      <c r="AJ78" s="923" cm="1">
        <f t="array" ref="AJ78">IF(INDEX('Laminates- copilot'!$E$6:$E$257,ROUNDUP((ROW()-5)/3,0))+50&gt;IF(O78="Quantum",760,1220),"Width exceeds supplier maximum",IFERROR(AF78+AG78+N(AI78)+AH78*G78/1000/MAX(1,MIN(MAX(2,INT(900/INDEX('Laminates- copilot'!$E$6:$E$257,ROUNDUP((ROW()-5)/3,0)))),INT((IF(O78="Quantum",760,1220)-50)/INDEX('Laminates- copilot'!$E$6:$E$257,ROUNDUP((ROW()-5)/3,0))))),"Data is missing"))</f>
        <v>0.26581096611322802</v>
      </c>
      <c r="AK78" s="203">
        <f t="shared" si="29"/>
        <v>354.41462148430401</v>
      </c>
      <c r="AL78" t="str">
        <f t="shared" si="30"/>
        <v>PASS</v>
      </c>
      <c r="AM78" s="50" t="str">
        <f t="shared" si="31"/>
        <v/>
      </c>
    </row>
    <row r="79" spans="1:39" hidden="1">
      <c r="A79" t="s">
        <v>1707</v>
      </c>
      <c r="B79" t="s">
        <v>261</v>
      </c>
      <c r="C79" s="50" t="s">
        <v>2207</v>
      </c>
      <c r="D79">
        <f>'Laminates- copilot'!B30</f>
        <v>428</v>
      </c>
      <c r="E79" s="858">
        <f>'Laminates- copilot'!D30</f>
        <v>80</v>
      </c>
      <c r="F79" s="858">
        <v>350</v>
      </c>
      <c r="G79" s="858">
        <v>400</v>
      </c>
      <c r="H79" s="858">
        <v>60</v>
      </c>
      <c r="I79" s="858">
        <v>0</v>
      </c>
      <c r="J79" s="858">
        <v>820</v>
      </c>
      <c r="K79" s="858">
        <v>100000</v>
      </c>
      <c r="L79" s="858" t="str">
        <f>'Laminates- copilot'!K30</f>
        <v>Not Printed</v>
      </c>
      <c r="M79" s="858" t="str">
        <f>'Laminates- copilot'!L30</f>
        <v>0</v>
      </c>
      <c r="N79" s="858">
        <f>'Laminates- copilot'!M30</f>
        <v>1</v>
      </c>
      <c r="O79" s="858" t="str">
        <f>'Laminates- copilot'!O30</f>
        <v>Bastin</v>
      </c>
      <c r="P79" s="858" t="str">
        <f>'Laminates- copilot'!N30</f>
        <v>Europe to Europe</v>
      </c>
      <c r="Q79" s="858">
        <f t="shared" si="16"/>
        <v>40000</v>
      </c>
      <c r="R79" s="858">
        <f t="shared" si="17"/>
        <v>40000</v>
      </c>
      <c r="S79" s="858">
        <f>IFERROR('Laminates- copilot'!Q30/'Laminates- copilot'!P30*Q79,"")</f>
        <v>1436.6800000000003</v>
      </c>
      <c r="T79" s="203">
        <f>IFERROR('Laminates- copilot'!R30/'Laminates- copilot'!P30*Q79,"")</f>
        <v>21338.132499687501</v>
      </c>
      <c r="U79" s="912">
        <f>IFERROR('Laminates- copilot'!S30/'Laminates- copilot'!P30*Q79,"")</f>
        <v>24752.233699637494</v>
      </c>
      <c r="V79" s="913">
        <f t="shared" si="18"/>
        <v>14.852390580844375</v>
      </c>
      <c r="W79" s="914">
        <f t="shared" si="19"/>
        <v>17.228773073779472</v>
      </c>
      <c r="X79" s="913">
        <f t="shared" si="20"/>
        <v>0.53345331249218753</v>
      </c>
      <c r="Y79" s="913">
        <f t="shared" si="21"/>
        <v>14.852390580844375</v>
      </c>
      <c r="Z79" s="95">
        <f t="shared" si="22"/>
        <v>34803</v>
      </c>
      <c r="AA79" s="50" t="str">
        <f t="shared" si="23"/>
        <v>MOQ OK</v>
      </c>
      <c r="AB79" s="923">
        <f t="shared" si="24"/>
        <v>0.34448114033131066</v>
      </c>
      <c r="AC79" s="924">
        <f t="shared" si="25"/>
        <v>0.39959812278432033</v>
      </c>
      <c r="AD79" s="203">
        <f t="shared" si="26"/>
        <v>34448.114033131067</v>
      </c>
      <c r="AE79" s="912">
        <f t="shared" si="27"/>
        <v>39959.812278432037</v>
      </c>
      <c r="AF79" s="923" cm="1">
        <f t="array" ref="AF79">IF(O79="Quantum",IFERROR(_xlfn.LET(_xlpm.b,_xlfn.SWITCH(LOWER(B79),"zipper bag","Zipper pouch","open bag","Open pouch","sup with zipper","Stand-up pouch","stand-up pouch","Stand-up pouch",B79),_xlpm.w,G79,_xlpm.q,K79,_xlpm.types,'Converting-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missing"),IFERROR(_xlfn.LET(_xlpm.s,O79,_xlpm.b,_xlfn.SWITCH(LOWER(B79),"zipper bag","Zipper pouch","open bag","Open pouch",B79),_xlpm.w,G79,_xlpm.q,K79,_xlpm.src,'Converting-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79" s="923">
        <f>IFERROR(IF(OR(B79="Zipper pouch",B79="SUP with zipper"),HELPER!$DE$2*(AH79+AI79)/K79,HELPER!$DE$2*AH79/K79),"Data is missing")</f>
        <v>3.5463198749531252E-3</v>
      </c>
      <c r="AH79" s="923">
        <f t="shared" si="28"/>
        <v>0.53345331249218753</v>
      </c>
      <c r="AI79" s="923">
        <f>IF(OR(B79="Zipper pouch",B79="SUP with zipper"),HELPER!$DC$2*G79/1000,"")</f>
        <v>5.7599999999999991E-2</v>
      </c>
      <c r="AJ79" s="923" cm="1">
        <f t="array" ref="AJ79">IF(INDEX('Laminates- copilot'!$E$6:$E$257,ROUNDUP((ROW()-5)/3,0))+50&gt;IF(O79="Quantum",760,1220),"Width exceeds supplier maximum",IFERROR(AF79+AG79+N(AI79)+AH79*G79/1000/MAX(1,MIN(MAX(2,INT(900/INDEX('Laminates- copilot'!$E$6:$E$257,ROUNDUP((ROW()-5)/3,0)))),INT((IF(O79="Quantum",760,1220)-50)/INDEX('Laminates- copilot'!$E$6:$E$257,ROUNDUP((ROW()-5)/3,0))))),"Data is missing"))</f>
        <v>0.25836085524848301</v>
      </c>
      <c r="AK79" s="203">
        <f t="shared" si="29"/>
        <v>344.48114033131066</v>
      </c>
      <c r="AL79" t="str">
        <f t="shared" si="30"/>
        <v>PASS</v>
      </c>
      <c r="AM79" s="50" t="str">
        <f t="shared" si="31"/>
        <v/>
      </c>
    </row>
    <row r="80" spans="1:39" hidden="1">
      <c r="A80" t="s">
        <v>1708</v>
      </c>
      <c r="B80" t="s">
        <v>262</v>
      </c>
      <c r="C80" s="50" t="s">
        <v>2207</v>
      </c>
      <c r="D80">
        <f>'Laminates- copilot'!B30</f>
        <v>428</v>
      </c>
      <c r="E80" s="858">
        <f>'Laminates- copilot'!D30</f>
        <v>80</v>
      </c>
      <c r="F80" s="858">
        <v>350</v>
      </c>
      <c r="G80" s="858">
        <v>400</v>
      </c>
      <c r="H80" s="858">
        <v>0</v>
      </c>
      <c r="I80" s="858">
        <v>0</v>
      </c>
      <c r="J80" s="858">
        <v>700</v>
      </c>
      <c r="K80" s="858">
        <v>100000</v>
      </c>
      <c r="L80" s="858" t="str">
        <f>'Laminates- copilot'!K30</f>
        <v>Not Printed</v>
      </c>
      <c r="M80" s="858" t="str">
        <f>'Laminates- copilot'!L30</f>
        <v>0</v>
      </c>
      <c r="N80" s="858">
        <f>'Laminates- copilot'!M30</f>
        <v>1</v>
      </c>
      <c r="O80" s="858" t="str">
        <f>'Laminates- copilot'!O30</f>
        <v>Bastin</v>
      </c>
      <c r="P80" s="858" t="str">
        <f>'Laminates- copilot'!N30</f>
        <v>Europe to Europe</v>
      </c>
      <c r="Q80" s="858">
        <f t="shared" si="16"/>
        <v>40000</v>
      </c>
      <c r="R80" s="858">
        <f t="shared" si="17"/>
        <v>40000</v>
      </c>
      <c r="S80" s="858">
        <f>IFERROR('Laminates- copilot'!Q30/'Laminates- copilot'!P30*Q80,"")</f>
        <v>1436.6800000000003</v>
      </c>
      <c r="T80" s="203">
        <f>IFERROR('Laminates- copilot'!R30/'Laminates- copilot'!P30*Q80,"")</f>
        <v>21338.132499687501</v>
      </c>
      <c r="U80" s="912">
        <f>IFERROR('Laminates- copilot'!S30/'Laminates- copilot'!P30*Q80,"")</f>
        <v>24752.233699637494</v>
      </c>
      <c r="V80" s="913">
        <f t="shared" si="18"/>
        <v>14.852390580844375</v>
      </c>
      <c r="W80" s="914">
        <f t="shared" si="19"/>
        <v>17.228773073779472</v>
      </c>
      <c r="X80" s="913">
        <f t="shared" si="20"/>
        <v>0.53345331249218753</v>
      </c>
      <c r="Y80" s="913">
        <f t="shared" si="21"/>
        <v>14.852390580844375</v>
      </c>
      <c r="Z80" s="95">
        <f t="shared" si="22"/>
        <v>34803</v>
      </c>
      <c r="AA80" s="50" t="str">
        <f t="shared" si="23"/>
        <v>MOQ OK</v>
      </c>
      <c r="AB80" s="923">
        <f t="shared" si="24"/>
        <v>0.2540923419438888</v>
      </c>
      <c r="AC80" s="924">
        <f t="shared" si="25"/>
        <v>0.29474711665491099</v>
      </c>
      <c r="AD80" s="203">
        <f t="shared" si="26"/>
        <v>25409.234194388879</v>
      </c>
      <c r="AE80" s="912">
        <f t="shared" si="27"/>
        <v>29474.711665491097</v>
      </c>
      <c r="AF80" s="923" cm="1">
        <f t="array" ref="AF80">IF(O80="Quantum",IFERROR(_xlfn.LET(_xlpm.b,_xlfn.SWITCH(LOWER(B80),"zipper bag","Zipper pouch","open bag","Open pouch","sup with zipper","Stand-up pouch","stand-up pouch","Stand-up pouch",B80),_xlpm.w,G80,_xlpm.q,K80,_xlpm.types,'Converting-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missing"),IFERROR(_xlfn.LET(_xlpm.s,O80,_xlpm.b,_xlfn.SWITCH(LOWER(B80),"zipper bag","Zipper pouch","open bag","Open pouch",B80),_xlpm.w,G80,_xlpm.q,K80,_xlpm.src,'Converting-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80" s="923">
        <f>IFERROR(IF(OR(B80="Zipper pouch",B80="SUP with zipper"),HELPER!$DE$2*(AH80+AI80)/K80,HELPER!$DE$2*AH80/K80),"Data is missing")</f>
        <v>3.200719874953125E-3</v>
      </c>
      <c r="AH80" s="923">
        <f t="shared" si="28"/>
        <v>0.53345331249218753</v>
      </c>
      <c r="AI80" s="923" t="str">
        <f>IF(OR(B80="Zipper pouch",B80="SUP with zipper"),HELPER!$DC$2*G80/1000,"")</f>
        <v/>
      </c>
      <c r="AJ80" s="923" cm="1">
        <f t="array" ref="AJ80">IF(INDEX('Laminates- copilot'!$E$6:$E$257,ROUNDUP((ROW()-5)/3,0))+50&gt;IF(O80="Quantum",760,1220),"Width exceeds supplier maximum",IFERROR(AF80+AG80+N(AI80)+AH80*G80/1000/MAX(1,MIN(MAX(2,INT(900/INDEX('Laminates- copilot'!$E$6:$E$257,ROUNDUP((ROW()-5)/3,0)))),INT((IF(O80="Quantum",760,1220)-50)/INDEX('Laminates- copilot'!$E$6:$E$257,ROUNDUP((ROW()-5)/3,0))))),"Data is missing"))</f>
        <v>0.19056925645791661</v>
      </c>
      <c r="AK80" s="203">
        <f t="shared" si="29"/>
        <v>254.09234194388881</v>
      </c>
      <c r="AL80" t="str">
        <f t="shared" si="30"/>
        <v>PASS</v>
      </c>
      <c r="AM80" s="50" t="str">
        <f t="shared" si="31"/>
        <v/>
      </c>
    </row>
    <row r="81" spans="1:39" hidden="1">
      <c r="A81" t="s">
        <v>1709</v>
      </c>
      <c r="B81" t="s">
        <v>251</v>
      </c>
      <c r="C81" s="50" t="s">
        <v>2208</v>
      </c>
      <c r="D81">
        <f>'Laminates- copilot'!B31</f>
        <v>428</v>
      </c>
      <c r="E81" s="858">
        <f>'Laminates- copilot'!D31</f>
        <v>80</v>
      </c>
      <c r="F81" s="858">
        <v>400</v>
      </c>
      <c r="G81" s="858">
        <v>500</v>
      </c>
      <c r="H81" s="858">
        <v>80</v>
      </c>
      <c r="I81" s="858">
        <v>0</v>
      </c>
      <c r="J81" s="858">
        <v>960</v>
      </c>
      <c r="K81" s="858">
        <v>100000</v>
      </c>
      <c r="L81" s="858" t="str">
        <f>'Laminates- copilot'!K31</f>
        <v>Printed</v>
      </c>
      <c r="M81" s="858" t="str">
        <f>'Laminates- copilot'!L31</f>
        <v>3-4</v>
      </c>
      <c r="N81" s="858">
        <f>'Laminates- copilot'!M31</f>
        <v>4</v>
      </c>
      <c r="O81" s="858" t="str">
        <f>'Laminates- copilot'!O31</f>
        <v>Quantum</v>
      </c>
      <c r="P81" s="858" t="str">
        <f>'Laminates- copilot'!N31</f>
        <v>Europe to US</v>
      </c>
      <c r="Q81" s="858">
        <f t="shared" si="16"/>
        <v>50000</v>
      </c>
      <c r="R81" s="858">
        <f t="shared" si="17"/>
        <v>50000</v>
      </c>
      <c r="S81" s="858">
        <f>IFERROR('Laminates- copilot'!Q31/'Laminates- copilot'!P31*Q81,"")</f>
        <v>3078.6</v>
      </c>
      <c r="T81" s="203">
        <f>IFERROR('Laminates- copilot'!R31/'Laminates- copilot'!P31*Q81,"")</f>
        <v>93436.815285230594</v>
      </c>
      <c r="U81" s="912">
        <f>IFERROR('Laminates- copilot'!S31/'Laminates- copilot'!P31*Q81,"")</f>
        <v>108386.70573086748</v>
      </c>
      <c r="V81" s="913">
        <f t="shared" si="18"/>
        <v>30.350423986627231</v>
      </c>
      <c r="W81" s="914">
        <f t="shared" si="19"/>
        <v>35.206491824487586</v>
      </c>
      <c r="X81" s="913">
        <f t="shared" si="20"/>
        <v>1.8687363057046118</v>
      </c>
      <c r="Y81" s="913">
        <f t="shared" si="21"/>
        <v>30.350423986627231</v>
      </c>
      <c r="Z81" s="95">
        <f t="shared" si="22"/>
        <v>16242</v>
      </c>
      <c r="AA81" s="50" t="str">
        <f t="shared" si="23"/>
        <v>MOQ OK</v>
      </c>
      <c r="AB81" s="923">
        <f t="shared" si="24"/>
        <v>1.7190075371322078</v>
      </c>
      <c r="AC81" s="924">
        <f t="shared" si="25"/>
        <v>1.9940487430733609</v>
      </c>
      <c r="AD81" s="203">
        <f t="shared" si="26"/>
        <v>171900.75371322077</v>
      </c>
      <c r="AE81" s="912">
        <f t="shared" si="27"/>
        <v>199404.87430733608</v>
      </c>
      <c r="AF81" s="923" cm="1">
        <f t="array" ref="AF81">IF(O81="Quantum",IFERROR(_xlfn.LET(_xlpm.b,_xlfn.SWITCH(LOWER(B81),"zipper bag","Zipper pouch","open bag","Open pouch","sup with zipper","Stand-up pouch","stand-up pouch","Stand-up pouch",B81),_xlpm.w,G81,_xlpm.q,K81,_xlpm.types,'Converting-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missing"),IFERROR(_xlfn.LET(_xlpm.s,O81,_xlpm.b,_xlfn.SWITCH(LOWER(B81),"zipper bag","Zipper pouch","open bag","Open pouch",B81),_xlpm.w,G81,_xlpm.q,K81,_xlpm.src,'Converting-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81" s="923">
        <f>IFERROR(IF(OR(B81="Zipper pouch",B81="SUP with zipper"),HELPER!$DE$2*(AH81+AI81)/K81,HELPER!$DE$2*AH81/K81),"Data is missing")</f>
        <v>1.1644417834227672E-2</v>
      </c>
      <c r="AH81" s="923">
        <f t="shared" si="28"/>
        <v>1.8687363057046118</v>
      </c>
      <c r="AI81" s="923">
        <f>IF(OR(B81="Zipper pouch",B81="SUP with zipper"),HELPER!$DC$2*G81/1000,"")</f>
        <v>7.1999999999999995E-2</v>
      </c>
      <c r="AJ81" s="923" cm="1">
        <f t="array" ref="AJ81">IF(INDEX('Laminates- copilot'!$E$6:$E$257,ROUNDUP((ROW()-5)/3,0))+50&gt;IF(O81="Quantum",760,1220),"Width exceeds supplier maximum",IFERROR(AF81+AG81+N(AI81)+AH81*G81/1000/MAX(1,MIN(MAX(2,INT(900/INDEX('Laminates- copilot'!$E$6:$E$257,ROUNDUP((ROW()-5)/3,0)))),INT((IF(O81="Quantum",760,1220)-50)/INDEX('Laminates- copilot'!$E$6:$E$257,ROUNDUP((ROW()-5)/3,0))))),"Data is missing"))</f>
        <v>1.2892556528491559</v>
      </c>
      <c r="AK81" s="203">
        <f t="shared" si="29"/>
        <v>1719.0075371322077</v>
      </c>
      <c r="AL81" t="str">
        <f t="shared" si="30"/>
        <v>PASS</v>
      </c>
      <c r="AM81" s="50" t="str">
        <f t="shared" si="31"/>
        <v/>
      </c>
    </row>
    <row r="82" spans="1:39" hidden="1">
      <c r="A82" t="s">
        <v>1710</v>
      </c>
      <c r="B82" t="s">
        <v>261</v>
      </c>
      <c r="C82" s="50" t="s">
        <v>2208</v>
      </c>
      <c r="D82">
        <f>'Laminates- copilot'!B31</f>
        <v>428</v>
      </c>
      <c r="E82" s="858">
        <f>'Laminates- copilot'!D31</f>
        <v>80</v>
      </c>
      <c r="F82" s="858">
        <v>400</v>
      </c>
      <c r="G82" s="858">
        <v>500</v>
      </c>
      <c r="H82" s="858">
        <v>80</v>
      </c>
      <c r="I82" s="858">
        <v>0</v>
      </c>
      <c r="J82" s="858">
        <v>960</v>
      </c>
      <c r="K82" s="858">
        <v>100000</v>
      </c>
      <c r="L82" s="858" t="str">
        <f>'Laminates- copilot'!K31</f>
        <v>Printed</v>
      </c>
      <c r="M82" s="858" t="str">
        <f>'Laminates- copilot'!L31</f>
        <v>3-4</v>
      </c>
      <c r="N82" s="858">
        <f>'Laminates- copilot'!M31</f>
        <v>4</v>
      </c>
      <c r="O82" s="858" t="str">
        <f>'Laminates- copilot'!O31</f>
        <v>Quantum</v>
      </c>
      <c r="P82" s="858" t="str">
        <f>'Laminates- copilot'!N31</f>
        <v>Europe to US</v>
      </c>
      <c r="Q82" s="858">
        <f t="shared" si="16"/>
        <v>50000</v>
      </c>
      <c r="R82" s="858">
        <f t="shared" si="17"/>
        <v>50000</v>
      </c>
      <c r="S82" s="858">
        <f>IFERROR('Laminates- copilot'!Q31/'Laminates- copilot'!P31*Q82,"")</f>
        <v>3078.6</v>
      </c>
      <c r="T82" s="203">
        <f>IFERROR('Laminates- copilot'!R31/'Laminates- copilot'!P31*Q82,"")</f>
        <v>93436.815285230594</v>
      </c>
      <c r="U82" s="912">
        <f>IFERROR('Laminates- copilot'!S31/'Laminates- copilot'!P31*Q82,"")</f>
        <v>108386.70573086748</v>
      </c>
      <c r="V82" s="913">
        <f t="shared" si="18"/>
        <v>30.350423986627231</v>
      </c>
      <c r="W82" s="914">
        <f t="shared" si="19"/>
        <v>35.206491824487586</v>
      </c>
      <c r="X82" s="913">
        <f t="shared" si="20"/>
        <v>1.8687363057046118</v>
      </c>
      <c r="Y82" s="913">
        <f t="shared" si="21"/>
        <v>30.350423986627231</v>
      </c>
      <c r="Z82" s="95">
        <f t="shared" si="22"/>
        <v>16242</v>
      </c>
      <c r="AA82" s="50" t="str">
        <f t="shared" si="23"/>
        <v>MOQ OK</v>
      </c>
      <c r="AB82" s="923">
        <f t="shared" si="24"/>
        <v>1.6795896603367237</v>
      </c>
      <c r="AC82" s="924">
        <f t="shared" si="25"/>
        <v>1.9483240059905995</v>
      </c>
      <c r="AD82" s="203">
        <f t="shared" si="26"/>
        <v>167958.96603367236</v>
      </c>
      <c r="AE82" s="912">
        <f t="shared" si="27"/>
        <v>194832.40059905991</v>
      </c>
      <c r="AF82" s="923" cm="1">
        <f t="array" ref="AF82">IF(O82="Quantum",IFERROR(_xlfn.LET(_xlpm.b,_xlfn.SWITCH(LOWER(B82),"zipper bag","Zipper pouch","open bag","Open pouch","sup with zipper","Stand-up pouch","stand-up pouch","Stand-up pouch",B82),_xlpm.w,G82,_xlpm.q,K82,_xlpm.types,'Converting-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missing"),IFERROR(_xlfn.LET(_xlpm.s,O82,_xlpm.b,_xlfn.SWITCH(LOWER(B82),"zipper bag","Zipper pouch","open bag","Open pouch",B82),_xlpm.w,G82,_xlpm.q,K82,_xlpm.src,'Converting-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82" s="923">
        <f>IFERROR(IF(OR(B82="Zipper pouch",B82="SUP with zipper"),HELPER!$DE$2*(AH82+AI82)/K82,HELPER!$DE$2*AH82/K82),"Data is missing")</f>
        <v>1.1644417834227672E-2</v>
      </c>
      <c r="AH82" s="923">
        <f t="shared" si="28"/>
        <v>1.8687363057046118</v>
      </c>
      <c r="AI82" s="923">
        <f>IF(OR(B82="Zipper pouch",B82="SUP with zipper"),HELPER!$DC$2*G82/1000,"")</f>
        <v>7.1999999999999995E-2</v>
      </c>
      <c r="AJ82" s="923" cm="1">
        <f t="array" ref="AJ82">IF(INDEX('Laminates- copilot'!$E$6:$E$257,ROUNDUP((ROW()-5)/3,0))+50&gt;IF(O82="Quantum",760,1220),"Width exceeds supplier maximum",IFERROR(AF82+AG82+N(AI82)+AH82*G82/1000/MAX(1,MIN(MAX(2,INT(900/INDEX('Laminates- copilot'!$E$6:$E$257,ROUNDUP((ROW()-5)/3,0)))),INT((IF(O82="Quantum",760,1220)-50)/INDEX('Laminates- copilot'!$E$6:$E$257,ROUNDUP((ROW()-5)/3,0))))),"Data is missing"))</f>
        <v>1.2596922452525428</v>
      </c>
      <c r="AK82" s="203">
        <f t="shared" si="29"/>
        <v>1679.5896603367237</v>
      </c>
      <c r="AL82" t="str">
        <f t="shared" si="30"/>
        <v>PASS</v>
      </c>
      <c r="AM82" s="50" t="str">
        <f t="shared" si="31"/>
        <v/>
      </c>
    </row>
    <row r="83" spans="1:39" hidden="1">
      <c r="A83" t="s">
        <v>1711</v>
      </c>
      <c r="B83" t="s">
        <v>262</v>
      </c>
      <c r="C83" s="50" t="s">
        <v>2208</v>
      </c>
      <c r="D83">
        <f>'Laminates- copilot'!B31</f>
        <v>428</v>
      </c>
      <c r="E83" s="858">
        <f>'Laminates- copilot'!D31</f>
        <v>80</v>
      </c>
      <c r="F83" s="858">
        <v>400</v>
      </c>
      <c r="G83" s="858">
        <v>500</v>
      </c>
      <c r="H83" s="858">
        <v>0</v>
      </c>
      <c r="I83" s="858">
        <v>20</v>
      </c>
      <c r="J83" s="858">
        <v>820</v>
      </c>
      <c r="K83" s="858">
        <v>100000</v>
      </c>
      <c r="L83" s="858" t="str">
        <f>'Laminates- copilot'!K31</f>
        <v>Printed</v>
      </c>
      <c r="M83" s="858" t="str">
        <f>'Laminates- copilot'!L31</f>
        <v>3-4</v>
      </c>
      <c r="N83" s="858">
        <f>'Laminates- copilot'!M31</f>
        <v>4</v>
      </c>
      <c r="O83" s="858" t="str">
        <f>'Laminates- copilot'!O31</f>
        <v>Quantum</v>
      </c>
      <c r="P83" s="858" t="str">
        <f>'Laminates- copilot'!N31</f>
        <v>Europe to US</v>
      </c>
      <c r="Q83" s="858">
        <f t="shared" si="16"/>
        <v>50000</v>
      </c>
      <c r="R83" s="858">
        <f t="shared" si="17"/>
        <v>50000</v>
      </c>
      <c r="S83" s="858">
        <f>IFERROR('Laminates- copilot'!Q31/'Laminates- copilot'!P31*Q83,"")</f>
        <v>3078.6</v>
      </c>
      <c r="T83" s="203">
        <f>IFERROR('Laminates- copilot'!R31/'Laminates- copilot'!P31*Q83,"")</f>
        <v>93436.815285230594</v>
      </c>
      <c r="U83" s="912">
        <f>IFERROR('Laminates- copilot'!S31/'Laminates- copilot'!P31*Q83,"")</f>
        <v>108386.70573086748</v>
      </c>
      <c r="V83" s="913">
        <f t="shared" si="18"/>
        <v>30.350423986627231</v>
      </c>
      <c r="W83" s="914">
        <f t="shared" si="19"/>
        <v>35.206491824487586</v>
      </c>
      <c r="X83" s="913">
        <f t="shared" si="20"/>
        <v>1.8687363057046118</v>
      </c>
      <c r="Y83" s="913">
        <f t="shared" si="21"/>
        <v>30.350423986627231</v>
      </c>
      <c r="Z83" s="95">
        <f t="shared" si="22"/>
        <v>16242</v>
      </c>
      <c r="AA83" s="50" t="str">
        <f t="shared" si="23"/>
        <v>MOQ OK</v>
      </c>
      <c r="AB83" s="923">
        <f t="shared" si="24"/>
        <v>1.5491805083256238</v>
      </c>
      <c r="AC83" s="924">
        <f t="shared" si="25"/>
        <v>1.7970493896577235</v>
      </c>
      <c r="AD83" s="203">
        <f t="shared" si="26"/>
        <v>154918.05083256238</v>
      </c>
      <c r="AE83" s="912">
        <f t="shared" si="27"/>
        <v>179704.93896577234</v>
      </c>
      <c r="AF83" s="923" cm="1">
        <f t="array" ref="AF83">IF(O83="Quantum",IFERROR(_xlfn.LET(_xlpm.b,_xlfn.SWITCH(LOWER(B83),"zipper bag","Zipper pouch","open bag","Open pouch","sup with zipper","Stand-up pouch","stand-up pouch","Stand-up pouch",B83),_xlpm.w,G83,_xlpm.q,K83,_xlpm.types,'Converting-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missing"),IFERROR(_xlfn.LET(_xlpm.s,O83,_xlpm.b,_xlfn.SWITCH(LOWER(B83),"zipper bag","Zipper pouch","open bag","Open pouch",B83),_xlpm.w,G83,_xlpm.q,K83,_xlpm.src,'Converting-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83" s="923">
        <f>IFERROR(IF(OR(B83="Zipper pouch",B83="SUP with zipper"),HELPER!$DE$2*(AH83+AI83)/K83,HELPER!$DE$2*AH83/K83),"Data is missing")</f>
        <v>1.1212417834227672E-2</v>
      </c>
      <c r="AH83" s="923">
        <f t="shared" si="28"/>
        <v>1.8687363057046118</v>
      </c>
      <c r="AI83" s="923" t="str">
        <f>IF(OR(B83="Zipper pouch",B83="SUP with zipper"),HELPER!$DC$2*G83/1000,"")</f>
        <v/>
      </c>
      <c r="AJ83" s="923" cm="1">
        <f t="array" ref="AJ83">IF(INDEX('Laminates- copilot'!$E$6:$E$257,ROUNDUP((ROW()-5)/3,0))+50&gt;IF(O83="Quantum",760,1220),"Width exceeds supplier maximum",IFERROR(AF83+AG83+N(AI83)+AH83*G83/1000/MAX(1,MIN(MAX(2,INT(900/INDEX('Laminates- copilot'!$E$6:$E$257,ROUNDUP((ROW()-5)/3,0)))),INT((IF(O83="Quantum",760,1220)-50)/INDEX('Laminates- copilot'!$E$6:$E$257,ROUNDUP((ROW()-5)/3,0))))),"Data is missing"))</f>
        <v>1.1618853812442178</v>
      </c>
      <c r="AK83" s="203">
        <f t="shared" si="29"/>
        <v>1549.1805083256238</v>
      </c>
      <c r="AL83" t="str">
        <f t="shared" si="30"/>
        <v>PASS</v>
      </c>
      <c r="AM83" s="50" t="str">
        <f t="shared" si="31"/>
        <v/>
      </c>
    </row>
    <row r="84" spans="1:39" hidden="1">
      <c r="A84" t="s">
        <v>1712</v>
      </c>
      <c r="B84" t="s">
        <v>251</v>
      </c>
      <c r="C84" s="50" t="s">
        <v>2209</v>
      </c>
      <c r="D84">
        <f>'Laminates- copilot'!B32</f>
        <v>428</v>
      </c>
      <c r="E84" s="858">
        <f>'Laminates- copilot'!D32</f>
        <v>80</v>
      </c>
      <c r="F84" s="858">
        <v>600</v>
      </c>
      <c r="G84" s="858">
        <v>200</v>
      </c>
      <c r="H84" s="858">
        <v>50</v>
      </c>
      <c r="I84" s="858">
        <v>0</v>
      </c>
      <c r="J84" s="858">
        <v>1300</v>
      </c>
      <c r="K84" s="858">
        <v>200000</v>
      </c>
      <c r="L84" s="858" t="str">
        <f>'Laminates- copilot'!K32</f>
        <v>Printed</v>
      </c>
      <c r="M84" s="858" t="str">
        <f>'Laminates- copilot'!L32</f>
        <v>5-8</v>
      </c>
      <c r="N84" s="858">
        <f>'Laminates- copilot'!M32</f>
        <v>8</v>
      </c>
      <c r="O84" s="858" t="str">
        <f>'Laminates- copilot'!O32</f>
        <v>Marma</v>
      </c>
      <c r="P84" s="858" t="str">
        <f>'Laminates- copilot'!N32</f>
        <v>Europe to Europe</v>
      </c>
      <c r="Q84" s="858">
        <f t="shared" si="16"/>
        <v>40000</v>
      </c>
      <c r="R84" s="858">
        <f t="shared" si="17"/>
        <v>40000</v>
      </c>
      <c r="S84" s="858">
        <f>IFERROR('Laminates- copilot'!Q32/'Laminates- copilot'!P32*Q84,"")</f>
        <v>3694.3199999999997</v>
      </c>
      <c r="T84" s="203">
        <f>IFERROR('Laminates- copilot'!R32/'Laminates- copilot'!P32*Q84,"")</f>
        <v>61143.549543364425</v>
      </c>
      <c r="U84" s="912">
        <f>IFERROR('Laminates- copilot'!S32/'Laminates- copilot'!P32*Q84,"")</f>
        <v>70926.51747030273</v>
      </c>
      <c r="V84" s="913">
        <f t="shared" si="18"/>
        <v>16.550691207952866</v>
      </c>
      <c r="W84" s="914">
        <f t="shared" si="19"/>
        <v>19.198801801225322</v>
      </c>
      <c r="X84" s="913">
        <f t="shared" si="20"/>
        <v>1.5285887385841106</v>
      </c>
      <c r="Y84" s="913">
        <f t="shared" si="21"/>
        <v>16.550691207952866</v>
      </c>
      <c r="Z84" s="95">
        <f t="shared" si="22"/>
        <v>27069</v>
      </c>
      <c r="AA84" s="50" t="str">
        <f t="shared" si="23"/>
        <v>MOQ OK</v>
      </c>
      <c r="AB84" s="923">
        <f t="shared" si="24"/>
        <v>0.5102190722353025</v>
      </c>
      <c r="AC84" s="924">
        <f t="shared" si="25"/>
        <v>0.59185412379295088</v>
      </c>
      <c r="AD84" s="203">
        <f t="shared" si="26"/>
        <v>102043.8144470605</v>
      </c>
      <c r="AE84" s="912">
        <f t="shared" si="27"/>
        <v>118370.82475859017</v>
      </c>
      <c r="AF84" s="923" cm="1">
        <f t="array" ref="AF84">IF(O84="Quantum",IFERROR(_xlfn.LET(_xlpm.b,_xlfn.SWITCH(LOWER(B84),"zipper bag","Zipper pouch","open bag","Open pouch","sup with zipper","Stand-up pouch","stand-up pouch","Stand-up pouch",B84),_xlpm.w,G84,_xlpm.q,K84,_xlpm.types,'Converting-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missing"),IFERROR(_xlfn.LET(_xlpm.s,O84,_xlpm.b,_xlfn.SWITCH(LOWER(B84),"zipper bag","Zipper pouch","open bag","Open pouch",B84),_xlpm.w,G84,_xlpm.q,K84,_xlpm.src,'Converting-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84" s="923">
        <f>IFERROR(IF(OR(B84="Zipper pouch",B84="SUP with zipper"),HELPER!$DE$2*(AH84+AI84)/K84,HELPER!$DE$2*AH84/K84),"Data is missing")</f>
        <v>4.6721662157523311E-3</v>
      </c>
      <c r="AH84" s="923">
        <f t="shared" si="28"/>
        <v>1.5285887385841106</v>
      </c>
      <c r="AI84" s="923">
        <f>IF(OR(B84="Zipper pouch",B84="SUP with zipper"),HELPER!$DC$2*G84/1000,"")</f>
        <v>2.8799999999999996E-2</v>
      </c>
      <c r="AJ84" s="923" cm="1">
        <f t="array" ref="AJ84">IF(INDEX('Laminates- copilot'!$E$6:$E$257,ROUNDUP((ROW()-5)/3,0))+50&gt;IF(O84="Quantum",760,1220),"Width exceeds supplier maximum",IFERROR(AF84+AG84+N(AI84)+AH84*G84/1000/MAX(1,MIN(MAX(2,INT(900/INDEX('Laminates- copilot'!$E$6:$E$257,ROUNDUP((ROW()-5)/3,0)))),INT((IF(O84="Quantum",760,1220)-50)/INDEX('Laminates- copilot'!$E$6:$E$257,ROUNDUP((ROW()-5)/3,0))))),"Data is missing"))</f>
        <v>0.3826643041764769</v>
      </c>
      <c r="AK84" s="203">
        <f t="shared" si="29"/>
        <v>510.21907223530252</v>
      </c>
      <c r="AL84" t="str">
        <f t="shared" si="30"/>
        <v>PASS</v>
      </c>
      <c r="AM84" s="50" t="str">
        <f t="shared" si="31"/>
        <v/>
      </c>
    </row>
    <row r="85" spans="1:39" hidden="1">
      <c r="A85" t="s">
        <v>1713</v>
      </c>
      <c r="B85" t="s">
        <v>261</v>
      </c>
      <c r="C85" s="50" t="s">
        <v>2209</v>
      </c>
      <c r="D85">
        <f>'Laminates- copilot'!B32</f>
        <v>428</v>
      </c>
      <c r="E85" s="858">
        <f>'Laminates- copilot'!D32</f>
        <v>80</v>
      </c>
      <c r="F85" s="858">
        <v>600</v>
      </c>
      <c r="G85" s="858">
        <v>200</v>
      </c>
      <c r="H85" s="858">
        <v>50</v>
      </c>
      <c r="I85" s="858">
        <v>0</v>
      </c>
      <c r="J85" s="858">
        <v>1300</v>
      </c>
      <c r="K85" s="858">
        <v>200000</v>
      </c>
      <c r="L85" s="858" t="str">
        <f>'Laminates- copilot'!K32</f>
        <v>Printed</v>
      </c>
      <c r="M85" s="858" t="str">
        <f>'Laminates- copilot'!L32</f>
        <v>5-8</v>
      </c>
      <c r="N85" s="858">
        <f>'Laminates- copilot'!M32</f>
        <v>8</v>
      </c>
      <c r="O85" s="858" t="str">
        <f>'Laminates- copilot'!O32</f>
        <v>Marma</v>
      </c>
      <c r="P85" s="858" t="str">
        <f>'Laminates- copilot'!N32</f>
        <v>Europe to Europe</v>
      </c>
      <c r="Q85" s="858">
        <f t="shared" si="16"/>
        <v>40000</v>
      </c>
      <c r="R85" s="858">
        <f t="shared" si="17"/>
        <v>40000</v>
      </c>
      <c r="S85" s="858">
        <f>IFERROR('Laminates- copilot'!Q32/'Laminates- copilot'!P32*Q85,"")</f>
        <v>3694.3199999999997</v>
      </c>
      <c r="T85" s="203">
        <f>IFERROR('Laminates- copilot'!R32/'Laminates- copilot'!P32*Q85,"")</f>
        <v>61143.549543364425</v>
      </c>
      <c r="U85" s="912">
        <f>IFERROR('Laminates- copilot'!S32/'Laminates- copilot'!P32*Q85,"")</f>
        <v>70926.51747030273</v>
      </c>
      <c r="V85" s="913">
        <f t="shared" si="18"/>
        <v>16.550691207952866</v>
      </c>
      <c r="W85" s="914">
        <f t="shared" si="19"/>
        <v>19.198801801225322</v>
      </c>
      <c r="X85" s="913">
        <f t="shared" si="20"/>
        <v>1.5285887385841106</v>
      </c>
      <c r="Y85" s="913">
        <f t="shared" si="21"/>
        <v>16.550691207952866</v>
      </c>
      <c r="Z85" s="95">
        <f t="shared" si="22"/>
        <v>27069</v>
      </c>
      <c r="AA85" s="50" t="str">
        <f t="shared" si="23"/>
        <v>MOQ OK</v>
      </c>
      <c r="AB85" s="923">
        <f t="shared" si="24"/>
        <v>0.50548884311482956</v>
      </c>
      <c r="AC85" s="924">
        <f t="shared" si="25"/>
        <v>0.58636705801320221</v>
      </c>
      <c r="AD85" s="203">
        <f t="shared" si="26"/>
        <v>101097.76862296592</v>
      </c>
      <c r="AE85" s="912">
        <f t="shared" si="27"/>
        <v>117273.41160264045</v>
      </c>
      <c r="AF85" s="923" cm="1">
        <f t="array" ref="AF85">IF(O85="Quantum",IFERROR(_xlfn.LET(_xlpm.b,_xlfn.SWITCH(LOWER(B85),"zipper bag","Zipper pouch","open bag","Open pouch","sup with zipper","Stand-up pouch","stand-up pouch","Stand-up pouch",B85),_xlpm.w,G85,_xlpm.q,K85,_xlpm.types,'Converting-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missing"),IFERROR(_xlfn.LET(_xlpm.s,O85,_xlpm.b,_xlfn.SWITCH(LOWER(B85),"zipper bag","Zipper pouch","open bag","Open pouch",B85),_xlpm.w,G85,_xlpm.q,K85,_xlpm.src,'Converting-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85" s="923">
        <f>IFERROR(IF(OR(B85="Zipper pouch",B85="SUP with zipper"),HELPER!$DE$2*(AH85+AI85)/K85,HELPER!$DE$2*AH85/K85),"Data is missing")</f>
        <v>4.6721662157523311E-3</v>
      </c>
      <c r="AH85" s="923">
        <f t="shared" si="28"/>
        <v>1.5285887385841106</v>
      </c>
      <c r="AI85" s="923">
        <f>IF(OR(B85="Zipper pouch",B85="SUP with zipper"),HELPER!$DC$2*G85/1000,"")</f>
        <v>2.8799999999999996E-2</v>
      </c>
      <c r="AJ85" s="923" cm="1">
        <f t="array" ref="AJ85">IF(INDEX('Laminates- copilot'!$E$6:$E$257,ROUNDUP((ROW()-5)/3,0))+50&gt;IF(O85="Quantum",760,1220),"Width exceeds supplier maximum",IFERROR(AF85+AG85+N(AI85)+AH85*G85/1000/MAX(1,MIN(MAX(2,INT(900/INDEX('Laminates- copilot'!$E$6:$E$257,ROUNDUP((ROW()-5)/3,0)))),INT((IF(O85="Quantum",760,1220)-50)/INDEX('Laminates- copilot'!$E$6:$E$257,ROUNDUP((ROW()-5)/3,0))))),"Data is missing"))</f>
        <v>0.37911663233612214</v>
      </c>
      <c r="AK85" s="203">
        <f t="shared" si="29"/>
        <v>505.48884311482954</v>
      </c>
      <c r="AL85" t="str">
        <f t="shared" si="30"/>
        <v>PASS</v>
      </c>
      <c r="AM85" s="50" t="str">
        <f t="shared" si="31"/>
        <v/>
      </c>
    </row>
    <row r="86" spans="1:39" hidden="1">
      <c r="A86" t="s">
        <v>1714</v>
      </c>
      <c r="B86" t="s">
        <v>262</v>
      </c>
      <c r="C86" s="50" t="s">
        <v>2209</v>
      </c>
      <c r="D86">
        <f>'Laminates- copilot'!B32</f>
        <v>428</v>
      </c>
      <c r="E86" s="858">
        <f>'Laminates- copilot'!D32</f>
        <v>80</v>
      </c>
      <c r="F86" s="858">
        <v>600</v>
      </c>
      <c r="G86" s="858">
        <v>200</v>
      </c>
      <c r="H86" s="858">
        <v>0</v>
      </c>
      <c r="I86" s="858">
        <v>0</v>
      </c>
      <c r="J86" s="858">
        <v>1200</v>
      </c>
      <c r="K86" s="858">
        <v>200000</v>
      </c>
      <c r="L86" s="858" t="str">
        <f>'Laminates- copilot'!K32</f>
        <v>Printed</v>
      </c>
      <c r="M86" s="858" t="str">
        <f>'Laminates- copilot'!L32</f>
        <v>5-8</v>
      </c>
      <c r="N86" s="858">
        <f>'Laminates- copilot'!M32</f>
        <v>8</v>
      </c>
      <c r="O86" s="858" t="str">
        <f>'Laminates- copilot'!O32</f>
        <v>Marma</v>
      </c>
      <c r="P86" s="858" t="str">
        <f>'Laminates- copilot'!N32</f>
        <v>Europe to Europe</v>
      </c>
      <c r="Q86" s="858">
        <f t="shared" si="16"/>
        <v>40000</v>
      </c>
      <c r="R86" s="858">
        <f t="shared" si="17"/>
        <v>40000</v>
      </c>
      <c r="S86" s="858">
        <f>IFERROR('Laminates- copilot'!Q32/'Laminates- copilot'!P32*Q86,"")</f>
        <v>3694.3199999999997</v>
      </c>
      <c r="T86" s="203">
        <f>IFERROR('Laminates- copilot'!R32/'Laminates- copilot'!P32*Q86,"")</f>
        <v>61143.549543364425</v>
      </c>
      <c r="U86" s="912">
        <f>IFERROR('Laminates- copilot'!S32/'Laminates- copilot'!P32*Q86,"")</f>
        <v>70926.51747030273</v>
      </c>
      <c r="V86" s="913">
        <f t="shared" si="18"/>
        <v>16.550691207952866</v>
      </c>
      <c r="W86" s="914">
        <f t="shared" si="19"/>
        <v>19.198801801225322</v>
      </c>
      <c r="X86" s="913">
        <f t="shared" si="20"/>
        <v>1.5285887385841106</v>
      </c>
      <c r="Y86" s="913">
        <f t="shared" si="21"/>
        <v>16.550691207952866</v>
      </c>
      <c r="Z86" s="95">
        <f t="shared" si="22"/>
        <v>27069</v>
      </c>
      <c r="AA86" s="50" t="str">
        <f t="shared" si="23"/>
        <v>MOQ OK</v>
      </c>
      <c r="AB86" s="923">
        <f t="shared" si="24"/>
        <v>0.46168844420435345</v>
      </c>
      <c r="AC86" s="924">
        <f t="shared" si="25"/>
        <v>0.53555859527704996</v>
      </c>
      <c r="AD86" s="203">
        <f t="shared" si="26"/>
        <v>92337.688840870687</v>
      </c>
      <c r="AE86" s="912">
        <f t="shared" si="27"/>
        <v>107111.71905540999</v>
      </c>
      <c r="AF86" s="923" cm="1">
        <f t="array" ref="AF86">IF(O86="Quantum",IFERROR(_xlfn.LET(_xlpm.b,_xlfn.SWITCH(LOWER(B86),"zipper bag","Zipper pouch","open bag","Open pouch","sup with zipper","Stand-up pouch","stand-up pouch","Stand-up pouch",B86),_xlpm.w,G86,_xlpm.q,K86,_xlpm.types,'Converting-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missing"),IFERROR(_xlfn.LET(_xlpm.s,O86,_xlpm.b,_xlfn.SWITCH(LOWER(B86),"zipper bag","Zipper pouch","open bag","Open pouch",B86),_xlpm.w,G86,_xlpm.q,K86,_xlpm.src,'Converting-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86" s="923">
        <f>IFERROR(IF(OR(B86="Zipper pouch",B86="SUP with zipper"),HELPER!$DE$2*(AH86+AI86)/K86,HELPER!$DE$2*AH86/K86),"Data is missing")</f>
        <v>4.5857662157523316E-3</v>
      </c>
      <c r="AH86" s="923">
        <f t="shared" si="28"/>
        <v>1.5285887385841106</v>
      </c>
      <c r="AI86" s="923" t="str">
        <f>IF(OR(B86="Zipper pouch",B86="SUP with zipper"),HELPER!$DC$2*G86/1000,"")</f>
        <v/>
      </c>
      <c r="AJ86" s="923" cm="1">
        <f t="array" ref="AJ86">IF(INDEX('Laminates- copilot'!$E$6:$E$257,ROUNDUP((ROW()-5)/3,0))+50&gt;IF(O86="Quantum",760,1220),"Width exceeds supplier maximum",IFERROR(AF86+AG86+N(AI86)+AH86*G86/1000/MAX(1,MIN(MAX(2,INT(900/INDEX('Laminates- copilot'!$E$6:$E$257,ROUNDUP((ROW()-5)/3,0)))),INT((IF(O86="Quantum",760,1220)-50)/INDEX('Laminates- copilot'!$E$6:$E$257,ROUNDUP((ROW()-5)/3,0))))),"Data is missing"))</f>
        <v>0.3462663331532651</v>
      </c>
      <c r="AK86" s="203">
        <f t="shared" si="29"/>
        <v>461.68844420435346</v>
      </c>
      <c r="AL86" t="str">
        <f t="shared" si="30"/>
        <v>PASS</v>
      </c>
      <c r="AM86" s="50" t="str">
        <f t="shared" si="31"/>
        <v/>
      </c>
    </row>
    <row r="87" spans="1:39" hidden="1">
      <c r="A87" t="s">
        <v>1715</v>
      </c>
      <c r="B87" t="s">
        <v>251</v>
      </c>
      <c r="C87" s="50" t="s">
        <v>2210</v>
      </c>
      <c r="D87">
        <f>'Laminates- copilot'!B33</f>
        <v>428</v>
      </c>
      <c r="E87" s="858">
        <f>'Laminates- copilot'!D33</f>
        <v>80</v>
      </c>
      <c r="F87" s="858">
        <v>700</v>
      </c>
      <c r="G87" s="858">
        <v>300</v>
      </c>
      <c r="H87" s="858">
        <v>75</v>
      </c>
      <c r="I87" s="858">
        <v>0</v>
      </c>
      <c r="J87" s="858">
        <v>1550</v>
      </c>
      <c r="K87" s="858">
        <v>200000</v>
      </c>
      <c r="L87" s="858" t="str">
        <f>'Laminates- copilot'!K33</f>
        <v>Not Printed</v>
      </c>
      <c r="M87" s="858" t="str">
        <f>'Laminates- copilot'!L33</f>
        <v>0</v>
      </c>
      <c r="N87" s="858">
        <f>'Laminates- copilot'!M33</f>
        <v>1</v>
      </c>
      <c r="O87" s="858" t="str">
        <f>'Laminates- copilot'!O33</f>
        <v>Bastin</v>
      </c>
      <c r="P87" s="858" t="str">
        <f>'Laminates- copilot'!N33</f>
        <v>Europe to US</v>
      </c>
      <c r="Q87" s="858">
        <f t="shared" si="16"/>
        <v>60000</v>
      </c>
      <c r="R87" s="858">
        <f t="shared" si="17"/>
        <v>60000</v>
      </c>
      <c r="S87" s="858">
        <f>IFERROR('Laminates- copilot'!Q33/'Laminates- copilot'!P33*Q87,"")</f>
        <v>1539.3</v>
      </c>
      <c r="T87" s="203">
        <f>IFERROR('Laminates- copilot'!R33/'Laminates- copilot'!P33*Q87,"")</f>
        <v>27384.377198545546</v>
      </c>
      <c r="U87" s="912">
        <f>IFERROR('Laminates- copilot'!S33/'Laminates- copilot'!P33*Q87,"")</f>
        <v>31765.877550312835</v>
      </c>
      <c r="V87" s="913">
        <f t="shared" si="18"/>
        <v>17.790149547551191</v>
      </c>
      <c r="W87" s="914">
        <f t="shared" si="19"/>
        <v>20.636573475159381</v>
      </c>
      <c r="X87" s="913">
        <f t="shared" si="20"/>
        <v>0.45640628664242577</v>
      </c>
      <c r="Y87" s="913">
        <f t="shared" si="21"/>
        <v>17.790149547551191</v>
      </c>
      <c r="Z87" s="95">
        <f t="shared" si="22"/>
        <v>64965</v>
      </c>
      <c r="AA87" s="50" t="str">
        <f t="shared" si="23"/>
        <v>MOQ OK</v>
      </c>
      <c r="AB87" s="923">
        <f t="shared" si="24"/>
        <v>0.21505330449420637</v>
      </c>
      <c r="AC87" s="924">
        <f t="shared" si="25"/>
        <v>0.24946183321327936</v>
      </c>
      <c r="AD87" s="203">
        <f t="shared" si="26"/>
        <v>43010.660898841277</v>
      </c>
      <c r="AE87" s="912">
        <f t="shared" si="27"/>
        <v>49892.366642655878</v>
      </c>
      <c r="AF87" s="923" cm="1">
        <f t="array" ref="AF87">IF(O87="Quantum",IFERROR(_xlfn.LET(_xlpm.b,_xlfn.SWITCH(LOWER(B87),"zipper bag","Zipper pouch","open bag","Open pouch","sup with zipper","Stand-up pouch","stand-up pouch","Stand-up pouch",B87),_xlpm.w,G87,_xlpm.q,K87,_xlpm.types,'Converting-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missing"),IFERROR(_xlfn.LET(_xlpm.s,O87,_xlpm.b,_xlfn.SWITCH(LOWER(B87),"zipper bag","Zipper pouch","open bag","Open pouch",B87),_xlpm.w,G87,_xlpm.q,K87,_xlpm.src,'Converting-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87" s="923">
        <f>IFERROR(IF(OR(B87="Zipper pouch",B87="SUP with zipper"),HELPER!$DE$2*(AH87+AI87)/K87,HELPER!$DE$2*AH87/K87),"Data is missing")</f>
        <v>1.4988188599272775E-3</v>
      </c>
      <c r="AH87" s="923">
        <f t="shared" si="28"/>
        <v>0.45640628664242577</v>
      </c>
      <c r="AI87" s="923">
        <f>IF(OR(B87="Zipper pouch",B87="SUP with zipper"),HELPER!$DC$2*G87/1000,"")</f>
        <v>4.3199999999999995E-2</v>
      </c>
      <c r="AJ87" s="923" cm="1">
        <f t="array" ref="AJ87">IF(INDEX('Laminates- copilot'!$E$6:$E$257,ROUNDUP((ROW()-5)/3,0))+50&gt;IF(O87="Quantum",760,1220),"Width exceeds supplier maximum",IFERROR(AF87+AG87+N(AI87)+AH87*G87/1000/MAX(1,MIN(MAX(2,INT(900/INDEX('Laminates- copilot'!$E$6:$E$257,ROUNDUP((ROW()-5)/3,0)))),INT((IF(O87="Quantum",760,1220)-50)/INDEX('Laminates- copilot'!$E$6:$E$257,ROUNDUP((ROW()-5)/3,0))))),"Data is missing"))</f>
        <v>0.16128997837065479</v>
      </c>
      <c r="AK87" s="203">
        <f t="shared" si="29"/>
        <v>215.05330449420637</v>
      </c>
      <c r="AL87" t="str">
        <f t="shared" si="30"/>
        <v>PASS</v>
      </c>
      <c r="AM87" s="50" t="str">
        <f t="shared" si="31"/>
        <v/>
      </c>
    </row>
    <row r="88" spans="1:39" hidden="1">
      <c r="A88" t="s">
        <v>1716</v>
      </c>
      <c r="B88" t="s">
        <v>261</v>
      </c>
      <c r="C88" s="50" t="s">
        <v>2210</v>
      </c>
      <c r="D88">
        <f>'Laminates- copilot'!B33</f>
        <v>428</v>
      </c>
      <c r="E88" s="858">
        <f>'Laminates- copilot'!D33</f>
        <v>80</v>
      </c>
      <c r="F88" s="858">
        <v>700</v>
      </c>
      <c r="G88" s="858">
        <v>300</v>
      </c>
      <c r="H88" s="858">
        <v>75</v>
      </c>
      <c r="I88" s="858">
        <v>0</v>
      </c>
      <c r="J88" s="858">
        <v>1550</v>
      </c>
      <c r="K88" s="858">
        <v>200000</v>
      </c>
      <c r="L88" s="858" t="str">
        <f>'Laminates- copilot'!K33</f>
        <v>Not Printed</v>
      </c>
      <c r="M88" s="858" t="str">
        <f>'Laminates- copilot'!L33</f>
        <v>0</v>
      </c>
      <c r="N88" s="858">
        <f>'Laminates- copilot'!M33</f>
        <v>1</v>
      </c>
      <c r="O88" s="858" t="str">
        <f>'Laminates- copilot'!O33</f>
        <v>Bastin</v>
      </c>
      <c r="P88" s="858" t="str">
        <f>'Laminates- copilot'!N33</f>
        <v>Europe to US</v>
      </c>
      <c r="Q88" s="858">
        <f t="shared" si="16"/>
        <v>60000</v>
      </c>
      <c r="R88" s="858">
        <f t="shared" si="17"/>
        <v>60000</v>
      </c>
      <c r="S88" s="858">
        <f>IFERROR('Laminates- copilot'!Q33/'Laminates- copilot'!P33*Q88,"")</f>
        <v>1539.3</v>
      </c>
      <c r="T88" s="203">
        <f>IFERROR('Laminates- copilot'!R33/'Laminates- copilot'!P33*Q88,"")</f>
        <v>27384.377198545546</v>
      </c>
      <c r="U88" s="912">
        <f>IFERROR('Laminates- copilot'!S33/'Laminates- copilot'!P33*Q88,"")</f>
        <v>31765.877550312835</v>
      </c>
      <c r="V88" s="913">
        <f t="shared" si="18"/>
        <v>17.790149547551191</v>
      </c>
      <c r="W88" s="914">
        <f t="shared" si="19"/>
        <v>20.636573475159381</v>
      </c>
      <c r="X88" s="913">
        <f t="shared" si="20"/>
        <v>0.45640628664242577</v>
      </c>
      <c r="Y88" s="913">
        <f t="shared" si="21"/>
        <v>17.790149547551191</v>
      </c>
      <c r="Z88" s="95">
        <f t="shared" si="22"/>
        <v>64965</v>
      </c>
      <c r="AA88" s="50" t="str">
        <f t="shared" si="23"/>
        <v>MOQ OK</v>
      </c>
      <c r="AB88" s="923">
        <f t="shared" si="24"/>
        <v>0.20745711302427031</v>
      </c>
      <c r="AC88" s="924">
        <f t="shared" si="25"/>
        <v>0.24065025110815355</v>
      </c>
      <c r="AD88" s="203">
        <f t="shared" si="26"/>
        <v>41491.422604854059</v>
      </c>
      <c r="AE88" s="912">
        <f t="shared" si="27"/>
        <v>48130.050221630707</v>
      </c>
      <c r="AF88" s="923" cm="1">
        <f t="array" ref="AF88">IF(O88="Quantum",IFERROR(_xlfn.LET(_xlpm.b,_xlfn.SWITCH(LOWER(B88),"zipper bag","Zipper pouch","open bag","Open pouch","sup with zipper","Stand-up pouch","stand-up pouch","Stand-up pouch",B88),_xlpm.w,G88,_xlpm.q,K88,_xlpm.types,'Converting-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missing"),IFERROR(_xlfn.LET(_xlpm.s,O88,_xlpm.b,_xlfn.SWITCH(LOWER(B88),"zipper bag","Zipper pouch","open bag","Open pouch",B88),_xlpm.w,G88,_xlpm.q,K88,_xlpm.src,'Converting-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88" s="923">
        <f>IFERROR(IF(OR(B88="Zipper pouch",B88="SUP with zipper"),HELPER!$DE$2*(AH88+AI88)/K88,HELPER!$DE$2*AH88/K88),"Data is missing")</f>
        <v>1.4988188599272775E-3</v>
      </c>
      <c r="AH88" s="923">
        <f t="shared" si="28"/>
        <v>0.45640628664242577</v>
      </c>
      <c r="AI88" s="923">
        <f>IF(OR(B88="Zipper pouch",B88="SUP with zipper"),HELPER!$DC$2*G88/1000,"")</f>
        <v>4.3199999999999995E-2</v>
      </c>
      <c r="AJ88" s="923" cm="1">
        <f t="array" ref="AJ88">IF(INDEX('Laminates- copilot'!$E$6:$E$257,ROUNDUP((ROW()-5)/3,0))+50&gt;IF(O88="Quantum",760,1220),"Width exceeds supplier maximum",IFERROR(AF88+AG88+N(AI88)+AH88*G88/1000/MAX(1,MIN(MAX(2,INT(900/INDEX('Laminates- copilot'!$E$6:$E$257,ROUNDUP((ROW()-5)/3,0)))),INT((IF(O88="Quantum",760,1220)-50)/INDEX('Laminates- copilot'!$E$6:$E$257,ROUNDUP((ROW()-5)/3,0))))),"Data is missing"))</f>
        <v>0.15559283476820274</v>
      </c>
      <c r="AK88" s="203">
        <f t="shared" si="29"/>
        <v>207.45711302427031</v>
      </c>
      <c r="AL88" t="str">
        <f t="shared" si="30"/>
        <v>PASS</v>
      </c>
      <c r="AM88" s="50" t="str">
        <f t="shared" si="31"/>
        <v/>
      </c>
    </row>
    <row r="89" spans="1:39" hidden="1">
      <c r="A89" t="s">
        <v>1717</v>
      </c>
      <c r="B89" t="s">
        <v>262</v>
      </c>
      <c r="C89" s="50" t="s">
        <v>2210</v>
      </c>
      <c r="D89">
        <f>'Laminates- copilot'!B33</f>
        <v>428</v>
      </c>
      <c r="E89" s="858">
        <f>'Laminates- copilot'!D33</f>
        <v>80</v>
      </c>
      <c r="F89" s="858">
        <v>700</v>
      </c>
      <c r="G89" s="858">
        <v>300</v>
      </c>
      <c r="H89" s="858">
        <v>0</v>
      </c>
      <c r="I89" s="858">
        <v>0</v>
      </c>
      <c r="J89" s="858">
        <v>1400</v>
      </c>
      <c r="K89" s="858">
        <v>200000</v>
      </c>
      <c r="L89" s="858" t="str">
        <f>'Laminates- copilot'!K33</f>
        <v>Not Printed</v>
      </c>
      <c r="M89" s="858" t="str">
        <f>'Laminates- copilot'!L33</f>
        <v>0</v>
      </c>
      <c r="N89" s="858">
        <f>'Laminates- copilot'!M33</f>
        <v>1</v>
      </c>
      <c r="O89" s="858" t="str">
        <f>'Laminates- copilot'!O33</f>
        <v>Bastin</v>
      </c>
      <c r="P89" s="858" t="str">
        <f>'Laminates- copilot'!N33</f>
        <v>Europe to US</v>
      </c>
      <c r="Q89" s="858">
        <f t="shared" si="16"/>
        <v>60000</v>
      </c>
      <c r="R89" s="858">
        <f t="shared" si="17"/>
        <v>60000</v>
      </c>
      <c r="S89" s="858">
        <f>IFERROR('Laminates- copilot'!Q33/'Laminates- copilot'!P33*Q89,"")</f>
        <v>1539.3</v>
      </c>
      <c r="T89" s="203">
        <f>IFERROR('Laminates- copilot'!R33/'Laminates- copilot'!P33*Q89,"")</f>
        <v>27384.377198545546</v>
      </c>
      <c r="U89" s="912">
        <f>IFERROR('Laminates- copilot'!S33/'Laminates- copilot'!P33*Q89,"")</f>
        <v>31765.877550312835</v>
      </c>
      <c r="V89" s="913">
        <f t="shared" si="18"/>
        <v>17.790149547551191</v>
      </c>
      <c r="W89" s="914">
        <f t="shared" si="19"/>
        <v>20.636573475159381</v>
      </c>
      <c r="X89" s="913">
        <f t="shared" si="20"/>
        <v>0.45640628664242577</v>
      </c>
      <c r="Y89" s="913">
        <f t="shared" si="21"/>
        <v>17.790149547551191</v>
      </c>
      <c r="Z89" s="95">
        <f t="shared" si="22"/>
        <v>64965</v>
      </c>
      <c r="AA89" s="50" t="str">
        <f t="shared" si="23"/>
        <v>MOQ OK</v>
      </c>
      <c r="AB89" s="923">
        <f t="shared" si="24"/>
        <v>0.14072990392743262</v>
      </c>
      <c r="AC89" s="924">
        <f t="shared" si="25"/>
        <v>0.16324668855582183</v>
      </c>
      <c r="AD89" s="203">
        <f t="shared" si="26"/>
        <v>28145.980785486525</v>
      </c>
      <c r="AE89" s="912">
        <f t="shared" si="27"/>
        <v>32649.337711164368</v>
      </c>
      <c r="AF89" s="923" cm="1">
        <f t="array" ref="AF89">IF(O89="Quantum",IFERROR(_xlfn.LET(_xlpm.b,_xlfn.SWITCH(LOWER(B89),"zipper bag","Zipper pouch","open bag","Open pouch","sup with zipper","Stand-up pouch","stand-up pouch","Stand-up pouch",B89),_xlpm.w,G89,_xlpm.q,K89,_xlpm.types,'Converting-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missing"),IFERROR(_xlfn.LET(_xlpm.s,O89,_xlpm.b,_xlfn.SWITCH(LOWER(B89),"zipper bag","Zipper pouch","open bag","Open pouch",B89),_xlpm.w,G89,_xlpm.q,K89,_xlpm.src,'Converting-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89" s="923">
        <f>IFERROR(IF(OR(B89="Zipper pouch",B89="SUP with zipper"),HELPER!$DE$2*(AH89+AI89)/K89,HELPER!$DE$2*AH89/K89),"Data is missing")</f>
        <v>1.3692188599272773E-3</v>
      </c>
      <c r="AH89" s="923">
        <f t="shared" si="28"/>
        <v>0.45640628664242577</v>
      </c>
      <c r="AI89" s="923" t="str">
        <f>IF(OR(B89="Zipper pouch",B89="SUP with zipper"),HELPER!$DC$2*G89/1000,"")</f>
        <v/>
      </c>
      <c r="AJ89" s="923" cm="1">
        <f t="array" ref="AJ89">IF(INDEX('Laminates- copilot'!$E$6:$E$257,ROUNDUP((ROW()-5)/3,0))+50&gt;IF(O89="Quantum",760,1220),"Width exceeds supplier maximum",IFERROR(AF89+AG89+N(AI89)+AH89*G89/1000/MAX(1,MIN(MAX(2,INT(900/INDEX('Laminates- copilot'!$E$6:$E$257,ROUNDUP((ROW()-5)/3,0)))),INT((IF(O89="Quantum",760,1220)-50)/INDEX('Laminates- copilot'!$E$6:$E$257,ROUNDUP((ROW()-5)/3,0))))),"Data is missing"))</f>
        <v>0.10554742794557447</v>
      </c>
      <c r="AK89" s="203">
        <f t="shared" si="29"/>
        <v>140.72990392743262</v>
      </c>
      <c r="AL89" t="str">
        <f t="shared" si="30"/>
        <v>PASS</v>
      </c>
      <c r="AM89" s="50" t="str">
        <f t="shared" si="31"/>
        <v/>
      </c>
    </row>
    <row r="90" spans="1:39" hidden="1">
      <c r="A90" t="s">
        <v>1718</v>
      </c>
      <c r="B90" t="s">
        <v>251</v>
      </c>
      <c r="C90" s="50" t="s">
        <v>1626</v>
      </c>
      <c r="D90">
        <f>'Laminates- copilot'!B34</f>
        <v>428</v>
      </c>
      <c r="E90" s="858">
        <f>'Laminates- copilot'!D34</f>
        <v>80</v>
      </c>
      <c r="F90" s="858">
        <v>250</v>
      </c>
      <c r="G90" s="858">
        <v>400</v>
      </c>
      <c r="H90" s="858">
        <v>50</v>
      </c>
      <c r="I90" s="858">
        <v>0</v>
      </c>
      <c r="J90" s="858">
        <v>600</v>
      </c>
      <c r="K90" s="858">
        <v>1000000</v>
      </c>
      <c r="L90" s="858" t="str">
        <f>'Laminates- copilot'!K34</f>
        <v>Printed</v>
      </c>
      <c r="M90" s="858" t="str">
        <f>'Laminates- copilot'!L34</f>
        <v>3-4</v>
      </c>
      <c r="N90" s="858">
        <f>'Laminates- copilot'!M34</f>
        <v>4</v>
      </c>
      <c r="O90" s="858" t="str">
        <f>'Laminates- copilot'!O34</f>
        <v>Marma</v>
      </c>
      <c r="P90" s="858" t="str">
        <f>'Laminates- copilot'!N34</f>
        <v>Europe to Europe</v>
      </c>
      <c r="Q90" s="858">
        <f t="shared" si="16"/>
        <v>400000</v>
      </c>
      <c r="R90" s="858">
        <f t="shared" si="17"/>
        <v>400000</v>
      </c>
      <c r="S90" s="858">
        <f>IFERROR('Laminates- copilot'!Q34/'Laminates- copilot'!P34*Q90,"")</f>
        <v>24628.799999999999</v>
      </c>
      <c r="T90" s="203">
        <f>IFERROR('Laminates- copilot'!R34/'Laminates- copilot'!P34*Q90,"")</f>
        <v>427083.84248749993</v>
      </c>
      <c r="U90" s="912">
        <f>IFERROR('Laminates- copilot'!S34/'Laminates- copilot'!P34*Q90,"")</f>
        <v>495417.25728549989</v>
      </c>
      <c r="V90" s="913">
        <f t="shared" si="18"/>
        <v>17.340830348514746</v>
      </c>
      <c r="W90" s="914">
        <f t="shared" si="19"/>
        <v>20.115363204277102</v>
      </c>
      <c r="X90" s="913">
        <f t="shared" si="20"/>
        <v>1.0677096062187499</v>
      </c>
      <c r="Y90" s="913">
        <f t="shared" si="21"/>
        <v>17.340830348514746</v>
      </c>
      <c r="Z90" s="95">
        <f t="shared" si="22"/>
        <v>20302</v>
      </c>
      <c r="AA90" s="50" t="str">
        <f t="shared" si="23"/>
        <v>MOQ OK</v>
      </c>
      <c r="AB90" s="923">
        <f t="shared" si="24"/>
        <v>0.74527270058262973</v>
      </c>
      <c r="AC90" s="924">
        <f t="shared" si="25"/>
        <v>0.86451633267585049</v>
      </c>
      <c r="AD90" s="203">
        <f t="shared" si="26"/>
        <v>745272.70058262977</v>
      </c>
      <c r="AE90" s="912">
        <f t="shared" si="27"/>
        <v>864516.33267585048</v>
      </c>
      <c r="AF90" s="923" cm="1">
        <f t="array" ref="AF90">IF(O90="Quantum",IFERROR(_xlfn.LET(_xlpm.b,_xlfn.SWITCH(LOWER(B90),"zipper bag","Zipper pouch","open bag","Open pouch","sup with zipper","Stand-up pouch","stand-up pouch","Stand-up pouch",B90),_xlpm.w,G90,_xlpm.q,K90,_xlpm.types,'Converting-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missing"),IFERROR(_xlfn.LET(_xlpm.s,O90,_xlpm.b,_xlfn.SWITCH(LOWER(B90),"zipper bag","Zipper pouch","open bag","Open pouch",B90),_xlpm.w,G90,_xlpm.q,K90,_xlpm.src,'Converting-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90" s="923">
        <f>IFERROR(IF(OR(B90="Zipper pouch",B90="SUP with zipper"),HELPER!$DE$2*(AH90+AI90)/K90,HELPER!$DE$2*AH90/K90),"Data is missing")</f>
        <v>6.7518576373124992E-4</v>
      </c>
      <c r="AH90" s="923">
        <f t="shared" si="28"/>
        <v>1.0677096062187499</v>
      </c>
      <c r="AI90" s="923">
        <f>IF(OR(B90="Zipper pouch",B90="SUP with zipper"),HELPER!$DC$2*G90/1000,"")</f>
        <v>5.7599999999999991E-2</v>
      </c>
      <c r="AJ90" s="923" cm="1">
        <f t="array" ref="AJ90">IF(INDEX('Laminates- copilot'!$E$6:$E$257,ROUNDUP((ROW()-5)/3,0))+50&gt;IF(O90="Quantum",760,1220),"Width exceeds supplier maximum",IFERROR(AF90+AG90+N(AI90)+AH90*G90/1000/MAX(1,MIN(MAX(2,INT(900/INDEX('Laminates- copilot'!$E$6:$E$257,ROUNDUP((ROW()-5)/3,0)))),INT((IF(O90="Quantum",760,1220)-50)/INDEX('Laminates- copilot'!$E$6:$E$257,ROUNDUP((ROW()-5)/3,0))))),"Data is missing"))</f>
        <v>0.55895452543697233</v>
      </c>
      <c r="AK90" s="203">
        <f t="shared" si="29"/>
        <v>745.27270058262968</v>
      </c>
      <c r="AL90" t="str">
        <f t="shared" si="30"/>
        <v>PASS</v>
      </c>
      <c r="AM90" s="50" t="str">
        <f t="shared" si="31"/>
        <v/>
      </c>
    </row>
    <row r="91" spans="1:39" hidden="1">
      <c r="A91" t="s">
        <v>1719</v>
      </c>
      <c r="B91" t="s">
        <v>261</v>
      </c>
      <c r="C91" s="50" t="s">
        <v>1626</v>
      </c>
      <c r="D91">
        <f>'Laminates- copilot'!B34</f>
        <v>428</v>
      </c>
      <c r="E91" s="858">
        <f>'Laminates- copilot'!D34</f>
        <v>80</v>
      </c>
      <c r="F91" s="858">
        <v>250</v>
      </c>
      <c r="G91" s="858">
        <v>400</v>
      </c>
      <c r="H91" s="858">
        <v>50</v>
      </c>
      <c r="I91" s="858">
        <v>0</v>
      </c>
      <c r="J91" s="858">
        <v>600</v>
      </c>
      <c r="K91" s="858">
        <v>1000000</v>
      </c>
      <c r="L91" s="858" t="str">
        <f>'Laminates- copilot'!K34</f>
        <v>Printed</v>
      </c>
      <c r="M91" s="858" t="str">
        <f>'Laminates- copilot'!L34</f>
        <v>3-4</v>
      </c>
      <c r="N91" s="858">
        <f>'Laminates- copilot'!M34</f>
        <v>4</v>
      </c>
      <c r="O91" s="858" t="str">
        <f>'Laminates- copilot'!O34</f>
        <v>Marma</v>
      </c>
      <c r="P91" s="858" t="str">
        <f>'Laminates- copilot'!N34</f>
        <v>Europe to Europe</v>
      </c>
      <c r="Q91" s="858">
        <f t="shared" si="16"/>
        <v>400000</v>
      </c>
      <c r="R91" s="858">
        <f t="shared" si="17"/>
        <v>400000</v>
      </c>
      <c r="S91" s="858">
        <f>IFERROR('Laminates- copilot'!Q34/'Laminates- copilot'!P34*Q91,"")</f>
        <v>24628.799999999999</v>
      </c>
      <c r="T91" s="203">
        <f>IFERROR('Laminates- copilot'!R34/'Laminates- copilot'!P34*Q91,"")</f>
        <v>427083.84248749993</v>
      </c>
      <c r="U91" s="912">
        <f>IFERROR('Laminates- copilot'!S34/'Laminates- copilot'!P34*Q91,"")</f>
        <v>495417.25728549989</v>
      </c>
      <c r="V91" s="913">
        <f t="shared" si="18"/>
        <v>17.340830348514746</v>
      </c>
      <c r="W91" s="914">
        <f t="shared" si="19"/>
        <v>20.115363204277102</v>
      </c>
      <c r="X91" s="913">
        <f t="shared" si="20"/>
        <v>1.0677096062187499</v>
      </c>
      <c r="Y91" s="913">
        <f t="shared" si="21"/>
        <v>17.340830348514746</v>
      </c>
      <c r="Z91" s="95">
        <f t="shared" si="22"/>
        <v>20302</v>
      </c>
      <c r="AA91" s="50" t="str">
        <f t="shared" si="23"/>
        <v>MOQ OK</v>
      </c>
      <c r="AB91" s="923">
        <f t="shared" si="24"/>
        <v>0.73763156123417328</v>
      </c>
      <c r="AC91" s="924">
        <f t="shared" si="25"/>
        <v>0.85565261103164092</v>
      </c>
      <c r="AD91" s="203">
        <f t="shared" si="26"/>
        <v>737631.56123417325</v>
      </c>
      <c r="AE91" s="912">
        <f t="shared" si="27"/>
        <v>855652.6110316409</v>
      </c>
      <c r="AF91" s="923" cm="1">
        <f t="array" ref="AF91">IF(O91="Quantum",IFERROR(_xlfn.LET(_xlpm.b,_xlfn.SWITCH(LOWER(B91),"zipper bag","Zipper pouch","open bag","Open pouch","sup with zipper","Stand-up pouch","stand-up pouch","Stand-up pouch",B91),_xlpm.w,G91,_xlpm.q,K91,_xlpm.types,'Converting-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missing"),IFERROR(_xlfn.LET(_xlpm.s,O91,_xlpm.b,_xlfn.SWITCH(LOWER(B91),"zipper bag","Zipper pouch","open bag","Open pouch",B91),_xlpm.w,G91,_xlpm.q,K91,_xlpm.src,'Converting-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91" s="923">
        <f>IFERROR(IF(OR(B91="Zipper pouch",B91="SUP with zipper"),HELPER!$DE$2*(AH91+AI91)/K91,HELPER!$DE$2*AH91/K91),"Data is missing")</f>
        <v>6.7518576373124992E-4</v>
      </c>
      <c r="AH91" s="923">
        <f t="shared" si="28"/>
        <v>1.0677096062187499</v>
      </c>
      <c r="AI91" s="923">
        <f>IF(OR(B91="Zipper pouch",B91="SUP with zipper"),HELPER!$DC$2*G91/1000,"")</f>
        <v>5.7599999999999991E-2</v>
      </c>
      <c r="AJ91" s="923" cm="1">
        <f t="array" ref="AJ91">IF(INDEX('Laminates- copilot'!$E$6:$E$257,ROUNDUP((ROW()-5)/3,0))+50&gt;IF(O91="Quantum",760,1220),"Width exceeds supplier maximum",IFERROR(AF91+AG91+N(AI91)+AH91*G91/1000/MAX(1,MIN(MAX(2,INT(900/INDEX('Laminates- copilot'!$E$6:$E$257,ROUNDUP((ROW()-5)/3,0)))),INT((IF(O91="Quantum",760,1220)-50)/INDEX('Laminates- copilot'!$E$6:$E$257,ROUNDUP((ROW()-5)/3,0))))),"Data is missing"))</f>
        <v>0.55322367092562996</v>
      </c>
      <c r="AK91" s="203">
        <f t="shared" si="29"/>
        <v>737.63156123417332</v>
      </c>
      <c r="AL91" t="str">
        <f t="shared" si="30"/>
        <v>PASS</v>
      </c>
      <c r="AM91" s="50" t="str">
        <f t="shared" si="31"/>
        <v/>
      </c>
    </row>
    <row r="92" spans="1:39" hidden="1">
      <c r="A92" t="s">
        <v>1720</v>
      </c>
      <c r="B92" t="s">
        <v>262</v>
      </c>
      <c r="C92" s="50" t="s">
        <v>1626</v>
      </c>
      <c r="D92">
        <f>'Laminates- copilot'!B34</f>
        <v>428</v>
      </c>
      <c r="E92" s="858">
        <f>'Laminates- copilot'!D34</f>
        <v>80</v>
      </c>
      <c r="F92" s="858">
        <v>250</v>
      </c>
      <c r="G92" s="858">
        <v>400</v>
      </c>
      <c r="H92" s="858">
        <v>0</v>
      </c>
      <c r="I92" s="858">
        <v>15</v>
      </c>
      <c r="J92" s="858">
        <v>515</v>
      </c>
      <c r="K92" s="858">
        <v>1000000</v>
      </c>
      <c r="L92" s="858" t="str">
        <f>'Laminates- copilot'!K34</f>
        <v>Printed</v>
      </c>
      <c r="M92" s="858" t="str">
        <f>'Laminates- copilot'!L34</f>
        <v>3-4</v>
      </c>
      <c r="N92" s="858">
        <f>'Laminates- copilot'!M34</f>
        <v>4</v>
      </c>
      <c r="O92" s="858" t="str">
        <f>'Laminates- copilot'!O34</f>
        <v>Marma</v>
      </c>
      <c r="P92" s="858" t="str">
        <f>'Laminates- copilot'!N34</f>
        <v>Europe to Europe</v>
      </c>
      <c r="Q92" s="858">
        <f t="shared" si="16"/>
        <v>400000</v>
      </c>
      <c r="R92" s="858">
        <f t="shared" si="17"/>
        <v>400000</v>
      </c>
      <c r="S92" s="858">
        <f>IFERROR('Laminates- copilot'!Q34/'Laminates- copilot'!P34*Q92,"")</f>
        <v>24628.799999999999</v>
      </c>
      <c r="T92" s="203">
        <f>IFERROR('Laminates- copilot'!R34/'Laminates- copilot'!P34*Q92,"")</f>
        <v>427083.84248749993</v>
      </c>
      <c r="U92" s="912">
        <f>IFERROR('Laminates- copilot'!S34/'Laminates- copilot'!P34*Q92,"")</f>
        <v>495417.25728549989</v>
      </c>
      <c r="V92" s="913">
        <f t="shared" si="18"/>
        <v>17.340830348514746</v>
      </c>
      <c r="W92" s="914">
        <f t="shared" si="19"/>
        <v>20.115363204277102</v>
      </c>
      <c r="X92" s="913">
        <f t="shared" si="20"/>
        <v>1.0677096062187499</v>
      </c>
      <c r="Y92" s="913">
        <f t="shared" si="21"/>
        <v>17.340830348514746</v>
      </c>
      <c r="Z92" s="95">
        <f t="shared" si="22"/>
        <v>20302</v>
      </c>
      <c r="AA92" s="50" t="str">
        <f t="shared" si="23"/>
        <v>MOQ OK</v>
      </c>
      <c r="AB92" s="923">
        <f t="shared" si="24"/>
        <v>0.65068702093615649</v>
      </c>
      <c r="AC92" s="924">
        <f t="shared" si="25"/>
        <v>0.75479694428594146</v>
      </c>
      <c r="AD92" s="203">
        <f t="shared" si="26"/>
        <v>650687.02093615651</v>
      </c>
      <c r="AE92" s="912">
        <f t="shared" si="27"/>
        <v>754796.94428594154</v>
      </c>
      <c r="AF92" s="923" cm="1">
        <f t="array" ref="AF92">IF(O92="Quantum",IFERROR(_xlfn.LET(_xlpm.b,_xlfn.SWITCH(LOWER(B92),"zipper bag","Zipper pouch","open bag","Open pouch","sup with zipper","Stand-up pouch","stand-up pouch","Stand-up pouch",B92),_xlpm.w,G92,_xlpm.q,K92,_xlpm.types,'Converting-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missing"),IFERROR(_xlfn.LET(_xlpm.s,O92,_xlpm.b,_xlfn.SWITCH(LOWER(B92),"zipper bag","Zipper pouch","open bag","Open pouch",B92),_xlpm.w,G92,_xlpm.q,K92,_xlpm.src,'Converting-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92" s="923">
        <f>IFERROR(IF(OR(B92="Zipper pouch",B92="SUP with zipper"),HELPER!$DE$2*(AH92+AI92)/K92,HELPER!$DE$2*AH92/K92),"Data is missing")</f>
        <v>6.4062576373124993E-4</v>
      </c>
      <c r="AH92" s="923">
        <f t="shared" si="28"/>
        <v>1.0677096062187499</v>
      </c>
      <c r="AI92" s="923" t="str">
        <f>IF(OR(B92="Zipper pouch",B92="SUP with zipper"),HELPER!$DC$2*G92/1000,"")</f>
        <v/>
      </c>
      <c r="AJ92" s="923" cm="1">
        <f t="array" ref="AJ92">IF(INDEX('Laminates- copilot'!$E$6:$E$257,ROUNDUP((ROW()-5)/3,0))+50&gt;IF(O92="Quantum",760,1220),"Width exceeds supplier maximum",IFERROR(AF92+AG92+N(AI92)+AH92*G92/1000/MAX(1,MIN(MAX(2,INT(900/INDEX('Laminates- copilot'!$E$6:$E$257,ROUNDUP((ROW()-5)/3,0)))),INT((IF(O92="Quantum",760,1220)-50)/INDEX('Laminates- copilot'!$E$6:$E$257,ROUNDUP((ROW()-5)/3,0))))),"Data is missing"))</f>
        <v>0.4880152657021174</v>
      </c>
      <c r="AK92" s="203">
        <f t="shared" si="29"/>
        <v>650.6870209361565</v>
      </c>
      <c r="AL92" t="str">
        <f t="shared" si="30"/>
        <v>PASS</v>
      </c>
      <c r="AM92" s="50" t="str">
        <f t="shared" si="31"/>
        <v/>
      </c>
    </row>
    <row r="93" spans="1:39" hidden="1">
      <c r="A93" t="s">
        <v>1721</v>
      </c>
      <c r="B93" t="s">
        <v>251</v>
      </c>
      <c r="C93" s="50" t="s">
        <v>1627</v>
      </c>
      <c r="D93">
        <f>'Laminates- copilot'!B35</f>
        <v>428</v>
      </c>
      <c r="E93" s="858">
        <f>'Laminates- copilot'!D35</f>
        <v>80</v>
      </c>
      <c r="F93" s="858">
        <v>350</v>
      </c>
      <c r="G93" s="858">
        <v>500</v>
      </c>
      <c r="H93" s="858">
        <v>100</v>
      </c>
      <c r="I93" s="858">
        <v>0</v>
      </c>
      <c r="J93" s="858">
        <v>900</v>
      </c>
      <c r="K93" s="858">
        <v>1600000</v>
      </c>
      <c r="L93" s="858" t="str">
        <f>'Laminates- copilot'!K35</f>
        <v>Printed</v>
      </c>
      <c r="M93" s="858" t="str">
        <f>'Laminates- copilot'!L35</f>
        <v>1-2</v>
      </c>
      <c r="N93" s="858">
        <f>'Laminates- copilot'!M35</f>
        <v>2</v>
      </c>
      <c r="O93" s="858" t="str">
        <f>'Laminates- copilot'!O35</f>
        <v>Quantum</v>
      </c>
      <c r="P93" s="858" t="str">
        <f>'Laminates- copilot'!N35</f>
        <v>Europe to Europe</v>
      </c>
      <c r="Q93" s="858">
        <f t="shared" si="16"/>
        <v>800000</v>
      </c>
      <c r="R93" s="858">
        <f t="shared" si="17"/>
        <v>800000</v>
      </c>
      <c r="S93" s="858">
        <f>IFERROR('Laminates- copilot'!Q35/'Laminates- copilot'!P35*Q93,"")</f>
        <v>36943.199999999997</v>
      </c>
      <c r="T93" s="203">
        <f>IFERROR('Laminates- copilot'!R35/'Laminates- copilot'!P35*Q93,"")</f>
        <v>1137972.9963182022</v>
      </c>
      <c r="U93" s="912">
        <f>IFERROR('Laminates- copilot'!S35/'Laminates- copilot'!P35*Q93,"")</f>
        <v>1320048.6757291143</v>
      </c>
      <c r="V93" s="913">
        <f t="shared" si="18"/>
        <v>30.8033141773913</v>
      </c>
      <c r="W93" s="914">
        <f t="shared" si="19"/>
        <v>35.731844445773902</v>
      </c>
      <c r="X93" s="913">
        <f t="shared" si="20"/>
        <v>1.4224662453977528</v>
      </c>
      <c r="Y93" s="913">
        <f t="shared" si="21"/>
        <v>30.8033141773913</v>
      </c>
      <c r="Z93" s="95">
        <f t="shared" si="22"/>
        <v>21655</v>
      </c>
      <c r="AA93" s="50" t="str">
        <f t="shared" si="23"/>
        <v>MOQ OK</v>
      </c>
      <c r="AB93" s="923">
        <f t="shared" si="24"/>
        <v>1.4005086097196398</v>
      </c>
      <c r="AC93" s="924">
        <f t="shared" si="25"/>
        <v>1.624589987274782</v>
      </c>
      <c r="AD93" s="203">
        <f t="shared" si="26"/>
        <v>2240813.7755514234</v>
      </c>
      <c r="AE93" s="912">
        <f t="shared" si="27"/>
        <v>2599343.9796396508</v>
      </c>
      <c r="AF93" s="923" cm="1">
        <f t="array" ref="AF93">IF(O93="Quantum",IFERROR(_xlfn.LET(_xlpm.b,_xlfn.SWITCH(LOWER(B93),"zipper bag","Zipper pouch","open bag","Open pouch","sup with zipper","Stand-up pouch","stand-up pouch","Stand-up pouch",B93),_xlpm.w,G93,_xlpm.q,K93,_xlpm.types,'Converting-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missing"),IFERROR(_xlfn.LET(_xlpm.s,O93,_xlpm.b,_xlfn.SWITCH(LOWER(B93),"zipper bag","Zipper pouch","open bag","Open pouch",B93),_xlpm.w,G93,_xlpm.q,K93,_xlpm.src,'Converting-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93" s="923">
        <f>IFERROR(IF(OR(B93="Zipper pouch",B93="SUP with zipper"),HELPER!$DE$2*(AH93+AI93)/K93,HELPER!$DE$2*AH93/K93),"Data is missing")</f>
        <v>5.6042484202415734E-4</v>
      </c>
      <c r="AH93" s="923">
        <f t="shared" si="28"/>
        <v>1.4224662453977528</v>
      </c>
      <c r="AI93" s="923">
        <f>IF(OR(B93="Zipper pouch",B93="SUP with zipper"),HELPER!$DC$2*G93/1000,"")</f>
        <v>7.1999999999999995E-2</v>
      </c>
      <c r="AJ93" s="923" cm="1">
        <f t="array" ref="AJ93">IF(INDEX('Laminates- copilot'!$E$6:$E$257,ROUNDUP((ROW()-5)/3,0))+50&gt;IF(O93="Quantum",760,1220),"Width exceeds supplier maximum",IFERROR(AF93+AG93+N(AI93)+AH93*G93/1000/MAX(1,MIN(MAX(2,INT(900/INDEX('Laminates- copilot'!$E$6:$E$257,ROUNDUP((ROW()-5)/3,0)))),INT((IF(O93="Quantum",760,1220)-50)/INDEX('Laminates- copilot'!$E$6:$E$257,ROUNDUP((ROW()-5)/3,0))))),"Data is missing"))</f>
        <v>1.0503814572897299</v>
      </c>
      <c r="AK93" s="203">
        <f t="shared" si="29"/>
        <v>1400.5086097196397</v>
      </c>
      <c r="AL93" t="str">
        <f t="shared" si="30"/>
        <v>PASS</v>
      </c>
      <c r="AM93" s="50" t="str">
        <f t="shared" si="31"/>
        <v/>
      </c>
    </row>
    <row r="94" spans="1:39" hidden="1">
      <c r="A94" t="s">
        <v>1722</v>
      </c>
      <c r="B94" t="s">
        <v>261</v>
      </c>
      <c r="C94" s="50" t="s">
        <v>1627</v>
      </c>
      <c r="D94">
        <f>'Laminates- copilot'!B35</f>
        <v>428</v>
      </c>
      <c r="E94" s="858">
        <f>'Laminates- copilot'!D35</f>
        <v>80</v>
      </c>
      <c r="F94" s="858">
        <v>350</v>
      </c>
      <c r="G94" s="858">
        <v>500</v>
      </c>
      <c r="H94" s="858">
        <v>100</v>
      </c>
      <c r="I94" s="858">
        <v>0</v>
      </c>
      <c r="J94" s="858">
        <v>900</v>
      </c>
      <c r="K94" s="858">
        <v>1600000</v>
      </c>
      <c r="L94" s="858" t="str">
        <f>'Laminates- copilot'!K35</f>
        <v>Printed</v>
      </c>
      <c r="M94" s="858" t="str">
        <f>'Laminates- copilot'!L35</f>
        <v>1-2</v>
      </c>
      <c r="N94" s="858">
        <f>'Laminates- copilot'!M35</f>
        <v>2</v>
      </c>
      <c r="O94" s="858" t="str">
        <f>'Laminates- copilot'!O35</f>
        <v>Quantum</v>
      </c>
      <c r="P94" s="858" t="str">
        <f>'Laminates- copilot'!N35</f>
        <v>Europe to Europe</v>
      </c>
      <c r="Q94" s="858">
        <f t="shared" si="16"/>
        <v>800000</v>
      </c>
      <c r="R94" s="858">
        <f t="shared" si="17"/>
        <v>800000</v>
      </c>
      <c r="S94" s="858">
        <f>IFERROR('Laminates- copilot'!Q35/'Laminates- copilot'!P35*Q94,"")</f>
        <v>36943.199999999997</v>
      </c>
      <c r="T94" s="203">
        <f>IFERROR('Laminates- copilot'!R35/'Laminates- copilot'!P35*Q94,"")</f>
        <v>1137972.9963182022</v>
      </c>
      <c r="U94" s="912">
        <f>IFERROR('Laminates- copilot'!S35/'Laminates- copilot'!P35*Q94,"")</f>
        <v>1320048.6757291143</v>
      </c>
      <c r="V94" s="913">
        <f t="shared" si="18"/>
        <v>30.8033141773913</v>
      </c>
      <c r="W94" s="914">
        <f t="shared" si="19"/>
        <v>35.731844445773902</v>
      </c>
      <c r="X94" s="913">
        <f t="shared" si="20"/>
        <v>1.4224662453977528</v>
      </c>
      <c r="Y94" s="913">
        <f t="shared" si="21"/>
        <v>30.8033141773913</v>
      </c>
      <c r="Z94" s="95">
        <f t="shared" si="22"/>
        <v>21655</v>
      </c>
      <c r="AA94" s="50" t="str">
        <f t="shared" si="23"/>
        <v>MOQ OK</v>
      </c>
      <c r="AB94" s="923">
        <f t="shared" si="24"/>
        <v>1.3610907329241553</v>
      </c>
      <c r="AC94" s="924">
        <f t="shared" si="25"/>
        <v>1.57886525019202</v>
      </c>
      <c r="AD94" s="203">
        <f t="shared" si="26"/>
        <v>2177745.1726786485</v>
      </c>
      <c r="AE94" s="912">
        <f t="shared" si="27"/>
        <v>2526184.400307232</v>
      </c>
      <c r="AF94" s="923" cm="1">
        <f t="array" ref="AF94">IF(O94="Quantum",IFERROR(_xlfn.LET(_xlpm.b,_xlfn.SWITCH(LOWER(B94),"zipper bag","Zipper pouch","open bag","Open pouch","sup with zipper","Stand-up pouch","stand-up pouch","Stand-up pouch",B94),_xlpm.w,G94,_xlpm.q,K94,_xlpm.types,'Converting-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missing"),IFERROR(_xlfn.LET(_xlpm.s,O94,_xlpm.b,_xlfn.SWITCH(LOWER(B94),"zipper bag","Zipper pouch","open bag","Open pouch",B94),_xlpm.w,G94,_xlpm.q,K94,_xlpm.src,'Converting-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94" s="923">
        <f>IFERROR(IF(OR(B94="Zipper pouch",B94="SUP with zipper"),HELPER!$DE$2*(AH94+AI94)/K94,HELPER!$DE$2*AH94/K94),"Data is missing")</f>
        <v>5.6042484202415734E-4</v>
      </c>
      <c r="AH94" s="923">
        <f t="shared" si="28"/>
        <v>1.4224662453977528</v>
      </c>
      <c r="AI94" s="923">
        <f>IF(OR(B94="Zipper pouch",B94="SUP with zipper"),HELPER!$DC$2*G94/1000,"")</f>
        <v>7.1999999999999995E-2</v>
      </c>
      <c r="AJ94" s="923" cm="1">
        <f t="array" ref="AJ94">IF(INDEX('Laminates- copilot'!$E$6:$E$257,ROUNDUP((ROW()-5)/3,0))+50&gt;IF(O94="Quantum",760,1220),"Width exceeds supplier maximum",IFERROR(AF94+AG94+N(AI94)+AH94*G94/1000/MAX(1,MIN(MAX(2,INT(900/INDEX('Laminates- copilot'!$E$6:$E$257,ROUNDUP((ROW()-5)/3,0)))),INT((IF(O94="Quantum",760,1220)-50)/INDEX('Laminates- copilot'!$E$6:$E$257,ROUNDUP((ROW()-5)/3,0))))),"Data is missing"))</f>
        <v>1.0208180496931165</v>
      </c>
      <c r="AK94" s="203">
        <f t="shared" si="29"/>
        <v>1361.0907329241552</v>
      </c>
      <c r="AL94" t="str">
        <f t="shared" si="30"/>
        <v>PASS</v>
      </c>
      <c r="AM94" s="50" t="str">
        <f t="shared" si="31"/>
        <v/>
      </c>
    </row>
    <row r="95" spans="1:39" hidden="1">
      <c r="A95" t="s">
        <v>1723</v>
      </c>
      <c r="B95" t="s">
        <v>262</v>
      </c>
      <c r="C95" s="50" t="s">
        <v>1627</v>
      </c>
      <c r="D95">
        <f>'Laminates- copilot'!B35</f>
        <v>428</v>
      </c>
      <c r="E95" s="858">
        <f>'Laminates- copilot'!D35</f>
        <v>80</v>
      </c>
      <c r="F95" s="858">
        <v>350</v>
      </c>
      <c r="G95" s="858">
        <v>500</v>
      </c>
      <c r="H95" s="858">
        <v>0</v>
      </c>
      <c r="I95" s="858">
        <v>25</v>
      </c>
      <c r="J95" s="858">
        <v>725</v>
      </c>
      <c r="K95" s="858">
        <v>1600000</v>
      </c>
      <c r="L95" s="858" t="str">
        <f>'Laminates- copilot'!K35</f>
        <v>Printed</v>
      </c>
      <c r="M95" s="858" t="str">
        <f>'Laminates- copilot'!L35</f>
        <v>1-2</v>
      </c>
      <c r="N95" s="858">
        <f>'Laminates- copilot'!M35</f>
        <v>2</v>
      </c>
      <c r="O95" s="858" t="str">
        <f>'Laminates- copilot'!O35</f>
        <v>Quantum</v>
      </c>
      <c r="P95" s="858" t="str">
        <f>'Laminates- copilot'!N35</f>
        <v>Europe to Europe</v>
      </c>
      <c r="Q95" s="858">
        <f t="shared" si="16"/>
        <v>800000</v>
      </c>
      <c r="R95" s="858">
        <f t="shared" si="17"/>
        <v>800000</v>
      </c>
      <c r="S95" s="858">
        <f>IFERROR('Laminates- copilot'!Q35/'Laminates- copilot'!P35*Q95,"")</f>
        <v>36943.199999999997</v>
      </c>
      <c r="T95" s="203">
        <f>IFERROR('Laminates- copilot'!R35/'Laminates- copilot'!P35*Q95,"")</f>
        <v>1137972.9963182022</v>
      </c>
      <c r="U95" s="912">
        <f>IFERROR('Laminates- copilot'!S35/'Laminates- copilot'!P35*Q95,"")</f>
        <v>1320048.6757291143</v>
      </c>
      <c r="V95" s="913">
        <f t="shared" si="18"/>
        <v>30.8033141773913</v>
      </c>
      <c r="W95" s="914">
        <f t="shared" si="19"/>
        <v>35.731844445773902</v>
      </c>
      <c r="X95" s="913">
        <f t="shared" si="20"/>
        <v>1.4224662453977528</v>
      </c>
      <c r="Y95" s="913">
        <f t="shared" si="21"/>
        <v>30.8033141773913</v>
      </c>
      <c r="Z95" s="95">
        <f t="shared" si="22"/>
        <v>21655</v>
      </c>
      <c r="AA95" s="50" t="str">
        <f t="shared" si="23"/>
        <v>MOQ OK</v>
      </c>
      <c r="AB95" s="923">
        <f t="shared" si="24"/>
        <v>1.2332905464302968</v>
      </c>
      <c r="AC95" s="924">
        <f t="shared" si="25"/>
        <v>1.4306170338591442</v>
      </c>
      <c r="AD95" s="203">
        <f t="shared" si="26"/>
        <v>1973264.8742884749</v>
      </c>
      <c r="AE95" s="912">
        <f t="shared" si="27"/>
        <v>2288987.2541746306</v>
      </c>
      <c r="AF95" s="923" cm="1">
        <f t="array" ref="AF95">IF(O95="Quantum",IFERROR(_xlfn.LET(_xlpm.b,_xlfn.SWITCH(LOWER(B95),"zipper bag","Zipper pouch","open bag","Open pouch","sup with zipper","Stand-up pouch","stand-up pouch","Stand-up pouch",B95),_xlpm.w,G95,_xlpm.q,K95,_xlpm.types,'Converting-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missing"),IFERROR(_xlfn.LET(_xlpm.s,O95,_xlpm.b,_xlfn.SWITCH(LOWER(B95),"zipper bag","Zipper pouch","open bag","Open pouch",B95),_xlpm.w,G95,_xlpm.q,K95,_xlpm.src,'Converting-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95" s="923">
        <f>IFERROR(IF(OR(B95="Zipper pouch",B95="SUP with zipper"),HELPER!$DE$2*(AH95+AI95)/K95,HELPER!$DE$2*AH95/K95),"Data is missing")</f>
        <v>5.3342484202415733E-4</v>
      </c>
      <c r="AH95" s="923">
        <f t="shared" si="28"/>
        <v>1.4224662453977528</v>
      </c>
      <c r="AI95" s="923" t="str">
        <f>IF(OR(B95="Zipper pouch",B95="SUP with zipper"),HELPER!$DC$2*G95/1000,"")</f>
        <v/>
      </c>
      <c r="AJ95" s="923" cm="1">
        <f t="array" ref="AJ95">IF(INDEX('Laminates- copilot'!$E$6:$E$257,ROUNDUP((ROW()-5)/3,0))+50&gt;IF(O95="Quantum",760,1220),"Width exceeds supplier maximum",IFERROR(AF95+AG95+N(AI95)+AH95*G95/1000/MAX(1,MIN(MAX(2,INT(900/INDEX('Laminates- copilot'!$E$6:$E$257,ROUNDUP((ROW()-5)/3,0)))),INT((IF(O95="Quantum",760,1220)-50)/INDEX('Laminates- copilot'!$E$6:$E$257,ROUNDUP((ROW()-5)/3,0))))),"Data is missing"))</f>
        <v>0.92496790982272259</v>
      </c>
      <c r="AK95" s="203">
        <f t="shared" si="29"/>
        <v>1233.2905464302967</v>
      </c>
      <c r="AL95" t="str">
        <f t="shared" si="30"/>
        <v>PASS</v>
      </c>
      <c r="AM95" s="50" t="str">
        <f t="shared" si="31"/>
        <v/>
      </c>
    </row>
    <row r="96" spans="1:39" hidden="1">
      <c r="A96" t="s">
        <v>1724</v>
      </c>
      <c r="B96" t="s">
        <v>251</v>
      </c>
      <c r="C96" s="50" t="s">
        <v>2203</v>
      </c>
      <c r="D96">
        <f>'Laminates- copilot'!B36</f>
        <v>608</v>
      </c>
      <c r="E96" s="858">
        <f>'Laminates- copilot'!D36</f>
        <v>100</v>
      </c>
      <c r="F96" s="858">
        <v>100</v>
      </c>
      <c r="G96" s="858">
        <v>100</v>
      </c>
      <c r="H96" s="858">
        <v>20</v>
      </c>
      <c r="I96" s="858">
        <v>0</v>
      </c>
      <c r="J96" s="858">
        <v>240</v>
      </c>
      <c r="K96" s="858">
        <v>25000</v>
      </c>
      <c r="L96" s="858" t="str">
        <f>'Laminates- copilot'!K36</f>
        <v>Not Printed</v>
      </c>
      <c r="M96" s="858" t="str">
        <f>'Laminates- copilot'!L36</f>
        <v>0</v>
      </c>
      <c r="N96" s="858">
        <f>'Laminates- copilot'!M36</f>
        <v>1</v>
      </c>
      <c r="O96" s="858" t="str">
        <f>'Laminates- copilot'!O36</f>
        <v>Marma</v>
      </c>
      <c r="P96" s="858" t="str">
        <f>'Laminates- copilot'!N36</f>
        <v>Europe to Europe</v>
      </c>
      <c r="Q96" s="858">
        <f t="shared" si="16"/>
        <v>2500</v>
      </c>
      <c r="R96" s="858">
        <f t="shared" si="17"/>
        <v>2500</v>
      </c>
      <c r="S96" s="858">
        <f>IFERROR('Laminates- copilot'!Q36/'Laminates- copilot'!P36*Q96,"")</f>
        <v>38.811</v>
      </c>
      <c r="T96" s="203">
        <f>IFERROR('Laminates- copilot'!R36/'Laminates- copilot'!P36*Q96,"")</f>
        <v>354.57430906234123</v>
      </c>
      <c r="U96" s="912">
        <f>IFERROR('Laminates- copilot'!S36/'Laminates- copilot'!P36*Q96,"")</f>
        <v>411.3061985123158</v>
      </c>
      <c r="V96" s="913">
        <f t="shared" si="18"/>
        <v>9.135923038889521</v>
      </c>
      <c r="W96" s="914">
        <f t="shared" si="19"/>
        <v>10.597670725111845</v>
      </c>
      <c r="X96" s="913">
        <f t="shared" si="20"/>
        <v>0.14182972362493648</v>
      </c>
      <c r="Y96" s="913">
        <f t="shared" si="21"/>
        <v>9.135923038889521</v>
      </c>
      <c r="Z96" s="95">
        <f t="shared" si="22"/>
        <v>322074</v>
      </c>
      <c r="AA96" s="50" t="str">
        <f t="shared" si="23"/>
        <v>Below MOQ by 297,074 bags</v>
      </c>
      <c r="AB96" s="923">
        <f t="shared" si="24"/>
        <v>7.7831623836362426E-2</v>
      </c>
      <c r="AC96" s="924">
        <f t="shared" si="25"/>
        <v>9.0284683650180414E-2</v>
      </c>
      <c r="AD96" s="203">
        <f t="shared" si="26"/>
        <v>1945.7905959090606</v>
      </c>
      <c r="AE96" s="912">
        <f t="shared" si="27"/>
        <v>2257.1170912545103</v>
      </c>
      <c r="AF96" s="923" cm="1">
        <f t="array" ref="AF96">IF(O96="Quantum",IFERROR(_xlfn.LET(_xlpm.b,_xlfn.SWITCH(LOWER(B96),"zipper bag","Zipper pouch","open bag","Open pouch","sup with zipper","Stand-up pouch","stand-up pouch","Stand-up pouch",B96),_xlpm.w,G96,_xlpm.q,K96,_xlpm.types,'Converting-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missing"),IFERROR(_xlfn.LET(_xlpm.s,O96,_xlpm.b,_xlfn.SWITCH(LOWER(B96),"zipper bag","Zipper pouch","open bag","Open pouch",B96),_xlpm.w,G96,_xlpm.q,K96,_xlpm.src,'Converting-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96" s="923">
        <f>IFERROR(IF(OR(B96="Zipper pouch",B96="SUP with zipper"),HELPER!$DE$2*(AH96+AI96)/K96,HELPER!$DE$2*AH96/K96),"Data is missing")</f>
        <v>3.7495133669984758E-3</v>
      </c>
      <c r="AH96" s="923">
        <f t="shared" si="28"/>
        <v>0.14182972362493648</v>
      </c>
      <c r="AI96" s="923">
        <f>IF(OR(B96="Zipper pouch",B96="SUP with zipper"),HELPER!$DC$2*G96/1000,"")</f>
        <v>1.4399999999999998E-2</v>
      </c>
      <c r="AJ96" s="923" cm="1">
        <f t="array" ref="AJ96">IF(INDEX('Laminates- copilot'!$E$6:$E$257,ROUNDUP((ROW()-5)/3,0))+50&gt;IF(O96="Quantum",760,1220),"Width exceeds supplier maximum",IFERROR(AF96+AG96+N(AI96)+AH96*G96/1000/MAX(1,MIN(MAX(2,INT(900/INDEX('Laminates- copilot'!$E$6:$E$257,ROUNDUP((ROW()-5)/3,0)))),INT((IF(O96="Quantum",760,1220)-50)/INDEX('Laminates- copilot'!$E$6:$E$257,ROUNDUP((ROW()-5)/3,0))))),"Data is missing"))</f>
        <v>5.8373717877271816E-2</v>
      </c>
      <c r="AK96" s="203">
        <f t="shared" si="29"/>
        <v>77.831623836362425</v>
      </c>
      <c r="AL96" t="str">
        <f t="shared" si="30"/>
        <v>PASS</v>
      </c>
      <c r="AM96" s="50" t="str">
        <f t="shared" si="31"/>
        <v/>
      </c>
    </row>
    <row r="97" spans="1:39" hidden="1">
      <c r="A97" t="s">
        <v>1725</v>
      </c>
      <c r="B97" t="s">
        <v>261</v>
      </c>
      <c r="C97" s="50" t="s">
        <v>2203</v>
      </c>
      <c r="D97">
        <f>'Laminates- copilot'!B36</f>
        <v>608</v>
      </c>
      <c r="E97" s="858">
        <f>'Laminates- copilot'!D36</f>
        <v>100</v>
      </c>
      <c r="F97" s="858">
        <v>100</v>
      </c>
      <c r="G97" s="858">
        <v>100</v>
      </c>
      <c r="H97" s="858">
        <v>20</v>
      </c>
      <c r="I97" s="858">
        <v>0</v>
      </c>
      <c r="J97" s="858">
        <v>240</v>
      </c>
      <c r="K97" s="858">
        <v>25000</v>
      </c>
      <c r="L97" s="858" t="str">
        <f>'Laminates- copilot'!K36</f>
        <v>Not Printed</v>
      </c>
      <c r="M97" s="858" t="str">
        <f>'Laminates- copilot'!L36</f>
        <v>0</v>
      </c>
      <c r="N97" s="858">
        <f>'Laminates- copilot'!M36</f>
        <v>1</v>
      </c>
      <c r="O97" s="858" t="str">
        <f>'Laminates- copilot'!O36</f>
        <v>Marma</v>
      </c>
      <c r="P97" s="858" t="str">
        <f>'Laminates- copilot'!N36</f>
        <v>Europe to Europe</v>
      </c>
      <c r="Q97" s="858">
        <f t="shared" si="16"/>
        <v>2500</v>
      </c>
      <c r="R97" s="858">
        <f t="shared" si="17"/>
        <v>2500</v>
      </c>
      <c r="S97" s="858">
        <f>IFERROR('Laminates- copilot'!Q36/'Laminates- copilot'!P36*Q97,"")</f>
        <v>38.811</v>
      </c>
      <c r="T97" s="203">
        <f>IFERROR('Laminates- copilot'!R36/'Laminates- copilot'!P36*Q97,"")</f>
        <v>354.57430906234123</v>
      </c>
      <c r="U97" s="912">
        <f>IFERROR('Laminates- copilot'!S36/'Laminates- copilot'!P36*Q97,"")</f>
        <v>411.3061985123158</v>
      </c>
      <c r="V97" s="913">
        <f t="shared" si="18"/>
        <v>9.135923038889521</v>
      </c>
      <c r="W97" s="914">
        <f t="shared" si="19"/>
        <v>10.597670725111845</v>
      </c>
      <c r="X97" s="913">
        <f t="shared" si="20"/>
        <v>0.14182972362493648</v>
      </c>
      <c r="Y97" s="913">
        <f t="shared" si="21"/>
        <v>9.135923038889521</v>
      </c>
      <c r="Z97" s="95">
        <f t="shared" si="22"/>
        <v>322074</v>
      </c>
      <c r="AA97" s="50" t="str">
        <f t="shared" si="23"/>
        <v>Below MOQ by 297,074 bags</v>
      </c>
      <c r="AB97" s="923">
        <f t="shared" si="24"/>
        <v>7.4406285507744016E-2</v>
      </c>
      <c r="AC97" s="924">
        <f t="shared" si="25"/>
        <v>8.631129118898305E-2</v>
      </c>
      <c r="AD97" s="203">
        <f t="shared" si="26"/>
        <v>1860.1571376936004</v>
      </c>
      <c r="AE97" s="912">
        <f t="shared" si="27"/>
        <v>2157.7822797245763</v>
      </c>
      <c r="AF97" s="923" cm="1">
        <f t="array" ref="AF97">IF(O97="Quantum",IFERROR(_xlfn.LET(_xlpm.b,_xlfn.SWITCH(LOWER(B97),"zipper bag","Zipper pouch","open bag","Open pouch","sup with zipper","Stand-up pouch","stand-up pouch","Stand-up pouch",B97),_xlpm.w,G97,_xlpm.q,K97,_xlpm.types,'Converting-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missing"),IFERROR(_xlfn.LET(_xlpm.s,O97,_xlpm.b,_xlfn.SWITCH(LOWER(B97),"zipper bag","Zipper pouch","open bag","Open pouch",B97),_xlpm.w,G97,_xlpm.q,K97,_xlpm.src,'Converting-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97" s="923">
        <f>IFERROR(IF(OR(B97="Zipper pouch",B97="SUP with zipper"),HELPER!$DE$2*(AH97+AI97)/K97,HELPER!$DE$2*AH97/K97),"Data is missing")</f>
        <v>3.7495133669984758E-3</v>
      </c>
      <c r="AH97" s="923">
        <f t="shared" si="28"/>
        <v>0.14182972362493648</v>
      </c>
      <c r="AI97" s="923">
        <f>IF(OR(B97="Zipper pouch",B97="SUP with zipper"),HELPER!$DC$2*G97/1000,"")</f>
        <v>1.4399999999999998E-2</v>
      </c>
      <c r="AJ97" s="923" cm="1">
        <f t="array" ref="AJ97">IF(INDEX('Laminates- copilot'!$E$6:$E$257,ROUNDUP((ROW()-5)/3,0))+50&gt;IF(O97="Quantum",760,1220),"Width exceeds supplier maximum",IFERROR(AF97+AG97+N(AI97)+AH97*G97/1000/MAX(1,MIN(MAX(2,INT(900/INDEX('Laminates- copilot'!$E$6:$E$257,ROUNDUP((ROW()-5)/3,0)))),INT((IF(O97="Quantum",760,1220)-50)/INDEX('Laminates- copilot'!$E$6:$E$257,ROUNDUP((ROW()-5)/3,0))))),"Data is missing"))</f>
        <v>5.5804714130808016E-2</v>
      </c>
      <c r="AK97" s="203">
        <f t="shared" si="29"/>
        <v>74.406285507744016</v>
      </c>
      <c r="AL97" t="str">
        <f t="shared" si="30"/>
        <v>PASS</v>
      </c>
      <c r="AM97" s="50" t="str">
        <f t="shared" si="31"/>
        <v/>
      </c>
    </row>
    <row r="98" spans="1:39" hidden="1">
      <c r="A98" t="s">
        <v>1726</v>
      </c>
      <c r="B98" t="s">
        <v>262</v>
      </c>
      <c r="C98" s="50" t="s">
        <v>2203</v>
      </c>
      <c r="D98">
        <f>'Laminates- copilot'!B36</f>
        <v>608</v>
      </c>
      <c r="E98" s="858">
        <f>'Laminates- copilot'!D36</f>
        <v>100</v>
      </c>
      <c r="F98" s="858">
        <v>100</v>
      </c>
      <c r="G98" s="858">
        <v>100</v>
      </c>
      <c r="H98" s="858">
        <v>0</v>
      </c>
      <c r="I98" s="858">
        <v>0</v>
      </c>
      <c r="J98" s="858">
        <v>200</v>
      </c>
      <c r="K98" s="858">
        <v>25000</v>
      </c>
      <c r="L98" s="858" t="str">
        <f>'Laminates- copilot'!K36</f>
        <v>Not Printed</v>
      </c>
      <c r="M98" s="858" t="str">
        <f>'Laminates- copilot'!L36</f>
        <v>0</v>
      </c>
      <c r="N98" s="858">
        <f>'Laminates- copilot'!M36</f>
        <v>1</v>
      </c>
      <c r="O98" s="858" t="str">
        <f>'Laminates- copilot'!O36</f>
        <v>Marma</v>
      </c>
      <c r="P98" s="858" t="str">
        <f>'Laminates- copilot'!N36</f>
        <v>Europe to Europe</v>
      </c>
      <c r="Q98" s="858">
        <f t="shared" si="16"/>
        <v>2500</v>
      </c>
      <c r="R98" s="858">
        <f t="shared" si="17"/>
        <v>2500</v>
      </c>
      <c r="S98" s="858">
        <f>IFERROR('Laminates- copilot'!Q36/'Laminates- copilot'!P36*Q98,"")</f>
        <v>38.811</v>
      </c>
      <c r="T98" s="203">
        <f>IFERROR('Laminates- copilot'!R36/'Laminates- copilot'!P36*Q98,"")</f>
        <v>354.57430906234123</v>
      </c>
      <c r="U98" s="912">
        <f>IFERROR('Laminates- copilot'!S36/'Laminates- copilot'!P36*Q98,"")</f>
        <v>411.3061985123158</v>
      </c>
      <c r="V98" s="913">
        <f t="shared" si="18"/>
        <v>9.135923038889521</v>
      </c>
      <c r="W98" s="914">
        <f t="shared" si="19"/>
        <v>10.597670725111845</v>
      </c>
      <c r="X98" s="913">
        <f t="shared" si="20"/>
        <v>0.14182972362493648</v>
      </c>
      <c r="Y98" s="913">
        <f t="shared" si="21"/>
        <v>9.135923038889521</v>
      </c>
      <c r="Z98" s="95">
        <f t="shared" si="22"/>
        <v>322074</v>
      </c>
      <c r="AA98" s="50" t="str">
        <f t="shared" si="23"/>
        <v>Below MOQ by 297,074 bags</v>
      </c>
      <c r="AB98" s="923">
        <f t="shared" si="24"/>
        <v>5.0974881159878409E-2</v>
      </c>
      <c r="AC98" s="924">
        <f t="shared" si="25"/>
        <v>5.913086214545895E-2</v>
      </c>
      <c r="AD98" s="203">
        <f t="shared" si="26"/>
        <v>1274.3720289969601</v>
      </c>
      <c r="AE98" s="912">
        <f t="shared" si="27"/>
        <v>1478.2715536364738</v>
      </c>
      <c r="AF98" s="923" cm="1">
        <f t="array" ref="AF98">IF(O98="Quantum",IFERROR(_xlfn.LET(_xlpm.b,_xlfn.SWITCH(LOWER(B98),"zipper bag","Zipper pouch","open bag","Open pouch","sup with zipper","Stand-up pouch","stand-up pouch","Stand-up pouch",B98),_xlpm.w,G98,_xlpm.q,K98,_xlpm.types,'Converting-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missing"),IFERROR(_xlfn.LET(_xlpm.s,O98,_xlpm.b,_xlfn.SWITCH(LOWER(B98),"zipper bag","Zipper pouch","open bag","Open pouch",B98),_xlpm.w,G98,_xlpm.q,K98,_xlpm.src,'Converting-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98" s="923">
        <f>IFERROR(IF(OR(B98="Zipper pouch",B98="SUP with zipper"),HELPER!$DE$2*(AH98+AI98)/K98,HELPER!$DE$2*AH98/K98),"Data is missing")</f>
        <v>3.4039133669984756E-3</v>
      </c>
      <c r="AH98" s="923">
        <f t="shared" si="28"/>
        <v>0.14182972362493648</v>
      </c>
      <c r="AI98" s="923" t="str">
        <f>IF(OR(B98="Zipper pouch",B98="SUP with zipper"),HELPER!$DC$2*G98/1000,"")</f>
        <v/>
      </c>
      <c r="AJ98" s="923" cm="1">
        <f t="array" ref="AJ98">IF(INDEX('Laminates- copilot'!$E$6:$E$257,ROUNDUP((ROW()-5)/3,0))+50&gt;IF(O98="Quantum",760,1220),"Width exceeds supplier maximum",IFERROR(AF98+AG98+N(AI98)+AH98*G98/1000/MAX(1,MIN(MAX(2,INT(900/INDEX('Laminates- copilot'!$E$6:$E$257,ROUNDUP((ROW()-5)/3,0)))),INT((IF(O98="Quantum",760,1220)-50)/INDEX('Laminates- copilot'!$E$6:$E$257,ROUNDUP((ROW()-5)/3,0))))),"Data is missing"))</f>
        <v>3.8231160869908805E-2</v>
      </c>
      <c r="AK98" s="203">
        <f t="shared" si="29"/>
        <v>50.974881159878407</v>
      </c>
      <c r="AL98" t="str">
        <f t="shared" si="30"/>
        <v>PASS</v>
      </c>
      <c r="AM98" s="50" t="str">
        <f t="shared" si="31"/>
        <v/>
      </c>
    </row>
    <row r="99" spans="1:39" hidden="1">
      <c r="A99" t="s">
        <v>1727</v>
      </c>
      <c r="B99" t="s">
        <v>251</v>
      </c>
      <c r="C99" s="50" t="s">
        <v>2204</v>
      </c>
      <c r="D99">
        <f>'Laminates- copilot'!B37</f>
        <v>608</v>
      </c>
      <c r="E99" s="858">
        <f>'Laminates- copilot'!D37</f>
        <v>100</v>
      </c>
      <c r="F99" s="858">
        <v>150</v>
      </c>
      <c r="G99" s="858">
        <v>150</v>
      </c>
      <c r="H99" s="858">
        <v>25</v>
      </c>
      <c r="I99" s="858">
        <v>0</v>
      </c>
      <c r="J99" s="858">
        <v>350</v>
      </c>
      <c r="K99" s="858">
        <v>25000</v>
      </c>
      <c r="L99" s="858" t="str">
        <f>'Laminates- copilot'!K37</f>
        <v>Printed</v>
      </c>
      <c r="M99" s="858" t="str">
        <f>'Laminates- copilot'!L37</f>
        <v>1-2</v>
      </c>
      <c r="N99" s="858">
        <f>'Laminates- copilot'!M37</f>
        <v>1</v>
      </c>
      <c r="O99" s="858" t="str">
        <f>'Laminates- copilot'!O37</f>
        <v>Bastin</v>
      </c>
      <c r="P99" s="858" t="str">
        <f>'Laminates- copilot'!N37</f>
        <v>Europe to US</v>
      </c>
      <c r="Q99" s="858">
        <f t="shared" si="16"/>
        <v>3750</v>
      </c>
      <c r="R99" s="858">
        <f t="shared" si="17"/>
        <v>3750</v>
      </c>
      <c r="S99" s="858">
        <f>IFERROR('Laminates- copilot'!Q37/'Laminates- copilot'!P37*Q99,"")</f>
        <v>58.216499999999996</v>
      </c>
      <c r="T99" s="203">
        <f>IFERROR('Laminates- copilot'!R37/'Laminates- copilot'!P37*Q99,"")</f>
        <v>12007.34461947857</v>
      </c>
      <c r="U99" s="912">
        <f>IFERROR('Laminates- copilot'!S37/'Laminates- copilot'!P37*Q99,"")</f>
        <v>13928.519758595139</v>
      </c>
      <c r="V99" s="913">
        <f t="shared" si="18"/>
        <v>206.25328935058911</v>
      </c>
      <c r="W99" s="914">
        <f t="shared" si="19"/>
        <v>239.25381564668334</v>
      </c>
      <c r="X99" s="913">
        <f t="shared" si="20"/>
        <v>3.2019585651942855</v>
      </c>
      <c r="Y99" s="913">
        <f t="shared" si="21"/>
        <v>206.25328935058911</v>
      </c>
      <c r="Z99" s="95">
        <f t="shared" si="22"/>
        <v>214716</v>
      </c>
      <c r="AA99" s="50" t="str">
        <f t="shared" si="23"/>
        <v>Below MOQ by 189,716 bags</v>
      </c>
      <c r="AB99" s="923">
        <f t="shared" si="24"/>
        <v>0.29871862132250765</v>
      </c>
      <c r="AC99" s="924">
        <f t="shared" si="25"/>
        <v>0.34651360073410886</v>
      </c>
      <c r="AD99" s="203">
        <f t="shared" si="26"/>
        <v>7467.9655330626911</v>
      </c>
      <c r="AE99" s="912">
        <f t="shared" si="27"/>
        <v>8662.840018352721</v>
      </c>
      <c r="AF99" s="923" cm="1">
        <f t="array" ref="AF99">IF(O99="Quantum",IFERROR(_xlfn.LET(_xlpm.b,_xlfn.SWITCH(LOWER(B99),"zipper bag","Zipper pouch","open bag","Open pouch","sup with zipper","Stand-up pouch","stand-up pouch","Stand-up pouch",B99),_xlpm.w,G99,_xlpm.q,K99,_xlpm.types,'Converting-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missing"),IFERROR(_xlfn.LET(_xlpm.s,O99,_xlpm.b,_xlfn.SWITCH(LOWER(B99),"zipper bag","Zipper pouch","open bag","Open pouch",B99),_xlpm.w,G99,_xlpm.q,K99,_xlpm.src,'Converting-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99" s="923">
        <f>IFERROR(IF(OR(B99="Zipper pouch",B99="SUP with zipper"),HELPER!$DE$2*(AH99+AI99)/K99,HELPER!$DE$2*AH99/K99),"Data is missing")</f>
        <v>7.7365405564662856E-2</v>
      </c>
      <c r="AH99" s="923">
        <f t="shared" si="28"/>
        <v>3.2019585651942855</v>
      </c>
      <c r="AI99" s="923">
        <f>IF(OR(B99="Zipper pouch",B99="SUP with zipper"),HELPER!$DC$2*G99/1000,"")</f>
        <v>2.1599999999999998E-2</v>
      </c>
      <c r="AJ99" s="923" cm="1">
        <f t="array" ref="AJ99">IF(INDEX('Laminates- copilot'!$E$6:$E$257,ROUNDUP((ROW()-5)/3,0))+50&gt;IF(O99="Quantum",760,1220),"Width exceeds supplier maximum",IFERROR(AF99+AG99+N(AI99)+AH99*G99/1000/MAX(1,MIN(MAX(2,INT(900/INDEX('Laminates- copilot'!$E$6:$E$257,ROUNDUP((ROW()-5)/3,0)))),INT((IF(O99="Quantum",760,1220)-50)/INDEX('Laminates- copilot'!$E$6:$E$257,ROUNDUP((ROW()-5)/3,0))))),"Data is missing"))</f>
        <v>0.22403896599188072</v>
      </c>
      <c r="AK99" s="203">
        <f t="shared" si="29"/>
        <v>298.71862132250766</v>
      </c>
      <c r="AL99" t="str">
        <f t="shared" si="30"/>
        <v>PASS</v>
      </c>
      <c r="AM99" s="50" t="str">
        <f t="shared" si="31"/>
        <v/>
      </c>
    </row>
    <row r="100" spans="1:39" hidden="1">
      <c r="A100" t="s">
        <v>1728</v>
      </c>
      <c r="B100" t="s">
        <v>261</v>
      </c>
      <c r="C100" s="50" t="s">
        <v>2204</v>
      </c>
      <c r="D100">
        <f>'Laminates- copilot'!B37</f>
        <v>608</v>
      </c>
      <c r="E100" s="858">
        <f>'Laminates- copilot'!D37</f>
        <v>100</v>
      </c>
      <c r="F100" s="858">
        <v>150</v>
      </c>
      <c r="G100" s="858">
        <v>150</v>
      </c>
      <c r="H100" s="858">
        <v>25</v>
      </c>
      <c r="I100" s="858">
        <v>0</v>
      </c>
      <c r="J100" s="858">
        <v>350</v>
      </c>
      <c r="K100" s="858">
        <v>25000</v>
      </c>
      <c r="L100" s="858" t="str">
        <f>'Laminates- copilot'!K37</f>
        <v>Printed</v>
      </c>
      <c r="M100" s="858" t="str">
        <f>'Laminates- copilot'!L37</f>
        <v>1-2</v>
      </c>
      <c r="N100" s="858">
        <f>'Laminates- copilot'!M37</f>
        <v>1</v>
      </c>
      <c r="O100" s="858" t="str">
        <f>'Laminates- copilot'!O37</f>
        <v>Bastin</v>
      </c>
      <c r="P100" s="858" t="str">
        <f>'Laminates- copilot'!N37</f>
        <v>Europe to US</v>
      </c>
      <c r="Q100" s="858">
        <f t="shared" si="16"/>
        <v>3750</v>
      </c>
      <c r="R100" s="858">
        <f t="shared" si="17"/>
        <v>3750</v>
      </c>
      <c r="S100" s="858">
        <f>IFERROR('Laminates- copilot'!Q37/'Laminates- copilot'!P37*Q100,"")</f>
        <v>58.216499999999996</v>
      </c>
      <c r="T100" s="203">
        <f>IFERROR('Laminates- copilot'!R37/'Laminates- copilot'!P37*Q100,"")</f>
        <v>12007.34461947857</v>
      </c>
      <c r="U100" s="912">
        <f>IFERROR('Laminates- copilot'!S37/'Laminates- copilot'!P37*Q100,"")</f>
        <v>13928.519758595139</v>
      </c>
      <c r="V100" s="913">
        <f t="shared" si="18"/>
        <v>206.25328935058911</v>
      </c>
      <c r="W100" s="914">
        <f t="shared" si="19"/>
        <v>239.25381564668334</v>
      </c>
      <c r="X100" s="913">
        <f t="shared" si="20"/>
        <v>3.2019585651942855</v>
      </c>
      <c r="Y100" s="913">
        <f t="shared" si="21"/>
        <v>206.25328935058911</v>
      </c>
      <c r="Z100" s="95">
        <f t="shared" si="22"/>
        <v>214716</v>
      </c>
      <c r="AA100" s="50" t="str">
        <f t="shared" si="23"/>
        <v>Below MOQ by 189,716 bags</v>
      </c>
      <c r="AB100" s="923">
        <f t="shared" si="24"/>
        <v>0.29355321112295107</v>
      </c>
      <c r="AC100" s="924">
        <f t="shared" si="25"/>
        <v>0.34052172490262322</v>
      </c>
      <c r="AD100" s="203">
        <f t="shared" si="26"/>
        <v>7338.8302780737768</v>
      </c>
      <c r="AE100" s="912">
        <f t="shared" si="27"/>
        <v>8513.0431225655811</v>
      </c>
      <c r="AF100" s="923" cm="1">
        <f t="array" ref="AF100">IF(O100="Quantum",IFERROR(_xlfn.LET(_xlpm.b,_xlfn.SWITCH(LOWER(B100),"zipper bag","Zipper pouch","open bag","Open pouch","sup with zipper","Stand-up pouch","stand-up pouch","Stand-up pouch",B100),_xlpm.w,G100,_xlpm.q,K100,_xlpm.types,'Converting-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missing"),IFERROR(_xlfn.LET(_xlpm.s,O100,_xlpm.b,_xlfn.SWITCH(LOWER(B100),"zipper bag","Zipper pouch","open bag","Open pouch",B100),_xlpm.w,G100,_xlpm.q,K100,_xlpm.src,'Converting-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00" s="923">
        <f>IFERROR(IF(OR(B100="Zipper pouch",B100="SUP with zipper"),HELPER!$DE$2*(AH100+AI100)/K100,HELPER!$DE$2*AH100/K100),"Data is missing")</f>
        <v>7.7365405564662856E-2</v>
      </c>
      <c r="AH100" s="923">
        <f t="shared" si="28"/>
        <v>3.2019585651942855</v>
      </c>
      <c r="AI100" s="923">
        <f>IF(OR(B100="Zipper pouch",B100="SUP with zipper"),HELPER!$DC$2*G100/1000,"")</f>
        <v>2.1599999999999998E-2</v>
      </c>
      <c r="AJ100" s="923" cm="1">
        <f t="array" ref="AJ100">IF(INDEX('Laminates- copilot'!$E$6:$E$257,ROUNDUP((ROW()-5)/3,0))+50&gt;IF(O100="Quantum",760,1220),"Width exceeds supplier maximum",IFERROR(AF100+AG100+N(AI100)+AH100*G100/1000/MAX(1,MIN(MAX(2,INT(900/INDEX('Laminates- copilot'!$E$6:$E$257,ROUNDUP((ROW()-5)/3,0)))),INT((IF(O100="Quantum",760,1220)-50)/INDEX('Laminates- copilot'!$E$6:$E$257,ROUNDUP((ROW()-5)/3,0))))),"Data is missing"))</f>
        <v>0.22016490834221331</v>
      </c>
      <c r="AK100" s="203">
        <f t="shared" si="29"/>
        <v>293.5532111229511</v>
      </c>
      <c r="AL100" t="str">
        <f t="shared" si="30"/>
        <v>PASS</v>
      </c>
      <c r="AM100" s="50" t="str">
        <f t="shared" si="31"/>
        <v/>
      </c>
    </row>
    <row r="101" spans="1:39" hidden="1">
      <c r="A101" t="s">
        <v>1729</v>
      </c>
      <c r="B101" t="s">
        <v>262</v>
      </c>
      <c r="C101" s="50" t="s">
        <v>2204</v>
      </c>
      <c r="D101">
        <f>'Laminates- copilot'!B37</f>
        <v>608</v>
      </c>
      <c r="E101" s="858">
        <f>'Laminates- copilot'!D37</f>
        <v>100</v>
      </c>
      <c r="F101" s="858">
        <v>150</v>
      </c>
      <c r="G101" s="858">
        <v>150</v>
      </c>
      <c r="H101" s="858">
        <v>0</v>
      </c>
      <c r="I101" s="858">
        <v>0</v>
      </c>
      <c r="J101" s="858">
        <v>300</v>
      </c>
      <c r="K101" s="858">
        <v>25000</v>
      </c>
      <c r="L101" s="858" t="str">
        <f>'Laminates- copilot'!K37</f>
        <v>Printed</v>
      </c>
      <c r="M101" s="858" t="str">
        <f>'Laminates- copilot'!L37</f>
        <v>1-2</v>
      </c>
      <c r="N101" s="858">
        <f>'Laminates- copilot'!M37</f>
        <v>1</v>
      </c>
      <c r="O101" s="858" t="str">
        <f>'Laminates- copilot'!O37</f>
        <v>Bastin</v>
      </c>
      <c r="P101" s="858" t="str">
        <f>'Laminates- copilot'!N37</f>
        <v>Europe to US</v>
      </c>
      <c r="Q101" s="858">
        <f t="shared" si="16"/>
        <v>3750</v>
      </c>
      <c r="R101" s="858">
        <f t="shared" si="17"/>
        <v>3750</v>
      </c>
      <c r="S101" s="858">
        <f>IFERROR('Laminates- copilot'!Q37/'Laminates- copilot'!P37*Q101,"")</f>
        <v>58.216499999999996</v>
      </c>
      <c r="T101" s="203">
        <f>IFERROR('Laminates- copilot'!R37/'Laminates- copilot'!P37*Q101,"")</f>
        <v>12007.34461947857</v>
      </c>
      <c r="U101" s="912">
        <f>IFERROR('Laminates- copilot'!S37/'Laminates- copilot'!P37*Q101,"")</f>
        <v>13928.519758595139</v>
      </c>
      <c r="V101" s="913">
        <f t="shared" si="18"/>
        <v>206.25328935058911</v>
      </c>
      <c r="W101" s="914">
        <f t="shared" si="19"/>
        <v>239.25381564668334</v>
      </c>
      <c r="X101" s="913">
        <f t="shared" si="20"/>
        <v>3.2019585651942855</v>
      </c>
      <c r="Y101" s="913">
        <f t="shared" si="21"/>
        <v>206.25328935058911</v>
      </c>
      <c r="Z101" s="95">
        <f t="shared" si="22"/>
        <v>214716</v>
      </c>
      <c r="AA101" s="50" t="str">
        <f t="shared" si="23"/>
        <v>Below MOQ by 189,716 bags</v>
      </c>
      <c r="AB101" s="923">
        <f t="shared" si="24"/>
        <v>0.25822797228669492</v>
      </c>
      <c r="AC101" s="924">
        <f t="shared" si="25"/>
        <v>0.29954444785256606</v>
      </c>
      <c r="AD101" s="203">
        <f t="shared" si="26"/>
        <v>6455.6993071673733</v>
      </c>
      <c r="AE101" s="912">
        <f t="shared" si="27"/>
        <v>7488.611196314152</v>
      </c>
      <c r="AF101" s="923" cm="1">
        <f t="array" ref="AF101">IF(O101="Quantum",IFERROR(_xlfn.LET(_xlpm.b,_xlfn.SWITCH(LOWER(B101),"zipper bag","Zipper pouch","open bag","Open pouch","sup with zipper","Stand-up pouch","stand-up pouch","Stand-up pouch",B101),_xlpm.w,G101,_xlpm.q,K101,_xlpm.types,'Converting-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missing"),IFERROR(_xlfn.LET(_xlpm.s,O101,_xlpm.b,_xlfn.SWITCH(LOWER(B101),"zipper bag","Zipper pouch","open bag","Open pouch",B101),_xlpm.w,G101,_xlpm.q,K101,_xlpm.src,'Converting-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01" s="923">
        <f>IFERROR(IF(OR(B101="Zipper pouch",B101="SUP with zipper"),HELPER!$DE$2*(AH101+AI101)/K101,HELPER!$DE$2*AH101/K101),"Data is missing")</f>
        <v>7.6847005564662854E-2</v>
      </c>
      <c r="AH101" s="923">
        <f t="shared" si="28"/>
        <v>3.2019585651942855</v>
      </c>
      <c r="AI101" s="923" t="str">
        <f>IF(OR(B101="Zipper pouch",B101="SUP with zipper"),HELPER!$DC$2*G101/1000,"")</f>
        <v/>
      </c>
      <c r="AJ101" s="923" cm="1">
        <f t="array" ref="AJ101">IF(INDEX('Laminates- copilot'!$E$6:$E$257,ROUNDUP((ROW()-5)/3,0))+50&gt;IF(O101="Quantum",760,1220),"Width exceeds supplier maximum",IFERROR(AF101+AG101+N(AI101)+AH101*G101/1000/MAX(1,MIN(MAX(2,INT(900/INDEX('Laminates- copilot'!$E$6:$E$257,ROUNDUP((ROW()-5)/3,0)))),INT((IF(O101="Quantum",760,1220)-50)/INDEX('Laminates- copilot'!$E$6:$E$257,ROUNDUP((ROW()-5)/3,0))))),"Data is missing"))</f>
        <v>0.19367097921502119</v>
      </c>
      <c r="AK101" s="203">
        <f t="shared" si="29"/>
        <v>258.22797228669492</v>
      </c>
      <c r="AL101" t="str">
        <f t="shared" si="30"/>
        <v>PASS</v>
      </c>
      <c r="AM101" s="50" t="str">
        <f t="shared" si="31"/>
        <v/>
      </c>
    </row>
    <row r="102" spans="1:39" hidden="1">
      <c r="A102" t="s">
        <v>1730</v>
      </c>
      <c r="B102" t="s">
        <v>251</v>
      </c>
      <c r="C102" s="50" t="s">
        <v>2205</v>
      </c>
      <c r="D102">
        <f>'Laminates- copilot'!B38</f>
        <v>608</v>
      </c>
      <c r="E102" s="858">
        <f>'Laminates- copilot'!D38</f>
        <v>100</v>
      </c>
      <c r="F102" s="858">
        <v>250</v>
      </c>
      <c r="G102" s="858">
        <v>200</v>
      </c>
      <c r="H102" s="858">
        <v>40</v>
      </c>
      <c r="I102" s="858">
        <v>0</v>
      </c>
      <c r="J102" s="858">
        <v>580</v>
      </c>
      <c r="K102" s="858">
        <v>50000</v>
      </c>
      <c r="L102" s="858" t="str">
        <f>'Laminates- copilot'!K38</f>
        <v>Printed</v>
      </c>
      <c r="M102" s="858" t="str">
        <f>'Laminates- copilot'!L38</f>
        <v>3-4</v>
      </c>
      <c r="N102" s="858">
        <f>'Laminates- copilot'!M38</f>
        <v>4</v>
      </c>
      <c r="O102" s="858" t="str">
        <f>'Laminates- copilot'!O38</f>
        <v>Quantum</v>
      </c>
      <c r="P102" s="858" t="str">
        <f>'Laminates- copilot'!N38</f>
        <v>Europe to Europe</v>
      </c>
      <c r="Q102" s="858">
        <f t="shared" si="16"/>
        <v>10000</v>
      </c>
      <c r="R102" s="858">
        <f t="shared" si="17"/>
        <v>10000</v>
      </c>
      <c r="S102" s="858">
        <f>IFERROR('Laminates- copilot'!Q38/'Laminates- copilot'!P38*Q102,"")</f>
        <v>452.79500000000002</v>
      </c>
      <c r="T102" s="203">
        <f>IFERROR('Laminates- copilot'!R38/'Laminates- copilot'!P38*Q102,"")</f>
        <v>8149.9652569106247</v>
      </c>
      <c r="U102" s="912">
        <f>IFERROR('Laminates- copilot'!S38/'Laminates- copilot'!P38*Q102,"")</f>
        <v>9453.9596980163242</v>
      </c>
      <c r="V102" s="913">
        <f t="shared" si="18"/>
        <v>17.99923863317975</v>
      </c>
      <c r="W102" s="914">
        <f t="shared" si="19"/>
        <v>20.879116814488508</v>
      </c>
      <c r="X102" s="913">
        <f t="shared" si="20"/>
        <v>0.81499652569106251</v>
      </c>
      <c r="Y102" s="913">
        <f t="shared" si="21"/>
        <v>17.99923863317975</v>
      </c>
      <c r="Z102" s="95">
        <f t="shared" si="22"/>
        <v>55213</v>
      </c>
      <c r="AA102" s="50" t="str">
        <f t="shared" si="23"/>
        <v>Below MOQ by 5,213 bags</v>
      </c>
      <c r="AB102" s="923">
        <f t="shared" si="24"/>
        <v>0.31626440774855125</v>
      </c>
      <c r="AC102" s="924">
        <f t="shared" si="25"/>
        <v>0.36686671298831941</v>
      </c>
      <c r="AD102" s="203">
        <f t="shared" si="26"/>
        <v>15813.220387427562</v>
      </c>
      <c r="AE102" s="912">
        <f t="shared" si="27"/>
        <v>18343.335649415971</v>
      </c>
      <c r="AF102" s="923" cm="1">
        <f t="array" ref="AF102">IF(O102="Quantum",IFERROR(_xlfn.LET(_xlpm.b,_xlfn.SWITCH(LOWER(B102),"zipper bag","Zipper pouch","open bag","Open pouch","sup with zipper","Stand-up pouch","stand-up pouch","Stand-up pouch",B102),_xlpm.w,G102,_xlpm.q,K102,_xlpm.types,'Converting-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missing"),IFERROR(_xlfn.LET(_xlpm.s,O102,_xlpm.b,_xlfn.SWITCH(LOWER(B102),"zipper bag","Zipper pouch","open bag","Open pouch",B102),_xlpm.w,G102,_xlpm.q,K102,_xlpm.src,'Converting-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102" s="923">
        <f>IFERROR(IF(OR(B102="Zipper pouch",B102="SUP with zipper"),HELPER!$DE$2*(AH102+AI102)/K102,HELPER!$DE$2*AH102/K102),"Data is missing")</f>
        <v>1.012555830829275E-2</v>
      </c>
      <c r="AH102" s="923">
        <f t="shared" si="28"/>
        <v>0.81499652569106251</v>
      </c>
      <c r="AI102" s="923">
        <f>IF(OR(B102="Zipper pouch",B102="SUP with zipper"),HELPER!$DC$2*G102/1000,"")</f>
        <v>2.8799999999999996E-2</v>
      </c>
      <c r="AJ102" s="923" cm="1">
        <f t="array" ref="AJ102">IF(INDEX('Laminates- copilot'!$E$6:$E$257,ROUNDUP((ROW()-5)/3,0))+50&gt;IF(O102="Quantum",760,1220),"Width exceeds supplier maximum",IFERROR(AF102+AG102+N(AI102)+AH102*G102/1000/MAX(1,MIN(MAX(2,INT(900/INDEX('Laminates- copilot'!$E$6:$E$257,ROUNDUP((ROW()-5)/3,0)))),INT((IF(O102="Quantum",760,1220)-50)/INDEX('Laminates- copilot'!$E$6:$E$257,ROUNDUP((ROW()-5)/3,0))))),"Data is missing"))</f>
        <v>0.23719830581141343</v>
      </c>
      <c r="AK102" s="203">
        <f t="shared" si="29"/>
        <v>316.26440774855126</v>
      </c>
      <c r="AL102" t="str">
        <f t="shared" si="30"/>
        <v>PASS</v>
      </c>
      <c r="AM102" s="50" t="str">
        <f t="shared" si="31"/>
        <v/>
      </c>
    </row>
    <row r="103" spans="1:39" hidden="1">
      <c r="A103" t="s">
        <v>1731</v>
      </c>
      <c r="B103" t="s">
        <v>261</v>
      </c>
      <c r="C103" s="50" t="s">
        <v>2205</v>
      </c>
      <c r="D103">
        <f>'Laminates- copilot'!B38</f>
        <v>608</v>
      </c>
      <c r="E103" s="858">
        <f>'Laminates- copilot'!D38</f>
        <v>100</v>
      </c>
      <c r="F103" s="858">
        <v>250</v>
      </c>
      <c r="G103" s="858">
        <v>200</v>
      </c>
      <c r="H103" s="858">
        <v>40</v>
      </c>
      <c r="I103" s="858">
        <v>0</v>
      </c>
      <c r="J103" s="858">
        <v>580</v>
      </c>
      <c r="K103" s="858">
        <v>50000</v>
      </c>
      <c r="L103" s="858" t="str">
        <f>'Laminates- copilot'!K38</f>
        <v>Printed</v>
      </c>
      <c r="M103" s="858" t="str">
        <f>'Laminates- copilot'!L38</f>
        <v>3-4</v>
      </c>
      <c r="N103" s="858">
        <f>'Laminates- copilot'!M38</f>
        <v>4</v>
      </c>
      <c r="O103" s="858" t="str">
        <f>'Laminates- copilot'!O38</f>
        <v>Quantum</v>
      </c>
      <c r="P103" s="858" t="str">
        <f>'Laminates- copilot'!N38</f>
        <v>Europe to Europe</v>
      </c>
      <c r="Q103" s="858">
        <f t="shared" si="16"/>
        <v>10000</v>
      </c>
      <c r="R103" s="858">
        <f t="shared" si="17"/>
        <v>10000</v>
      </c>
      <c r="S103" s="858">
        <f>IFERROR('Laminates- copilot'!Q38/'Laminates- copilot'!P38*Q103,"")</f>
        <v>452.79500000000002</v>
      </c>
      <c r="T103" s="203">
        <f>IFERROR('Laminates- copilot'!R38/'Laminates- copilot'!P38*Q103,"")</f>
        <v>8149.9652569106247</v>
      </c>
      <c r="U103" s="912">
        <f>IFERROR('Laminates- copilot'!S38/'Laminates- copilot'!P38*Q103,"")</f>
        <v>9453.9596980163242</v>
      </c>
      <c r="V103" s="913">
        <f t="shared" si="18"/>
        <v>17.99923863317975</v>
      </c>
      <c r="W103" s="914">
        <f t="shared" si="19"/>
        <v>20.879116814488508</v>
      </c>
      <c r="X103" s="913">
        <f t="shared" si="20"/>
        <v>0.81499652569106251</v>
      </c>
      <c r="Y103" s="913">
        <f t="shared" si="21"/>
        <v>17.99923863317975</v>
      </c>
      <c r="Z103" s="95">
        <f t="shared" si="22"/>
        <v>55213</v>
      </c>
      <c r="AA103" s="50" t="str">
        <f t="shared" si="23"/>
        <v>Below MOQ by 5,213 bags</v>
      </c>
      <c r="AB103" s="923">
        <f t="shared" si="24"/>
        <v>0.30049725703035757</v>
      </c>
      <c r="AC103" s="924">
        <f t="shared" si="25"/>
        <v>0.34857681815521474</v>
      </c>
      <c r="AD103" s="203">
        <f t="shared" si="26"/>
        <v>15024.862851517879</v>
      </c>
      <c r="AE103" s="912">
        <f t="shared" si="27"/>
        <v>17428.840907760739</v>
      </c>
      <c r="AF103" s="923" cm="1">
        <f t="array" ref="AF103">IF(O103="Quantum",IFERROR(_xlfn.LET(_xlpm.b,_xlfn.SWITCH(LOWER(B103),"zipper bag","Zipper pouch","open bag","Open pouch","sup with zipper","Stand-up pouch","stand-up pouch","Stand-up pouch",B103),_xlpm.w,G103,_xlpm.q,K103,_xlpm.types,'Converting-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missing"),IFERROR(_xlfn.LET(_xlpm.s,O103,_xlpm.b,_xlfn.SWITCH(LOWER(B103),"zipper bag","Zipper pouch","open bag","Open pouch",B103),_xlpm.w,G103,_xlpm.q,K103,_xlpm.src,'Converting-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103" s="923">
        <f>IFERROR(IF(OR(B103="Zipper pouch",B103="SUP with zipper"),HELPER!$DE$2*(AH103+AI103)/K103,HELPER!$DE$2*AH103/K103),"Data is missing")</f>
        <v>1.012555830829275E-2</v>
      </c>
      <c r="AH103" s="923">
        <f t="shared" si="28"/>
        <v>0.81499652569106251</v>
      </c>
      <c r="AI103" s="923">
        <f>IF(OR(B103="Zipper pouch",B103="SUP with zipper"),HELPER!$DC$2*G103/1000,"")</f>
        <v>2.8799999999999996E-2</v>
      </c>
      <c r="AJ103" s="923" cm="1">
        <f t="array" ref="AJ103">IF(INDEX('Laminates- copilot'!$E$6:$E$257,ROUNDUP((ROW()-5)/3,0))+50&gt;IF(O103="Quantum",760,1220),"Width exceeds supplier maximum",IFERROR(AF103+AG103+N(AI103)+AH103*G103/1000/MAX(1,MIN(MAX(2,INT(900/INDEX('Laminates- copilot'!$E$6:$E$257,ROUNDUP((ROW()-5)/3,0)))),INT((IF(O103="Quantum",760,1220)-50)/INDEX('Laminates- copilot'!$E$6:$E$257,ROUNDUP((ROW()-5)/3,0))))),"Data is missing"))</f>
        <v>0.22537294277276818</v>
      </c>
      <c r="AK103" s="203">
        <f t="shared" si="29"/>
        <v>300.49725703035756</v>
      </c>
      <c r="AL103" t="str">
        <f t="shared" si="30"/>
        <v>PASS</v>
      </c>
      <c r="AM103" s="50" t="str">
        <f t="shared" si="31"/>
        <v/>
      </c>
    </row>
    <row r="104" spans="1:39" hidden="1">
      <c r="A104" t="s">
        <v>1732</v>
      </c>
      <c r="B104" t="s">
        <v>262</v>
      </c>
      <c r="C104" s="50" t="s">
        <v>2205</v>
      </c>
      <c r="D104">
        <f>'Laminates- copilot'!B38</f>
        <v>608</v>
      </c>
      <c r="E104" s="858">
        <f>'Laminates- copilot'!D38</f>
        <v>100</v>
      </c>
      <c r="F104" s="858">
        <v>250</v>
      </c>
      <c r="G104" s="858">
        <v>200</v>
      </c>
      <c r="H104" s="858">
        <v>0</v>
      </c>
      <c r="I104" s="858">
        <v>0</v>
      </c>
      <c r="J104" s="858">
        <v>500</v>
      </c>
      <c r="K104" s="858">
        <v>50000</v>
      </c>
      <c r="L104" s="858" t="str">
        <f>'Laminates- copilot'!K38</f>
        <v>Printed</v>
      </c>
      <c r="M104" s="858" t="str">
        <f>'Laminates- copilot'!L38</f>
        <v>3-4</v>
      </c>
      <c r="N104" s="858">
        <f>'Laminates- copilot'!M38</f>
        <v>4</v>
      </c>
      <c r="O104" s="858" t="str">
        <f>'Laminates- copilot'!O38</f>
        <v>Quantum</v>
      </c>
      <c r="P104" s="858" t="str">
        <f>'Laminates- copilot'!N38</f>
        <v>Europe to Europe</v>
      </c>
      <c r="Q104" s="858">
        <f t="shared" si="16"/>
        <v>10000</v>
      </c>
      <c r="R104" s="858">
        <f t="shared" si="17"/>
        <v>10000</v>
      </c>
      <c r="S104" s="858">
        <f>IFERROR('Laminates- copilot'!Q38/'Laminates- copilot'!P38*Q104,"")</f>
        <v>452.79500000000002</v>
      </c>
      <c r="T104" s="203">
        <f>IFERROR('Laminates- copilot'!R38/'Laminates- copilot'!P38*Q104,"")</f>
        <v>8149.9652569106247</v>
      </c>
      <c r="U104" s="912">
        <f>IFERROR('Laminates- copilot'!S38/'Laminates- copilot'!P38*Q104,"")</f>
        <v>9453.9596980163242</v>
      </c>
      <c r="V104" s="913">
        <f t="shared" si="18"/>
        <v>17.99923863317975</v>
      </c>
      <c r="W104" s="914">
        <f t="shared" si="19"/>
        <v>20.879116814488508</v>
      </c>
      <c r="X104" s="913">
        <f t="shared" si="20"/>
        <v>0.81499652569106251</v>
      </c>
      <c r="Y104" s="913">
        <f t="shared" si="21"/>
        <v>17.99923863317975</v>
      </c>
      <c r="Z104" s="95">
        <f t="shared" si="22"/>
        <v>55213</v>
      </c>
      <c r="AA104" s="50" t="str">
        <f t="shared" si="23"/>
        <v>Below MOQ by 5,213 bags</v>
      </c>
      <c r="AB104" s="923">
        <f t="shared" si="24"/>
        <v>0.2444250353063773</v>
      </c>
      <c r="AC104" s="924">
        <f t="shared" si="25"/>
        <v>0.28353304095539766</v>
      </c>
      <c r="AD104" s="203">
        <f t="shared" si="26"/>
        <v>12221.251765318864</v>
      </c>
      <c r="AE104" s="912">
        <f t="shared" si="27"/>
        <v>14176.652047769881</v>
      </c>
      <c r="AF104" s="923" cm="1">
        <f t="array" ref="AF104">IF(O104="Quantum",IFERROR(_xlfn.LET(_xlpm.b,_xlfn.SWITCH(LOWER(B104),"zipper bag","Zipper pouch","open bag","Open pouch","sup with zipper","Stand-up pouch","stand-up pouch","Stand-up pouch",B104),_xlpm.w,G104,_xlpm.q,K104,_xlpm.types,'Converting-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missing"),IFERROR(_xlfn.LET(_xlpm.s,O104,_xlpm.b,_xlfn.SWITCH(LOWER(B104),"zipper bag","Zipper pouch","open bag","Open pouch",B104),_xlpm.w,G104,_xlpm.q,K104,_xlpm.src,'Converting-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104" s="923">
        <f>IFERROR(IF(OR(B104="Zipper pouch",B104="SUP with zipper"),HELPER!$DE$2*(AH104+AI104)/K104,HELPER!$DE$2*AH104/K104),"Data is missing")</f>
        <v>9.7799583082927508E-3</v>
      </c>
      <c r="AH104" s="923">
        <f t="shared" si="28"/>
        <v>0.81499652569106251</v>
      </c>
      <c r="AI104" s="923" t="str">
        <f>IF(OR(B104="Zipper pouch",B104="SUP with zipper"),HELPER!$DC$2*G104/1000,"")</f>
        <v/>
      </c>
      <c r="AJ104" s="923" cm="1">
        <f t="array" ref="AJ104">IF(INDEX('Laminates- copilot'!$E$6:$E$257,ROUNDUP((ROW()-5)/3,0))+50&gt;IF(O104="Quantum",760,1220),"Width exceeds supplier maximum",IFERROR(AF104+AG104+N(AI104)+AH104*G104/1000/MAX(1,MIN(MAX(2,INT(900/INDEX('Laminates- copilot'!$E$6:$E$257,ROUNDUP((ROW()-5)/3,0)))),INT((IF(O104="Quantum",760,1220)-50)/INDEX('Laminates- copilot'!$E$6:$E$257,ROUNDUP((ROW()-5)/3,0))))),"Data is missing"))</f>
        <v>0.18331877647978298</v>
      </c>
      <c r="AK104" s="203">
        <f t="shared" si="29"/>
        <v>244.42503530637731</v>
      </c>
      <c r="AL104" t="str">
        <f t="shared" si="30"/>
        <v>PASS</v>
      </c>
      <c r="AM104" s="50" t="str">
        <f t="shared" si="31"/>
        <v/>
      </c>
    </row>
    <row r="105" spans="1:39">
      <c r="A105" t="s">
        <v>1733</v>
      </c>
      <c r="B105" t="s">
        <v>251</v>
      </c>
      <c r="C105" s="50" t="s">
        <v>2206</v>
      </c>
      <c r="D105">
        <f>'Laminates- copilot'!B39</f>
        <v>608</v>
      </c>
      <c r="E105" s="858">
        <f>'Laminates- copilot'!D39</f>
        <v>100</v>
      </c>
      <c r="F105" s="858">
        <v>300</v>
      </c>
      <c r="G105" s="858">
        <v>300</v>
      </c>
      <c r="H105" s="858">
        <v>50</v>
      </c>
      <c r="I105" s="858">
        <v>0</v>
      </c>
      <c r="J105" s="858">
        <v>700</v>
      </c>
      <c r="K105" s="858">
        <v>50000</v>
      </c>
      <c r="L105" s="858" t="str">
        <f>'Laminates- copilot'!K39</f>
        <v>Printed</v>
      </c>
      <c r="M105" s="858" t="str">
        <f>'Laminates- copilot'!L39</f>
        <v>5-8</v>
      </c>
      <c r="N105" s="858">
        <f>'Laminates- copilot'!M39</f>
        <v>8</v>
      </c>
      <c r="O105" s="858" t="str">
        <f>'Laminates- copilot'!O39</f>
        <v>Marma</v>
      </c>
      <c r="P105" s="858" t="str">
        <f>'Laminates- copilot'!N39</f>
        <v>Europe to US</v>
      </c>
      <c r="Q105" s="858">
        <f t="shared" si="16"/>
        <v>15000</v>
      </c>
      <c r="R105" s="858">
        <f t="shared" si="17"/>
        <v>15000</v>
      </c>
      <c r="S105" s="858">
        <f>IFERROR('Laminates- copilot'!Q39/'Laminates- copilot'!P39*Q105,"")</f>
        <v>1746.4949999999999</v>
      </c>
      <c r="T105" s="203">
        <f>IFERROR('Laminates- copilot'!R39/'Laminates- copilot'!P39*Q105,"")</f>
        <v>26058.169778999083</v>
      </c>
      <c r="U105" s="912">
        <f>IFERROR('Laminates- copilot'!S39/'Laminates- copilot'!P39*Q105,"")</f>
        <v>30227.47694363894</v>
      </c>
      <c r="V105" s="913">
        <f t="shared" si="18"/>
        <v>14.920265891971683</v>
      </c>
      <c r="W105" s="914">
        <f t="shared" si="19"/>
        <v>17.307508434687154</v>
      </c>
      <c r="X105" s="913">
        <f t="shared" si="20"/>
        <v>1.7372113185999389</v>
      </c>
      <c r="Y105" s="913">
        <f t="shared" si="21"/>
        <v>14.920265891971683</v>
      </c>
      <c r="Z105" s="95">
        <f t="shared" si="22"/>
        <v>14315</v>
      </c>
      <c r="AA105" s="50" t="str">
        <f t="shared" si="23"/>
        <v>MOQ OK</v>
      </c>
      <c r="AB105" s="923">
        <f t="shared" si="24"/>
        <v>0.85762597861568712</v>
      </c>
      <c r="AC105" s="924">
        <f t="shared" si="25"/>
        <v>0.99484613519419696</v>
      </c>
      <c r="AD105" s="203">
        <f t="shared" si="26"/>
        <v>42881.298930784353</v>
      </c>
      <c r="AE105" s="912">
        <f t="shared" si="27"/>
        <v>49742.306759709849</v>
      </c>
      <c r="AF105" s="923" cm="1">
        <f t="array" ref="AF105">IF(O105="Quantum",IFERROR(_xlfn.LET(_xlpm.b,_xlfn.SWITCH(LOWER(B105),"zipper bag","Zipper pouch","open bag","Open pouch","sup with zipper","Stand-up pouch","stand-up pouch","Stand-up pouch",B105),_xlpm.w,G105,_xlpm.q,K105,_xlpm.types,'Converting-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missing"),IFERROR(_xlfn.LET(_xlpm.s,O105,_xlpm.b,_xlfn.SWITCH(LOWER(B105),"zipper bag","Zipper pouch","open bag","Open pouch",B105),_xlpm.w,G105,_xlpm.q,K105,_xlpm.src,'Converting-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05" s="923">
        <f>IFERROR(IF(OR(B105="Zipper pouch",B105="SUP with zipper"),HELPER!$DE$2*(AH105+AI105)/K105,HELPER!$DE$2*AH105/K105),"Data is missing")</f>
        <v>2.1364935823199267E-2</v>
      </c>
      <c r="AH105" s="923">
        <f t="shared" si="28"/>
        <v>1.7372113185999389</v>
      </c>
      <c r="AI105" s="923">
        <f>IF(OR(B105="Zipper pouch",B105="SUP with zipper"),HELPER!$DC$2*G105/1000,"")</f>
        <v>4.3199999999999995E-2</v>
      </c>
      <c r="AJ105" s="923" cm="1">
        <f t="array" ref="AJ105">IF(INDEX('Laminates- copilot'!$E$6:$E$257,ROUNDUP((ROW()-5)/3,0))+50&gt;IF(O105="Quantum",760,1220),"Width exceeds supplier maximum",IFERROR(AF105+AG105+N(AI105)+AH105*G105/1000/MAX(1,MIN(MAX(2,INT(900/INDEX('Laminates- copilot'!$E$6:$E$257,ROUNDUP((ROW()-5)/3,0)))),INT((IF(O105="Quantum",760,1220)-50)/INDEX('Laminates- copilot'!$E$6:$E$257,ROUNDUP((ROW()-5)/3,0))))),"Data is missing"))</f>
        <v>0.64321948396176531</v>
      </c>
      <c r="AK105" s="203">
        <f t="shared" si="29"/>
        <v>857.62597861568713</v>
      </c>
      <c r="AL105" t="str">
        <f t="shared" si="30"/>
        <v>PASS</v>
      </c>
      <c r="AM105" s="50" t="str">
        <f t="shared" si="31"/>
        <v/>
      </c>
    </row>
    <row r="106" spans="1:39">
      <c r="A106" t="s">
        <v>1734</v>
      </c>
      <c r="B106" t="s">
        <v>261</v>
      </c>
      <c r="C106" s="50" t="s">
        <v>2206</v>
      </c>
      <c r="D106">
        <f>'Laminates- copilot'!B39</f>
        <v>608</v>
      </c>
      <c r="E106" s="858">
        <f>'Laminates- copilot'!D39</f>
        <v>100</v>
      </c>
      <c r="F106" s="858">
        <v>300</v>
      </c>
      <c r="G106" s="858">
        <v>300</v>
      </c>
      <c r="H106" s="858">
        <v>50</v>
      </c>
      <c r="I106" s="858">
        <v>0</v>
      </c>
      <c r="J106" s="858">
        <v>700</v>
      </c>
      <c r="K106" s="858">
        <v>50000</v>
      </c>
      <c r="L106" s="858" t="str">
        <f>'Laminates- copilot'!K39</f>
        <v>Printed</v>
      </c>
      <c r="M106" s="858" t="str">
        <f>'Laminates- copilot'!L39</f>
        <v>5-8</v>
      </c>
      <c r="N106" s="858">
        <f>'Laminates- copilot'!M39</f>
        <v>8</v>
      </c>
      <c r="O106" s="858" t="str">
        <f>'Laminates- copilot'!O39</f>
        <v>Marma</v>
      </c>
      <c r="P106" s="858" t="str">
        <f>'Laminates- copilot'!N39</f>
        <v>Europe to US</v>
      </c>
      <c r="Q106" s="858">
        <f t="shared" si="16"/>
        <v>15000</v>
      </c>
      <c r="R106" s="858">
        <f t="shared" si="17"/>
        <v>15000</v>
      </c>
      <c r="S106" s="858">
        <f>IFERROR('Laminates- copilot'!Q39/'Laminates- copilot'!P39*Q106,"")</f>
        <v>1746.4949999999999</v>
      </c>
      <c r="T106" s="203">
        <f>IFERROR('Laminates- copilot'!R39/'Laminates- copilot'!P39*Q106,"")</f>
        <v>26058.169778999083</v>
      </c>
      <c r="U106" s="912">
        <f>IFERROR('Laminates- copilot'!S39/'Laminates- copilot'!P39*Q106,"")</f>
        <v>30227.47694363894</v>
      </c>
      <c r="V106" s="913">
        <f t="shared" si="18"/>
        <v>14.920265891971683</v>
      </c>
      <c r="W106" s="914">
        <f t="shared" si="19"/>
        <v>17.307508434687154</v>
      </c>
      <c r="X106" s="913">
        <f t="shared" si="20"/>
        <v>1.7372113185999389</v>
      </c>
      <c r="Y106" s="913">
        <f t="shared" si="21"/>
        <v>14.920265891971683</v>
      </c>
      <c r="Z106" s="95">
        <f t="shared" si="22"/>
        <v>14315</v>
      </c>
      <c r="AA106" s="50" t="str">
        <f t="shared" si="23"/>
        <v>MOQ OK</v>
      </c>
      <c r="AB106" s="923">
        <f t="shared" si="24"/>
        <v>0.85178275440804396</v>
      </c>
      <c r="AC106" s="924">
        <f t="shared" si="25"/>
        <v>0.98806799511333088</v>
      </c>
      <c r="AD106" s="203">
        <f t="shared" si="26"/>
        <v>42589.137720402199</v>
      </c>
      <c r="AE106" s="912">
        <f t="shared" si="27"/>
        <v>49403.399755666549</v>
      </c>
      <c r="AF106" s="923" cm="1">
        <f t="array" ref="AF106">IF(O106="Quantum",IFERROR(_xlfn.LET(_xlpm.b,_xlfn.SWITCH(LOWER(B106),"zipper bag","Zipper pouch","open bag","Open pouch","sup with zipper","Stand-up pouch","stand-up pouch","Stand-up pouch",B106),_xlpm.w,G106,_xlpm.q,K106,_xlpm.types,'Converting-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missing"),IFERROR(_xlfn.LET(_xlpm.s,O106,_xlpm.b,_xlfn.SWITCH(LOWER(B106),"zipper bag","Zipper pouch","open bag","Open pouch",B106),_xlpm.w,G106,_xlpm.q,K106,_xlpm.src,'Converting-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06" s="923">
        <f>IFERROR(IF(OR(B106="Zipper pouch",B106="SUP with zipper"),HELPER!$DE$2*(AH106+AI106)/K106,HELPER!$DE$2*AH106/K106),"Data is missing")</f>
        <v>2.1364935823199267E-2</v>
      </c>
      <c r="AH106" s="923">
        <f t="shared" si="28"/>
        <v>1.7372113185999389</v>
      </c>
      <c r="AI106" s="923">
        <f>IF(OR(B106="Zipper pouch",B106="SUP with zipper"),HELPER!$DC$2*G106/1000,"")</f>
        <v>4.3199999999999995E-2</v>
      </c>
      <c r="AJ106" s="923" cm="1">
        <f t="array" ref="AJ106">IF(INDEX('Laminates- copilot'!$E$6:$E$257,ROUNDUP((ROW()-5)/3,0))+50&gt;IF(O106="Quantum",760,1220),"Width exceeds supplier maximum",IFERROR(AF106+AG106+N(AI106)+AH106*G106/1000/MAX(1,MIN(MAX(2,INT(900/INDEX('Laminates- copilot'!$E$6:$E$257,ROUNDUP((ROW()-5)/3,0)))),INT((IF(O106="Quantum",760,1220)-50)/INDEX('Laminates- copilot'!$E$6:$E$257,ROUNDUP((ROW()-5)/3,0))))),"Data is missing"))</f>
        <v>0.63883706580603294</v>
      </c>
      <c r="AK106" s="203">
        <f t="shared" si="29"/>
        <v>851.78275440804396</v>
      </c>
      <c r="AL106" t="str">
        <f t="shared" si="30"/>
        <v>PASS</v>
      </c>
      <c r="AM106" s="50" t="str">
        <f t="shared" si="31"/>
        <v/>
      </c>
    </row>
    <row r="107" spans="1:39">
      <c r="A107" t="s">
        <v>1735</v>
      </c>
      <c r="B107" t="s">
        <v>262</v>
      </c>
      <c r="C107" s="50" t="s">
        <v>2206</v>
      </c>
      <c r="D107">
        <f>'Laminates- copilot'!B39</f>
        <v>608</v>
      </c>
      <c r="E107" s="858">
        <f>'Laminates- copilot'!D39</f>
        <v>100</v>
      </c>
      <c r="F107" s="858">
        <v>300</v>
      </c>
      <c r="G107" s="858">
        <v>300</v>
      </c>
      <c r="H107" s="858">
        <v>0</v>
      </c>
      <c r="I107" s="858">
        <v>10</v>
      </c>
      <c r="J107" s="858">
        <v>610</v>
      </c>
      <c r="K107" s="858">
        <v>50000</v>
      </c>
      <c r="L107" s="858" t="str">
        <f>'Laminates- copilot'!K39</f>
        <v>Printed</v>
      </c>
      <c r="M107" s="858" t="str">
        <f>'Laminates- copilot'!L39</f>
        <v>5-8</v>
      </c>
      <c r="N107" s="858">
        <f>'Laminates- copilot'!M39</f>
        <v>8</v>
      </c>
      <c r="O107" s="858" t="str">
        <f>'Laminates- copilot'!O39</f>
        <v>Marma</v>
      </c>
      <c r="P107" s="858" t="str">
        <f>'Laminates- copilot'!N39</f>
        <v>Europe to US</v>
      </c>
      <c r="Q107" s="858">
        <f t="shared" si="16"/>
        <v>15000</v>
      </c>
      <c r="R107" s="858">
        <f t="shared" si="17"/>
        <v>15000</v>
      </c>
      <c r="S107" s="858">
        <f>IFERROR('Laminates- copilot'!Q39/'Laminates- copilot'!P39*Q107,"")</f>
        <v>1746.4949999999999</v>
      </c>
      <c r="T107" s="203">
        <f>IFERROR('Laminates- copilot'!R39/'Laminates- copilot'!P39*Q107,"")</f>
        <v>26058.169778999083</v>
      </c>
      <c r="U107" s="912">
        <f>IFERROR('Laminates- copilot'!S39/'Laminates- copilot'!P39*Q107,"")</f>
        <v>30227.47694363894</v>
      </c>
      <c r="V107" s="913">
        <f t="shared" si="18"/>
        <v>14.920265891971683</v>
      </c>
      <c r="W107" s="914">
        <f t="shared" si="19"/>
        <v>17.307508434687154</v>
      </c>
      <c r="X107" s="913">
        <f t="shared" si="20"/>
        <v>1.7372113185999389</v>
      </c>
      <c r="Y107" s="913">
        <f t="shared" si="21"/>
        <v>14.920265891971683</v>
      </c>
      <c r="Z107" s="95">
        <f t="shared" si="22"/>
        <v>14315</v>
      </c>
      <c r="AA107" s="50" t="str">
        <f t="shared" si="23"/>
        <v>MOQ OK</v>
      </c>
      <c r="AB107" s="923">
        <f t="shared" si="24"/>
        <v>0.78660354741047644</v>
      </c>
      <c r="AC107" s="924">
        <f t="shared" si="25"/>
        <v>0.91246011499615265</v>
      </c>
      <c r="AD107" s="203">
        <f t="shared" si="26"/>
        <v>39330.177370523823</v>
      </c>
      <c r="AE107" s="912">
        <f t="shared" si="27"/>
        <v>45623.005749807635</v>
      </c>
      <c r="AF107" s="923" cm="1">
        <f t="array" ref="AF107">IF(O107="Quantum",IFERROR(_xlfn.LET(_xlpm.b,_xlfn.SWITCH(LOWER(B107),"zipper bag","Zipper pouch","open bag","Open pouch","sup with zipper","Stand-up pouch","stand-up pouch","Stand-up pouch",B107),_xlpm.w,G107,_xlpm.q,K107,_xlpm.types,'Converting-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missing"),IFERROR(_xlfn.LET(_xlpm.s,O107,_xlpm.b,_xlfn.SWITCH(LOWER(B107),"zipper bag","Zipper pouch","open bag","Open pouch",B107),_xlpm.w,G107,_xlpm.q,K107,_xlpm.src,'Converting-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07" s="923">
        <f>IFERROR(IF(OR(B107="Zipper pouch",B107="SUP with zipper"),HELPER!$DE$2*(AH107+AI107)/K107,HELPER!$DE$2*AH107/K107),"Data is missing")</f>
        <v>2.0846535823199265E-2</v>
      </c>
      <c r="AH107" s="923">
        <f t="shared" si="28"/>
        <v>1.7372113185999389</v>
      </c>
      <c r="AI107" s="923" t="str">
        <f>IF(OR(B107="Zipper pouch",B107="SUP with zipper"),HELPER!$DC$2*G107/1000,"")</f>
        <v/>
      </c>
      <c r="AJ107" s="923" cm="1">
        <f t="array" ref="AJ107">IF(INDEX('Laminates- copilot'!$E$6:$E$257,ROUNDUP((ROW()-5)/3,0))+50&gt;IF(O107="Quantum",760,1220),"Width exceeds supplier maximum",IFERROR(AF107+AG107+N(AI107)+AH107*G107/1000/MAX(1,MIN(MAX(2,INT(900/INDEX('Laminates- copilot'!$E$6:$E$257,ROUNDUP((ROW()-5)/3,0)))),INT((IF(O107="Quantum",760,1220)-50)/INDEX('Laminates- copilot'!$E$6:$E$257,ROUNDUP((ROW()-5)/3,0))))),"Data is missing"))</f>
        <v>0.58995266055785733</v>
      </c>
      <c r="AK107" s="203">
        <f t="shared" si="29"/>
        <v>786.60354741047649</v>
      </c>
      <c r="AL107" t="str">
        <f t="shared" si="30"/>
        <v>PASS</v>
      </c>
      <c r="AM107" s="50" t="str">
        <f t="shared" si="31"/>
        <v/>
      </c>
    </row>
    <row r="108" spans="1:39" hidden="1">
      <c r="A108" t="s">
        <v>1736</v>
      </c>
      <c r="B108" t="s">
        <v>251</v>
      </c>
      <c r="C108" s="50" t="s">
        <v>2207</v>
      </c>
      <c r="D108">
        <f>'Laminates- copilot'!B40</f>
        <v>608</v>
      </c>
      <c r="E108" s="858">
        <f>'Laminates- copilot'!D40</f>
        <v>100</v>
      </c>
      <c r="F108" s="858">
        <v>350</v>
      </c>
      <c r="G108" s="858">
        <v>400</v>
      </c>
      <c r="H108" s="858">
        <v>60</v>
      </c>
      <c r="I108" s="858">
        <v>0</v>
      </c>
      <c r="J108" s="858">
        <v>820</v>
      </c>
      <c r="K108" s="858">
        <v>100000</v>
      </c>
      <c r="L108" s="858" t="str">
        <f>'Laminates- copilot'!K40</f>
        <v>Not Printed</v>
      </c>
      <c r="M108" s="858" t="str">
        <f>'Laminates- copilot'!L40</f>
        <v>0</v>
      </c>
      <c r="N108" s="858">
        <f>'Laminates- copilot'!M40</f>
        <v>1</v>
      </c>
      <c r="O108" s="858" t="str">
        <f>'Laminates- copilot'!O40</f>
        <v>Bastin</v>
      </c>
      <c r="P108" s="858" t="str">
        <f>'Laminates- copilot'!N40</f>
        <v>Europe to Europe</v>
      </c>
      <c r="Q108" s="858">
        <f t="shared" si="16"/>
        <v>40000</v>
      </c>
      <c r="R108" s="858">
        <f t="shared" si="17"/>
        <v>40000</v>
      </c>
      <c r="S108" s="858">
        <f>IFERROR('Laminates- copilot'!Q40/'Laminates- copilot'!P40*Q108,"")</f>
        <v>1811.18</v>
      </c>
      <c r="T108" s="203">
        <f>IFERROR('Laminates- copilot'!R40/'Laminates- copilot'!P40*Q108,"")</f>
        <v>20512.938446</v>
      </c>
      <c r="U108" s="912">
        <f>IFERROR('Laminates- copilot'!S40/'Laminates- copilot'!P40*Q108,"")</f>
        <v>23795.00859736</v>
      </c>
      <c r="V108" s="913">
        <f t="shared" si="18"/>
        <v>11.325731537450723</v>
      </c>
      <c r="W108" s="914">
        <f t="shared" si="19"/>
        <v>13.137848583442837</v>
      </c>
      <c r="X108" s="913">
        <f t="shared" si="20"/>
        <v>0.51282346114999999</v>
      </c>
      <c r="Y108" s="913">
        <f t="shared" si="21"/>
        <v>11.325731537450723</v>
      </c>
      <c r="Z108" s="95">
        <f t="shared" si="22"/>
        <v>27607</v>
      </c>
      <c r="AA108" s="50" t="str">
        <f t="shared" si="23"/>
        <v>MOQ OK</v>
      </c>
      <c r="AB108" s="923">
        <f t="shared" si="24"/>
        <v>0.34874828898231652</v>
      </c>
      <c r="AC108" s="924">
        <f t="shared" si="25"/>
        <v>0.40454801521948713</v>
      </c>
      <c r="AD108" s="203">
        <f t="shared" si="26"/>
        <v>34874.828898231652</v>
      </c>
      <c r="AE108" s="912">
        <f t="shared" si="27"/>
        <v>40454.801521948713</v>
      </c>
      <c r="AF108" s="923" cm="1">
        <f t="array" ref="AF108">IF(O108="Quantum",IFERROR(_xlfn.LET(_xlpm.b,_xlfn.SWITCH(LOWER(B108),"zipper bag","Zipper pouch","open bag","Open pouch","sup with zipper","Stand-up pouch","stand-up pouch","Stand-up pouch",B108),_xlpm.w,G108,_xlpm.q,K108,_xlpm.types,'Converting-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missing"),IFERROR(_xlfn.LET(_xlpm.s,O108,_xlpm.b,_xlfn.SWITCH(LOWER(B108),"zipper bag","Zipper pouch","open bag","Open pouch",B108),_xlpm.w,G108,_xlpm.q,K108,_xlpm.src,'Converting-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08" s="923">
        <f>IFERROR(IF(OR(B108="Zipper pouch",B108="SUP with zipper"),HELPER!$DE$2*(AH108+AI108)/K108,HELPER!$DE$2*AH108/K108),"Data is missing")</f>
        <v>3.4225407668999996E-3</v>
      </c>
      <c r="AH108" s="923">
        <f t="shared" si="28"/>
        <v>0.51282346114999999</v>
      </c>
      <c r="AI108" s="923">
        <f>IF(OR(B108="Zipper pouch",B108="SUP with zipper"),HELPER!$DC$2*G108/1000,"")</f>
        <v>5.7599999999999991E-2</v>
      </c>
      <c r="AJ108" s="923" cm="1">
        <f t="array" ref="AJ108">IF(INDEX('Laminates- copilot'!$E$6:$E$257,ROUNDUP((ROW()-5)/3,0))+50&gt;IF(O108="Quantum",760,1220),"Width exceeds supplier maximum",IFERROR(AF108+AG108+N(AI108)+AH108*G108/1000/MAX(1,MIN(MAX(2,INT(900/INDEX('Laminates- copilot'!$E$6:$E$257,ROUNDUP((ROW()-5)/3,0)))),INT((IF(O108="Quantum",760,1220)-50)/INDEX('Laminates- copilot'!$E$6:$E$257,ROUNDUP((ROW()-5)/3,0))))),"Data is missing"))</f>
        <v>0.26156121673673738</v>
      </c>
      <c r="AK108" s="203">
        <f t="shared" si="29"/>
        <v>348.74828898231652</v>
      </c>
      <c r="AL108" t="str">
        <f t="shared" si="30"/>
        <v>PASS</v>
      </c>
      <c r="AM108" s="50" t="str">
        <f t="shared" si="31"/>
        <v/>
      </c>
    </row>
    <row r="109" spans="1:39" hidden="1">
      <c r="A109" t="s">
        <v>1737</v>
      </c>
      <c r="B109" t="s">
        <v>261</v>
      </c>
      <c r="C109" s="50" t="s">
        <v>2207</v>
      </c>
      <c r="D109">
        <f>'Laminates- copilot'!B40</f>
        <v>608</v>
      </c>
      <c r="E109" s="858">
        <f>'Laminates- copilot'!D40</f>
        <v>100</v>
      </c>
      <c r="F109" s="858">
        <v>350</v>
      </c>
      <c r="G109" s="858">
        <v>400</v>
      </c>
      <c r="H109" s="858">
        <v>60</v>
      </c>
      <c r="I109" s="858">
        <v>0</v>
      </c>
      <c r="J109" s="858">
        <v>820</v>
      </c>
      <c r="K109" s="858">
        <v>100000</v>
      </c>
      <c r="L109" s="858" t="str">
        <f>'Laminates- copilot'!K40</f>
        <v>Not Printed</v>
      </c>
      <c r="M109" s="858" t="str">
        <f>'Laminates- copilot'!L40</f>
        <v>0</v>
      </c>
      <c r="N109" s="858">
        <f>'Laminates- copilot'!M40</f>
        <v>1</v>
      </c>
      <c r="O109" s="858" t="str">
        <f>'Laminates- copilot'!O40</f>
        <v>Bastin</v>
      </c>
      <c r="P109" s="858" t="str">
        <f>'Laminates- copilot'!N40</f>
        <v>Europe to Europe</v>
      </c>
      <c r="Q109" s="858">
        <f t="shared" si="16"/>
        <v>40000</v>
      </c>
      <c r="R109" s="858">
        <f t="shared" si="17"/>
        <v>40000</v>
      </c>
      <c r="S109" s="858">
        <f>IFERROR('Laminates- copilot'!Q40/'Laminates- copilot'!P40*Q109,"")</f>
        <v>1811.18</v>
      </c>
      <c r="T109" s="203">
        <f>IFERROR('Laminates- copilot'!R40/'Laminates- copilot'!P40*Q109,"")</f>
        <v>20512.938446</v>
      </c>
      <c r="U109" s="912">
        <f>IFERROR('Laminates- copilot'!S40/'Laminates- copilot'!P40*Q109,"")</f>
        <v>23795.00859736</v>
      </c>
      <c r="V109" s="913">
        <f t="shared" si="18"/>
        <v>11.325731537450723</v>
      </c>
      <c r="W109" s="914">
        <f t="shared" si="19"/>
        <v>13.137848583442837</v>
      </c>
      <c r="X109" s="913">
        <f t="shared" si="20"/>
        <v>0.51282346114999999</v>
      </c>
      <c r="Y109" s="913">
        <f t="shared" si="21"/>
        <v>11.325731537450723</v>
      </c>
      <c r="Z109" s="95">
        <f t="shared" si="22"/>
        <v>27607</v>
      </c>
      <c r="AA109" s="50" t="str">
        <f t="shared" si="23"/>
        <v>MOQ OK</v>
      </c>
      <c r="AB109" s="923">
        <f t="shared" si="24"/>
        <v>0.33881480782932316</v>
      </c>
      <c r="AC109" s="924">
        <f t="shared" si="25"/>
        <v>0.39302517708201484</v>
      </c>
      <c r="AD109" s="203">
        <f t="shared" si="26"/>
        <v>33881.480782932318</v>
      </c>
      <c r="AE109" s="912">
        <f t="shared" si="27"/>
        <v>39302.517708201485</v>
      </c>
      <c r="AF109" s="923" cm="1">
        <f t="array" ref="AF109">IF(O109="Quantum",IFERROR(_xlfn.LET(_xlpm.b,_xlfn.SWITCH(LOWER(B109),"zipper bag","Zipper pouch","open bag","Open pouch","sup with zipper","Stand-up pouch","stand-up pouch","Stand-up pouch",B109),_xlpm.w,G109,_xlpm.q,K109,_xlpm.types,'Converting-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missing"),IFERROR(_xlfn.LET(_xlpm.s,O109,_xlpm.b,_xlfn.SWITCH(LOWER(B109),"zipper bag","Zipper pouch","open bag","Open pouch",B109),_xlpm.w,G109,_xlpm.q,K109,_xlpm.src,'Converting-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09" s="923">
        <f>IFERROR(IF(OR(B109="Zipper pouch",B109="SUP with zipper"),HELPER!$DE$2*(AH109+AI109)/K109,HELPER!$DE$2*AH109/K109),"Data is missing")</f>
        <v>3.4225407668999996E-3</v>
      </c>
      <c r="AH109" s="923">
        <f t="shared" si="28"/>
        <v>0.51282346114999999</v>
      </c>
      <c r="AI109" s="923">
        <f>IF(OR(B109="Zipper pouch",B109="SUP with zipper"),HELPER!$DC$2*G109/1000,"")</f>
        <v>5.7599999999999991E-2</v>
      </c>
      <c r="AJ109" s="923" cm="1">
        <f t="array" ref="AJ109">IF(INDEX('Laminates- copilot'!$E$6:$E$257,ROUNDUP((ROW()-5)/3,0))+50&gt;IF(O109="Quantum",760,1220),"Width exceeds supplier maximum",IFERROR(AF109+AG109+N(AI109)+AH109*G109/1000/MAX(1,MIN(MAX(2,INT(900/INDEX('Laminates- copilot'!$E$6:$E$257,ROUNDUP((ROW()-5)/3,0)))),INT((IF(O109="Quantum",760,1220)-50)/INDEX('Laminates- copilot'!$E$6:$E$257,ROUNDUP((ROW()-5)/3,0))))),"Data is missing"))</f>
        <v>0.25411110587199237</v>
      </c>
      <c r="AK109" s="203">
        <f t="shared" si="29"/>
        <v>338.81480782932317</v>
      </c>
      <c r="AL109" t="str">
        <f t="shared" si="30"/>
        <v>PASS</v>
      </c>
      <c r="AM109" s="50" t="str">
        <f t="shared" si="31"/>
        <v/>
      </c>
    </row>
    <row r="110" spans="1:39" hidden="1">
      <c r="A110" t="s">
        <v>1738</v>
      </c>
      <c r="B110" t="s">
        <v>262</v>
      </c>
      <c r="C110" s="50" t="s">
        <v>2207</v>
      </c>
      <c r="D110">
        <f>'Laminates- copilot'!B40</f>
        <v>608</v>
      </c>
      <c r="E110" s="858">
        <f>'Laminates- copilot'!D40</f>
        <v>100</v>
      </c>
      <c r="F110" s="858">
        <v>350</v>
      </c>
      <c r="G110" s="858">
        <v>400</v>
      </c>
      <c r="H110" s="858">
        <v>0</v>
      </c>
      <c r="I110" s="858">
        <v>0</v>
      </c>
      <c r="J110" s="858">
        <v>700</v>
      </c>
      <c r="K110" s="858">
        <v>100000</v>
      </c>
      <c r="L110" s="858" t="str">
        <f>'Laminates- copilot'!K40</f>
        <v>Not Printed</v>
      </c>
      <c r="M110" s="858" t="str">
        <f>'Laminates- copilot'!L40</f>
        <v>0</v>
      </c>
      <c r="N110" s="858">
        <f>'Laminates- copilot'!M40</f>
        <v>1</v>
      </c>
      <c r="O110" s="858" t="str">
        <f>'Laminates- copilot'!O40</f>
        <v>Bastin</v>
      </c>
      <c r="P110" s="858" t="str">
        <f>'Laminates- copilot'!N40</f>
        <v>Europe to Europe</v>
      </c>
      <c r="Q110" s="858">
        <f t="shared" si="16"/>
        <v>40000</v>
      </c>
      <c r="R110" s="858">
        <f t="shared" si="17"/>
        <v>40000</v>
      </c>
      <c r="S110" s="858">
        <f>IFERROR('Laminates- copilot'!Q40/'Laminates- copilot'!P40*Q110,"")</f>
        <v>1811.18</v>
      </c>
      <c r="T110" s="203">
        <f>IFERROR('Laminates- copilot'!R40/'Laminates- copilot'!P40*Q110,"")</f>
        <v>20512.938446</v>
      </c>
      <c r="U110" s="912">
        <f>IFERROR('Laminates- copilot'!S40/'Laminates- copilot'!P40*Q110,"")</f>
        <v>23795.00859736</v>
      </c>
      <c r="V110" s="913">
        <f t="shared" si="18"/>
        <v>11.325731537450723</v>
      </c>
      <c r="W110" s="914">
        <f t="shared" si="19"/>
        <v>13.137848583442837</v>
      </c>
      <c r="X110" s="913">
        <f t="shared" si="20"/>
        <v>0.51282346114999999</v>
      </c>
      <c r="Y110" s="913">
        <f t="shared" si="21"/>
        <v>11.325731537450723</v>
      </c>
      <c r="Z110" s="95">
        <f t="shared" si="22"/>
        <v>27607</v>
      </c>
      <c r="AA110" s="50" t="str">
        <f t="shared" si="23"/>
        <v>MOQ OK</v>
      </c>
      <c r="AB110" s="923">
        <f t="shared" si="24"/>
        <v>0.2484260094419013</v>
      </c>
      <c r="AC110" s="924">
        <f t="shared" si="25"/>
        <v>0.2881741709526055</v>
      </c>
      <c r="AD110" s="203">
        <f t="shared" si="26"/>
        <v>24842.60094419013</v>
      </c>
      <c r="AE110" s="912">
        <f t="shared" si="27"/>
        <v>28817.417095260549</v>
      </c>
      <c r="AF110" s="923" cm="1">
        <f t="array" ref="AF110">IF(O110="Quantum",IFERROR(_xlfn.LET(_xlpm.b,_xlfn.SWITCH(LOWER(B110),"zipper bag","Zipper pouch","open bag","Open pouch","sup with zipper","Stand-up pouch","stand-up pouch","Stand-up pouch",B110),_xlpm.w,G110,_xlpm.q,K110,_xlpm.types,'Converting-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missing"),IFERROR(_xlfn.LET(_xlpm.s,O110,_xlpm.b,_xlfn.SWITCH(LOWER(B110),"zipper bag","Zipper pouch","open bag","Open pouch",B110),_xlpm.w,G110,_xlpm.q,K110,_xlpm.src,'Converting-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110" s="923">
        <f>IFERROR(IF(OR(B110="Zipper pouch",B110="SUP with zipper"),HELPER!$DE$2*(AH110+AI110)/K110,HELPER!$DE$2*AH110/K110),"Data is missing")</f>
        <v>3.0769407668999999E-3</v>
      </c>
      <c r="AH110" s="923">
        <f t="shared" si="28"/>
        <v>0.51282346114999999</v>
      </c>
      <c r="AI110" s="923" t="str">
        <f>IF(OR(B110="Zipper pouch",B110="SUP with zipper"),HELPER!$DC$2*G110/1000,"")</f>
        <v/>
      </c>
      <c r="AJ110" s="923" cm="1">
        <f t="array" ref="AJ110">IF(INDEX('Laminates- copilot'!$E$6:$E$257,ROUNDUP((ROW()-5)/3,0))+50&gt;IF(O110="Quantum",760,1220),"Width exceeds supplier maximum",IFERROR(AF110+AG110+N(AI110)+AH110*G110/1000/MAX(1,MIN(MAX(2,INT(900/INDEX('Laminates- copilot'!$E$6:$E$257,ROUNDUP((ROW()-5)/3,0)))),INT((IF(O110="Quantum",760,1220)-50)/INDEX('Laminates- copilot'!$E$6:$E$257,ROUNDUP((ROW()-5)/3,0))))),"Data is missing"))</f>
        <v>0.18631950708142597</v>
      </c>
      <c r="AK110" s="203">
        <f t="shared" si="29"/>
        <v>248.4260094419013</v>
      </c>
      <c r="AL110" t="str">
        <f t="shared" si="30"/>
        <v>PASS</v>
      </c>
      <c r="AM110" s="50" t="str">
        <f t="shared" si="31"/>
        <v/>
      </c>
    </row>
    <row r="111" spans="1:39" hidden="1">
      <c r="A111" t="s">
        <v>1739</v>
      </c>
      <c r="B111" t="s">
        <v>251</v>
      </c>
      <c r="C111" s="50" t="s">
        <v>2208</v>
      </c>
      <c r="D111">
        <f>'Laminates- copilot'!B41</f>
        <v>608</v>
      </c>
      <c r="E111" s="858">
        <f>'Laminates- copilot'!D41</f>
        <v>100</v>
      </c>
      <c r="F111" s="858">
        <v>400</v>
      </c>
      <c r="G111" s="858">
        <v>500</v>
      </c>
      <c r="H111" s="858">
        <v>80</v>
      </c>
      <c r="I111" s="858">
        <v>0</v>
      </c>
      <c r="J111" s="858">
        <v>960</v>
      </c>
      <c r="K111" s="858">
        <v>100000</v>
      </c>
      <c r="L111" s="858" t="str">
        <f>'Laminates- copilot'!K41</f>
        <v>Printed</v>
      </c>
      <c r="M111" s="858" t="str">
        <f>'Laminates- copilot'!L41</f>
        <v>3-4</v>
      </c>
      <c r="N111" s="858">
        <f>'Laminates- copilot'!M41</f>
        <v>4</v>
      </c>
      <c r="O111" s="858" t="str">
        <f>'Laminates- copilot'!O41</f>
        <v>Quantum</v>
      </c>
      <c r="P111" s="858" t="str">
        <f>'Laminates- copilot'!N41</f>
        <v>Europe to US</v>
      </c>
      <c r="Q111" s="858">
        <f t="shared" si="16"/>
        <v>50000</v>
      </c>
      <c r="R111" s="858">
        <f t="shared" si="17"/>
        <v>50000</v>
      </c>
      <c r="S111" s="858">
        <f>IFERROR('Laminates- copilot'!Q41/'Laminates- copilot'!P41*Q111,"")</f>
        <v>3881.1</v>
      </c>
      <c r="T111" s="203">
        <f>IFERROR('Laminates- copilot'!R41/'Laminates- copilot'!P41*Q111,"")</f>
        <v>96045.089418193093</v>
      </c>
      <c r="U111" s="912">
        <f>IFERROR('Laminates- copilot'!S41/'Laminates- copilot'!P41*Q111,"")</f>
        <v>111412.30372510398</v>
      </c>
      <c r="V111" s="913">
        <f t="shared" si="18"/>
        <v>24.746873159205663</v>
      </c>
      <c r="W111" s="914">
        <f t="shared" si="19"/>
        <v>28.706372864678567</v>
      </c>
      <c r="X111" s="913">
        <f t="shared" si="20"/>
        <v>1.9209017883638619</v>
      </c>
      <c r="Y111" s="913">
        <f t="shared" si="21"/>
        <v>24.746873159205663</v>
      </c>
      <c r="Z111" s="95">
        <f t="shared" si="22"/>
        <v>12883</v>
      </c>
      <c r="AA111" s="50" t="str">
        <f t="shared" si="23"/>
        <v>MOQ OK</v>
      </c>
      <c r="AB111" s="923">
        <f t="shared" si="24"/>
        <v>1.7542018494329821</v>
      </c>
      <c r="AC111" s="924">
        <f t="shared" si="25"/>
        <v>2.034874145342259</v>
      </c>
      <c r="AD111" s="203">
        <f t="shared" si="26"/>
        <v>175420.1849432982</v>
      </c>
      <c r="AE111" s="912">
        <f t="shared" si="27"/>
        <v>203487.41453422589</v>
      </c>
      <c r="AF111" s="923" cm="1">
        <f t="array" ref="AF111">IF(O111="Quantum",IFERROR(_xlfn.LET(_xlpm.b,_xlfn.SWITCH(LOWER(B111),"zipper bag","Zipper pouch","open bag","Open pouch","sup with zipper","Stand-up pouch","stand-up pouch","Stand-up pouch",B111),_xlpm.w,G111,_xlpm.q,K111,_xlpm.types,'Converting-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missing"),IFERROR(_xlfn.LET(_xlpm.s,O111,_xlpm.b,_xlfn.SWITCH(LOWER(B111),"zipper bag","Zipper pouch","open bag","Open pouch",B111),_xlpm.w,G111,_xlpm.q,K111,_xlpm.src,'Converting-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111" s="923">
        <f>IFERROR(IF(OR(B111="Zipper pouch",B111="SUP with zipper"),HELPER!$DE$2*(AH111+AI111)/K111,HELPER!$DE$2*AH111/K111),"Data is missing")</f>
        <v>1.1957410730183171E-2</v>
      </c>
      <c r="AH111" s="923">
        <f t="shared" si="28"/>
        <v>1.9209017883638619</v>
      </c>
      <c r="AI111" s="923">
        <f>IF(OR(B111="Zipper pouch",B111="SUP with zipper"),HELPER!$DC$2*G111/1000,"")</f>
        <v>7.1999999999999995E-2</v>
      </c>
      <c r="AJ111" s="923" cm="1">
        <f t="array" ref="AJ111">IF(INDEX('Laminates- copilot'!$E$6:$E$257,ROUNDUP((ROW()-5)/3,0))+50&gt;IF(O111="Quantum",760,1220),"Width exceeds supplier maximum",IFERROR(AF111+AG111+N(AI111)+AH111*G111/1000/MAX(1,MIN(MAX(2,INT(900/INDEX('Laminates- copilot'!$E$6:$E$257,ROUNDUP((ROW()-5)/3,0)))),INT((IF(O111="Quantum",760,1220)-50)/INDEX('Laminates- copilot'!$E$6:$E$257,ROUNDUP((ROW()-5)/3,0))))),"Data is missing"))</f>
        <v>1.3156513870747366</v>
      </c>
      <c r="AK111" s="203">
        <f t="shared" si="29"/>
        <v>1754.201849432982</v>
      </c>
      <c r="AL111" t="str">
        <f t="shared" si="30"/>
        <v>PASS</v>
      </c>
      <c r="AM111" s="50" t="str">
        <f t="shared" si="31"/>
        <v/>
      </c>
    </row>
    <row r="112" spans="1:39" hidden="1">
      <c r="A112" t="s">
        <v>1740</v>
      </c>
      <c r="B112" t="s">
        <v>261</v>
      </c>
      <c r="C112" s="50" t="s">
        <v>2208</v>
      </c>
      <c r="D112">
        <f>'Laminates- copilot'!B41</f>
        <v>608</v>
      </c>
      <c r="E112" s="858">
        <f>'Laminates- copilot'!D41</f>
        <v>100</v>
      </c>
      <c r="F112" s="858">
        <v>400</v>
      </c>
      <c r="G112" s="858">
        <v>500</v>
      </c>
      <c r="H112" s="858">
        <v>80</v>
      </c>
      <c r="I112" s="858">
        <v>0</v>
      </c>
      <c r="J112" s="858">
        <v>960</v>
      </c>
      <c r="K112" s="858">
        <v>100000</v>
      </c>
      <c r="L112" s="858" t="str">
        <f>'Laminates- copilot'!K41</f>
        <v>Printed</v>
      </c>
      <c r="M112" s="858" t="str">
        <f>'Laminates- copilot'!L41</f>
        <v>3-4</v>
      </c>
      <c r="N112" s="858">
        <f>'Laminates- copilot'!M41</f>
        <v>4</v>
      </c>
      <c r="O112" s="858" t="str">
        <f>'Laminates- copilot'!O41</f>
        <v>Quantum</v>
      </c>
      <c r="P112" s="858" t="str">
        <f>'Laminates- copilot'!N41</f>
        <v>Europe to US</v>
      </c>
      <c r="Q112" s="858">
        <f t="shared" si="16"/>
        <v>50000</v>
      </c>
      <c r="R112" s="858">
        <f t="shared" si="17"/>
        <v>50000</v>
      </c>
      <c r="S112" s="858">
        <f>IFERROR('Laminates- copilot'!Q41/'Laminates- copilot'!P41*Q112,"")</f>
        <v>3881.1</v>
      </c>
      <c r="T112" s="203">
        <f>IFERROR('Laminates- copilot'!R41/'Laminates- copilot'!P41*Q112,"")</f>
        <v>96045.089418193093</v>
      </c>
      <c r="U112" s="912">
        <f>IFERROR('Laminates- copilot'!S41/'Laminates- copilot'!P41*Q112,"")</f>
        <v>111412.30372510398</v>
      </c>
      <c r="V112" s="913">
        <f t="shared" si="18"/>
        <v>24.746873159205663</v>
      </c>
      <c r="W112" s="914">
        <f t="shared" si="19"/>
        <v>28.706372864678567</v>
      </c>
      <c r="X112" s="913">
        <f t="shared" si="20"/>
        <v>1.9209017883638619</v>
      </c>
      <c r="Y112" s="913">
        <f t="shared" si="21"/>
        <v>24.746873159205663</v>
      </c>
      <c r="Z112" s="95">
        <f t="shared" si="22"/>
        <v>12883</v>
      </c>
      <c r="AA112" s="50" t="str">
        <f t="shared" si="23"/>
        <v>MOQ OK</v>
      </c>
      <c r="AB112" s="923">
        <f t="shared" si="24"/>
        <v>1.7147839726374976</v>
      </c>
      <c r="AC112" s="924">
        <f t="shared" si="25"/>
        <v>1.9891494082594972</v>
      </c>
      <c r="AD112" s="203">
        <f t="shared" si="26"/>
        <v>171478.39726374976</v>
      </c>
      <c r="AE112" s="912">
        <f t="shared" si="27"/>
        <v>198914.94082594971</v>
      </c>
      <c r="AF112" s="923" cm="1">
        <f t="array" ref="AF112">IF(O112="Quantum",IFERROR(_xlfn.LET(_xlpm.b,_xlfn.SWITCH(LOWER(B112),"zipper bag","Zipper pouch","open bag","Open pouch","sup with zipper","Stand-up pouch","stand-up pouch","Stand-up pouch",B112),_xlpm.w,G112,_xlpm.q,K112,_xlpm.types,'Converting-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missing"),IFERROR(_xlfn.LET(_xlpm.s,O112,_xlpm.b,_xlfn.SWITCH(LOWER(B112),"zipper bag","Zipper pouch","open bag","Open pouch",B112),_xlpm.w,G112,_xlpm.q,K112,_xlpm.src,'Converting-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112" s="923">
        <f>IFERROR(IF(OR(B112="Zipper pouch",B112="SUP with zipper"),HELPER!$DE$2*(AH112+AI112)/K112,HELPER!$DE$2*AH112/K112),"Data is missing")</f>
        <v>1.1957410730183171E-2</v>
      </c>
      <c r="AH112" s="923">
        <f t="shared" si="28"/>
        <v>1.9209017883638619</v>
      </c>
      <c r="AI112" s="923">
        <f>IF(OR(B112="Zipper pouch",B112="SUP with zipper"),HELPER!$DC$2*G112/1000,"")</f>
        <v>7.1999999999999995E-2</v>
      </c>
      <c r="AJ112" s="923" cm="1">
        <f t="array" ref="AJ112">IF(INDEX('Laminates- copilot'!$E$6:$E$257,ROUNDUP((ROW()-5)/3,0))+50&gt;IF(O112="Quantum",760,1220),"Width exceeds supplier maximum",IFERROR(AF112+AG112+N(AI112)+AH112*G112/1000/MAX(1,MIN(MAX(2,INT(900/INDEX('Laminates- copilot'!$E$6:$E$257,ROUNDUP((ROW()-5)/3,0)))),INT((IF(O112="Quantum",760,1220)-50)/INDEX('Laminates- copilot'!$E$6:$E$257,ROUNDUP((ROW()-5)/3,0))))),"Data is missing"))</f>
        <v>1.2860879794781233</v>
      </c>
      <c r="AK112" s="203">
        <f t="shared" si="29"/>
        <v>1714.7839726374975</v>
      </c>
      <c r="AL112" t="str">
        <f t="shared" si="30"/>
        <v>PASS</v>
      </c>
      <c r="AM112" s="50" t="str">
        <f t="shared" si="31"/>
        <v/>
      </c>
    </row>
    <row r="113" spans="1:39" hidden="1">
      <c r="A113" t="s">
        <v>1741</v>
      </c>
      <c r="B113" t="s">
        <v>262</v>
      </c>
      <c r="C113" s="50" t="s">
        <v>2208</v>
      </c>
      <c r="D113">
        <f>'Laminates- copilot'!B41</f>
        <v>608</v>
      </c>
      <c r="E113" s="858">
        <f>'Laminates- copilot'!D41</f>
        <v>100</v>
      </c>
      <c r="F113" s="858">
        <v>400</v>
      </c>
      <c r="G113" s="858">
        <v>500</v>
      </c>
      <c r="H113" s="858">
        <v>0</v>
      </c>
      <c r="I113" s="858">
        <v>20</v>
      </c>
      <c r="J113" s="858">
        <v>820</v>
      </c>
      <c r="K113" s="858">
        <v>100000</v>
      </c>
      <c r="L113" s="858" t="str">
        <f>'Laminates- copilot'!K41</f>
        <v>Printed</v>
      </c>
      <c r="M113" s="858" t="str">
        <f>'Laminates- copilot'!L41</f>
        <v>3-4</v>
      </c>
      <c r="N113" s="858">
        <f>'Laminates- copilot'!M41</f>
        <v>4</v>
      </c>
      <c r="O113" s="858" t="str">
        <f>'Laminates- copilot'!O41</f>
        <v>Quantum</v>
      </c>
      <c r="P113" s="858" t="str">
        <f>'Laminates- copilot'!N41</f>
        <v>Europe to US</v>
      </c>
      <c r="Q113" s="858">
        <f t="shared" si="16"/>
        <v>50000</v>
      </c>
      <c r="R113" s="858">
        <f t="shared" si="17"/>
        <v>50000</v>
      </c>
      <c r="S113" s="858">
        <f>IFERROR('Laminates- copilot'!Q41/'Laminates- copilot'!P41*Q113,"")</f>
        <v>3881.1</v>
      </c>
      <c r="T113" s="203">
        <f>IFERROR('Laminates- copilot'!R41/'Laminates- copilot'!P41*Q113,"")</f>
        <v>96045.089418193093</v>
      </c>
      <c r="U113" s="912">
        <f>IFERROR('Laminates- copilot'!S41/'Laminates- copilot'!P41*Q113,"")</f>
        <v>111412.30372510398</v>
      </c>
      <c r="V113" s="913">
        <f t="shared" si="18"/>
        <v>24.746873159205663</v>
      </c>
      <c r="W113" s="914">
        <f t="shared" si="19"/>
        <v>28.706372864678567</v>
      </c>
      <c r="X113" s="913">
        <f t="shared" si="20"/>
        <v>1.9209017883638619</v>
      </c>
      <c r="Y113" s="913">
        <f t="shared" si="21"/>
        <v>24.746873159205663</v>
      </c>
      <c r="Z113" s="95">
        <f t="shared" si="22"/>
        <v>12883</v>
      </c>
      <c r="AA113" s="50" t="str">
        <f t="shared" si="23"/>
        <v>MOQ OK</v>
      </c>
      <c r="AB113" s="923">
        <f t="shared" si="24"/>
        <v>1.5843748206263977</v>
      </c>
      <c r="AC113" s="924">
        <f t="shared" si="25"/>
        <v>1.8378747919266212</v>
      </c>
      <c r="AD113" s="203">
        <f t="shared" si="26"/>
        <v>158437.48206263976</v>
      </c>
      <c r="AE113" s="912">
        <f t="shared" si="27"/>
        <v>183787.47919266211</v>
      </c>
      <c r="AF113" s="923" cm="1">
        <f t="array" ref="AF113">IF(O113="Quantum",IFERROR(_xlfn.LET(_xlpm.b,_xlfn.SWITCH(LOWER(B113),"zipper bag","Zipper pouch","open bag","Open pouch","sup with zipper","Stand-up pouch","stand-up pouch","Stand-up pouch",B113),_xlpm.w,G113,_xlpm.q,K113,_xlpm.types,'Converting-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missing"),IFERROR(_xlfn.LET(_xlpm.s,O113,_xlpm.b,_xlfn.SWITCH(LOWER(B113),"zipper bag","Zipper pouch","open bag","Open pouch",B113),_xlpm.w,G113,_xlpm.q,K113,_xlpm.src,'Converting-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113" s="923">
        <f>IFERROR(IF(OR(B113="Zipper pouch",B113="SUP with zipper"),HELPER!$DE$2*(AH113+AI113)/K113,HELPER!$DE$2*AH113/K113),"Data is missing")</f>
        <v>1.1525410730183171E-2</v>
      </c>
      <c r="AH113" s="923">
        <f t="shared" si="28"/>
        <v>1.9209017883638619</v>
      </c>
      <c r="AI113" s="923" t="str">
        <f>IF(OR(B113="Zipper pouch",B113="SUP with zipper"),HELPER!$DC$2*G113/1000,"")</f>
        <v/>
      </c>
      <c r="AJ113" s="923" cm="1">
        <f t="array" ref="AJ113">IF(INDEX('Laminates- copilot'!$E$6:$E$257,ROUNDUP((ROW()-5)/3,0))+50&gt;IF(O113="Quantum",760,1220),"Width exceeds supplier maximum",IFERROR(AF113+AG113+N(AI113)+AH113*G113/1000/MAX(1,MIN(MAX(2,INT(900/INDEX('Laminates- copilot'!$E$6:$E$257,ROUNDUP((ROW()-5)/3,0)))),INT((IF(O113="Quantum",760,1220)-50)/INDEX('Laminates- copilot'!$E$6:$E$257,ROUNDUP((ROW()-5)/3,0))))),"Data is missing"))</f>
        <v>1.1882811154697983</v>
      </c>
      <c r="AK113" s="203">
        <f t="shared" si="29"/>
        <v>1584.3748206263976</v>
      </c>
      <c r="AL113" t="str">
        <f t="shared" si="30"/>
        <v>PASS</v>
      </c>
      <c r="AM113" s="50" t="str">
        <f t="shared" si="31"/>
        <v/>
      </c>
    </row>
    <row r="114" spans="1:39" hidden="1">
      <c r="A114" t="s">
        <v>1742</v>
      </c>
      <c r="B114" t="s">
        <v>251</v>
      </c>
      <c r="C114" s="50" t="s">
        <v>2209</v>
      </c>
      <c r="D114">
        <f>'Laminates- copilot'!B42</f>
        <v>608</v>
      </c>
      <c r="E114" s="858">
        <f>'Laminates- copilot'!D42</f>
        <v>100</v>
      </c>
      <c r="F114" s="858">
        <v>600</v>
      </c>
      <c r="G114" s="858">
        <v>200</v>
      </c>
      <c r="H114" s="858">
        <v>50</v>
      </c>
      <c r="I114" s="858">
        <v>0</v>
      </c>
      <c r="J114" s="858">
        <v>1300</v>
      </c>
      <c r="K114" s="858">
        <v>200000</v>
      </c>
      <c r="L114" s="858" t="str">
        <f>'Laminates- copilot'!K42</f>
        <v>Printed</v>
      </c>
      <c r="M114" s="858" t="str">
        <f>'Laminates- copilot'!L42</f>
        <v>5-8</v>
      </c>
      <c r="N114" s="858">
        <f>'Laminates- copilot'!M42</f>
        <v>8</v>
      </c>
      <c r="O114" s="858" t="str">
        <f>'Laminates- copilot'!O42</f>
        <v>Marma</v>
      </c>
      <c r="P114" s="858" t="str">
        <f>'Laminates- copilot'!N42</f>
        <v>Europe to Europe</v>
      </c>
      <c r="Q114" s="858">
        <f t="shared" si="16"/>
        <v>40000</v>
      </c>
      <c r="R114" s="858">
        <f t="shared" si="17"/>
        <v>40000</v>
      </c>
      <c r="S114" s="858">
        <f>IFERROR('Laminates- copilot'!Q42/'Laminates- copilot'!P42*Q114,"")</f>
        <v>4657.3199999999988</v>
      </c>
      <c r="T114" s="203">
        <f>IFERROR('Laminates- copilot'!R42/'Laminates- copilot'!P42*Q114,"")</f>
        <v>59244.764594532404</v>
      </c>
      <c r="U114" s="912">
        <f>IFERROR('Laminates- copilot'!S42/'Laminates- copilot'!P42*Q114,"")</f>
        <v>68723.92692965758</v>
      </c>
      <c r="V114" s="913">
        <f t="shared" si="18"/>
        <v>12.720784613153578</v>
      </c>
      <c r="W114" s="914">
        <f t="shared" si="19"/>
        <v>14.756110151258149</v>
      </c>
      <c r="X114" s="913">
        <f t="shared" si="20"/>
        <v>1.48111911486331</v>
      </c>
      <c r="Y114" s="913">
        <f t="shared" si="21"/>
        <v>12.720784613153578</v>
      </c>
      <c r="Z114" s="95">
        <f t="shared" si="22"/>
        <v>21472</v>
      </c>
      <c r="AA114" s="50" t="str">
        <f t="shared" si="23"/>
        <v>MOQ OK</v>
      </c>
      <c r="AB114" s="923">
        <f t="shared" si="24"/>
        <v>0.49737062741487242</v>
      </c>
      <c r="AC114" s="924">
        <f t="shared" si="25"/>
        <v>0.57694992780125198</v>
      </c>
      <c r="AD114" s="203">
        <f t="shared" si="26"/>
        <v>99474.125482974487</v>
      </c>
      <c r="AE114" s="912">
        <f t="shared" si="27"/>
        <v>115389.9855602504</v>
      </c>
      <c r="AF114" s="923" cm="1">
        <f t="array" ref="AF114">IF(O114="Quantum",IFERROR(_xlfn.LET(_xlpm.b,_xlfn.SWITCH(LOWER(B114),"zipper bag","Zipper pouch","open bag","Open pouch","sup with zipper","Stand-up pouch","stand-up pouch","Stand-up pouch",B114),_xlpm.w,G114,_xlpm.q,K114,_xlpm.types,'Converting-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missing"),IFERROR(_xlfn.LET(_xlpm.s,O114,_xlpm.b,_xlfn.SWITCH(LOWER(B114),"zipper bag","Zipper pouch","open bag","Open pouch",B114),_xlpm.w,G114,_xlpm.q,K114,_xlpm.src,'Converting-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114" s="923">
        <f>IFERROR(IF(OR(B114="Zipper pouch",B114="SUP with zipper"),HELPER!$DE$2*(AH114+AI114)/K114,HELPER!$DE$2*AH114/K114),"Data is missing")</f>
        <v>4.5297573445899301E-3</v>
      </c>
      <c r="AH114" s="923">
        <f t="shared" si="28"/>
        <v>1.48111911486331</v>
      </c>
      <c r="AI114" s="923">
        <f>IF(OR(B114="Zipper pouch",B114="SUP with zipper"),HELPER!$DC$2*G114/1000,"")</f>
        <v>2.8799999999999996E-2</v>
      </c>
      <c r="AJ114" s="923" cm="1">
        <f t="array" ref="AJ114">IF(INDEX('Laminates- copilot'!$E$6:$E$257,ROUNDUP((ROW()-5)/3,0))+50&gt;IF(O114="Quantum",760,1220),"Width exceeds supplier maximum",IFERROR(AF114+AG114+N(AI114)+AH114*G114/1000/MAX(1,MIN(MAX(2,INT(900/INDEX('Laminates- copilot'!$E$6:$E$257,ROUNDUP((ROW()-5)/3,0)))),INT((IF(O114="Quantum",760,1220)-50)/INDEX('Laminates- copilot'!$E$6:$E$257,ROUNDUP((ROW()-5)/3,0))))),"Data is missing"))</f>
        <v>0.37302797056115433</v>
      </c>
      <c r="AK114" s="203">
        <f t="shared" si="29"/>
        <v>497.37062741487244</v>
      </c>
      <c r="AL114" t="str">
        <f t="shared" si="30"/>
        <v>PASS</v>
      </c>
      <c r="AM114" s="50" t="str">
        <f t="shared" si="31"/>
        <v/>
      </c>
    </row>
    <row r="115" spans="1:39" hidden="1">
      <c r="A115" t="s">
        <v>1743</v>
      </c>
      <c r="B115" t="s">
        <v>261</v>
      </c>
      <c r="C115" s="50" t="s">
        <v>2209</v>
      </c>
      <c r="D115">
        <f>'Laminates- copilot'!B42</f>
        <v>608</v>
      </c>
      <c r="E115" s="858">
        <f>'Laminates- copilot'!D42</f>
        <v>100</v>
      </c>
      <c r="F115" s="858">
        <v>600</v>
      </c>
      <c r="G115" s="858">
        <v>200</v>
      </c>
      <c r="H115" s="858">
        <v>50</v>
      </c>
      <c r="I115" s="858">
        <v>0</v>
      </c>
      <c r="J115" s="858">
        <v>1300</v>
      </c>
      <c r="K115" s="858">
        <v>200000</v>
      </c>
      <c r="L115" s="858" t="str">
        <f>'Laminates- copilot'!K42</f>
        <v>Printed</v>
      </c>
      <c r="M115" s="858" t="str">
        <f>'Laminates- copilot'!L42</f>
        <v>5-8</v>
      </c>
      <c r="N115" s="858">
        <f>'Laminates- copilot'!M42</f>
        <v>8</v>
      </c>
      <c r="O115" s="858" t="str">
        <f>'Laminates- copilot'!O42</f>
        <v>Marma</v>
      </c>
      <c r="P115" s="858" t="str">
        <f>'Laminates- copilot'!N42</f>
        <v>Europe to Europe</v>
      </c>
      <c r="Q115" s="858">
        <f t="shared" si="16"/>
        <v>40000</v>
      </c>
      <c r="R115" s="858">
        <f t="shared" si="17"/>
        <v>40000</v>
      </c>
      <c r="S115" s="858">
        <f>IFERROR('Laminates- copilot'!Q42/'Laminates- copilot'!P42*Q115,"")</f>
        <v>4657.3199999999988</v>
      </c>
      <c r="T115" s="203">
        <f>IFERROR('Laminates- copilot'!R42/'Laminates- copilot'!P42*Q115,"")</f>
        <v>59244.764594532404</v>
      </c>
      <c r="U115" s="912">
        <f>IFERROR('Laminates- copilot'!S42/'Laminates- copilot'!P42*Q115,"")</f>
        <v>68723.92692965758</v>
      </c>
      <c r="V115" s="913">
        <f t="shared" si="18"/>
        <v>12.720784613153578</v>
      </c>
      <c r="W115" s="914">
        <f t="shared" si="19"/>
        <v>14.756110151258149</v>
      </c>
      <c r="X115" s="913">
        <f t="shared" si="20"/>
        <v>1.48111911486331</v>
      </c>
      <c r="Y115" s="913">
        <f t="shared" si="21"/>
        <v>12.720784613153578</v>
      </c>
      <c r="Z115" s="95">
        <f t="shared" si="22"/>
        <v>21472</v>
      </c>
      <c r="AA115" s="50" t="str">
        <f t="shared" si="23"/>
        <v>MOQ OK</v>
      </c>
      <c r="AB115" s="923">
        <f t="shared" si="24"/>
        <v>0.49264039829439943</v>
      </c>
      <c r="AC115" s="924">
        <f t="shared" si="25"/>
        <v>0.57146286202150332</v>
      </c>
      <c r="AD115" s="203">
        <f t="shared" si="26"/>
        <v>98528.079658879884</v>
      </c>
      <c r="AE115" s="912">
        <f t="shared" si="27"/>
        <v>114292.57240430066</v>
      </c>
      <c r="AF115" s="923" cm="1">
        <f t="array" ref="AF115">IF(O115="Quantum",IFERROR(_xlfn.LET(_xlpm.b,_xlfn.SWITCH(LOWER(B115),"zipper bag","Zipper pouch","open bag","Open pouch","sup with zipper","Stand-up pouch","stand-up pouch","Stand-up pouch",B115),_xlpm.w,G115,_xlpm.q,K115,_xlpm.types,'Converting-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missing"),IFERROR(_xlfn.LET(_xlpm.s,O115,_xlpm.b,_xlfn.SWITCH(LOWER(B115),"zipper bag","Zipper pouch","open bag","Open pouch",B115),_xlpm.w,G115,_xlpm.q,K115,_xlpm.src,'Converting-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115" s="923">
        <f>IFERROR(IF(OR(B115="Zipper pouch",B115="SUP with zipper"),HELPER!$DE$2*(AH115+AI115)/K115,HELPER!$DE$2*AH115/K115),"Data is missing")</f>
        <v>4.5297573445899301E-3</v>
      </c>
      <c r="AH115" s="923">
        <f t="shared" si="28"/>
        <v>1.48111911486331</v>
      </c>
      <c r="AI115" s="923">
        <f>IF(OR(B115="Zipper pouch",B115="SUP with zipper"),HELPER!$DC$2*G115/1000,"")</f>
        <v>2.8799999999999996E-2</v>
      </c>
      <c r="AJ115" s="923" cm="1">
        <f t="array" ref="AJ115">IF(INDEX('Laminates- copilot'!$E$6:$E$257,ROUNDUP((ROW()-5)/3,0))+50&gt;IF(O115="Quantum",760,1220),"Width exceeds supplier maximum",IFERROR(AF115+AG115+N(AI115)+AH115*G115/1000/MAX(1,MIN(MAX(2,INT(900/INDEX('Laminates- copilot'!$E$6:$E$257,ROUNDUP((ROW()-5)/3,0)))),INT((IF(O115="Quantum",760,1220)-50)/INDEX('Laminates- copilot'!$E$6:$E$257,ROUNDUP((ROW()-5)/3,0))))),"Data is missing"))</f>
        <v>0.36948029872079957</v>
      </c>
      <c r="AK115" s="203">
        <f t="shared" si="29"/>
        <v>492.6403982943994</v>
      </c>
      <c r="AL115" t="str">
        <f t="shared" si="30"/>
        <v>PASS</v>
      </c>
      <c r="AM115" s="50" t="str">
        <f t="shared" si="31"/>
        <v/>
      </c>
    </row>
    <row r="116" spans="1:39" hidden="1">
      <c r="A116" t="s">
        <v>1744</v>
      </c>
      <c r="B116" t="s">
        <v>262</v>
      </c>
      <c r="C116" s="50" t="s">
        <v>2209</v>
      </c>
      <c r="D116">
        <f>'Laminates- copilot'!B42</f>
        <v>608</v>
      </c>
      <c r="E116" s="858">
        <f>'Laminates- copilot'!D42</f>
        <v>100</v>
      </c>
      <c r="F116" s="858">
        <v>600</v>
      </c>
      <c r="G116" s="858">
        <v>200</v>
      </c>
      <c r="H116" s="858">
        <v>0</v>
      </c>
      <c r="I116" s="858">
        <v>0</v>
      </c>
      <c r="J116" s="858">
        <v>1200</v>
      </c>
      <c r="K116" s="858">
        <v>200000</v>
      </c>
      <c r="L116" s="858" t="str">
        <f>'Laminates- copilot'!K42</f>
        <v>Printed</v>
      </c>
      <c r="M116" s="858" t="str">
        <f>'Laminates- copilot'!L42</f>
        <v>5-8</v>
      </c>
      <c r="N116" s="858">
        <f>'Laminates- copilot'!M42</f>
        <v>8</v>
      </c>
      <c r="O116" s="858" t="str">
        <f>'Laminates- copilot'!O42</f>
        <v>Marma</v>
      </c>
      <c r="P116" s="858" t="str">
        <f>'Laminates- copilot'!N42</f>
        <v>Europe to Europe</v>
      </c>
      <c r="Q116" s="858">
        <f t="shared" si="16"/>
        <v>40000</v>
      </c>
      <c r="R116" s="858">
        <f t="shared" si="17"/>
        <v>40000</v>
      </c>
      <c r="S116" s="858">
        <f>IFERROR('Laminates- copilot'!Q42/'Laminates- copilot'!P42*Q116,"")</f>
        <v>4657.3199999999988</v>
      </c>
      <c r="T116" s="203">
        <f>IFERROR('Laminates- copilot'!R42/'Laminates- copilot'!P42*Q116,"")</f>
        <v>59244.764594532404</v>
      </c>
      <c r="U116" s="912">
        <f>IFERROR('Laminates- copilot'!S42/'Laminates- copilot'!P42*Q116,"")</f>
        <v>68723.92692965758</v>
      </c>
      <c r="V116" s="913">
        <f t="shared" si="18"/>
        <v>12.720784613153578</v>
      </c>
      <c r="W116" s="914">
        <f t="shared" si="19"/>
        <v>14.756110151258149</v>
      </c>
      <c r="X116" s="913">
        <f t="shared" si="20"/>
        <v>1.48111911486331</v>
      </c>
      <c r="Y116" s="913">
        <f t="shared" si="21"/>
        <v>12.720784613153578</v>
      </c>
      <c r="Z116" s="95">
        <f t="shared" si="22"/>
        <v>21472</v>
      </c>
      <c r="AA116" s="50" t="str">
        <f t="shared" si="23"/>
        <v>MOQ OK</v>
      </c>
      <c r="AB116" s="923">
        <f t="shared" si="24"/>
        <v>0.44883999938392338</v>
      </c>
      <c r="AC116" s="924">
        <f t="shared" si="25"/>
        <v>0.52065439928535107</v>
      </c>
      <c r="AD116" s="203">
        <f t="shared" si="26"/>
        <v>89767.99987678467</v>
      </c>
      <c r="AE116" s="912">
        <f t="shared" si="27"/>
        <v>104130.87985707021</v>
      </c>
      <c r="AF116" s="923" cm="1">
        <f t="array" ref="AF116">IF(O116="Quantum",IFERROR(_xlfn.LET(_xlpm.b,_xlfn.SWITCH(LOWER(B116),"zipper bag","Zipper pouch","open bag","Open pouch","sup with zipper","Stand-up pouch","stand-up pouch","Stand-up pouch",B116),_xlpm.w,G116,_xlpm.q,K116,_xlpm.types,'Converting-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missing"),IFERROR(_xlfn.LET(_xlpm.s,O116,_xlpm.b,_xlfn.SWITCH(LOWER(B116),"zipper bag","Zipper pouch","open bag","Open pouch",B116),_xlpm.w,G116,_xlpm.q,K116,_xlpm.src,'Converting-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116" s="923">
        <f>IFERROR(IF(OR(B116="Zipper pouch",B116="SUP with zipper"),HELPER!$DE$2*(AH116+AI116)/K116,HELPER!$DE$2*AH116/K116),"Data is missing")</f>
        <v>4.4433573445899297E-3</v>
      </c>
      <c r="AH116" s="923">
        <f t="shared" si="28"/>
        <v>1.48111911486331</v>
      </c>
      <c r="AI116" s="923" t="str">
        <f>IF(OR(B116="Zipper pouch",B116="SUP with zipper"),HELPER!$DC$2*G116/1000,"")</f>
        <v/>
      </c>
      <c r="AJ116" s="923" cm="1">
        <f t="array" ref="AJ116">IF(INDEX('Laminates- copilot'!$E$6:$E$257,ROUNDUP((ROW()-5)/3,0))+50&gt;IF(O116="Quantum",760,1220),"Width exceeds supplier maximum",IFERROR(AF116+AG116+N(AI116)+AH116*G116/1000/MAX(1,MIN(MAX(2,INT(900/INDEX('Laminates- copilot'!$E$6:$E$257,ROUNDUP((ROW()-5)/3,0)))),INT((IF(O116="Quantum",760,1220)-50)/INDEX('Laminates- copilot'!$E$6:$E$257,ROUNDUP((ROW()-5)/3,0))))),"Data is missing"))</f>
        <v>0.33662999953794254</v>
      </c>
      <c r="AK116" s="203">
        <f t="shared" si="29"/>
        <v>448.83999938392338</v>
      </c>
      <c r="AL116" t="str">
        <f t="shared" si="30"/>
        <v>PASS</v>
      </c>
      <c r="AM116" s="50" t="str">
        <f t="shared" si="31"/>
        <v/>
      </c>
    </row>
    <row r="117" spans="1:39" hidden="1">
      <c r="A117" t="s">
        <v>1745</v>
      </c>
      <c r="B117" t="s">
        <v>251</v>
      </c>
      <c r="C117" s="50" t="s">
        <v>2210</v>
      </c>
      <c r="D117">
        <f>'Laminates- copilot'!B43</f>
        <v>608</v>
      </c>
      <c r="E117" s="858">
        <f>'Laminates- copilot'!D43</f>
        <v>100</v>
      </c>
      <c r="F117" s="858">
        <v>700</v>
      </c>
      <c r="G117" s="858">
        <v>300</v>
      </c>
      <c r="H117" s="858">
        <v>75</v>
      </c>
      <c r="I117" s="858">
        <v>0</v>
      </c>
      <c r="J117" s="858">
        <v>1550</v>
      </c>
      <c r="K117" s="858">
        <v>200000</v>
      </c>
      <c r="L117" s="858" t="str">
        <f>'Laminates- copilot'!K43</f>
        <v>Not Printed</v>
      </c>
      <c r="M117" s="858" t="str">
        <f>'Laminates- copilot'!L43</f>
        <v>0</v>
      </c>
      <c r="N117" s="858">
        <f>'Laminates- copilot'!M43</f>
        <v>1</v>
      </c>
      <c r="O117" s="858" t="str">
        <f>'Laminates- copilot'!O43</f>
        <v>Bastin</v>
      </c>
      <c r="P117" s="858" t="str">
        <f>'Laminates- copilot'!N43</f>
        <v>Europe to US</v>
      </c>
      <c r="Q117" s="858">
        <f t="shared" si="16"/>
        <v>60000</v>
      </c>
      <c r="R117" s="858">
        <f t="shared" si="17"/>
        <v>60000</v>
      </c>
      <c r="S117" s="858">
        <f>IFERROR('Laminates- copilot'!Q43/'Laminates- copilot'!P43*Q117,"")</f>
        <v>1940.5500000000002</v>
      </c>
      <c r="T117" s="203">
        <f>IFERROR('Laminates- copilot'!R43/'Laminates- copilot'!P43*Q117,"")</f>
        <v>28718.970887489253</v>
      </c>
      <c r="U117" s="912">
        <f>IFERROR('Laminates- copilot'!S43/'Laminates- copilot'!P43*Q117,"")</f>
        <v>33314.006229487532</v>
      </c>
      <c r="V117" s="913">
        <f t="shared" si="18"/>
        <v>14.799397535486975</v>
      </c>
      <c r="W117" s="914">
        <f t="shared" si="19"/>
        <v>17.167301141164891</v>
      </c>
      <c r="X117" s="913">
        <f t="shared" si="20"/>
        <v>0.47864951479148754</v>
      </c>
      <c r="Y117" s="913">
        <f t="shared" si="21"/>
        <v>14.799397535486975</v>
      </c>
      <c r="Z117" s="95">
        <f t="shared" si="22"/>
        <v>51532</v>
      </c>
      <c r="AA117" s="50" t="str">
        <f t="shared" si="23"/>
        <v>MOQ OK</v>
      </c>
      <c r="AB117" s="923">
        <f t="shared" si="24"/>
        <v>0.2181080411600109</v>
      </c>
      <c r="AC117" s="924">
        <f t="shared" si="25"/>
        <v>0.25300532774561263</v>
      </c>
      <c r="AD117" s="203">
        <f t="shared" si="26"/>
        <v>43621.608232002181</v>
      </c>
      <c r="AE117" s="912">
        <f t="shared" si="27"/>
        <v>50601.065549122526</v>
      </c>
      <c r="AF117" s="923" cm="1">
        <f t="array" ref="AF117">IF(O117="Quantum",IFERROR(_xlfn.LET(_xlpm.b,_xlfn.SWITCH(LOWER(B117),"zipper bag","Zipper pouch","open bag","Open pouch","sup with zipper","Stand-up pouch","stand-up pouch","Stand-up pouch",B117),_xlpm.w,G117,_xlpm.q,K117,_xlpm.types,'Converting-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missing"),IFERROR(_xlfn.LET(_xlpm.s,O117,_xlpm.b,_xlfn.SWITCH(LOWER(B117),"zipper bag","Zipper pouch","open bag","Open pouch",B117),_xlpm.w,G117,_xlpm.q,K117,_xlpm.src,'Converting-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117" s="923">
        <f>IFERROR(IF(OR(B117="Zipper pouch",B117="SUP with zipper"),HELPER!$DE$2*(AH117+AI117)/K117,HELPER!$DE$2*AH117/K117),"Data is missing")</f>
        <v>1.5655485443744628E-3</v>
      </c>
      <c r="AH117" s="923">
        <f t="shared" si="28"/>
        <v>0.47864951479148754</v>
      </c>
      <c r="AI117" s="923">
        <f>IF(OR(B117="Zipper pouch",B117="SUP with zipper"),HELPER!$DC$2*G117/1000,"")</f>
        <v>4.3199999999999995E-2</v>
      </c>
      <c r="AJ117" s="923" cm="1">
        <f t="array" ref="AJ117">IF(INDEX('Laminates- copilot'!$E$6:$E$257,ROUNDUP((ROW()-5)/3,0))+50&gt;IF(O117="Quantum",760,1220),"Width exceeds supplier maximum",IFERROR(AF117+AG117+N(AI117)+AH117*G117/1000/MAX(1,MIN(MAX(2,INT(900/INDEX('Laminates- copilot'!$E$6:$E$257,ROUNDUP((ROW()-5)/3,0)))),INT((IF(O117="Quantum",760,1220)-50)/INDEX('Laminates- copilot'!$E$6:$E$257,ROUNDUP((ROW()-5)/3,0))))),"Data is missing"))</f>
        <v>0.16358103087000817</v>
      </c>
      <c r="AK117" s="203">
        <f t="shared" si="29"/>
        <v>218.10804116001088</v>
      </c>
      <c r="AL117" t="str">
        <f t="shared" si="30"/>
        <v>PASS</v>
      </c>
      <c r="AM117" s="50" t="str">
        <f t="shared" si="31"/>
        <v/>
      </c>
    </row>
    <row r="118" spans="1:39" hidden="1">
      <c r="A118" t="s">
        <v>1746</v>
      </c>
      <c r="B118" t="s">
        <v>261</v>
      </c>
      <c r="C118" s="50" t="s">
        <v>2210</v>
      </c>
      <c r="D118">
        <f>'Laminates- copilot'!B43</f>
        <v>608</v>
      </c>
      <c r="E118" s="858">
        <f>'Laminates- copilot'!D43</f>
        <v>100</v>
      </c>
      <c r="F118" s="858">
        <v>700</v>
      </c>
      <c r="G118" s="858">
        <v>300</v>
      </c>
      <c r="H118" s="858">
        <v>75</v>
      </c>
      <c r="I118" s="858">
        <v>0</v>
      </c>
      <c r="J118" s="858">
        <v>1550</v>
      </c>
      <c r="K118" s="858">
        <v>200000</v>
      </c>
      <c r="L118" s="858" t="str">
        <f>'Laminates- copilot'!K43</f>
        <v>Not Printed</v>
      </c>
      <c r="M118" s="858" t="str">
        <f>'Laminates- copilot'!L43</f>
        <v>0</v>
      </c>
      <c r="N118" s="858">
        <f>'Laminates- copilot'!M43</f>
        <v>1</v>
      </c>
      <c r="O118" s="858" t="str">
        <f>'Laminates- copilot'!O43</f>
        <v>Bastin</v>
      </c>
      <c r="P118" s="858" t="str">
        <f>'Laminates- copilot'!N43</f>
        <v>Europe to US</v>
      </c>
      <c r="Q118" s="858">
        <f t="shared" si="16"/>
        <v>60000</v>
      </c>
      <c r="R118" s="858">
        <f t="shared" si="17"/>
        <v>60000</v>
      </c>
      <c r="S118" s="858">
        <f>IFERROR('Laminates- copilot'!Q43/'Laminates- copilot'!P43*Q118,"")</f>
        <v>1940.5500000000002</v>
      </c>
      <c r="T118" s="203">
        <f>IFERROR('Laminates- copilot'!R43/'Laminates- copilot'!P43*Q118,"")</f>
        <v>28718.970887489253</v>
      </c>
      <c r="U118" s="912">
        <f>IFERROR('Laminates- copilot'!S43/'Laminates- copilot'!P43*Q118,"")</f>
        <v>33314.006229487532</v>
      </c>
      <c r="V118" s="913">
        <f t="shared" si="18"/>
        <v>14.799397535486975</v>
      </c>
      <c r="W118" s="914">
        <f t="shared" si="19"/>
        <v>17.167301141164891</v>
      </c>
      <c r="X118" s="913">
        <f t="shared" si="20"/>
        <v>0.47864951479148754</v>
      </c>
      <c r="Y118" s="913">
        <f t="shared" si="21"/>
        <v>14.799397535486975</v>
      </c>
      <c r="Z118" s="95">
        <f t="shared" si="22"/>
        <v>51532</v>
      </c>
      <c r="AA118" s="50" t="str">
        <f t="shared" si="23"/>
        <v>MOQ OK</v>
      </c>
      <c r="AB118" s="923">
        <f t="shared" si="24"/>
        <v>0.21051184969007483</v>
      </c>
      <c r="AC118" s="924">
        <f t="shared" si="25"/>
        <v>0.24419374564048679</v>
      </c>
      <c r="AD118" s="203">
        <f t="shared" si="26"/>
        <v>42102.369938014963</v>
      </c>
      <c r="AE118" s="912">
        <f t="shared" si="27"/>
        <v>48838.749128097355</v>
      </c>
      <c r="AF118" s="923" cm="1">
        <f t="array" ref="AF118">IF(O118="Quantum",IFERROR(_xlfn.LET(_xlpm.b,_xlfn.SWITCH(LOWER(B118),"zipper bag","Zipper pouch","open bag","Open pouch","sup with zipper","Stand-up pouch","stand-up pouch","Stand-up pouch",B118),_xlpm.w,G118,_xlpm.q,K118,_xlpm.types,'Converting-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missing"),IFERROR(_xlfn.LET(_xlpm.s,O118,_xlpm.b,_xlfn.SWITCH(LOWER(B118),"zipper bag","Zipper pouch","open bag","Open pouch",B118),_xlpm.w,G118,_xlpm.q,K118,_xlpm.src,'Converting-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118" s="923">
        <f>IFERROR(IF(OR(B118="Zipper pouch",B118="SUP with zipper"),HELPER!$DE$2*(AH118+AI118)/K118,HELPER!$DE$2*AH118/K118),"Data is missing")</f>
        <v>1.5655485443744628E-3</v>
      </c>
      <c r="AH118" s="923">
        <f t="shared" si="28"/>
        <v>0.47864951479148754</v>
      </c>
      <c r="AI118" s="923">
        <f>IF(OR(B118="Zipper pouch",B118="SUP with zipper"),HELPER!$DC$2*G118/1000,"")</f>
        <v>4.3199999999999995E-2</v>
      </c>
      <c r="AJ118" s="923" cm="1">
        <f t="array" ref="AJ118">IF(INDEX('Laminates- copilot'!$E$6:$E$257,ROUNDUP((ROW()-5)/3,0))+50&gt;IF(O118="Quantum",760,1220),"Width exceeds supplier maximum",IFERROR(AF118+AG118+N(AI118)+AH118*G118/1000/MAX(1,MIN(MAX(2,INT(900/INDEX('Laminates- copilot'!$E$6:$E$257,ROUNDUP((ROW()-5)/3,0)))),INT((IF(O118="Quantum",760,1220)-50)/INDEX('Laminates- copilot'!$E$6:$E$257,ROUNDUP((ROW()-5)/3,0))))),"Data is missing"))</f>
        <v>0.15788388726755612</v>
      </c>
      <c r="AK118" s="203">
        <f t="shared" si="29"/>
        <v>210.51184969007483</v>
      </c>
      <c r="AL118" t="str">
        <f t="shared" si="30"/>
        <v>PASS</v>
      </c>
      <c r="AM118" s="50" t="str">
        <f t="shared" si="31"/>
        <v/>
      </c>
    </row>
    <row r="119" spans="1:39" hidden="1">
      <c r="A119" t="s">
        <v>1747</v>
      </c>
      <c r="B119" t="s">
        <v>262</v>
      </c>
      <c r="C119" s="50" t="s">
        <v>2210</v>
      </c>
      <c r="D119">
        <f>'Laminates- copilot'!B43</f>
        <v>608</v>
      </c>
      <c r="E119" s="858">
        <f>'Laminates- copilot'!D43</f>
        <v>100</v>
      </c>
      <c r="F119" s="858">
        <v>700</v>
      </c>
      <c r="G119" s="858">
        <v>300</v>
      </c>
      <c r="H119" s="858">
        <v>0</v>
      </c>
      <c r="I119" s="858">
        <v>0</v>
      </c>
      <c r="J119" s="858">
        <v>1400</v>
      </c>
      <c r="K119" s="858">
        <v>200000</v>
      </c>
      <c r="L119" s="858" t="str">
        <f>'Laminates- copilot'!K43</f>
        <v>Not Printed</v>
      </c>
      <c r="M119" s="858" t="str">
        <f>'Laminates- copilot'!L43</f>
        <v>0</v>
      </c>
      <c r="N119" s="858">
        <f>'Laminates- copilot'!M43</f>
        <v>1</v>
      </c>
      <c r="O119" s="858" t="str">
        <f>'Laminates- copilot'!O43</f>
        <v>Bastin</v>
      </c>
      <c r="P119" s="858" t="str">
        <f>'Laminates- copilot'!N43</f>
        <v>Europe to US</v>
      </c>
      <c r="Q119" s="858">
        <f t="shared" si="16"/>
        <v>60000</v>
      </c>
      <c r="R119" s="858">
        <f t="shared" si="17"/>
        <v>60000</v>
      </c>
      <c r="S119" s="858">
        <f>IFERROR('Laminates- copilot'!Q43/'Laminates- copilot'!P43*Q119,"")</f>
        <v>1940.5500000000002</v>
      </c>
      <c r="T119" s="203">
        <f>IFERROR('Laminates- copilot'!R43/'Laminates- copilot'!P43*Q119,"")</f>
        <v>28718.970887489253</v>
      </c>
      <c r="U119" s="912">
        <f>IFERROR('Laminates- copilot'!S43/'Laminates- copilot'!P43*Q119,"")</f>
        <v>33314.006229487532</v>
      </c>
      <c r="V119" s="913">
        <f t="shared" si="18"/>
        <v>14.799397535486975</v>
      </c>
      <c r="W119" s="914">
        <f t="shared" si="19"/>
        <v>17.167301141164891</v>
      </c>
      <c r="X119" s="913">
        <f t="shared" si="20"/>
        <v>0.47864951479148754</v>
      </c>
      <c r="Y119" s="913">
        <f t="shared" si="21"/>
        <v>14.799397535486975</v>
      </c>
      <c r="Z119" s="95">
        <f t="shared" si="22"/>
        <v>51532</v>
      </c>
      <c r="AA119" s="50" t="str">
        <f t="shared" si="23"/>
        <v>MOQ OK</v>
      </c>
      <c r="AB119" s="923">
        <f t="shared" si="24"/>
        <v>0.14378464059323712</v>
      </c>
      <c r="AC119" s="924">
        <f t="shared" si="25"/>
        <v>0.16679018308815505</v>
      </c>
      <c r="AD119" s="203">
        <f t="shared" si="26"/>
        <v>28756.928118647422</v>
      </c>
      <c r="AE119" s="912">
        <f t="shared" si="27"/>
        <v>33358.036617631005</v>
      </c>
      <c r="AF119" s="923" cm="1">
        <f t="array" ref="AF119">IF(O119="Quantum",IFERROR(_xlfn.LET(_xlpm.b,_xlfn.SWITCH(LOWER(B119),"zipper bag","Zipper pouch","open bag","Open pouch","sup with zipper","Stand-up pouch","stand-up pouch","Stand-up pouch",B119),_xlpm.w,G119,_xlpm.q,K119,_xlpm.types,'Converting-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missing"),IFERROR(_xlfn.LET(_xlpm.s,O119,_xlpm.b,_xlfn.SWITCH(LOWER(B119),"zipper bag","Zipper pouch","open bag","Open pouch",B119),_xlpm.w,G119,_xlpm.q,K119,_xlpm.src,'Converting-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119" s="923">
        <f>IFERROR(IF(OR(B119="Zipper pouch",B119="SUP with zipper"),HELPER!$DE$2*(AH119+AI119)/K119,HELPER!$DE$2*AH119/K119),"Data is missing")</f>
        <v>1.4359485443744627E-3</v>
      </c>
      <c r="AH119" s="923">
        <f t="shared" si="28"/>
        <v>0.47864951479148754</v>
      </c>
      <c r="AI119" s="923" t="str">
        <f>IF(OR(B119="Zipper pouch",B119="SUP with zipper"),HELPER!$DC$2*G119/1000,"")</f>
        <v/>
      </c>
      <c r="AJ119" s="923" cm="1">
        <f t="array" ref="AJ119">IF(INDEX('Laminates- copilot'!$E$6:$E$257,ROUNDUP((ROW()-5)/3,0))+50&gt;IF(O119="Quantum",760,1220),"Width exceeds supplier maximum",IFERROR(AF119+AG119+N(AI119)+AH119*G119/1000/MAX(1,MIN(MAX(2,INT(900/INDEX('Laminates- copilot'!$E$6:$E$257,ROUNDUP((ROW()-5)/3,0)))),INT((IF(O119="Quantum",760,1220)-50)/INDEX('Laminates- copilot'!$E$6:$E$257,ROUNDUP((ROW()-5)/3,0))))),"Data is missing"))</f>
        <v>0.10783848044492783</v>
      </c>
      <c r="AK119" s="203">
        <f t="shared" si="29"/>
        <v>143.78464059323713</v>
      </c>
      <c r="AL119" t="str">
        <f t="shared" si="30"/>
        <v>PASS</v>
      </c>
      <c r="AM119" s="50" t="str">
        <f t="shared" si="31"/>
        <v/>
      </c>
    </row>
    <row r="120" spans="1:39" hidden="1">
      <c r="A120" t="s">
        <v>1748</v>
      </c>
      <c r="B120" t="s">
        <v>251</v>
      </c>
      <c r="C120" s="50" t="s">
        <v>1626</v>
      </c>
      <c r="D120">
        <f>'Laminates- copilot'!B44</f>
        <v>608</v>
      </c>
      <c r="E120" s="858">
        <f>'Laminates- copilot'!D44</f>
        <v>100</v>
      </c>
      <c r="F120" s="858">
        <v>250</v>
      </c>
      <c r="G120" s="858">
        <v>400</v>
      </c>
      <c r="H120" s="858">
        <v>50</v>
      </c>
      <c r="I120" s="858">
        <v>0</v>
      </c>
      <c r="J120" s="858">
        <v>600</v>
      </c>
      <c r="K120" s="858">
        <v>1000000</v>
      </c>
      <c r="L120" s="858" t="str">
        <f>'Laminates- copilot'!K44</f>
        <v>Printed</v>
      </c>
      <c r="M120" s="858" t="str">
        <f>'Laminates- copilot'!L44</f>
        <v>3-4</v>
      </c>
      <c r="N120" s="858">
        <f>'Laminates- copilot'!M44</f>
        <v>4</v>
      </c>
      <c r="O120" s="858" t="str">
        <f>'Laminates- copilot'!O44</f>
        <v>Quantum</v>
      </c>
      <c r="P120" s="858" t="str">
        <f>'Laminates- copilot'!N44</f>
        <v>Europe to Europe</v>
      </c>
      <c r="Q120" s="858">
        <f t="shared" si="16"/>
        <v>400000</v>
      </c>
      <c r="R120" s="858">
        <f t="shared" si="17"/>
        <v>400000</v>
      </c>
      <c r="S120" s="858">
        <f>IFERROR('Laminates- copilot'!Q44/'Laminates- copilot'!P44*Q120,"")</f>
        <v>31048.799999999999</v>
      </c>
      <c r="T120" s="203">
        <f>IFERROR('Laminates- copilot'!R44/'Laminates- copilot'!P44*Q120,"")</f>
        <v>764542.53480551718</v>
      </c>
      <c r="U120" s="912">
        <f>IFERROR('Laminates- copilot'!S44/'Laminates- copilot'!P44*Q120,"")</f>
        <v>886869.34037439991</v>
      </c>
      <c r="V120" s="913">
        <f t="shared" si="18"/>
        <v>24.623899629148863</v>
      </c>
      <c r="W120" s="914">
        <f t="shared" si="19"/>
        <v>28.56372356981268</v>
      </c>
      <c r="X120" s="913">
        <f t="shared" si="20"/>
        <v>1.9113563370137929</v>
      </c>
      <c r="Y120" s="913">
        <f t="shared" si="21"/>
        <v>24.623899629148863</v>
      </c>
      <c r="Z120" s="95">
        <f t="shared" si="22"/>
        <v>16104</v>
      </c>
      <c r="AA120" s="50" t="str">
        <f t="shared" si="23"/>
        <v>MOQ OK</v>
      </c>
      <c r="AB120" s="923">
        <f t="shared" si="24"/>
        <v>1.3822635795768681</v>
      </c>
      <c r="AC120" s="924">
        <f t="shared" si="25"/>
        <v>1.6034257523091668</v>
      </c>
      <c r="AD120" s="203">
        <f t="shared" si="26"/>
        <v>1382263.5795768681</v>
      </c>
      <c r="AE120" s="912">
        <f t="shared" si="27"/>
        <v>1603425.7523091668</v>
      </c>
      <c r="AF120" s="923" cm="1">
        <f t="array" ref="AF120">IF(O120="Quantum",IFERROR(_xlfn.LET(_xlpm.b,_xlfn.SWITCH(LOWER(B120),"zipper bag","Zipper pouch","open bag","Open pouch","sup with zipper","Stand-up pouch","stand-up pouch","Stand-up pouch",B120),_xlpm.w,G120,_xlpm.q,K120,_xlpm.types,'Converting-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missing"),IFERROR(_xlfn.LET(_xlpm.s,O120,_xlpm.b,_xlfn.SWITCH(LOWER(B120),"zipper bag","Zipper pouch","open bag","Open pouch",B120),_xlpm.w,G120,_xlpm.q,K120,_xlpm.src,'Converting-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0.2133737760749255</v>
      </c>
      <c r="AG120" s="923">
        <f>IFERROR(IF(OR(B120="Zipper pouch",B120="SUP with zipper"),HELPER!$DE$2*(AH120+AI120)/K120,HELPER!$DE$2*AH120/K120),"Data is missing")</f>
        <v>1.1813738022082758E-3</v>
      </c>
      <c r="AH120" s="923">
        <f t="shared" si="28"/>
        <v>1.9113563370137929</v>
      </c>
      <c r="AI120" s="923">
        <f>IF(OR(B120="Zipper pouch",B120="SUP with zipper"),HELPER!$DC$2*G120/1000,"")</f>
        <v>5.7599999999999991E-2</v>
      </c>
      <c r="AJ120" s="923" cm="1">
        <f t="array" ref="AJ120">IF(INDEX('Laminates- copilot'!$E$6:$E$257,ROUNDUP((ROW()-5)/3,0))+50&gt;IF(O120="Quantum",760,1220),"Width exceeds supplier maximum",IFERROR(AF120+AG120+N(AI120)+AH120*G120/1000/MAX(1,MIN(MAX(2,INT(900/INDEX('Laminates- copilot'!$E$6:$E$257,ROUNDUP((ROW()-5)/3,0)))),INT((IF(O120="Quantum",760,1220)-50)/INDEX('Laminates- copilot'!$E$6:$E$257,ROUNDUP((ROW()-5)/3,0))))),"Data is missing"))</f>
        <v>1.036697684682651</v>
      </c>
      <c r="AK120" s="203">
        <f t="shared" si="29"/>
        <v>1382.2635795768681</v>
      </c>
      <c r="AL120" t="str">
        <f t="shared" si="30"/>
        <v>PASS</v>
      </c>
      <c r="AM120" s="50" t="str">
        <f t="shared" si="31"/>
        <v/>
      </c>
    </row>
    <row r="121" spans="1:39" hidden="1">
      <c r="A121" t="s">
        <v>1749</v>
      </c>
      <c r="B121" t="s">
        <v>261</v>
      </c>
      <c r="C121" s="50" t="s">
        <v>1626</v>
      </c>
      <c r="D121">
        <f>'Laminates- copilot'!B44</f>
        <v>608</v>
      </c>
      <c r="E121" s="858">
        <f>'Laminates- copilot'!D44</f>
        <v>100</v>
      </c>
      <c r="F121" s="858">
        <v>250</v>
      </c>
      <c r="G121" s="858">
        <v>400</v>
      </c>
      <c r="H121" s="858">
        <v>50</v>
      </c>
      <c r="I121" s="858">
        <v>0</v>
      </c>
      <c r="J121" s="858">
        <v>600</v>
      </c>
      <c r="K121" s="858">
        <v>1000000</v>
      </c>
      <c r="L121" s="858" t="str">
        <f>'Laminates- copilot'!K44</f>
        <v>Printed</v>
      </c>
      <c r="M121" s="858" t="str">
        <f>'Laminates- copilot'!L44</f>
        <v>3-4</v>
      </c>
      <c r="N121" s="858">
        <f>'Laminates- copilot'!M44</f>
        <v>4</v>
      </c>
      <c r="O121" s="858" t="str">
        <f>'Laminates- copilot'!O44</f>
        <v>Quantum</v>
      </c>
      <c r="P121" s="858" t="str">
        <f>'Laminates- copilot'!N44</f>
        <v>Europe to Europe</v>
      </c>
      <c r="Q121" s="858">
        <f t="shared" si="16"/>
        <v>400000</v>
      </c>
      <c r="R121" s="858">
        <f t="shared" si="17"/>
        <v>400000</v>
      </c>
      <c r="S121" s="858">
        <f>IFERROR('Laminates- copilot'!Q44/'Laminates- copilot'!P44*Q121,"")</f>
        <v>31048.799999999999</v>
      </c>
      <c r="T121" s="203">
        <f>IFERROR('Laminates- copilot'!R44/'Laminates- copilot'!P44*Q121,"")</f>
        <v>764542.53480551718</v>
      </c>
      <c r="U121" s="912">
        <f>IFERROR('Laminates- copilot'!S44/'Laminates- copilot'!P44*Q121,"")</f>
        <v>886869.34037439991</v>
      </c>
      <c r="V121" s="913">
        <f t="shared" si="18"/>
        <v>24.623899629148863</v>
      </c>
      <c r="W121" s="914">
        <f t="shared" si="19"/>
        <v>28.56372356981268</v>
      </c>
      <c r="X121" s="913">
        <f t="shared" si="20"/>
        <v>1.9113563370137929</v>
      </c>
      <c r="Y121" s="913">
        <f t="shared" si="21"/>
        <v>24.623899629148863</v>
      </c>
      <c r="Z121" s="95">
        <f t="shared" si="22"/>
        <v>16104</v>
      </c>
      <c r="AA121" s="50" t="str">
        <f t="shared" si="23"/>
        <v>MOQ OK</v>
      </c>
      <c r="AB121" s="923">
        <f t="shared" si="24"/>
        <v>1.3507292781404807</v>
      </c>
      <c r="AC121" s="924">
        <f t="shared" si="25"/>
        <v>1.5668459626429576</v>
      </c>
      <c r="AD121" s="203">
        <f t="shared" si="26"/>
        <v>1350729.2781404806</v>
      </c>
      <c r="AE121" s="912">
        <f t="shared" si="27"/>
        <v>1566845.9626429575</v>
      </c>
      <c r="AF121" s="923" cm="1">
        <f t="array" ref="AF121">IF(O121="Quantum",IFERROR(_xlfn.LET(_xlpm.b,_xlfn.SWITCH(LOWER(B121),"zipper bag","Zipper pouch","open bag","Open pouch","sup with zipper","Stand-up pouch","stand-up pouch","Stand-up pouch",B121),_xlpm.w,G121,_xlpm.q,K121,_xlpm.types,'Converting-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missing"),IFERROR(_xlfn.LET(_xlpm.s,O121,_xlpm.b,_xlfn.SWITCH(LOWER(B121),"zipper bag","Zipper pouch","open bag","Open pouch",B121),_xlpm.w,G121,_xlpm.q,K121,_xlpm.src,'Converting-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0.18972304999763498</v>
      </c>
      <c r="AG121" s="923">
        <f>IFERROR(IF(OR(B121="Zipper pouch",B121="SUP with zipper"),HELPER!$DE$2*(AH121+AI121)/K121,HELPER!$DE$2*AH121/K121),"Data is missing")</f>
        <v>1.1813738022082758E-3</v>
      </c>
      <c r="AH121" s="923">
        <f t="shared" si="28"/>
        <v>1.9113563370137929</v>
      </c>
      <c r="AI121" s="923">
        <f>IF(OR(B121="Zipper pouch",B121="SUP with zipper"),HELPER!$DC$2*G121/1000,"")</f>
        <v>5.7599999999999991E-2</v>
      </c>
      <c r="AJ121" s="923" cm="1">
        <f t="array" ref="AJ121">IF(INDEX('Laminates- copilot'!$E$6:$E$257,ROUNDUP((ROW()-5)/3,0))+50&gt;IF(O121="Quantum",760,1220),"Width exceeds supplier maximum",IFERROR(AF121+AG121+N(AI121)+AH121*G121/1000/MAX(1,MIN(MAX(2,INT(900/INDEX('Laminates- copilot'!$E$6:$E$257,ROUNDUP((ROW()-5)/3,0)))),INT((IF(O121="Quantum",760,1220)-50)/INDEX('Laminates- copilot'!$E$6:$E$257,ROUNDUP((ROW()-5)/3,0))))),"Data is missing"))</f>
        <v>1.0130469586053605</v>
      </c>
      <c r="AK121" s="203">
        <f t="shared" si="29"/>
        <v>1350.7292781404808</v>
      </c>
      <c r="AL121" t="str">
        <f t="shared" si="30"/>
        <v>PASS</v>
      </c>
      <c r="AM121" s="50" t="str">
        <f t="shared" si="31"/>
        <v/>
      </c>
    </row>
    <row r="122" spans="1:39" hidden="1">
      <c r="A122" t="s">
        <v>1750</v>
      </c>
      <c r="B122" t="s">
        <v>262</v>
      </c>
      <c r="C122" s="50" t="s">
        <v>1626</v>
      </c>
      <c r="D122">
        <f>'Laminates- copilot'!B44</f>
        <v>608</v>
      </c>
      <c r="E122" s="858">
        <f>'Laminates- copilot'!D44</f>
        <v>100</v>
      </c>
      <c r="F122" s="858">
        <v>250</v>
      </c>
      <c r="G122" s="858">
        <v>400</v>
      </c>
      <c r="H122" s="858">
        <v>0</v>
      </c>
      <c r="I122" s="858">
        <v>15</v>
      </c>
      <c r="J122" s="858">
        <v>515</v>
      </c>
      <c r="K122" s="858">
        <v>1000000</v>
      </c>
      <c r="L122" s="858" t="str">
        <f>'Laminates- copilot'!K44</f>
        <v>Printed</v>
      </c>
      <c r="M122" s="858" t="str">
        <f>'Laminates- copilot'!L44</f>
        <v>3-4</v>
      </c>
      <c r="N122" s="858">
        <f>'Laminates- copilot'!M44</f>
        <v>4</v>
      </c>
      <c r="O122" s="858" t="str">
        <f>'Laminates- copilot'!O44</f>
        <v>Quantum</v>
      </c>
      <c r="P122" s="858" t="str">
        <f>'Laminates- copilot'!N44</f>
        <v>Europe to Europe</v>
      </c>
      <c r="Q122" s="858">
        <f t="shared" si="16"/>
        <v>400000</v>
      </c>
      <c r="R122" s="858">
        <f t="shared" si="17"/>
        <v>400000</v>
      </c>
      <c r="S122" s="858">
        <f>IFERROR('Laminates- copilot'!Q44/'Laminates- copilot'!P44*Q122,"")</f>
        <v>31048.799999999999</v>
      </c>
      <c r="T122" s="203">
        <f>IFERROR('Laminates- copilot'!R44/'Laminates- copilot'!P44*Q122,"")</f>
        <v>764542.53480551718</v>
      </c>
      <c r="U122" s="912">
        <f>IFERROR('Laminates- copilot'!S44/'Laminates- copilot'!P44*Q122,"")</f>
        <v>886869.34037439991</v>
      </c>
      <c r="V122" s="913">
        <f t="shared" si="18"/>
        <v>24.623899629148863</v>
      </c>
      <c r="W122" s="914">
        <f t="shared" si="19"/>
        <v>28.56372356981268</v>
      </c>
      <c r="X122" s="913">
        <f t="shared" si="20"/>
        <v>1.9113563370137929</v>
      </c>
      <c r="Y122" s="913">
        <f t="shared" si="21"/>
        <v>24.623899629148863</v>
      </c>
      <c r="Z122" s="95">
        <f t="shared" si="22"/>
        <v>16104</v>
      </c>
      <c r="AA122" s="50" t="str">
        <f t="shared" si="23"/>
        <v>MOQ OK</v>
      </c>
      <c r="AB122" s="923">
        <f t="shared" si="24"/>
        <v>1.2484258719338994</v>
      </c>
      <c r="AC122" s="924">
        <f t="shared" si="25"/>
        <v>1.4481740114433233</v>
      </c>
      <c r="AD122" s="203">
        <f t="shared" si="26"/>
        <v>1248425.8719338994</v>
      </c>
      <c r="AE122" s="912">
        <f t="shared" si="27"/>
        <v>1448174.0114433232</v>
      </c>
      <c r="AF122" s="923" cm="1">
        <f t="array" ref="AF122">IF(O122="Quantum",IFERROR(_xlfn.LET(_xlpm.b,_xlfn.SWITCH(LOWER(B122),"zipper bag","Zipper pouch","open bag","Open pouch","sup with zipper","Stand-up pouch","stand-up pouch","Stand-up pouch",B122),_xlpm.w,G122,_xlpm.q,K122,_xlpm.types,'Converting-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missing"),IFERROR(_xlfn.LET(_xlpm.s,O122,_xlpm.b,_xlfn.SWITCH(LOWER(B122),"zipper bag","Zipper pouch","open bag","Open pouch",B122),_xlpm.w,G122,_xlpm.q,K122,_xlpm.src,'Converting-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0.17063005534269901</v>
      </c>
      <c r="AG122" s="923">
        <f>IFERROR(IF(OR(B122="Zipper pouch",B122="SUP with zipper"),HELPER!$DE$2*(AH122+AI122)/K122,HELPER!$DE$2*AH122/K122),"Data is missing")</f>
        <v>1.1468138022082757E-3</v>
      </c>
      <c r="AH122" s="923">
        <f t="shared" si="28"/>
        <v>1.9113563370137929</v>
      </c>
      <c r="AI122" s="923" t="str">
        <f>IF(OR(B122="Zipper pouch",B122="SUP with zipper"),HELPER!$DC$2*G122/1000,"")</f>
        <v/>
      </c>
      <c r="AJ122" s="923" cm="1">
        <f t="array" ref="AJ122">IF(INDEX('Laminates- copilot'!$E$6:$E$257,ROUNDUP((ROW()-5)/3,0))+50&gt;IF(O122="Quantum",760,1220),"Width exceeds supplier maximum",IFERROR(AF122+AG122+N(AI122)+AH122*G122/1000/MAX(1,MIN(MAX(2,INT(900/INDEX('Laminates- copilot'!$E$6:$E$257,ROUNDUP((ROW()-5)/3,0)))),INT((IF(O122="Quantum",760,1220)-50)/INDEX('Laminates- copilot'!$E$6:$E$257,ROUNDUP((ROW()-5)/3,0))))),"Data is missing"))</f>
        <v>0.93631940395042457</v>
      </c>
      <c r="AK122" s="203">
        <f t="shared" si="29"/>
        <v>1248.4258719338993</v>
      </c>
      <c r="AL122" t="str">
        <f t="shared" si="30"/>
        <v>PASS</v>
      </c>
      <c r="AM122" s="50" t="str">
        <f t="shared" si="31"/>
        <v/>
      </c>
    </row>
    <row r="123" spans="1:39" hidden="1">
      <c r="A123" t="s">
        <v>1751</v>
      </c>
      <c r="B123" t="s">
        <v>251</v>
      </c>
      <c r="C123" s="50" t="s">
        <v>1627</v>
      </c>
      <c r="D123">
        <f>'Laminates- copilot'!B45</f>
        <v>608</v>
      </c>
      <c r="E123" s="858">
        <f>'Laminates- copilot'!D45</f>
        <v>100</v>
      </c>
      <c r="F123" s="858">
        <v>350</v>
      </c>
      <c r="G123" s="858">
        <v>500</v>
      </c>
      <c r="H123" s="858">
        <v>100</v>
      </c>
      <c r="I123" s="858">
        <v>0</v>
      </c>
      <c r="J123" s="858">
        <v>900</v>
      </c>
      <c r="K123" s="858">
        <v>1600000</v>
      </c>
      <c r="L123" s="858" t="str">
        <f>'Laminates- copilot'!K45</f>
        <v>Printed</v>
      </c>
      <c r="M123" s="858" t="str">
        <f>'Laminates- copilot'!L45</f>
        <v>1-2</v>
      </c>
      <c r="N123" s="858">
        <f>'Laminates- copilot'!M45</f>
        <v>2</v>
      </c>
      <c r="O123" s="858" t="str">
        <f>'Laminates- copilot'!O45</f>
        <v>Quantum</v>
      </c>
      <c r="P123" s="858" t="str">
        <f>'Laminates- copilot'!N45</f>
        <v>Europe to Europe</v>
      </c>
      <c r="Q123" s="858">
        <f t="shared" si="16"/>
        <v>800000</v>
      </c>
      <c r="R123" s="858">
        <f t="shared" si="17"/>
        <v>800000</v>
      </c>
      <c r="S123" s="858">
        <f>IFERROR('Laminates- copilot'!Q45/'Laminates- copilot'!P45*Q123,"")</f>
        <v>46573.2</v>
      </c>
      <c r="T123" s="203">
        <f>IFERROR('Laminates- copilot'!R45/'Laminates- copilot'!P45*Q123,"")</f>
        <v>1242232.0742082254</v>
      </c>
      <c r="U123" s="912">
        <f>IFERROR('Laminates- copilot'!S45/'Laminates- copilot'!P45*Q123,"")</f>
        <v>1440989.2060815415</v>
      </c>
      <c r="V123" s="913">
        <f t="shared" si="18"/>
        <v>26.672680301293994</v>
      </c>
      <c r="W123" s="914">
        <f t="shared" si="19"/>
        <v>30.940309149501033</v>
      </c>
      <c r="X123" s="913">
        <f t="shared" si="20"/>
        <v>1.5527900927602818</v>
      </c>
      <c r="Y123" s="913">
        <f t="shared" si="21"/>
        <v>26.672680301293994</v>
      </c>
      <c r="Z123" s="95">
        <f t="shared" si="22"/>
        <v>17178</v>
      </c>
      <c r="AA123" s="50" t="str">
        <f t="shared" si="23"/>
        <v>MOQ OK</v>
      </c>
      <c r="AB123" s="923">
        <f t="shared" si="24"/>
        <v>1.4874563365516738</v>
      </c>
      <c r="AC123" s="924">
        <f t="shared" si="25"/>
        <v>1.7254493503999415</v>
      </c>
      <c r="AD123" s="203">
        <f t="shared" si="26"/>
        <v>2379930.1384826782</v>
      </c>
      <c r="AE123" s="912">
        <f t="shared" si="27"/>
        <v>2760718.9606399066</v>
      </c>
      <c r="AF123" s="923" cm="1">
        <f t="array" ref="AF123">IF(O123="Quantum",IFERROR(_xlfn.LET(_xlpm.b,_xlfn.SWITCH(LOWER(B123),"zipper bag","Zipper pouch","open bag","Open pouch","sup with zipper","Stand-up pouch","stand-up pouch","Stand-up pouch",B123),_xlpm.w,G123,_xlpm.q,K123,_xlpm.types,'Converting-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missing"),IFERROR(_xlfn.LET(_xlpm.s,O123,_xlpm.b,_xlfn.SWITCH(LOWER(B123),"zipper bag","Zipper pouch","open bag","Open pouch",B123),_xlpm.w,G123,_xlpm.q,K123,_xlpm.src,'Converting-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123" s="923">
        <f>IFERROR(IF(OR(B123="Zipper pouch",B123="SUP with zipper"),HELPER!$DE$2*(AH123+AI123)/K123,HELPER!$DE$2*AH123/K123),"Data is missing")</f>
        <v>6.0929628478510571E-4</v>
      </c>
      <c r="AH123" s="923">
        <f t="shared" si="28"/>
        <v>1.5527900927602818</v>
      </c>
      <c r="AI123" s="923">
        <f>IF(OR(B123="Zipper pouch",B123="SUP with zipper"),HELPER!$DC$2*G123/1000,"")</f>
        <v>7.1999999999999995E-2</v>
      </c>
      <c r="AJ123" s="923" cm="1">
        <f t="array" ref="AJ123">IF(INDEX('Laminates- copilot'!$E$6:$E$257,ROUNDUP((ROW()-5)/3,0))+50&gt;IF(O123="Quantum",760,1220),"Width exceeds supplier maximum",IFERROR(AF123+AG123+N(AI123)+AH123*G123/1000/MAX(1,MIN(MAX(2,INT(900/INDEX('Laminates- copilot'!$E$6:$E$257,ROUNDUP((ROW()-5)/3,0)))),INT((IF(O123="Quantum",760,1220)-50)/INDEX('Laminates- copilot'!$E$6:$E$257,ROUNDUP((ROW()-5)/3,0))))),"Data is missing"))</f>
        <v>1.1155922524137554</v>
      </c>
      <c r="AK123" s="203">
        <f t="shared" si="29"/>
        <v>1487.4563365516738</v>
      </c>
      <c r="AL123" t="str">
        <f t="shared" si="30"/>
        <v>PASS</v>
      </c>
      <c r="AM123" s="50" t="str">
        <f t="shared" si="31"/>
        <v/>
      </c>
    </row>
    <row r="124" spans="1:39" hidden="1">
      <c r="A124" t="s">
        <v>1752</v>
      </c>
      <c r="B124" t="s">
        <v>261</v>
      </c>
      <c r="C124" s="50" t="s">
        <v>1627</v>
      </c>
      <c r="D124">
        <f>'Laminates- copilot'!B45</f>
        <v>608</v>
      </c>
      <c r="E124" s="858">
        <f>'Laminates- copilot'!D45</f>
        <v>100</v>
      </c>
      <c r="F124" s="858">
        <v>350</v>
      </c>
      <c r="G124" s="858">
        <v>500</v>
      </c>
      <c r="H124" s="858">
        <v>100</v>
      </c>
      <c r="I124" s="858">
        <v>0</v>
      </c>
      <c r="J124" s="858">
        <v>900</v>
      </c>
      <c r="K124" s="858">
        <v>1600000</v>
      </c>
      <c r="L124" s="858" t="str">
        <f>'Laminates- copilot'!K45</f>
        <v>Printed</v>
      </c>
      <c r="M124" s="858" t="str">
        <f>'Laminates- copilot'!L45</f>
        <v>1-2</v>
      </c>
      <c r="N124" s="858">
        <f>'Laminates- copilot'!M45</f>
        <v>2</v>
      </c>
      <c r="O124" s="858" t="str">
        <f>'Laminates- copilot'!O45</f>
        <v>Quantum</v>
      </c>
      <c r="P124" s="858" t="str">
        <f>'Laminates- copilot'!N45</f>
        <v>Europe to Europe</v>
      </c>
      <c r="Q124" s="858">
        <f t="shared" si="16"/>
        <v>800000</v>
      </c>
      <c r="R124" s="858">
        <f t="shared" si="17"/>
        <v>800000</v>
      </c>
      <c r="S124" s="858">
        <f>IFERROR('Laminates- copilot'!Q45/'Laminates- copilot'!P45*Q124,"")</f>
        <v>46573.2</v>
      </c>
      <c r="T124" s="203">
        <f>IFERROR('Laminates- copilot'!R45/'Laminates- copilot'!P45*Q124,"")</f>
        <v>1242232.0742082254</v>
      </c>
      <c r="U124" s="912">
        <f>IFERROR('Laminates- copilot'!S45/'Laminates- copilot'!P45*Q124,"")</f>
        <v>1440989.2060815415</v>
      </c>
      <c r="V124" s="913">
        <f t="shared" si="18"/>
        <v>26.672680301293994</v>
      </c>
      <c r="W124" s="914">
        <f t="shared" si="19"/>
        <v>30.940309149501033</v>
      </c>
      <c r="X124" s="913">
        <f t="shared" si="20"/>
        <v>1.5527900927602818</v>
      </c>
      <c r="Y124" s="913">
        <f t="shared" si="21"/>
        <v>26.672680301293994</v>
      </c>
      <c r="Z124" s="95">
        <f t="shared" si="22"/>
        <v>17178</v>
      </c>
      <c r="AA124" s="50" t="str">
        <f t="shared" si="23"/>
        <v>MOQ OK</v>
      </c>
      <c r="AB124" s="923">
        <f t="shared" si="24"/>
        <v>1.4480384597561893</v>
      </c>
      <c r="AC124" s="924">
        <f t="shared" si="25"/>
        <v>1.6797246133171795</v>
      </c>
      <c r="AD124" s="203">
        <f t="shared" si="26"/>
        <v>2316861.5356099028</v>
      </c>
      <c r="AE124" s="912">
        <f t="shared" si="27"/>
        <v>2687559.3813074869</v>
      </c>
      <c r="AF124" s="923" cm="1">
        <f t="array" ref="AF124">IF(O124="Quantum",IFERROR(_xlfn.LET(_xlpm.b,_xlfn.SWITCH(LOWER(B124),"zipper bag","Zipper pouch","open bag","Open pouch","sup with zipper","Stand-up pouch","stand-up pouch","Stand-up pouch",B124),_xlpm.w,G124,_xlpm.q,K124,_xlpm.types,'Converting-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missing"),IFERROR(_xlfn.LET(_xlpm.s,O124,_xlpm.b,_xlfn.SWITCH(LOWER(B124),"zipper bag","Zipper pouch","open bag","Open pouch",B124),_xlpm.w,G124,_xlpm.q,K124,_xlpm.src,'Converting-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124" s="923">
        <f>IFERROR(IF(OR(B124="Zipper pouch",B124="SUP with zipper"),HELPER!$DE$2*(AH124+AI124)/K124,HELPER!$DE$2*AH124/K124),"Data is missing")</f>
        <v>6.0929628478510571E-4</v>
      </c>
      <c r="AH124" s="923">
        <f t="shared" si="28"/>
        <v>1.5527900927602818</v>
      </c>
      <c r="AI124" s="923">
        <f>IF(OR(B124="Zipper pouch",B124="SUP with zipper"),HELPER!$DC$2*G124/1000,"")</f>
        <v>7.1999999999999995E-2</v>
      </c>
      <c r="AJ124" s="923" cm="1">
        <f t="array" ref="AJ124">IF(INDEX('Laminates- copilot'!$E$6:$E$257,ROUNDUP((ROW()-5)/3,0))+50&gt;IF(O124="Quantum",760,1220),"Width exceeds supplier maximum",IFERROR(AF124+AG124+N(AI124)+AH124*G124/1000/MAX(1,MIN(MAX(2,INT(900/INDEX('Laminates- copilot'!$E$6:$E$257,ROUNDUP((ROW()-5)/3,0)))),INT((IF(O124="Quantum",760,1220)-50)/INDEX('Laminates- copilot'!$E$6:$E$257,ROUNDUP((ROW()-5)/3,0))))),"Data is missing"))</f>
        <v>1.086028844817142</v>
      </c>
      <c r="AK124" s="203">
        <f t="shared" si="29"/>
        <v>1448.0384597561892</v>
      </c>
      <c r="AL124" t="str">
        <f t="shared" si="30"/>
        <v>PASS</v>
      </c>
      <c r="AM124" s="50" t="str">
        <f t="shared" si="31"/>
        <v/>
      </c>
    </row>
    <row r="125" spans="1:39" hidden="1">
      <c r="A125" t="s">
        <v>1753</v>
      </c>
      <c r="B125" t="s">
        <v>262</v>
      </c>
      <c r="C125" s="50" t="s">
        <v>1627</v>
      </c>
      <c r="D125">
        <f>'Laminates- copilot'!B45</f>
        <v>608</v>
      </c>
      <c r="E125" s="858">
        <f>'Laminates- copilot'!D45</f>
        <v>100</v>
      </c>
      <c r="F125" s="858">
        <v>350</v>
      </c>
      <c r="G125" s="858">
        <v>500</v>
      </c>
      <c r="H125" s="858">
        <v>0</v>
      </c>
      <c r="I125" s="858">
        <v>25</v>
      </c>
      <c r="J125" s="858">
        <v>725</v>
      </c>
      <c r="K125" s="858">
        <v>1600000</v>
      </c>
      <c r="L125" s="858" t="str">
        <f>'Laminates- copilot'!K45</f>
        <v>Printed</v>
      </c>
      <c r="M125" s="858" t="str">
        <f>'Laminates- copilot'!L45</f>
        <v>1-2</v>
      </c>
      <c r="N125" s="858">
        <f>'Laminates- copilot'!M45</f>
        <v>2</v>
      </c>
      <c r="O125" s="858" t="str">
        <f>'Laminates- copilot'!O45</f>
        <v>Quantum</v>
      </c>
      <c r="P125" s="858" t="str">
        <f>'Laminates- copilot'!N45</f>
        <v>Europe to Europe</v>
      </c>
      <c r="Q125" s="858">
        <f t="shared" si="16"/>
        <v>800000</v>
      </c>
      <c r="R125" s="858">
        <f t="shared" si="17"/>
        <v>800000</v>
      </c>
      <c r="S125" s="858">
        <f>IFERROR('Laminates- copilot'!Q45/'Laminates- copilot'!P45*Q125,"")</f>
        <v>46573.2</v>
      </c>
      <c r="T125" s="203">
        <f>IFERROR('Laminates- copilot'!R45/'Laminates- copilot'!P45*Q125,"")</f>
        <v>1242232.0742082254</v>
      </c>
      <c r="U125" s="912">
        <f>IFERROR('Laminates- copilot'!S45/'Laminates- copilot'!P45*Q125,"")</f>
        <v>1440989.2060815415</v>
      </c>
      <c r="V125" s="913">
        <f t="shared" si="18"/>
        <v>26.672680301293994</v>
      </c>
      <c r="W125" s="914">
        <f t="shared" si="19"/>
        <v>30.940309149501033</v>
      </c>
      <c r="X125" s="913">
        <f t="shared" si="20"/>
        <v>1.5527900927602818</v>
      </c>
      <c r="Y125" s="913">
        <f t="shared" si="21"/>
        <v>26.672680301293994</v>
      </c>
      <c r="Z125" s="95">
        <f t="shared" si="22"/>
        <v>17178</v>
      </c>
      <c r="AA125" s="50" t="str">
        <f t="shared" si="23"/>
        <v>MOQ OK</v>
      </c>
      <c r="AB125" s="923">
        <f t="shared" si="24"/>
        <v>1.3202382732623308</v>
      </c>
      <c r="AC125" s="924">
        <f t="shared" si="25"/>
        <v>1.5314763969843037</v>
      </c>
      <c r="AD125" s="203">
        <f t="shared" si="26"/>
        <v>2112381.2372197295</v>
      </c>
      <c r="AE125" s="912">
        <f t="shared" si="27"/>
        <v>2450362.235174886</v>
      </c>
      <c r="AF125" s="923" cm="1">
        <f t="array" ref="AF125">IF(O125="Quantum",IFERROR(_xlfn.LET(_xlpm.b,_xlfn.SWITCH(LOWER(B125),"zipper bag","Zipper pouch","open bag","Open pouch","sup with zipper","Stand-up pouch","stand-up pouch","Stand-up pouch",B125),_xlpm.w,G125,_xlpm.q,K125,_xlpm.types,'Converting-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missing"),IFERROR(_xlfn.LET(_xlpm.s,O125,_xlpm.b,_xlfn.SWITCH(LOWER(B125),"zipper bag","Zipper pouch","open bag","Open pouch",B125),_xlpm.w,G125,_xlpm.q,K125,_xlpm.src,'Converting-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125" s="923">
        <f>IFERROR(IF(OR(B125="Zipper pouch",B125="SUP with zipper"),HELPER!$DE$2*(AH125+AI125)/K125,HELPER!$DE$2*AH125/K125),"Data is missing")</f>
        <v>5.822962847851057E-4</v>
      </c>
      <c r="AH125" s="923">
        <f t="shared" si="28"/>
        <v>1.5527900927602818</v>
      </c>
      <c r="AI125" s="923" t="str">
        <f>IF(OR(B125="Zipper pouch",B125="SUP with zipper"),HELPER!$DC$2*G125/1000,"")</f>
        <v/>
      </c>
      <c r="AJ125" s="923" cm="1">
        <f t="array" ref="AJ125">IF(INDEX('Laminates- copilot'!$E$6:$E$257,ROUNDUP((ROW()-5)/3,0))+50&gt;IF(O125="Quantum",760,1220),"Width exceeds supplier maximum",IFERROR(AF125+AG125+N(AI125)+AH125*G125/1000/MAX(1,MIN(MAX(2,INT(900/INDEX('Laminates- copilot'!$E$6:$E$257,ROUNDUP((ROW()-5)/3,0)))),INT((IF(O125="Quantum",760,1220)-50)/INDEX('Laminates- copilot'!$E$6:$E$257,ROUNDUP((ROW()-5)/3,0))))),"Data is missing"))</f>
        <v>0.99017870494674809</v>
      </c>
      <c r="AK125" s="203">
        <f t="shared" si="29"/>
        <v>1320.2382732623307</v>
      </c>
      <c r="AL125" t="str">
        <f t="shared" si="30"/>
        <v>PASS</v>
      </c>
      <c r="AM125" s="50" t="str">
        <f t="shared" si="31"/>
        <v/>
      </c>
    </row>
    <row r="126" spans="1:39" hidden="1">
      <c r="A126" t="s">
        <v>1754</v>
      </c>
      <c r="B126" t="s">
        <v>251</v>
      </c>
      <c r="C126" s="50" t="s">
        <v>2203</v>
      </c>
      <c r="D126" t="str">
        <f>'Laminates- copilot'!B46</f>
        <v>608 W</v>
      </c>
      <c r="E126" s="858">
        <f>'Laminates- copilot'!D46</f>
        <v>100</v>
      </c>
      <c r="F126" s="858">
        <v>100</v>
      </c>
      <c r="G126" s="858">
        <v>100</v>
      </c>
      <c r="H126" s="858">
        <v>20</v>
      </c>
      <c r="I126" s="858">
        <v>0</v>
      </c>
      <c r="J126" s="858">
        <v>240</v>
      </c>
      <c r="K126" s="858">
        <v>25000</v>
      </c>
      <c r="L126" s="858" t="str">
        <f>'Laminates- copilot'!K46</f>
        <v>Not Printed</v>
      </c>
      <c r="M126" s="858" t="str">
        <f>'Laminates- copilot'!L46</f>
        <v>0</v>
      </c>
      <c r="N126" s="858">
        <f>'Laminates- copilot'!M46</f>
        <v>1</v>
      </c>
      <c r="O126" s="858" t="str">
        <f>'Laminates- copilot'!O46</f>
        <v>Marma</v>
      </c>
      <c r="P126" s="858" t="str">
        <f>'Laminates- copilot'!N46</f>
        <v>Europe to Europe</v>
      </c>
      <c r="Q126" s="858">
        <f t="shared" si="16"/>
        <v>2500</v>
      </c>
      <c r="R126" s="858">
        <f t="shared" si="17"/>
        <v>2500</v>
      </c>
      <c r="S126" s="858">
        <f>IFERROR('Laminates- copilot'!Q46/'Laminates- copilot'!P46*Q126,"")</f>
        <v>38.811</v>
      </c>
      <c r="T126" s="203">
        <f>IFERROR('Laminates- copilot'!R46/'Laminates- copilot'!P46*Q126,"")</f>
        <v>402.85406618470785</v>
      </c>
      <c r="U126" s="912">
        <f>IFERROR('Laminates- copilot'!S46/'Laminates- copilot'!P46*Q126,"")</f>
        <v>467.31071677426098</v>
      </c>
      <c r="V126" s="913">
        <f t="shared" si="18"/>
        <v>10.379894003883122</v>
      </c>
      <c r="W126" s="914">
        <f t="shared" si="19"/>
        <v>12.040677044504418</v>
      </c>
      <c r="X126" s="913">
        <f t="shared" si="20"/>
        <v>0.16114162647388314</v>
      </c>
      <c r="Y126" s="913">
        <f t="shared" si="21"/>
        <v>10.379894003883122</v>
      </c>
      <c r="Z126" s="95">
        <f t="shared" si="22"/>
        <v>322074</v>
      </c>
      <c r="AA126" s="50" t="str">
        <f t="shared" si="23"/>
        <v>Below MOQ by 297,074 bags</v>
      </c>
      <c r="AB126" s="923">
        <f t="shared" si="24"/>
        <v>7.8817450496080063E-2</v>
      </c>
      <c r="AC126" s="924">
        <f t="shared" si="25"/>
        <v>9.1428242575452873E-2</v>
      </c>
      <c r="AD126" s="203">
        <f t="shared" si="26"/>
        <v>1970.4362624020016</v>
      </c>
      <c r="AE126" s="912">
        <f t="shared" si="27"/>
        <v>2285.7060643863215</v>
      </c>
      <c r="AF126" s="923" cm="1">
        <f t="array" ref="AF126">IF(O126="Quantum",IFERROR(_xlfn.LET(_xlpm.b,_xlfn.SWITCH(LOWER(B126),"zipper bag","Zipper pouch","open bag","Open pouch","sup with zipper","Stand-up pouch","stand-up pouch","Stand-up pouch",B126),_xlpm.w,G126,_xlpm.q,K126,_xlpm.types,'Converting-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missing"),IFERROR(_xlfn.LET(_xlpm.s,O126,_xlpm.b,_xlfn.SWITCH(LOWER(B126),"zipper bag","Zipper pouch","open bag","Open pouch",B126),_xlpm.w,G126,_xlpm.q,K126,_xlpm.src,'Converting-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126" s="923">
        <f>IFERROR(IF(OR(B126="Zipper pouch",B126="SUP with zipper"),HELPER!$DE$2*(AH126+AI126)/K126,HELPER!$DE$2*AH126/K126),"Data is missing")</f>
        <v>4.2129990353731951E-3</v>
      </c>
      <c r="AH126" s="923">
        <f t="shared" si="28"/>
        <v>0.16114162647388314</v>
      </c>
      <c r="AI126" s="923">
        <f>IF(OR(B126="Zipper pouch",B126="SUP with zipper"),HELPER!$DC$2*G126/1000,"")</f>
        <v>1.4399999999999998E-2</v>
      </c>
      <c r="AJ126" s="923" cm="1">
        <f t="array" ref="AJ126">IF(INDEX('Laminates- copilot'!$E$6:$E$257,ROUNDUP((ROW()-5)/3,0))+50&gt;IF(O126="Quantum",760,1220),"Width exceeds supplier maximum",IFERROR(AF126+AG126+N(AI126)+AH126*G126/1000/MAX(1,MIN(MAX(2,INT(900/INDEX('Laminates- copilot'!$E$6:$E$257,ROUNDUP((ROW()-5)/3,0)))),INT((IF(O126="Quantum",760,1220)-50)/INDEX('Laminates- copilot'!$E$6:$E$257,ROUNDUP((ROW()-5)/3,0))))),"Data is missing"))</f>
        <v>5.9113087872060051E-2</v>
      </c>
      <c r="AK126" s="203">
        <f t="shared" si="29"/>
        <v>78.817450496080056</v>
      </c>
      <c r="AL126" t="str">
        <f t="shared" si="30"/>
        <v>PASS</v>
      </c>
      <c r="AM126" s="50" t="str">
        <f t="shared" si="31"/>
        <v/>
      </c>
    </row>
    <row r="127" spans="1:39" hidden="1">
      <c r="A127" t="s">
        <v>1755</v>
      </c>
      <c r="B127" t="s">
        <v>261</v>
      </c>
      <c r="C127" s="50" t="s">
        <v>2203</v>
      </c>
      <c r="D127" t="str">
        <f>'Laminates- copilot'!B46</f>
        <v>608 W</v>
      </c>
      <c r="E127" s="858">
        <f>'Laminates- copilot'!D46</f>
        <v>100</v>
      </c>
      <c r="F127" s="858">
        <v>100</v>
      </c>
      <c r="G127" s="858">
        <v>100</v>
      </c>
      <c r="H127" s="858">
        <v>20</v>
      </c>
      <c r="I127" s="858">
        <v>0</v>
      </c>
      <c r="J127" s="858">
        <v>240</v>
      </c>
      <c r="K127" s="858">
        <v>25000</v>
      </c>
      <c r="L127" s="858" t="str">
        <f>'Laminates- copilot'!K46</f>
        <v>Not Printed</v>
      </c>
      <c r="M127" s="858" t="str">
        <f>'Laminates- copilot'!L46</f>
        <v>0</v>
      </c>
      <c r="N127" s="858">
        <f>'Laminates- copilot'!M46</f>
        <v>1</v>
      </c>
      <c r="O127" s="858" t="str">
        <f>'Laminates- copilot'!O46</f>
        <v>Marma</v>
      </c>
      <c r="P127" s="858" t="str">
        <f>'Laminates- copilot'!N46</f>
        <v>Europe to Europe</v>
      </c>
      <c r="Q127" s="858">
        <f t="shared" si="16"/>
        <v>2500</v>
      </c>
      <c r="R127" s="858">
        <f t="shared" si="17"/>
        <v>2500</v>
      </c>
      <c r="S127" s="858">
        <f>IFERROR('Laminates- copilot'!Q46/'Laminates- copilot'!P46*Q127,"")</f>
        <v>38.811</v>
      </c>
      <c r="T127" s="203">
        <f>IFERROR('Laminates- copilot'!R46/'Laminates- copilot'!P46*Q127,"")</f>
        <v>402.85406618470785</v>
      </c>
      <c r="U127" s="912">
        <f>IFERROR('Laminates- copilot'!S46/'Laminates- copilot'!P46*Q127,"")</f>
        <v>467.31071677426098</v>
      </c>
      <c r="V127" s="913">
        <f t="shared" si="18"/>
        <v>10.379894003883122</v>
      </c>
      <c r="W127" s="914">
        <f t="shared" si="19"/>
        <v>12.040677044504418</v>
      </c>
      <c r="X127" s="913">
        <f t="shared" si="20"/>
        <v>0.16114162647388314</v>
      </c>
      <c r="Y127" s="913">
        <f t="shared" si="21"/>
        <v>10.379894003883122</v>
      </c>
      <c r="Z127" s="95">
        <f t="shared" si="22"/>
        <v>322074</v>
      </c>
      <c r="AA127" s="50" t="str">
        <f t="shared" si="23"/>
        <v>Below MOQ by 297,074 bags</v>
      </c>
      <c r="AB127" s="923">
        <f t="shared" si="24"/>
        <v>7.5392112167461667E-2</v>
      </c>
      <c r="AC127" s="924">
        <f t="shared" si="25"/>
        <v>8.7454850114255522E-2</v>
      </c>
      <c r="AD127" s="203">
        <f t="shared" si="26"/>
        <v>1884.8028041865416</v>
      </c>
      <c r="AE127" s="912">
        <f t="shared" si="27"/>
        <v>2186.3712528563883</v>
      </c>
      <c r="AF127" s="923" cm="1">
        <f t="array" ref="AF127">IF(O127="Quantum",IFERROR(_xlfn.LET(_xlpm.b,_xlfn.SWITCH(LOWER(B127),"zipper bag","Zipper pouch","open bag","Open pouch","sup with zipper","Stand-up pouch","stand-up pouch","Stand-up pouch",B127),_xlpm.w,G127,_xlpm.q,K127,_xlpm.types,'Converting-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missing"),IFERROR(_xlfn.LET(_xlpm.s,O127,_xlpm.b,_xlfn.SWITCH(LOWER(B127),"zipper bag","Zipper pouch","open bag","Open pouch",B127),_xlpm.w,G127,_xlpm.q,K127,_xlpm.src,'Converting-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127" s="923">
        <f>IFERROR(IF(OR(B127="Zipper pouch",B127="SUP with zipper"),HELPER!$DE$2*(AH127+AI127)/K127,HELPER!$DE$2*AH127/K127),"Data is missing")</f>
        <v>4.2129990353731951E-3</v>
      </c>
      <c r="AH127" s="923">
        <f t="shared" si="28"/>
        <v>0.16114162647388314</v>
      </c>
      <c r="AI127" s="923">
        <f>IF(OR(B127="Zipper pouch",B127="SUP with zipper"),HELPER!$DC$2*G127/1000,"")</f>
        <v>1.4399999999999998E-2</v>
      </c>
      <c r="AJ127" s="923" cm="1">
        <f t="array" ref="AJ127">IF(INDEX('Laminates- copilot'!$E$6:$E$257,ROUNDUP((ROW()-5)/3,0))+50&gt;IF(O127="Quantum",760,1220),"Width exceeds supplier maximum",IFERROR(AF127+AG127+N(AI127)+AH127*G127/1000/MAX(1,MIN(MAX(2,INT(900/INDEX('Laminates- copilot'!$E$6:$E$257,ROUNDUP((ROW()-5)/3,0)))),INT((IF(O127="Quantum",760,1220)-50)/INDEX('Laminates- copilot'!$E$6:$E$257,ROUNDUP((ROW()-5)/3,0))))),"Data is missing"))</f>
        <v>5.654408412559625E-2</v>
      </c>
      <c r="AK127" s="203">
        <f t="shared" si="29"/>
        <v>75.392112167461661</v>
      </c>
      <c r="AL127" t="str">
        <f t="shared" si="30"/>
        <v>PASS</v>
      </c>
      <c r="AM127" s="50" t="str">
        <f t="shared" si="31"/>
        <v/>
      </c>
    </row>
    <row r="128" spans="1:39" hidden="1">
      <c r="A128" t="s">
        <v>1756</v>
      </c>
      <c r="B128" t="s">
        <v>262</v>
      </c>
      <c r="C128" s="50" t="s">
        <v>2203</v>
      </c>
      <c r="D128" t="str">
        <f>'Laminates- copilot'!B46</f>
        <v>608 W</v>
      </c>
      <c r="E128" s="858">
        <f>'Laminates- copilot'!D46</f>
        <v>100</v>
      </c>
      <c r="F128" s="858">
        <v>100</v>
      </c>
      <c r="G128" s="858">
        <v>100</v>
      </c>
      <c r="H128" s="858">
        <v>0</v>
      </c>
      <c r="I128" s="858">
        <v>0</v>
      </c>
      <c r="J128" s="858">
        <v>200</v>
      </c>
      <c r="K128" s="858">
        <v>25000</v>
      </c>
      <c r="L128" s="858" t="str">
        <f>'Laminates- copilot'!K46</f>
        <v>Not Printed</v>
      </c>
      <c r="M128" s="858" t="str">
        <f>'Laminates- copilot'!L46</f>
        <v>0</v>
      </c>
      <c r="N128" s="858">
        <f>'Laminates- copilot'!M46</f>
        <v>1</v>
      </c>
      <c r="O128" s="858" t="str">
        <f>'Laminates- copilot'!O46</f>
        <v>Marma</v>
      </c>
      <c r="P128" s="858" t="str">
        <f>'Laminates- copilot'!N46</f>
        <v>Europe to Europe</v>
      </c>
      <c r="Q128" s="858">
        <f t="shared" si="16"/>
        <v>2500</v>
      </c>
      <c r="R128" s="858">
        <f t="shared" si="17"/>
        <v>2500</v>
      </c>
      <c r="S128" s="858">
        <f>IFERROR('Laminates- copilot'!Q46/'Laminates- copilot'!P46*Q128,"")</f>
        <v>38.811</v>
      </c>
      <c r="T128" s="203">
        <f>IFERROR('Laminates- copilot'!R46/'Laminates- copilot'!P46*Q128,"")</f>
        <v>402.85406618470785</v>
      </c>
      <c r="U128" s="912">
        <f>IFERROR('Laminates- copilot'!S46/'Laminates- copilot'!P46*Q128,"")</f>
        <v>467.31071677426098</v>
      </c>
      <c r="V128" s="913">
        <f t="shared" si="18"/>
        <v>10.379894003883122</v>
      </c>
      <c r="W128" s="914">
        <f t="shared" si="19"/>
        <v>12.040677044504418</v>
      </c>
      <c r="X128" s="913">
        <f t="shared" si="20"/>
        <v>0.16114162647388314</v>
      </c>
      <c r="Y128" s="913">
        <f t="shared" si="21"/>
        <v>10.379894003883122</v>
      </c>
      <c r="Z128" s="95">
        <f t="shared" si="22"/>
        <v>322074</v>
      </c>
      <c r="AA128" s="50" t="str">
        <f t="shared" si="23"/>
        <v>Below MOQ by 297,074 bags</v>
      </c>
      <c r="AB128" s="923">
        <f t="shared" si="24"/>
        <v>5.1960707819596059E-2</v>
      </c>
      <c r="AC128" s="924">
        <f t="shared" si="25"/>
        <v>6.0274421070731422E-2</v>
      </c>
      <c r="AD128" s="203">
        <f t="shared" si="26"/>
        <v>1299.0176954899016</v>
      </c>
      <c r="AE128" s="912">
        <f t="shared" si="27"/>
        <v>1506.8605267682858</v>
      </c>
      <c r="AF128" s="923" cm="1">
        <f t="array" ref="AF128">IF(O128="Quantum",IFERROR(_xlfn.LET(_xlpm.b,_xlfn.SWITCH(LOWER(B128),"zipper bag","Zipper pouch","open bag","Open pouch","sup with zipper","Stand-up pouch","stand-up pouch","Stand-up pouch",B128),_xlpm.w,G128,_xlpm.q,K128,_xlpm.types,'Converting-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missing"),IFERROR(_xlfn.LET(_xlpm.s,O128,_xlpm.b,_xlfn.SWITCH(LOWER(B128),"zipper bag","Zipper pouch","open bag","Open pouch",B128),_xlpm.w,G128,_xlpm.q,K128,_xlpm.src,'Converting-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128" s="923">
        <f>IFERROR(IF(OR(B128="Zipper pouch",B128="SUP with zipper"),HELPER!$DE$2*(AH128+AI128)/K128,HELPER!$DE$2*AH128/K128),"Data is missing")</f>
        <v>3.8673990353731954E-3</v>
      </c>
      <c r="AH128" s="923">
        <f t="shared" si="28"/>
        <v>0.16114162647388314</v>
      </c>
      <c r="AI128" s="923" t="str">
        <f>IF(OR(B128="Zipper pouch",B128="SUP with zipper"),HELPER!$DC$2*G128/1000,"")</f>
        <v/>
      </c>
      <c r="AJ128" s="923" cm="1">
        <f t="array" ref="AJ128">IF(INDEX('Laminates- copilot'!$E$6:$E$257,ROUNDUP((ROW()-5)/3,0))+50&gt;IF(O128="Quantum",760,1220),"Width exceeds supplier maximum",IFERROR(AF128+AG128+N(AI128)+AH128*G128/1000/MAX(1,MIN(MAX(2,INT(900/INDEX('Laminates- copilot'!$E$6:$E$257,ROUNDUP((ROW()-5)/3,0)))),INT((IF(O128="Quantum",760,1220)-50)/INDEX('Laminates- copilot'!$E$6:$E$257,ROUNDUP((ROW()-5)/3,0))))),"Data is missing"))</f>
        <v>3.8970530864697046E-2</v>
      </c>
      <c r="AK128" s="203">
        <f t="shared" si="29"/>
        <v>51.96070781959606</v>
      </c>
      <c r="AL128" t="str">
        <f t="shared" si="30"/>
        <v>PASS</v>
      </c>
      <c r="AM128" s="50" t="str">
        <f t="shared" si="31"/>
        <v/>
      </c>
    </row>
    <row r="129" spans="1:39" hidden="1">
      <c r="A129" t="s">
        <v>1757</v>
      </c>
      <c r="B129" t="s">
        <v>251</v>
      </c>
      <c r="C129" s="50" t="s">
        <v>2204</v>
      </c>
      <c r="D129" t="str">
        <f>'Laminates- copilot'!B47</f>
        <v>608 W</v>
      </c>
      <c r="E129" s="858">
        <f>'Laminates- copilot'!D47</f>
        <v>100</v>
      </c>
      <c r="F129" s="858">
        <v>150</v>
      </c>
      <c r="G129" s="858">
        <v>150</v>
      </c>
      <c r="H129" s="858">
        <v>25</v>
      </c>
      <c r="I129" s="858">
        <v>0</v>
      </c>
      <c r="J129" s="858">
        <v>350</v>
      </c>
      <c r="K129" s="858">
        <v>25000</v>
      </c>
      <c r="L129" s="858" t="str">
        <f>'Laminates- copilot'!K47</f>
        <v>Printed</v>
      </c>
      <c r="M129" s="858" t="str">
        <f>'Laminates- copilot'!L47</f>
        <v>1-2</v>
      </c>
      <c r="N129" s="858">
        <f>'Laminates- copilot'!M47</f>
        <v>1</v>
      </c>
      <c r="O129" s="858" t="str">
        <f>'Laminates- copilot'!O47</f>
        <v>Bastin</v>
      </c>
      <c r="P129" s="858" t="str">
        <f>'Laminates- copilot'!N47</f>
        <v>Europe to US</v>
      </c>
      <c r="Q129" s="858">
        <f t="shared" si="16"/>
        <v>3750</v>
      </c>
      <c r="R129" s="858">
        <f t="shared" si="17"/>
        <v>3750</v>
      </c>
      <c r="S129" s="858">
        <f>IFERROR('Laminates- copilot'!Q47/'Laminates- copilot'!P47*Q129,"")</f>
        <v>58.216499999999996</v>
      </c>
      <c r="T129" s="203">
        <f>IFERROR('Laminates- copilot'!R47/'Laminates- copilot'!P47*Q129,"")</f>
        <v>12285.034667594198</v>
      </c>
      <c r="U129" s="912">
        <f>IFERROR('Laminates- copilot'!S47/'Laminates- copilot'!P47*Q129,"")</f>
        <v>14250.640214409268</v>
      </c>
      <c r="V129" s="913">
        <f t="shared" si="18"/>
        <v>211.02324371259348</v>
      </c>
      <c r="W129" s="914">
        <f t="shared" si="19"/>
        <v>244.78696270660842</v>
      </c>
      <c r="X129" s="913">
        <f t="shared" si="20"/>
        <v>3.2760092446917861</v>
      </c>
      <c r="Y129" s="913">
        <f t="shared" si="21"/>
        <v>211.02324371259348</v>
      </c>
      <c r="Z129" s="95">
        <f t="shared" si="22"/>
        <v>214716</v>
      </c>
      <c r="AA129" s="50" t="str">
        <f t="shared" si="23"/>
        <v>Below MOQ by 189,716 bags</v>
      </c>
      <c r="AB129" s="923">
        <f t="shared" si="24"/>
        <v>0.30320397676635619</v>
      </c>
      <c r="AC129" s="924">
        <f t="shared" si="25"/>
        <v>0.35171661304897317</v>
      </c>
      <c r="AD129" s="203">
        <f t="shared" si="26"/>
        <v>7580.0994191589043</v>
      </c>
      <c r="AE129" s="912">
        <f t="shared" si="27"/>
        <v>8792.915326224329</v>
      </c>
      <c r="AF129" s="923" cm="1">
        <f t="array" ref="AF129">IF(O129="Quantum",IFERROR(_xlfn.LET(_xlpm.b,_xlfn.SWITCH(LOWER(B129),"zipper bag","Zipper pouch","open bag","Open pouch","sup with zipper","Stand-up pouch","stand-up pouch","Stand-up pouch",B129),_xlpm.w,G129,_xlpm.q,K129,_xlpm.types,'Converting-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missing"),IFERROR(_xlfn.LET(_xlpm.s,O129,_xlpm.b,_xlfn.SWITCH(LOWER(B129),"zipper bag","Zipper pouch","open bag","Open pouch",B129),_xlpm.w,G129,_xlpm.q,K129,_xlpm.src,'Converting-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129" s="923">
        <f>IFERROR(IF(OR(B129="Zipper pouch",B129="SUP with zipper"),HELPER!$DE$2*(AH129+AI129)/K129,HELPER!$DE$2*AH129/K129),"Data is missing")</f>
        <v>7.9142621872602861E-2</v>
      </c>
      <c r="AH129" s="923">
        <f t="shared" si="28"/>
        <v>3.2760092446917861</v>
      </c>
      <c r="AI129" s="923">
        <f>IF(OR(B129="Zipper pouch",B129="SUP with zipper"),HELPER!$DC$2*G129/1000,"")</f>
        <v>2.1599999999999998E-2</v>
      </c>
      <c r="AJ129" s="923" cm="1">
        <f t="array" ref="AJ129">IF(INDEX('Laminates- copilot'!$E$6:$E$257,ROUNDUP((ROW()-5)/3,0))+50&gt;IF(O129="Quantum",760,1220),"Width exceeds supplier maximum",IFERROR(AF129+AG129+N(AI129)+AH129*G129/1000/MAX(1,MIN(MAX(2,INT(900/INDEX('Laminates- copilot'!$E$6:$E$257,ROUNDUP((ROW()-5)/3,0)))),INT((IF(O129="Quantum",760,1220)-50)/INDEX('Laminates- copilot'!$E$6:$E$257,ROUNDUP((ROW()-5)/3,0))))),"Data is missing"))</f>
        <v>0.22740298257476715</v>
      </c>
      <c r="AK129" s="203">
        <f t="shared" si="29"/>
        <v>303.20397676635616</v>
      </c>
      <c r="AL129" t="str">
        <f t="shared" si="30"/>
        <v>PASS</v>
      </c>
      <c r="AM129" s="50" t="str">
        <f t="shared" si="31"/>
        <v/>
      </c>
    </row>
    <row r="130" spans="1:39" hidden="1">
      <c r="A130" t="s">
        <v>1758</v>
      </c>
      <c r="B130" t="s">
        <v>261</v>
      </c>
      <c r="C130" s="50" t="s">
        <v>2204</v>
      </c>
      <c r="D130" t="str">
        <f>'Laminates- copilot'!B47</f>
        <v>608 W</v>
      </c>
      <c r="E130" s="858">
        <f>'Laminates- copilot'!D47</f>
        <v>100</v>
      </c>
      <c r="F130" s="858">
        <v>150</v>
      </c>
      <c r="G130" s="858">
        <v>150</v>
      </c>
      <c r="H130" s="858">
        <v>25</v>
      </c>
      <c r="I130" s="858">
        <v>0</v>
      </c>
      <c r="J130" s="858">
        <v>350</v>
      </c>
      <c r="K130" s="858">
        <v>25000</v>
      </c>
      <c r="L130" s="858" t="str">
        <f>'Laminates- copilot'!K47</f>
        <v>Printed</v>
      </c>
      <c r="M130" s="858" t="str">
        <f>'Laminates- copilot'!L47</f>
        <v>1-2</v>
      </c>
      <c r="N130" s="858">
        <f>'Laminates- copilot'!M47</f>
        <v>1</v>
      </c>
      <c r="O130" s="858" t="str">
        <f>'Laminates- copilot'!O47</f>
        <v>Bastin</v>
      </c>
      <c r="P130" s="858" t="str">
        <f>'Laminates- copilot'!N47</f>
        <v>Europe to US</v>
      </c>
      <c r="Q130" s="858">
        <f t="shared" si="16"/>
        <v>3750</v>
      </c>
      <c r="R130" s="858">
        <f t="shared" si="17"/>
        <v>3750</v>
      </c>
      <c r="S130" s="858">
        <f>IFERROR('Laminates- copilot'!Q47/'Laminates- copilot'!P47*Q130,"")</f>
        <v>58.216499999999996</v>
      </c>
      <c r="T130" s="203">
        <f>IFERROR('Laminates- copilot'!R47/'Laminates- copilot'!P47*Q130,"")</f>
        <v>12285.034667594198</v>
      </c>
      <c r="U130" s="912">
        <f>IFERROR('Laminates- copilot'!S47/'Laminates- copilot'!P47*Q130,"")</f>
        <v>14250.640214409268</v>
      </c>
      <c r="V130" s="913">
        <f t="shared" si="18"/>
        <v>211.02324371259348</v>
      </c>
      <c r="W130" s="914">
        <f t="shared" si="19"/>
        <v>244.78696270660842</v>
      </c>
      <c r="X130" s="913">
        <f t="shared" si="20"/>
        <v>3.2760092446917861</v>
      </c>
      <c r="Y130" s="913">
        <f t="shared" si="21"/>
        <v>211.02324371259348</v>
      </c>
      <c r="Z130" s="95">
        <f t="shared" si="22"/>
        <v>214716</v>
      </c>
      <c r="AA130" s="50" t="str">
        <f t="shared" si="23"/>
        <v>Below MOQ by 189,716 bags</v>
      </c>
      <c r="AB130" s="923">
        <f t="shared" si="24"/>
        <v>0.29803856656679967</v>
      </c>
      <c r="AC130" s="924">
        <f t="shared" si="25"/>
        <v>0.34572473721748759</v>
      </c>
      <c r="AD130" s="203">
        <f t="shared" si="26"/>
        <v>7450.9641641699918</v>
      </c>
      <c r="AE130" s="912">
        <f t="shared" si="27"/>
        <v>8643.1184304371891</v>
      </c>
      <c r="AF130" s="923" cm="1">
        <f t="array" ref="AF130">IF(O130="Quantum",IFERROR(_xlfn.LET(_xlpm.b,_xlfn.SWITCH(LOWER(B130),"zipper bag","Zipper pouch","open bag","Open pouch","sup with zipper","Stand-up pouch","stand-up pouch","Stand-up pouch",B130),_xlpm.w,G130,_xlpm.q,K130,_xlpm.types,'Converting-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missing"),IFERROR(_xlfn.LET(_xlpm.s,O130,_xlpm.b,_xlfn.SWITCH(LOWER(B130),"zipper bag","Zipper pouch","open bag","Open pouch",B130),_xlpm.w,G130,_xlpm.q,K130,_xlpm.src,'Converting-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30" s="923">
        <f>IFERROR(IF(OR(B130="Zipper pouch",B130="SUP with zipper"),HELPER!$DE$2*(AH130+AI130)/K130,HELPER!$DE$2*AH130/K130),"Data is missing")</f>
        <v>7.9142621872602861E-2</v>
      </c>
      <c r="AH130" s="923">
        <f t="shared" si="28"/>
        <v>3.2760092446917861</v>
      </c>
      <c r="AI130" s="923">
        <f>IF(OR(B130="Zipper pouch",B130="SUP with zipper"),HELPER!$DC$2*G130/1000,"")</f>
        <v>2.1599999999999998E-2</v>
      </c>
      <c r="AJ130" s="923" cm="1">
        <f t="array" ref="AJ130">IF(INDEX('Laminates- copilot'!$E$6:$E$257,ROUNDUP((ROW()-5)/3,0))+50&gt;IF(O130="Quantum",760,1220),"Width exceeds supplier maximum",IFERROR(AF130+AG130+N(AI130)+AH130*G130/1000/MAX(1,MIN(MAX(2,INT(900/INDEX('Laminates- copilot'!$E$6:$E$257,ROUNDUP((ROW()-5)/3,0)))),INT((IF(O130="Quantum",760,1220)-50)/INDEX('Laminates- copilot'!$E$6:$E$257,ROUNDUP((ROW()-5)/3,0))))),"Data is missing"))</f>
        <v>0.22352892492509974</v>
      </c>
      <c r="AK130" s="203">
        <f t="shared" si="29"/>
        <v>298.03856656679966</v>
      </c>
      <c r="AL130" t="str">
        <f t="shared" si="30"/>
        <v>PASS</v>
      </c>
      <c r="AM130" s="50" t="str">
        <f t="shared" si="31"/>
        <v/>
      </c>
    </row>
    <row r="131" spans="1:39" hidden="1">
      <c r="A131" t="s">
        <v>1759</v>
      </c>
      <c r="B131" t="s">
        <v>262</v>
      </c>
      <c r="C131" s="50" t="s">
        <v>2204</v>
      </c>
      <c r="D131" t="str">
        <f>'Laminates- copilot'!B47</f>
        <v>608 W</v>
      </c>
      <c r="E131" s="858">
        <f>'Laminates- copilot'!D47</f>
        <v>100</v>
      </c>
      <c r="F131" s="858">
        <v>150</v>
      </c>
      <c r="G131" s="858">
        <v>150</v>
      </c>
      <c r="H131" s="858">
        <v>0</v>
      </c>
      <c r="I131" s="858">
        <v>0</v>
      </c>
      <c r="J131" s="858">
        <v>300</v>
      </c>
      <c r="K131" s="858">
        <v>25000</v>
      </c>
      <c r="L131" s="858" t="str">
        <f>'Laminates- copilot'!K47</f>
        <v>Printed</v>
      </c>
      <c r="M131" s="858" t="str">
        <f>'Laminates- copilot'!L47</f>
        <v>1-2</v>
      </c>
      <c r="N131" s="858">
        <f>'Laminates- copilot'!M47</f>
        <v>1</v>
      </c>
      <c r="O131" s="858" t="str">
        <f>'Laminates- copilot'!O47</f>
        <v>Bastin</v>
      </c>
      <c r="P131" s="858" t="str">
        <f>'Laminates- copilot'!N47</f>
        <v>Europe to US</v>
      </c>
      <c r="Q131" s="858">
        <f t="shared" si="16"/>
        <v>3750</v>
      </c>
      <c r="R131" s="858">
        <f t="shared" si="17"/>
        <v>3750</v>
      </c>
      <c r="S131" s="858">
        <f>IFERROR('Laminates- copilot'!Q47/'Laminates- copilot'!P47*Q131,"")</f>
        <v>58.216499999999996</v>
      </c>
      <c r="T131" s="203">
        <f>IFERROR('Laminates- copilot'!R47/'Laminates- copilot'!P47*Q131,"")</f>
        <v>12285.034667594198</v>
      </c>
      <c r="U131" s="912">
        <f>IFERROR('Laminates- copilot'!S47/'Laminates- copilot'!P47*Q131,"")</f>
        <v>14250.640214409268</v>
      </c>
      <c r="V131" s="913">
        <f t="shared" si="18"/>
        <v>211.02324371259348</v>
      </c>
      <c r="W131" s="914">
        <f t="shared" si="19"/>
        <v>244.78696270660842</v>
      </c>
      <c r="X131" s="913">
        <f t="shared" si="20"/>
        <v>3.2760092446917861</v>
      </c>
      <c r="Y131" s="913">
        <f t="shared" si="21"/>
        <v>211.02324371259348</v>
      </c>
      <c r="Z131" s="95">
        <f t="shared" si="22"/>
        <v>214716</v>
      </c>
      <c r="AA131" s="50" t="str">
        <f t="shared" si="23"/>
        <v>Below MOQ by 189,716 bags</v>
      </c>
      <c r="AB131" s="923">
        <f t="shared" si="24"/>
        <v>0.26271332773054357</v>
      </c>
      <c r="AC131" s="924">
        <f t="shared" si="25"/>
        <v>0.30474746016743054</v>
      </c>
      <c r="AD131" s="203">
        <f t="shared" si="26"/>
        <v>6567.8331932635892</v>
      </c>
      <c r="AE131" s="912">
        <f t="shared" si="27"/>
        <v>7618.6865041857627</v>
      </c>
      <c r="AF131" s="923" cm="1">
        <f t="array" ref="AF131">IF(O131="Quantum",IFERROR(_xlfn.LET(_xlpm.b,_xlfn.SWITCH(LOWER(B131),"zipper bag","Zipper pouch","open bag","Open pouch","sup with zipper","Stand-up pouch","stand-up pouch","Stand-up pouch",B131),_xlpm.w,G131,_xlpm.q,K131,_xlpm.types,'Converting-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missing"),IFERROR(_xlfn.LET(_xlpm.s,O131,_xlpm.b,_xlfn.SWITCH(LOWER(B131),"zipper bag","Zipper pouch","open bag","Open pouch",B131),_xlpm.w,G131,_xlpm.q,K131,_xlpm.src,'Converting-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31" s="923">
        <f>IFERROR(IF(OR(B131="Zipper pouch",B131="SUP with zipper"),HELPER!$DE$2*(AH131+AI131)/K131,HELPER!$DE$2*AH131/K131),"Data is missing")</f>
        <v>7.8624221872602859E-2</v>
      </c>
      <c r="AH131" s="923">
        <f t="shared" si="28"/>
        <v>3.2760092446917861</v>
      </c>
      <c r="AI131" s="923" t="str">
        <f>IF(OR(B131="Zipper pouch",B131="SUP with zipper"),HELPER!$DC$2*G131/1000,"")</f>
        <v/>
      </c>
      <c r="AJ131" s="923" cm="1">
        <f t="array" ref="AJ131">IF(INDEX('Laminates- copilot'!$E$6:$E$257,ROUNDUP((ROW()-5)/3,0))+50&gt;IF(O131="Quantum",760,1220),"Width exceeds supplier maximum",IFERROR(AF131+AG131+N(AI131)+AH131*G131/1000/MAX(1,MIN(MAX(2,INT(900/INDEX('Laminates- copilot'!$E$6:$E$257,ROUNDUP((ROW()-5)/3,0)))),INT((IF(O131="Quantum",760,1220)-50)/INDEX('Laminates- copilot'!$E$6:$E$257,ROUNDUP((ROW()-5)/3,0))))),"Data is missing"))</f>
        <v>0.19703499579790767</v>
      </c>
      <c r="AK131" s="203">
        <f t="shared" si="29"/>
        <v>262.71332773054354</v>
      </c>
      <c r="AL131" t="str">
        <f t="shared" si="30"/>
        <v>PASS</v>
      </c>
      <c r="AM131" s="50" t="str">
        <f t="shared" si="31"/>
        <v/>
      </c>
    </row>
    <row r="132" spans="1:39" hidden="1">
      <c r="A132" t="s">
        <v>1760</v>
      </c>
      <c r="B132" t="s">
        <v>251</v>
      </c>
      <c r="C132" s="50" t="s">
        <v>2205</v>
      </c>
      <c r="D132" t="str">
        <f>'Laminates- copilot'!B48</f>
        <v>608 W</v>
      </c>
      <c r="E132" s="858">
        <f>'Laminates- copilot'!D48</f>
        <v>100</v>
      </c>
      <c r="F132" s="858">
        <v>250</v>
      </c>
      <c r="G132" s="858">
        <v>200</v>
      </c>
      <c r="H132" s="858">
        <v>40</v>
      </c>
      <c r="I132" s="858">
        <v>0</v>
      </c>
      <c r="J132" s="858">
        <v>580</v>
      </c>
      <c r="K132" s="858">
        <v>50000</v>
      </c>
      <c r="L132" s="858" t="str">
        <f>'Laminates- copilot'!K48</f>
        <v>Printed</v>
      </c>
      <c r="M132" s="858" t="str">
        <f>'Laminates- copilot'!L48</f>
        <v>3-4</v>
      </c>
      <c r="N132" s="858">
        <f>'Laminates- copilot'!M48</f>
        <v>4</v>
      </c>
      <c r="O132" s="858" t="str">
        <f>'Laminates- copilot'!O48</f>
        <v>Quantum</v>
      </c>
      <c r="P132" s="858" t="str">
        <f>'Laminates- copilot'!N48</f>
        <v>Europe to Europe</v>
      </c>
      <c r="Q132" s="858">
        <f t="shared" si="16"/>
        <v>10000</v>
      </c>
      <c r="R132" s="858">
        <f t="shared" si="17"/>
        <v>10000</v>
      </c>
      <c r="S132" s="858">
        <f>IFERROR('Laminates- copilot'!Q48/'Laminates- copilot'!P48*Q132,"")</f>
        <v>452.79500000000002</v>
      </c>
      <c r="T132" s="203">
        <f>IFERROR('Laminates- copilot'!R48/'Laminates- copilot'!P48*Q132,"")</f>
        <v>8694.3225787833144</v>
      </c>
      <c r="U132" s="912">
        <f>IFERROR('Laminates- copilot'!S48/'Laminates- copilot'!P48*Q132,"")</f>
        <v>10085.414191388643</v>
      </c>
      <c r="V132" s="913">
        <f t="shared" si="18"/>
        <v>19.201454474504608</v>
      </c>
      <c r="W132" s="914">
        <f t="shared" si="19"/>
        <v>22.273687190425342</v>
      </c>
      <c r="X132" s="913">
        <f t="shared" si="20"/>
        <v>0.86943225787833145</v>
      </c>
      <c r="Y132" s="913">
        <f t="shared" si="21"/>
        <v>19.201454474504608</v>
      </c>
      <c r="Z132" s="95">
        <f t="shared" si="22"/>
        <v>55213</v>
      </c>
      <c r="AA132" s="50" t="str">
        <f t="shared" si="23"/>
        <v>Below MOQ by 5,213 bags</v>
      </c>
      <c r="AB132" s="923">
        <f t="shared" si="24"/>
        <v>0.32439347708851679</v>
      </c>
      <c r="AC132" s="924">
        <f t="shared" si="25"/>
        <v>0.37629643342267943</v>
      </c>
      <c r="AD132" s="203">
        <f t="shared" si="26"/>
        <v>16219.673854425839</v>
      </c>
      <c r="AE132" s="912">
        <f t="shared" si="27"/>
        <v>18814.82167113397</v>
      </c>
      <c r="AF132" s="923" cm="1">
        <f t="array" ref="AF132">IF(O132="Quantum",IFERROR(_xlfn.LET(_xlpm.b,_xlfn.SWITCH(LOWER(B132),"zipper bag","Zipper pouch","open bag","Open pouch","sup with zipper","Stand-up pouch","stand-up pouch","Stand-up pouch",B132),_xlpm.w,G132,_xlpm.q,K132,_xlpm.types,'Converting-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missing"),IFERROR(_xlfn.LET(_xlpm.s,O132,_xlpm.b,_xlfn.SWITCH(LOWER(B132),"zipper bag","Zipper pouch","open bag","Open pouch",B132),_xlpm.w,G132,_xlpm.q,K132,_xlpm.src,'Converting-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132" s="923">
        <f>IFERROR(IF(OR(B132="Zipper pouch",B132="SUP with zipper"),HELPER!$DE$2*(AH132+AI132)/K132,HELPER!$DE$2*AH132/K132),"Data is missing")</f>
        <v>1.0778787094539978E-2</v>
      </c>
      <c r="AH132" s="923">
        <f t="shared" si="28"/>
        <v>0.86943225787833145</v>
      </c>
      <c r="AI132" s="923">
        <f>IF(OR(B132="Zipper pouch",B132="SUP with zipper"),HELPER!$DC$2*G132/1000,"")</f>
        <v>2.8799999999999996E-2</v>
      </c>
      <c r="AJ132" s="923" cm="1">
        <f t="array" ref="AJ132">IF(INDEX('Laminates- copilot'!$E$6:$E$257,ROUNDUP((ROW()-5)/3,0))+50&gt;IF(O132="Quantum",760,1220),"Width exceeds supplier maximum",IFERROR(AF132+AG132+N(AI132)+AH132*G132/1000/MAX(1,MIN(MAX(2,INT(900/INDEX('Laminates- copilot'!$E$6:$E$257,ROUNDUP((ROW()-5)/3,0)))),INT((IF(O132="Quantum",760,1220)-50)/INDEX('Laminates- copilot'!$E$6:$E$257,ROUNDUP((ROW()-5)/3,0))))),"Data is missing"))</f>
        <v>0.24329510781638758</v>
      </c>
      <c r="AK132" s="203">
        <f t="shared" si="29"/>
        <v>324.39347708851682</v>
      </c>
      <c r="AL132" t="str">
        <f t="shared" si="30"/>
        <v>PASS</v>
      </c>
      <c r="AM132" s="50" t="str">
        <f t="shared" si="31"/>
        <v/>
      </c>
    </row>
    <row r="133" spans="1:39" hidden="1">
      <c r="A133" t="s">
        <v>1761</v>
      </c>
      <c r="B133" t="s">
        <v>261</v>
      </c>
      <c r="C133" s="50" t="s">
        <v>2205</v>
      </c>
      <c r="D133" t="str">
        <f>'Laminates- copilot'!B48</f>
        <v>608 W</v>
      </c>
      <c r="E133" s="858">
        <f>'Laminates- copilot'!D48</f>
        <v>100</v>
      </c>
      <c r="F133" s="858">
        <v>250</v>
      </c>
      <c r="G133" s="858">
        <v>200</v>
      </c>
      <c r="H133" s="858">
        <v>40</v>
      </c>
      <c r="I133" s="858">
        <v>0</v>
      </c>
      <c r="J133" s="858">
        <v>580</v>
      </c>
      <c r="K133" s="858">
        <v>50000</v>
      </c>
      <c r="L133" s="858" t="str">
        <f>'Laminates- copilot'!K48</f>
        <v>Printed</v>
      </c>
      <c r="M133" s="858" t="str">
        <f>'Laminates- copilot'!L48</f>
        <v>3-4</v>
      </c>
      <c r="N133" s="858">
        <f>'Laminates- copilot'!M48</f>
        <v>4</v>
      </c>
      <c r="O133" s="858" t="str">
        <f>'Laminates- copilot'!O48</f>
        <v>Quantum</v>
      </c>
      <c r="P133" s="858" t="str">
        <f>'Laminates- copilot'!N48</f>
        <v>Europe to Europe</v>
      </c>
      <c r="Q133" s="858">
        <f t="shared" si="16"/>
        <v>10000</v>
      </c>
      <c r="R133" s="858">
        <f t="shared" si="17"/>
        <v>10000</v>
      </c>
      <c r="S133" s="858">
        <f>IFERROR('Laminates- copilot'!Q48/'Laminates- copilot'!P48*Q133,"")</f>
        <v>452.79500000000002</v>
      </c>
      <c r="T133" s="203">
        <f>IFERROR('Laminates- copilot'!R48/'Laminates- copilot'!P48*Q133,"")</f>
        <v>8694.3225787833144</v>
      </c>
      <c r="U133" s="912">
        <f>IFERROR('Laminates- copilot'!S48/'Laminates- copilot'!P48*Q133,"")</f>
        <v>10085.414191388643</v>
      </c>
      <c r="V133" s="913">
        <f t="shared" si="18"/>
        <v>19.201454474504608</v>
      </c>
      <c r="W133" s="914">
        <f t="shared" si="19"/>
        <v>22.273687190425342</v>
      </c>
      <c r="X133" s="913">
        <f t="shared" si="20"/>
        <v>0.86943225787833145</v>
      </c>
      <c r="Y133" s="913">
        <f t="shared" si="21"/>
        <v>19.201454474504608</v>
      </c>
      <c r="Z133" s="95">
        <f t="shared" si="22"/>
        <v>55213</v>
      </c>
      <c r="AA133" s="50" t="str">
        <f t="shared" si="23"/>
        <v>Below MOQ by 5,213 bags</v>
      </c>
      <c r="AB133" s="923">
        <f t="shared" si="24"/>
        <v>0.30862632637032306</v>
      </c>
      <c r="AC133" s="924">
        <f t="shared" si="25"/>
        <v>0.35800653858957471</v>
      </c>
      <c r="AD133" s="203">
        <f t="shared" si="26"/>
        <v>15431.316318516152</v>
      </c>
      <c r="AE133" s="912">
        <f t="shared" si="27"/>
        <v>17900.326929478735</v>
      </c>
      <c r="AF133" s="923" cm="1">
        <f t="array" ref="AF133">IF(O133="Quantum",IFERROR(_xlfn.LET(_xlpm.b,_xlfn.SWITCH(LOWER(B133),"zipper bag","Zipper pouch","open bag","Open pouch","sup with zipper","Stand-up pouch","stand-up pouch","Stand-up pouch",B133),_xlpm.w,G133,_xlpm.q,K133,_xlpm.types,'Converting-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missing"),IFERROR(_xlfn.LET(_xlpm.s,O133,_xlpm.b,_xlfn.SWITCH(LOWER(B133),"zipper bag","Zipper pouch","open bag","Open pouch",B133),_xlpm.w,G133,_xlpm.q,K133,_xlpm.src,'Converting-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133" s="923">
        <f>IFERROR(IF(OR(B133="Zipper pouch",B133="SUP with zipper"),HELPER!$DE$2*(AH133+AI133)/K133,HELPER!$DE$2*AH133/K133),"Data is missing")</f>
        <v>1.0778787094539978E-2</v>
      </c>
      <c r="AH133" s="923">
        <f t="shared" si="28"/>
        <v>0.86943225787833145</v>
      </c>
      <c r="AI133" s="923">
        <f>IF(OR(B133="Zipper pouch",B133="SUP with zipper"),HELPER!$DC$2*G133/1000,"")</f>
        <v>2.8799999999999996E-2</v>
      </c>
      <c r="AJ133" s="923" cm="1">
        <f t="array" ref="AJ133">IF(INDEX('Laminates- copilot'!$E$6:$E$257,ROUNDUP((ROW()-5)/3,0))+50&gt;IF(O133="Quantum",760,1220),"Width exceeds supplier maximum",IFERROR(AF133+AG133+N(AI133)+AH133*G133/1000/MAX(1,MIN(MAX(2,INT(900/INDEX('Laminates- copilot'!$E$6:$E$257,ROUNDUP((ROW()-5)/3,0)))),INT((IF(O133="Quantum",760,1220)-50)/INDEX('Laminates- copilot'!$E$6:$E$257,ROUNDUP((ROW()-5)/3,0))))),"Data is missing"))</f>
        <v>0.23146974477774229</v>
      </c>
      <c r="AK133" s="203">
        <f t="shared" si="29"/>
        <v>308.62632637032306</v>
      </c>
      <c r="AL133" t="str">
        <f t="shared" si="30"/>
        <v>PASS</v>
      </c>
      <c r="AM133" s="50" t="str">
        <f t="shared" si="31"/>
        <v/>
      </c>
    </row>
    <row r="134" spans="1:39" hidden="1">
      <c r="A134" t="s">
        <v>1762</v>
      </c>
      <c r="B134" t="s">
        <v>262</v>
      </c>
      <c r="C134" s="50" t="s">
        <v>2205</v>
      </c>
      <c r="D134" t="str">
        <f>'Laminates- copilot'!B48</f>
        <v>608 W</v>
      </c>
      <c r="E134" s="858">
        <f>'Laminates- copilot'!D48</f>
        <v>100</v>
      </c>
      <c r="F134" s="858">
        <v>250</v>
      </c>
      <c r="G134" s="858">
        <v>200</v>
      </c>
      <c r="H134" s="858">
        <v>0</v>
      </c>
      <c r="I134" s="858">
        <v>0</v>
      </c>
      <c r="J134" s="858">
        <v>500</v>
      </c>
      <c r="K134" s="858">
        <v>50000</v>
      </c>
      <c r="L134" s="858" t="str">
        <f>'Laminates- copilot'!K48</f>
        <v>Printed</v>
      </c>
      <c r="M134" s="858" t="str">
        <f>'Laminates- copilot'!L48</f>
        <v>3-4</v>
      </c>
      <c r="N134" s="858">
        <f>'Laminates- copilot'!M48</f>
        <v>4</v>
      </c>
      <c r="O134" s="858" t="str">
        <f>'Laminates- copilot'!O48</f>
        <v>Quantum</v>
      </c>
      <c r="P134" s="858" t="str">
        <f>'Laminates- copilot'!N48</f>
        <v>Europe to Europe</v>
      </c>
      <c r="Q134" s="858">
        <f t="shared" ref="Q134:Q197" si="32">K134*G134/1000</f>
        <v>10000</v>
      </c>
      <c r="R134" s="858">
        <f t="shared" ref="R134:R197" si="33">Q134</f>
        <v>10000</v>
      </c>
      <c r="S134" s="858">
        <f>IFERROR('Laminates- copilot'!Q48/'Laminates- copilot'!P48*Q134,"")</f>
        <v>452.79500000000002</v>
      </c>
      <c r="T134" s="203">
        <f>IFERROR('Laminates- copilot'!R48/'Laminates- copilot'!P48*Q134,"")</f>
        <v>8694.3225787833144</v>
      </c>
      <c r="U134" s="912">
        <f>IFERROR('Laminates- copilot'!S48/'Laminates- copilot'!P48*Q134,"")</f>
        <v>10085.414191388643</v>
      </c>
      <c r="V134" s="913">
        <f t="shared" ref="V134:V197" si="34">IFERROR(T134/S134,"")</f>
        <v>19.201454474504608</v>
      </c>
      <c r="W134" s="914">
        <f t="shared" ref="W134:W197" si="35">IFERROR(U134/S134,"")</f>
        <v>22.273687190425342</v>
      </c>
      <c r="X134" s="913">
        <f t="shared" ref="X134:X197" si="36">IFERROR(T134/Q134,"")</f>
        <v>0.86943225787833145</v>
      </c>
      <c r="Y134" s="913">
        <f t="shared" ref="Y134:Y197" si="37">V134</f>
        <v>19.201454474504608</v>
      </c>
      <c r="Z134" s="95">
        <f t="shared" ref="Z134:Z197" si="38">IFERROR(ROUNDUP((500*Q134/S134)*1000/G134,0),"")</f>
        <v>55213</v>
      </c>
      <c r="AA134" s="50" t="str">
        <f t="shared" ref="AA134:AA197" si="39">IF(OR(K134="",Z134=""),"MOQ data missing",IF(K134&gt;=Z134,"MOQ OK","Below MOQ by "&amp;TEXT(Z134-K134,"#,##0")&amp;" bags"))</f>
        <v>Below MOQ by 5,213 bags</v>
      </c>
      <c r="AB134" s="923">
        <f t="shared" ref="AB134:AB197" si="40">IFERROR(AJ134/(1-25%),"Data is missing")</f>
        <v>0.25255410464634281</v>
      </c>
      <c r="AC134" s="924">
        <f t="shared" ref="AC134:AC197" si="41">IFERROR(AB134*1.16,"Data is missing")</f>
        <v>0.29296276138975763</v>
      </c>
      <c r="AD134" s="203">
        <f t="shared" ref="AD134:AD197" si="42">IFERROR(AB134*K134,"Data is missing")</f>
        <v>12627.705232317141</v>
      </c>
      <c r="AE134" s="912">
        <f t="shared" ref="AE134:AE197" si="43">IFERROR(AD134*1.16,"Data is missing")</f>
        <v>14648.138069487883</v>
      </c>
      <c r="AF134" s="923" cm="1">
        <f t="array" ref="AF134">IF(O134="Quantum",IFERROR(_xlfn.LET(_xlpm.b,_xlfn.SWITCH(LOWER(B134),"zipper bag","Zipper pouch","open bag","Open pouch","sup with zipper","Stand-up pouch","stand-up pouch","Stand-up pouch",B134),_xlpm.w,G134,_xlpm.q,K134,_xlpm.types,'Converting-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missing"),IFERROR(_xlfn.LET(_xlpm.s,O134,_xlpm.b,_xlfn.SWITCH(LOWER(B134),"zipper bag","Zipper pouch","open bag","Open pouch",B134),_xlpm.w,G134,_xlpm.q,K134,_xlpm.src,'Converting-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134" s="923">
        <f>IFERROR(IF(OR(B134="Zipper pouch",B134="SUP with zipper"),HELPER!$DE$2*(AH134+AI134)/K134,HELPER!$DE$2*AH134/K134),"Data is missing")</f>
        <v>1.0433187094539978E-2</v>
      </c>
      <c r="AH134" s="923">
        <f t="shared" ref="AH134:AH197" si="44">X134</f>
        <v>0.86943225787833145</v>
      </c>
      <c r="AI134" s="923" t="str">
        <f>IF(OR(B134="Zipper pouch",B134="SUP with zipper"),HELPER!$DC$2*G134/1000,"")</f>
        <v/>
      </c>
      <c r="AJ134" s="923" cm="1">
        <f t="array" ref="AJ134">IF(INDEX('Laminates- copilot'!$E$6:$E$257,ROUNDUP((ROW()-5)/3,0))+50&gt;IF(O134="Quantum",760,1220),"Width exceeds supplier maximum",IFERROR(AF134+AG134+N(AI134)+AH134*G134/1000/MAX(1,MIN(MAX(2,INT(900/INDEX('Laminates- copilot'!$E$6:$E$257,ROUNDUP((ROW()-5)/3,0)))),INT((IF(O134="Quantum",760,1220)-50)/INDEX('Laminates- copilot'!$E$6:$E$257,ROUNDUP((ROW()-5)/3,0))))),"Data is missing"))</f>
        <v>0.18941557848475712</v>
      </c>
      <c r="AK134" s="203">
        <f t="shared" ref="AK134:AK197" si="45">IFERROR(AB134*1000,"Data is missing")</f>
        <v>252.55410464634281</v>
      </c>
      <c r="AL134" t="str">
        <f t="shared" ref="AL134:AL197" si="46">IF(AND(ISNUMBER(AB134),ISNUMBER(AD134),K134&gt;0,ISNUMBER(AJ134),AM134=""),IF(AND(ABS(AD134-AB134*K134)&lt;0.05,ABS(AB134-AJ134/(1-25%))&lt;0.0001),"PASS","CHECK"),"CHECK")</f>
        <v>PASS</v>
      </c>
      <c r="AM134" s="50" t="str">
        <f t="shared" ref="AM134:AM197" si="47">_xlfn.TEXTJOIN("; ",TRUE,IF(OR(AF134="Data is missing",AG134="Data is missing",AJ134="Data is missing"),"Missing conversion data",""),IF(NOT(ISNUMBER(S134)),"Missing laminate weight",""),IF(NOT(ISNUMBER(T134)),"Missing laminate cost",""))</f>
        <v/>
      </c>
    </row>
    <row r="135" spans="1:39">
      <c r="A135" t="s">
        <v>1763</v>
      </c>
      <c r="B135" t="s">
        <v>251</v>
      </c>
      <c r="C135" s="50" t="s">
        <v>2206</v>
      </c>
      <c r="D135" t="str">
        <f>'Laminates- copilot'!B49</f>
        <v>608 W</v>
      </c>
      <c r="E135" s="858">
        <f>'Laminates- copilot'!D49</f>
        <v>100</v>
      </c>
      <c r="F135" s="858">
        <v>300</v>
      </c>
      <c r="G135" s="858">
        <v>300</v>
      </c>
      <c r="H135" s="858">
        <v>50</v>
      </c>
      <c r="I135" s="858">
        <v>0</v>
      </c>
      <c r="J135" s="858">
        <v>700</v>
      </c>
      <c r="K135" s="858">
        <v>50000</v>
      </c>
      <c r="L135" s="858" t="str">
        <f>'Laminates- copilot'!K49</f>
        <v>Printed</v>
      </c>
      <c r="M135" s="858" t="str">
        <f>'Laminates- copilot'!L49</f>
        <v>5-8</v>
      </c>
      <c r="N135" s="858">
        <f>'Laminates- copilot'!M49</f>
        <v>8</v>
      </c>
      <c r="O135" s="858" t="str">
        <f>'Laminates- copilot'!O49</f>
        <v>Marma</v>
      </c>
      <c r="P135" s="858" t="str">
        <f>'Laminates- copilot'!N49</f>
        <v>Europe to US</v>
      </c>
      <c r="Q135" s="858">
        <f t="shared" si="32"/>
        <v>15000</v>
      </c>
      <c r="R135" s="858">
        <f t="shared" si="33"/>
        <v>15000</v>
      </c>
      <c r="S135" s="858">
        <f>IFERROR('Laminates- copilot'!Q49/'Laminates- copilot'!P49*Q135,"")</f>
        <v>1746.4949999999999</v>
      </c>
      <c r="T135" s="203">
        <f>IFERROR('Laminates- copilot'!R49/'Laminates- copilot'!P49*Q135,"")</f>
        <v>28155.639527802403</v>
      </c>
      <c r="U135" s="912">
        <f>IFERROR('Laminates- copilot'!S49/'Laminates- copilot'!P49*Q135,"")</f>
        <v>32660.541852250783</v>
      </c>
      <c r="V135" s="913">
        <f t="shared" si="34"/>
        <v>16.121225384442788</v>
      </c>
      <c r="W135" s="914">
        <f t="shared" si="35"/>
        <v>18.70062144595363</v>
      </c>
      <c r="X135" s="913">
        <f t="shared" si="36"/>
        <v>1.8770426351868268</v>
      </c>
      <c r="Y135" s="913">
        <f t="shared" si="37"/>
        <v>16.121225384442788</v>
      </c>
      <c r="Z135" s="95">
        <f t="shared" si="38"/>
        <v>14315</v>
      </c>
      <c r="AA135" s="50" t="str">
        <f t="shared" si="39"/>
        <v>MOQ OK</v>
      </c>
      <c r="AB135" s="923">
        <f t="shared" si="40"/>
        <v>0.91579580631583246</v>
      </c>
      <c r="AC135" s="924">
        <f t="shared" si="41"/>
        <v>1.0623231353263656</v>
      </c>
      <c r="AD135" s="203">
        <f t="shared" si="42"/>
        <v>45789.790315791623</v>
      </c>
      <c r="AE135" s="912">
        <f t="shared" si="43"/>
        <v>53116.15676631828</v>
      </c>
      <c r="AF135" s="923" cm="1">
        <f t="array" ref="AF135">IF(O135="Quantum",IFERROR(_xlfn.LET(_xlpm.b,_xlfn.SWITCH(LOWER(B135),"zipper bag","Zipper pouch","open bag","Open pouch","sup with zipper","Stand-up pouch","stand-up pouch","Stand-up pouch",B135),_xlpm.w,G135,_xlpm.q,K135,_xlpm.types,'Converting-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missing"),IFERROR(_xlfn.LET(_xlpm.s,O135,_xlpm.b,_xlfn.SWITCH(LOWER(B135),"zipper bag","Zipper pouch","open bag","Open pouch",B135),_xlpm.w,G135,_xlpm.q,K135,_xlpm.src,'Converting-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35" s="923">
        <f>IFERROR(IF(OR(B135="Zipper pouch",B135="SUP with zipper"),HELPER!$DE$2*(AH135+AI135)/K135,HELPER!$DE$2*AH135/K135),"Data is missing")</f>
        <v>2.3042911622241924E-2</v>
      </c>
      <c r="AH135" s="923">
        <f t="shared" si="44"/>
        <v>1.8770426351868268</v>
      </c>
      <c r="AI135" s="923">
        <f>IF(OR(B135="Zipper pouch",B135="SUP with zipper"),HELPER!$DC$2*G135/1000,"")</f>
        <v>4.3199999999999995E-2</v>
      </c>
      <c r="AJ135" s="923" cm="1">
        <f t="array" ref="AJ135">IF(INDEX('Laminates- copilot'!$E$6:$E$257,ROUNDUP((ROW()-5)/3,0))+50&gt;IF(O135="Quantum",760,1220),"Width exceeds supplier maximum",IFERROR(AF135+AG135+N(AI135)+AH135*G135/1000/MAX(1,MIN(MAX(2,INT(900/INDEX('Laminates- copilot'!$E$6:$E$257,ROUNDUP((ROW()-5)/3,0)))),INT((IF(O135="Quantum",760,1220)-50)/INDEX('Laminates- copilot'!$E$6:$E$257,ROUNDUP((ROW()-5)/3,0))))),"Data is missing"))</f>
        <v>0.68684685473687435</v>
      </c>
      <c r="AK135" s="203">
        <f t="shared" si="45"/>
        <v>915.79580631583246</v>
      </c>
      <c r="AL135" t="str">
        <f t="shared" si="46"/>
        <v>PASS</v>
      </c>
      <c r="AM135" s="50" t="str">
        <f t="shared" si="47"/>
        <v/>
      </c>
    </row>
    <row r="136" spans="1:39">
      <c r="A136" t="s">
        <v>1764</v>
      </c>
      <c r="B136" t="s">
        <v>261</v>
      </c>
      <c r="C136" s="50" t="s">
        <v>2206</v>
      </c>
      <c r="D136" t="str">
        <f>'Laminates- copilot'!B49</f>
        <v>608 W</v>
      </c>
      <c r="E136" s="858">
        <f>'Laminates- copilot'!D49</f>
        <v>100</v>
      </c>
      <c r="F136" s="858">
        <v>300</v>
      </c>
      <c r="G136" s="858">
        <v>300</v>
      </c>
      <c r="H136" s="858">
        <v>50</v>
      </c>
      <c r="I136" s="858">
        <v>0</v>
      </c>
      <c r="J136" s="858">
        <v>700</v>
      </c>
      <c r="K136" s="858">
        <v>50000</v>
      </c>
      <c r="L136" s="858" t="str">
        <f>'Laminates- copilot'!K49</f>
        <v>Printed</v>
      </c>
      <c r="M136" s="858" t="str">
        <f>'Laminates- copilot'!L49</f>
        <v>5-8</v>
      </c>
      <c r="N136" s="858">
        <f>'Laminates- copilot'!M49</f>
        <v>8</v>
      </c>
      <c r="O136" s="858" t="str">
        <f>'Laminates- copilot'!O49</f>
        <v>Marma</v>
      </c>
      <c r="P136" s="858" t="str">
        <f>'Laminates- copilot'!N49</f>
        <v>Europe to US</v>
      </c>
      <c r="Q136" s="858">
        <f t="shared" si="32"/>
        <v>15000</v>
      </c>
      <c r="R136" s="858">
        <f t="shared" si="33"/>
        <v>15000</v>
      </c>
      <c r="S136" s="858">
        <f>IFERROR('Laminates- copilot'!Q49/'Laminates- copilot'!P49*Q136,"")</f>
        <v>1746.4949999999999</v>
      </c>
      <c r="T136" s="203">
        <f>IFERROR('Laminates- copilot'!R49/'Laminates- copilot'!P49*Q136,"")</f>
        <v>28155.639527802403</v>
      </c>
      <c r="U136" s="912">
        <f>IFERROR('Laminates- copilot'!S49/'Laminates- copilot'!P49*Q136,"")</f>
        <v>32660.541852250783</v>
      </c>
      <c r="V136" s="913">
        <f t="shared" si="34"/>
        <v>16.121225384442788</v>
      </c>
      <c r="W136" s="914">
        <f t="shared" si="35"/>
        <v>18.70062144595363</v>
      </c>
      <c r="X136" s="913">
        <f t="shared" si="36"/>
        <v>1.8770426351868268</v>
      </c>
      <c r="Y136" s="913">
        <f t="shared" si="37"/>
        <v>16.121225384442788</v>
      </c>
      <c r="Z136" s="95">
        <f t="shared" si="38"/>
        <v>14315</v>
      </c>
      <c r="AA136" s="50" t="str">
        <f t="shared" si="39"/>
        <v>MOQ OK</v>
      </c>
      <c r="AB136" s="923">
        <f t="shared" si="40"/>
        <v>0.9099525821081893</v>
      </c>
      <c r="AC136" s="924">
        <f t="shared" si="41"/>
        <v>1.0555449952454996</v>
      </c>
      <c r="AD136" s="203">
        <f t="shared" si="42"/>
        <v>45497.629105409462</v>
      </c>
      <c r="AE136" s="912">
        <f t="shared" si="43"/>
        <v>52777.249762274972</v>
      </c>
      <c r="AF136" s="923" cm="1">
        <f t="array" ref="AF136">IF(O136="Quantum",IFERROR(_xlfn.LET(_xlpm.b,_xlfn.SWITCH(LOWER(B136),"zipper bag","Zipper pouch","open bag","Open pouch","sup with zipper","Stand-up pouch","stand-up pouch","Stand-up pouch",B136),_xlpm.w,G136,_xlpm.q,K136,_xlpm.types,'Converting-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missing"),IFERROR(_xlfn.LET(_xlpm.s,O136,_xlpm.b,_xlfn.SWITCH(LOWER(B136),"zipper bag","Zipper pouch","open bag","Open pouch",B136),_xlpm.w,G136,_xlpm.q,K136,_xlpm.src,'Converting-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36" s="923">
        <f>IFERROR(IF(OR(B136="Zipper pouch",B136="SUP with zipper"),HELPER!$DE$2*(AH136+AI136)/K136,HELPER!$DE$2*AH136/K136),"Data is missing")</f>
        <v>2.3042911622241924E-2</v>
      </c>
      <c r="AH136" s="923">
        <f t="shared" si="44"/>
        <v>1.8770426351868268</v>
      </c>
      <c r="AI136" s="923">
        <f>IF(OR(B136="Zipper pouch",B136="SUP with zipper"),HELPER!$DC$2*G136/1000,"")</f>
        <v>4.3199999999999995E-2</v>
      </c>
      <c r="AJ136" s="923" cm="1">
        <f t="array" ref="AJ136">IF(INDEX('Laminates- copilot'!$E$6:$E$257,ROUNDUP((ROW()-5)/3,0))+50&gt;IF(O136="Quantum",760,1220),"Width exceeds supplier maximum",IFERROR(AF136+AG136+N(AI136)+AH136*G136/1000/MAX(1,MIN(MAX(2,INT(900/INDEX('Laminates- copilot'!$E$6:$E$257,ROUNDUP((ROW()-5)/3,0)))),INT((IF(O136="Quantum",760,1220)-50)/INDEX('Laminates- copilot'!$E$6:$E$257,ROUNDUP((ROW()-5)/3,0))))),"Data is missing"))</f>
        <v>0.68246443658114198</v>
      </c>
      <c r="AK136" s="203">
        <f t="shared" si="45"/>
        <v>909.95258210818929</v>
      </c>
      <c r="AL136" t="str">
        <f t="shared" si="46"/>
        <v>PASS</v>
      </c>
      <c r="AM136" s="50" t="str">
        <f t="shared" si="47"/>
        <v/>
      </c>
    </row>
    <row r="137" spans="1:39">
      <c r="A137" t="s">
        <v>1765</v>
      </c>
      <c r="B137" t="s">
        <v>262</v>
      </c>
      <c r="C137" s="50" t="s">
        <v>2206</v>
      </c>
      <c r="D137" t="str">
        <f>'Laminates- copilot'!B49</f>
        <v>608 W</v>
      </c>
      <c r="E137" s="858">
        <f>'Laminates- copilot'!D49</f>
        <v>100</v>
      </c>
      <c r="F137" s="858">
        <v>300</v>
      </c>
      <c r="G137" s="858">
        <v>300</v>
      </c>
      <c r="H137" s="858">
        <v>0</v>
      </c>
      <c r="I137" s="858">
        <v>10</v>
      </c>
      <c r="J137" s="858">
        <v>610</v>
      </c>
      <c r="K137" s="858">
        <v>50000</v>
      </c>
      <c r="L137" s="858" t="str">
        <f>'Laminates- copilot'!K49</f>
        <v>Printed</v>
      </c>
      <c r="M137" s="858" t="str">
        <f>'Laminates- copilot'!L49</f>
        <v>5-8</v>
      </c>
      <c r="N137" s="858">
        <f>'Laminates- copilot'!M49</f>
        <v>8</v>
      </c>
      <c r="O137" s="858" t="str">
        <f>'Laminates- copilot'!O49</f>
        <v>Marma</v>
      </c>
      <c r="P137" s="858" t="str">
        <f>'Laminates- copilot'!N49</f>
        <v>Europe to US</v>
      </c>
      <c r="Q137" s="858">
        <f t="shared" si="32"/>
        <v>15000</v>
      </c>
      <c r="R137" s="858">
        <f t="shared" si="33"/>
        <v>15000</v>
      </c>
      <c r="S137" s="858">
        <f>IFERROR('Laminates- copilot'!Q49/'Laminates- copilot'!P49*Q137,"")</f>
        <v>1746.4949999999999</v>
      </c>
      <c r="T137" s="203">
        <f>IFERROR('Laminates- copilot'!R49/'Laminates- copilot'!P49*Q137,"")</f>
        <v>28155.639527802403</v>
      </c>
      <c r="U137" s="912">
        <f>IFERROR('Laminates- copilot'!S49/'Laminates- copilot'!P49*Q137,"")</f>
        <v>32660.541852250783</v>
      </c>
      <c r="V137" s="913">
        <f t="shared" si="34"/>
        <v>16.121225384442788</v>
      </c>
      <c r="W137" s="914">
        <f t="shared" si="35"/>
        <v>18.70062144595363</v>
      </c>
      <c r="X137" s="913">
        <f t="shared" si="36"/>
        <v>1.8770426351868268</v>
      </c>
      <c r="Y137" s="913">
        <f t="shared" si="37"/>
        <v>16.121225384442788</v>
      </c>
      <c r="Z137" s="95">
        <f t="shared" si="38"/>
        <v>14315</v>
      </c>
      <c r="AA137" s="50" t="str">
        <f t="shared" si="39"/>
        <v>MOQ OK</v>
      </c>
      <c r="AB137" s="923">
        <f t="shared" si="40"/>
        <v>0.84477337511062178</v>
      </c>
      <c r="AC137" s="924">
        <f t="shared" si="41"/>
        <v>0.97993711512832116</v>
      </c>
      <c r="AD137" s="203">
        <f t="shared" si="42"/>
        <v>42238.668755531093</v>
      </c>
      <c r="AE137" s="912">
        <f t="shared" si="43"/>
        <v>48996.855756416066</v>
      </c>
      <c r="AF137" s="923" cm="1">
        <f t="array" ref="AF137">IF(O137="Quantum",IFERROR(_xlfn.LET(_xlpm.b,_xlfn.SWITCH(LOWER(B137),"zipper bag","Zipper pouch","open bag","Open pouch","sup with zipper","Stand-up pouch","stand-up pouch","Stand-up pouch",B137),_xlpm.w,G137,_xlpm.q,K137,_xlpm.types,'Converting-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missing"),IFERROR(_xlfn.LET(_xlpm.s,O137,_xlpm.b,_xlfn.SWITCH(LOWER(B137),"zipper bag","Zipper pouch","open bag","Open pouch",B137),_xlpm.w,G137,_xlpm.q,K137,_xlpm.src,'Converting-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37" s="923">
        <f>IFERROR(IF(OR(B137="Zipper pouch",B137="SUP with zipper"),HELPER!$DE$2*(AH137+AI137)/K137,HELPER!$DE$2*AH137/K137),"Data is missing")</f>
        <v>2.2524511622241922E-2</v>
      </c>
      <c r="AH137" s="923">
        <f t="shared" si="44"/>
        <v>1.8770426351868268</v>
      </c>
      <c r="AI137" s="923" t="str">
        <f>IF(OR(B137="Zipper pouch",B137="SUP with zipper"),HELPER!$DC$2*G137/1000,"")</f>
        <v/>
      </c>
      <c r="AJ137" s="923" cm="1">
        <f t="array" ref="AJ137">IF(INDEX('Laminates- copilot'!$E$6:$E$257,ROUNDUP((ROW()-5)/3,0))+50&gt;IF(O137="Quantum",760,1220),"Width exceeds supplier maximum",IFERROR(AF137+AG137+N(AI137)+AH137*G137/1000/MAX(1,MIN(MAX(2,INT(900/INDEX('Laminates- copilot'!$E$6:$E$257,ROUNDUP((ROW()-5)/3,0)))),INT((IF(O137="Quantum",760,1220)-50)/INDEX('Laminates- copilot'!$E$6:$E$257,ROUNDUP((ROW()-5)/3,0))))),"Data is missing"))</f>
        <v>0.63358003133296636</v>
      </c>
      <c r="AK137" s="203">
        <f t="shared" si="45"/>
        <v>844.77337511062183</v>
      </c>
      <c r="AL137" t="str">
        <f t="shared" si="46"/>
        <v>PASS</v>
      </c>
      <c r="AM137" s="50" t="str">
        <f t="shared" si="47"/>
        <v/>
      </c>
    </row>
    <row r="138" spans="1:39" hidden="1">
      <c r="A138" t="s">
        <v>1766</v>
      </c>
      <c r="B138" t="s">
        <v>251</v>
      </c>
      <c r="C138" s="50" t="s">
        <v>2207</v>
      </c>
      <c r="D138" t="str">
        <f>'Laminates- copilot'!B50</f>
        <v>608 W</v>
      </c>
      <c r="E138" s="858">
        <f>'Laminates- copilot'!D50</f>
        <v>100</v>
      </c>
      <c r="F138" s="858">
        <v>350</v>
      </c>
      <c r="G138" s="858">
        <v>400</v>
      </c>
      <c r="H138" s="858">
        <v>60</v>
      </c>
      <c r="I138" s="858">
        <v>0</v>
      </c>
      <c r="J138" s="858">
        <v>820</v>
      </c>
      <c r="K138" s="858">
        <v>100000</v>
      </c>
      <c r="L138" s="858" t="str">
        <f>'Laminates- copilot'!K50</f>
        <v>Not Printed</v>
      </c>
      <c r="M138" s="858" t="str">
        <f>'Laminates- copilot'!L50</f>
        <v>0</v>
      </c>
      <c r="N138" s="858">
        <f>'Laminates- copilot'!M50</f>
        <v>1</v>
      </c>
      <c r="O138" s="858" t="str">
        <f>'Laminates- copilot'!O50</f>
        <v>Bastin</v>
      </c>
      <c r="P138" s="858" t="str">
        <f>'Laminates- copilot'!N50</f>
        <v>Europe to Europe</v>
      </c>
      <c r="Q138" s="858">
        <f t="shared" si="32"/>
        <v>40000</v>
      </c>
      <c r="R138" s="858">
        <f t="shared" si="33"/>
        <v>40000</v>
      </c>
      <c r="S138" s="858">
        <f>IFERROR('Laminates- copilot'!Q50/'Laminates- copilot'!P50*Q138,"")</f>
        <v>1811.18</v>
      </c>
      <c r="T138" s="203">
        <f>IFERROR('Laminates- copilot'!R50/'Laminates- copilot'!P50*Q138,"")</f>
        <v>22944.342992375001</v>
      </c>
      <c r="U138" s="912">
        <f>IFERROR('Laminates- copilot'!S50/'Laminates- copilot'!P50*Q138,"")</f>
        <v>26615.437871154998</v>
      </c>
      <c r="V138" s="913">
        <f t="shared" si="34"/>
        <v>12.668173783044756</v>
      </c>
      <c r="W138" s="914">
        <f t="shared" si="35"/>
        <v>14.695081588331915</v>
      </c>
      <c r="X138" s="913">
        <f t="shared" si="36"/>
        <v>0.57360857480937499</v>
      </c>
      <c r="Y138" s="913">
        <f t="shared" si="37"/>
        <v>12.668173783044756</v>
      </c>
      <c r="Z138" s="95">
        <f t="shared" si="38"/>
        <v>27607</v>
      </c>
      <c r="AA138" s="50" t="str">
        <f t="shared" si="39"/>
        <v>MOQ OK</v>
      </c>
      <c r="AB138" s="923">
        <f t="shared" si="40"/>
        <v>0.36544393353409149</v>
      </c>
      <c r="AC138" s="924">
        <f t="shared" si="41"/>
        <v>0.42391496289954611</v>
      </c>
      <c r="AD138" s="203">
        <f t="shared" si="42"/>
        <v>36544.393353409148</v>
      </c>
      <c r="AE138" s="912">
        <f t="shared" si="43"/>
        <v>42391.496289954608</v>
      </c>
      <c r="AF138" s="923" cm="1">
        <f t="array" ref="AF138">IF(O138="Quantum",IFERROR(_xlfn.LET(_xlpm.b,_xlfn.SWITCH(LOWER(B138),"zipper bag","Zipper pouch","open bag","Open pouch","sup with zipper","Stand-up pouch","stand-up pouch","Stand-up pouch",B138),_xlpm.w,G138,_xlpm.q,K138,_xlpm.types,'Converting-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missing"),IFERROR(_xlfn.LET(_xlpm.s,O138,_xlpm.b,_xlfn.SWITCH(LOWER(B138),"zipper bag","Zipper pouch","open bag","Open pouch",B138),_xlpm.w,G138,_xlpm.q,K138,_xlpm.src,'Converting-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38" s="923">
        <f>IFERROR(IF(OR(B138="Zipper pouch",B138="SUP with zipper"),HELPER!$DE$2*(AH138+AI138)/K138,HELPER!$DE$2*AH138/K138),"Data is missing")</f>
        <v>3.7872514488562501E-3</v>
      </c>
      <c r="AH138" s="923">
        <f t="shared" si="44"/>
        <v>0.57360857480937499</v>
      </c>
      <c r="AI138" s="923">
        <f>IF(OR(B138="Zipper pouch",B138="SUP with zipper"),HELPER!$DC$2*G138/1000,"")</f>
        <v>5.7599999999999991E-2</v>
      </c>
      <c r="AJ138" s="923" cm="1">
        <f t="array" ref="AJ138">IF(INDEX('Laminates- copilot'!$E$6:$E$257,ROUNDUP((ROW()-5)/3,0))+50&gt;IF(O138="Quantum",760,1220),"Width exceeds supplier maximum",IFERROR(AF138+AG138+N(AI138)+AH138*G138/1000/MAX(1,MIN(MAX(2,INT(900/INDEX('Laminates- copilot'!$E$6:$E$257,ROUNDUP((ROW()-5)/3,0)))),INT((IF(O138="Quantum",760,1220)-50)/INDEX('Laminates- copilot'!$E$6:$E$257,ROUNDUP((ROW()-5)/3,0))))),"Data is missing"))</f>
        <v>0.2740829501505686</v>
      </c>
      <c r="AK138" s="203">
        <f t="shared" si="45"/>
        <v>365.44393353409151</v>
      </c>
      <c r="AL138" t="str">
        <f t="shared" si="46"/>
        <v>PASS</v>
      </c>
      <c r="AM138" s="50" t="str">
        <f t="shared" si="47"/>
        <v/>
      </c>
    </row>
    <row r="139" spans="1:39" hidden="1">
      <c r="A139" t="s">
        <v>1767</v>
      </c>
      <c r="B139" t="s">
        <v>261</v>
      </c>
      <c r="C139" s="50" t="s">
        <v>2207</v>
      </c>
      <c r="D139" t="str">
        <f>'Laminates- copilot'!B50</f>
        <v>608 W</v>
      </c>
      <c r="E139" s="858">
        <f>'Laminates- copilot'!D50</f>
        <v>100</v>
      </c>
      <c r="F139" s="858">
        <v>350</v>
      </c>
      <c r="G139" s="858">
        <v>400</v>
      </c>
      <c r="H139" s="858">
        <v>60</v>
      </c>
      <c r="I139" s="858">
        <v>0</v>
      </c>
      <c r="J139" s="858">
        <v>820</v>
      </c>
      <c r="K139" s="858">
        <v>100000</v>
      </c>
      <c r="L139" s="858" t="str">
        <f>'Laminates- copilot'!K50</f>
        <v>Not Printed</v>
      </c>
      <c r="M139" s="858" t="str">
        <f>'Laminates- copilot'!L50</f>
        <v>0</v>
      </c>
      <c r="N139" s="858">
        <f>'Laminates- copilot'!M50</f>
        <v>1</v>
      </c>
      <c r="O139" s="858" t="str">
        <f>'Laminates- copilot'!O50</f>
        <v>Bastin</v>
      </c>
      <c r="P139" s="858" t="str">
        <f>'Laminates- copilot'!N50</f>
        <v>Europe to Europe</v>
      </c>
      <c r="Q139" s="858">
        <f t="shared" si="32"/>
        <v>40000</v>
      </c>
      <c r="R139" s="858">
        <f t="shared" si="33"/>
        <v>40000</v>
      </c>
      <c r="S139" s="858">
        <f>IFERROR('Laminates- copilot'!Q50/'Laminates- copilot'!P50*Q139,"")</f>
        <v>1811.18</v>
      </c>
      <c r="T139" s="203">
        <f>IFERROR('Laminates- copilot'!R50/'Laminates- copilot'!P50*Q139,"")</f>
        <v>22944.342992375001</v>
      </c>
      <c r="U139" s="912">
        <f>IFERROR('Laminates- copilot'!S50/'Laminates- copilot'!P50*Q139,"")</f>
        <v>26615.437871154998</v>
      </c>
      <c r="V139" s="913">
        <f t="shared" si="34"/>
        <v>12.668173783044756</v>
      </c>
      <c r="W139" s="914">
        <f t="shared" si="35"/>
        <v>14.695081588331915</v>
      </c>
      <c r="X139" s="913">
        <f t="shared" si="36"/>
        <v>0.57360857480937499</v>
      </c>
      <c r="Y139" s="913">
        <f t="shared" si="37"/>
        <v>12.668173783044756</v>
      </c>
      <c r="Z139" s="95">
        <f t="shared" si="38"/>
        <v>27607</v>
      </c>
      <c r="AA139" s="50" t="str">
        <f t="shared" si="39"/>
        <v>MOQ OK</v>
      </c>
      <c r="AB139" s="923">
        <f t="shared" si="40"/>
        <v>0.35551045238109813</v>
      </c>
      <c r="AC139" s="924">
        <f t="shared" si="41"/>
        <v>0.41239212476207382</v>
      </c>
      <c r="AD139" s="203">
        <f t="shared" si="42"/>
        <v>35551.045238109815</v>
      </c>
      <c r="AE139" s="912">
        <f t="shared" si="43"/>
        <v>41239.21247620738</v>
      </c>
      <c r="AF139" s="923" cm="1">
        <f t="array" ref="AF139">IF(O139="Quantum",IFERROR(_xlfn.LET(_xlpm.b,_xlfn.SWITCH(LOWER(B139),"zipper bag","Zipper pouch","open bag","Open pouch","sup with zipper","Stand-up pouch","stand-up pouch","Stand-up pouch",B139),_xlpm.w,G139,_xlpm.q,K139,_xlpm.types,'Converting-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missing"),IFERROR(_xlfn.LET(_xlpm.s,O139,_xlpm.b,_xlfn.SWITCH(LOWER(B139),"zipper bag","Zipper pouch","open bag","Open pouch",B139),_xlpm.w,G139,_xlpm.q,K139,_xlpm.src,'Converting-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39" s="923">
        <f>IFERROR(IF(OR(B139="Zipper pouch",B139="SUP with zipper"),HELPER!$DE$2*(AH139+AI139)/K139,HELPER!$DE$2*AH139/K139),"Data is missing")</f>
        <v>3.7872514488562501E-3</v>
      </c>
      <c r="AH139" s="923">
        <f t="shared" si="44"/>
        <v>0.57360857480937499</v>
      </c>
      <c r="AI139" s="923">
        <f>IF(OR(B139="Zipper pouch",B139="SUP with zipper"),HELPER!$DC$2*G139/1000,"")</f>
        <v>5.7599999999999991E-2</v>
      </c>
      <c r="AJ139" s="923" cm="1">
        <f t="array" ref="AJ139">IF(INDEX('Laminates- copilot'!$E$6:$E$257,ROUNDUP((ROW()-5)/3,0))+50&gt;IF(O139="Quantum",760,1220),"Width exceeds supplier maximum",IFERROR(AF139+AG139+N(AI139)+AH139*G139/1000/MAX(1,MIN(MAX(2,INT(900/INDEX('Laminates- copilot'!$E$6:$E$257,ROUNDUP((ROW()-5)/3,0)))),INT((IF(O139="Quantum",760,1220)-50)/INDEX('Laminates- copilot'!$E$6:$E$257,ROUNDUP((ROW()-5)/3,0))))),"Data is missing"))</f>
        <v>0.2666328392858236</v>
      </c>
      <c r="AK139" s="203">
        <f t="shared" si="45"/>
        <v>355.5104523810981</v>
      </c>
      <c r="AL139" t="str">
        <f t="shared" si="46"/>
        <v>PASS</v>
      </c>
      <c r="AM139" s="50" t="str">
        <f t="shared" si="47"/>
        <v/>
      </c>
    </row>
    <row r="140" spans="1:39" hidden="1">
      <c r="A140" t="s">
        <v>1768</v>
      </c>
      <c r="B140" t="s">
        <v>262</v>
      </c>
      <c r="C140" s="50" t="s">
        <v>2207</v>
      </c>
      <c r="D140" t="str">
        <f>'Laminates- copilot'!B50</f>
        <v>608 W</v>
      </c>
      <c r="E140" s="858">
        <f>'Laminates- copilot'!D50</f>
        <v>100</v>
      </c>
      <c r="F140" s="858">
        <v>350</v>
      </c>
      <c r="G140" s="858">
        <v>400</v>
      </c>
      <c r="H140" s="858">
        <v>0</v>
      </c>
      <c r="I140" s="858">
        <v>0</v>
      </c>
      <c r="J140" s="858">
        <v>700</v>
      </c>
      <c r="K140" s="858">
        <v>100000</v>
      </c>
      <c r="L140" s="858" t="str">
        <f>'Laminates- copilot'!K50</f>
        <v>Not Printed</v>
      </c>
      <c r="M140" s="858" t="str">
        <f>'Laminates- copilot'!L50</f>
        <v>0</v>
      </c>
      <c r="N140" s="858">
        <f>'Laminates- copilot'!M50</f>
        <v>1</v>
      </c>
      <c r="O140" s="858" t="str">
        <f>'Laminates- copilot'!O50</f>
        <v>Bastin</v>
      </c>
      <c r="P140" s="858" t="str">
        <f>'Laminates- copilot'!N50</f>
        <v>Europe to Europe</v>
      </c>
      <c r="Q140" s="858">
        <f t="shared" si="32"/>
        <v>40000</v>
      </c>
      <c r="R140" s="858">
        <f t="shared" si="33"/>
        <v>40000</v>
      </c>
      <c r="S140" s="858">
        <f>IFERROR('Laminates- copilot'!Q50/'Laminates- copilot'!P50*Q140,"")</f>
        <v>1811.18</v>
      </c>
      <c r="T140" s="203">
        <f>IFERROR('Laminates- copilot'!R50/'Laminates- copilot'!P50*Q140,"")</f>
        <v>22944.342992375001</v>
      </c>
      <c r="U140" s="912">
        <f>IFERROR('Laminates- copilot'!S50/'Laminates- copilot'!P50*Q140,"")</f>
        <v>26615.437871154998</v>
      </c>
      <c r="V140" s="913">
        <f t="shared" si="34"/>
        <v>12.668173783044756</v>
      </c>
      <c r="W140" s="914">
        <f t="shared" si="35"/>
        <v>14.695081588331915</v>
      </c>
      <c r="X140" s="913">
        <f t="shared" si="36"/>
        <v>0.57360857480937499</v>
      </c>
      <c r="Y140" s="913">
        <f t="shared" si="37"/>
        <v>12.668173783044756</v>
      </c>
      <c r="Z140" s="95">
        <f t="shared" si="38"/>
        <v>27607</v>
      </c>
      <c r="AA140" s="50" t="str">
        <f t="shared" si="39"/>
        <v>MOQ OK</v>
      </c>
      <c r="AB140" s="923">
        <f t="shared" si="40"/>
        <v>0.26512165399367627</v>
      </c>
      <c r="AC140" s="924">
        <f t="shared" si="41"/>
        <v>0.30754111863266442</v>
      </c>
      <c r="AD140" s="203">
        <f t="shared" si="42"/>
        <v>26512.165399367626</v>
      </c>
      <c r="AE140" s="912">
        <f t="shared" si="43"/>
        <v>30754.111863266444</v>
      </c>
      <c r="AF140" s="923" cm="1">
        <f t="array" ref="AF140">IF(O140="Quantum",IFERROR(_xlfn.LET(_xlpm.b,_xlfn.SWITCH(LOWER(B140),"zipper bag","Zipper pouch","open bag","Open pouch","sup with zipper","Stand-up pouch","stand-up pouch","Stand-up pouch",B140),_xlpm.w,G140,_xlpm.q,K140,_xlpm.types,'Converting-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missing"),IFERROR(_xlfn.LET(_xlpm.s,O140,_xlpm.b,_xlfn.SWITCH(LOWER(B140),"zipper bag","Zipper pouch","open bag","Open pouch",B140),_xlpm.w,G140,_xlpm.q,K140,_xlpm.src,'Converting-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140" s="923">
        <f>IFERROR(IF(OR(B140="Zipper pouch",B140="SUP with zipper"),HELPER!$DE$2*(AH140+AI140)/K140,HELPER!$DE$2*AH140/K140),"Data is missing")</f>
        <v>3.4416514488562499E-3</v>
      </c>
      <c r="AH140" s="923">
        <f t="shared" si="44"/>
        <v>0.57360857480937499</v>
      </c>
      <c r="AI140" s="923" t="str">
        <f>IF(OR(B140="Zipper pouch",B140="SUP with zipper"),HELPER!$DC$2*G140/1000,"")</f>
        <v/>
      </c>
      <c r="AJ140" s="923" cm="1">
        <f t="array" ref="AJ140">IF(INDEX('Laminates- copilot'!$E$6:$E$257,ROUNDUP((ROW()-5)/3,0))+50&gt;IF(O140="Quantum",760,1220),"Width exceeds supplier maximum",IFERROR(AF140+AG140+N(AI140)+AH140*G140/1000/MAX(1,MIN(MAX(2,INT(900/INDEX('Laminates- copilot'!$E$6:$E$257,ROUNDUP((ROW()-5)/3,0)))),INT((IF(O140="Quantum",760,1220)-50)/INDEX('Laminates- copilot'!$E$6:$E$257,ROUNDUP((ROW()-5)/3,0))))),"Data is missing"))</f>
        <v>0.1988412404952572</v>
      </c>
      <c r="AK140" s="203">
        <f t="shared" si="45"/>
        <v>265.12165399367626</v>
      </c>
      <c r="AL140" t="str">
        <f t="shared" si="46"/>
        <v>PASS</v>
      </c>
      <c r="AM140" s="50" t="str">
        <f t="shared" si="47"/>
        <v/>
      </c>
    </row>
    <row r="141" spans="1:39" hidden="1">
      <c r="A141" t="s">
        <v>1769</v>
      </c>
      <c r="B141" t="s">
        <v>251</v>
      </c>
      <c r="C141" s="50" t="s">
        <v>2208</v>
      </c>
      <c r="D141" t="str">
        <f>'Laminates- copilot'!B51</f>
        <v>608 W</v>
      </c>
      <c r="E141" s="858">
        <f>'Laminates- copilot'!D51</f>
        <v>100</v>
      </c>
      <c r="F141" s="858">
        <v>400</v>
      </c>
      <c r="G141" s="858">
        <v>500</v>
      </c>
      <c r="H141" s="858">
        <v>80</v>
      </c>
      <c r="I141" s="858">
        <v>0</v>
      </c>
      <c r="J141" s="858">
        <v>960</v>
      </c>
      <c r="K141" s="858">
        <v>100000</v>
      </c>
      <c r="L141" s="858" t="str">
        <f>'Laminates- copilot'!K51</f>
        <v>Printed</v>
      </c>
      <c r="M141" s="858" t="str">
        <f>'Laminates- copilot'!L51</f>
        <v>3-4</v>
      </c>
      <c r="N141" s="858">
        <f>'Laminates- copilot'!M51</f>
        <v>4</v>
      </c>
      <c r="O141" s="858" t="str">
        <f>'Laminates- copilot'!O51</f>
        <v>Quantum</v>
      </c>
      <c r="P141" s="858" t="str">
        <f>'Laminates- copilot'!N51</f>
        <v>Europe to US</v>
      </c>
      <c r="Q141" s="858">
        <f t="shared" si="32"/>
        <v>50000</v>
      </c>
      <c r="R141" s="858">
        <f t="shared" si="33"/>
        <v>50000</v>
      </c>
      <c r="S141" s="858">
        <f>IFERROR('Laminates- copilot'!Q51/'Laminates- copilot'!P51*Q141,"")</f>
        <v>3881.1</v>
      </c>
      <c r="T141" s="203">
        <f>IFERROR('Laminates- copilot'!R51/'Laminates- copilot'!P51*Q141,"")</f>
        <v>100705.4046368681</v>
      </c>
      <c r="U141" s="912">
        <f>IFERROR('Laminates- copilot'!S51/'Laminates- copilot'!P51*Q141,"")</f>
        <v>116818.269378767</v>
      </c>
      <c r="V141" s="913">
        <f t="shared" si="34"/>
        <v>25.947644903988071</v>
      </c>
      <c r="W141" s="914">
        <f t="shared" si="35"/>
        <v>30.099268088626165</v>
      </c>
      <c r="X141" s="913">
        <f t="shared" si="36"/>
        <v>2.014108092737362</v>
      </c>
      <c r="Y141" s="913">
        <f t="shared" si="37"/>
        <v>25.947644903988071</v>
      </c>
      <c r="Z141" s="95">
        <f t="shared" si="38"/>
        <v>12883</v>
      </c>
      <c r="AA141" s="50" t="str">
        <f t="shared" si="39"/>
        <v>MOQ OK</v>
      </c>
      <c r="AB141" s="923">
        <f t="shared" si="40"/>
        <v>1.8170850361169701</v>
      </c>
      <c r="AC141" s="924">
        <f t="shared" si="41"/>
        <v>2.107818641895685</v>
      </c>
      <c r="AD141" s="203">
        <f t="shared" si="42"/>
        <v>181708.503611697</v>
      </c>
      <c r="AE141" s="912">
        <f t="shared" si="43"/>
        <v>210781.8641895685</v>
      </c>
      <c r="AF141" s="923" cm="1">
        <f t="array" ref="AF141">IF(O141="Quantum",IFERROR(_xlfn.LET(_xlpm.b,_xlfn.SWITCH(LOWER(B141),"zipper bag","Zipper pouch","open bag","Open pouch","sup with zipper","Stand-up pouch","stand-up pouch","Stand-up pouch",B141),_xlpm.w,G141,_xlpm.q,K141,_xlpm.types,'Converting-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missing"),IFERROR(_xlfn.LET(_xlpm.s,O141,_xlpm.b,_xlfn.SWITCH(LOWER(B141),"zipper bag","Zipper pouch","open bag","Open pouch",B141),_xlpm.w,G141,_xlpm.q,K141,_xlpm.src,'Converting-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141" s="923">
        <f>IFERROR(IF(OR(B141="Zipper pouch",B141="SUP with zipper"),HELPER!$DE$2*(AH141+AI141)/K141,HELPER!$DE$2*AH141/K141),"Data is missing")</f>
        <v>1.2516648556424172E-2</v>
      </c>
      <c r="AH141" s="923">
        <f t="shared" si="44"/>
        <v>2.014108092737362</v>
      </c>
      <c r="AI141" s="923">
        <f>IF(OR(B141="Zipper pouch",B141="SUP with zipper"),HELPER!$DC$2*G141/1000,"")</f>
        <v>7.1999999999999995E-2</v>
      </c>
      <c r="AJ141" s="923" cm="1">
        <f t="array" ref="AJ141">IF(INDEX('Laminates- copilot'!$E$6:$E$257,ROUNDUP((ROW()-5)/3,0))+50&gt;IF(O141="Quantum",760,1220),"Width exceeds supplier maximum",IFERROR(AF141+AG141+N(AI141)+AH141*G141/1000/MAX(1,MIN(MAX(2,INT(900/INDEX('Laminates- copilot'!$E$6:$E$257,ROUNDUP((ROW()-5)/3,0)))),INT((IF(O141="Quantum",760,1220)-50)/INDEX('Laminates- copilot'!$E$6:$E$257,ROUNDUP((ROW()-5)/3,0))))),"Data is missing"))</f>
        <v>1.3628137770877276</v>
      </c>
      <c r="AK141" s="203">
        <f t="shared" si="45"/>
        <v>1817.0850361169701</v>
      </c>
      <c r="AL141" t="str">
        <f t="shared" si="46"/>
        <v>PASS</v>
      </c>
      <c r="AM141" s="50" t="str">
        <f t="shared" si="47"/>
        <v/>
      </c>
    </row>
    <row r="142" spans="1:39" hidden="1">
      <c r="A142" t="s">
        <v>1770</v>
      </c>
      <c r="B142" t="s">
        <v>261</v>
      </c>
      <c r="C142" s="50" t="s">
        <v>2208</v>
      </c>
      <c r="D142" t="str">
        <f>'Laminates- copilot'!B51</f>
        <v>608 W</v>
      </c>
      <c r="E142" s="858">
        <f>'Laminates- copilot'!D51</f>
        <v>100</v>
      </c>
      <c r="F142" s="858">
        <v>400</v>
      </c>
      <c r="G142" s="858">
        <v>500</v>
      </c>
      <c r="H142" s="858">
        <v>80</v>
      </c>
      <c r="I142" s="858">
        <v>0</v>
      </c>
      <c r="J142" s="858">
        <v>960</v>
      </c>
      <c r="K142" s="858">
        <v>100000</v>
      </c>
      <c r="L142" s="858" t="str">
        <f>'Laminates- copilot'!K51</f>
        <v>Printed</v>
      </c>
      <c r="M142" s="858" t="str">
        <f>'Laminates- copilot'!L51</f>
        <v>3-4</v>
      </c>
      <c r="N142" s="858">
        <f>'Laminates- copilot'!M51</f>
        <v>4</v>
      </c>
      <c r="O142" s="858" t="str">
        <f>'Laminates- copilot'!O51</f>
        <v>Quantum</v>
      </c>
      <c r="P142" s="858" t="str">
        <f>'Laminates- copilot'!N51</f>
        <v>Europe to US</v>
      </c>
      <c r="Q142" s="858">
        <f t="shared" si="32"/>
        <v>50000</v>
      </c>
      <c r="R142" s="858">
        <f t="shared" si="33"/>
        <v>50000</v>
      </c>
      <c r="S142" s="858">
        <f>IFERROR('Laminates- copilot'!Q51/'Laminates- copilot'!P51*Q142,"")</f>
        <v>3881.1</v>
      </c>
      <c r="T142" s="203">
        <f>IFERROR('Laminates- copilot'!R51/'Laminates- copilot'!P51*Q142,"")</f>
        <v>100705.4046368681</v>
      </c>
      <c r="U142" s="912">
        <f>IFERROR('Laminates- copilot'!S51/'Laminates- copilot'!P51*Q142,"")</f>
        <v>116818.269378767</v>
      </c>
      <c r="V142" s="913">
        <f t="shared" si="34"/>
        <v>25.947644903988071</v>
      </c>
      <c r="W142" s="914">
        <f t="shared" si="35"/>
        <v>30.099268088626165</v>
      </c>
      <c r="X142" s="913">
        <f t="shared" si="36"/>
        <v>2.014108092737362</v>
      </c>
      <c r="Y142" s="913">
        <f t="shared" si="37"/>
        <v>25.947644903988071</v>
      </c>
      <c r="Z142" s="95">
        <f t="shared" si="38"/>
        <v>12883</v>
      </c>
      <c r="AA142" s="50" t="str">
        <f t="shared" si="39"/>
        <v>MOQ OK</v>
      </c>
      <c r="AB142" s="923">
        <f t="shared" si="40"/>
        <v>1.7776671593214859</v>
      </c>
      <c r="AC142" s="924">
        <f t="shared" si="41"/>
        <v>2.0620939048129237</v>
      </c>
      <c r="AD142" s="203">
        <f t="shared" si="42"/>
        <v>177766.7159321486</v>
      </c>
      <c r="AE142" s="912">
        <f t="shared" si="43"/>
        <v>206209.39048129236</v>
      </c>
      <c r="AF142" s="923" cm="1">
        <f t="array" ref="AF142">IF(O142="Quantum",IFERROR(_xlfn.LET(_xlpm.b,_xlfn.SWITCH(LOWER(B142),"zipper bag","Zipper pouch","open bag","Open pouch","sup with zipper","Stand-up pouch","stand-up pouch","Stand-up pouch",B142),_xlpm.w,G142,_xlpm.q,K142,_xlpm.types,'Converting-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missing"),IFERROR(_xlfn.LET(_xlpm.s,O142,_xlpm.b,_xlfn.SWITCH(LOWER(B142),"zipper bag","Zipper pouch","open bag","Open pouch",B142),_xlpm.w,G142,_xlpm.q,K142,_xlpm.src,'Converting-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142" s="923">
        <f>IFERROR(IF(OR(B142="Zipper pouch",B142="SUP with zipper"),HELPER!$DE$2*(AH142+AI142)/K142,HELPER!$DE$2*AH142/K142),"Data is missing")</f>
        <v>1.2516648556424172E-2</v>
      </c>
      <c r="AH142" s="923">
        <f t="shared" si="44"/>
        <v>2.014108092737362</v>
      </c>
      <c r="AI142" s="923">
        <f>IF(OR(B142="Zipper pouch",B142="SUP with zipper"),HELPER!$DC$2*G142/1000,"")</f>
        <v>7.1999999999999995E-2</v>
      </c>
      <c r="AJ142" s="923" cm="1">
        <f t="array" ref="AJ142">IF(INDEX('Laminates- copilot'!$E$6:$E$257,ROUNDUP((ROW()-5)/3,0))+50&gt;IF(O142="Quantum",760,1220),"Width exceeds supplier maximum",IFERROR(AF142+AG142+N(AI142)+AH142*G142/1000/MAX(1,MIN(MAX(2,INT(900/INDEX('Laminates- copilot'!$E$6:$E$257,ROUNDUP((ROW()-5)/3,0)))),INT((IF(O142="Quantum",760,1220)-50)/INDEX('Laminates- copilot'!$E$6:$E$257,ROUNDUP((ROW()-5)/3,0))))),"Data is missing"))</f>
        <v>1.3332503694911144</v>
      </c>
      <c r="AK142" s="203">
        <f t="shared" si="45"/>
        <v>1777.667159321486</v>
      </c>
      <c r="AL142" t="str">
        <f t="shared" si="46"/>
        <v>PASS</v>
      </c>
      <c r="AM142" s="50" t="str">
        <f t="shared" si="47"/>
        <v/>
      </c>
    </row>
    <row r="143" spans="1:39" hidden="1">
      <c r="A143" t="s">
        <v>1771</v>
      </c>
      <c r="B143" t="s">
        <v>262</v>
      </c>
      <c r="C143" s="50" t="s">
        <v>2208</v>
      </c>
      <c r="D143" t="str">
        <f>'Laminates- copilot'!B51</f>
        <v>608 W</v>
      </c>
      <c r="E143" s="858">
        <f>'Laminates- copilot'!D51</f>
        <v>100</v>
      </c>
      <c r="F143" s="858">
        <v>400</v>
      </c>
      <c r="G143" s="858">
        <v>500</v>
      </c>
      <c r="H143" s="858">
        <v>0</v>
      </c>
      <c r="I143" s="858">
        <v>20</v>
      </c>
      <c r="J143" s="858">
        <v>820</v>
      </c>
      <c r="K143" s="858">
        <v>100000</v>
      </c>
      <c r="L143" s="858" t="str">
        <f>'Laminates- copilot'!K51</f>
        <v>Printed</v>
      </c>
      <c r="M143" s="858" t="str">
        <f>'Laminates- copilot'!L51</f>
        <v>3-4</v>
      </c>
      <c r="N143" s="858">
        <f>'Laminates- copilot'!M51</f>
        <v>4</v>
      </c>
      <c r="O143" s="858" t="str">
        <f>'Laminates- copilot'!O51</f>
        <v>Quantum</v>
      </c>
      <c r="P143" s="858" t="str">
        <f>'Laminates- copilot'!N51</f>
        <v>Europe to US</v>
      </c>
      <c r="Q143" s="858">
        <f t="shared" si="32"/>
        <v>50000</v>
      </c>
      <c r="R143" s="858">
        <f t="shared" si="33"/>
        <v>50000</v>
      </c>
      <c r="S143" s="858">
        <f>IFERROR('Laminates- copilot'!Q51/'Laminates- copilot'!P51*Q143,"")</f>
        <v>3881.1</v>
      </c>
      <c r="T143" s="203">
        <f>IFERROR('Laminates- copilot'!R51/'Laminates- copilot'!P51*Q143,"")</f>
        <v>100705.4046368681</v>
      </c>
      <c r="U143" s="912">
        <f>IFERROR('Laminates- copilot'!S51/'Laminates- copilot'!P51*Q143,"")</f>
        <v>116818.269378767</v>
      </c>
      <c r="V143" s="913">
        <f t="shared" si="34"/>
        <v>25.947644903988071</v>
      </c>
      <c r="W143" s="914">
        <f t="shared" si="35"/>
        <v>30.099268088626165</v>
      </c>
      <c r="X143" s="913">
        <f t="shared" si="36"/>
        <v>2.014108092737362</v>
      </c>
      <c r="Y143" s="913">
        <f t="shared" si="37"/>
        <v>25.947644903988071</v>
      </c>
      <c r="Z143" s="95">
        <f t="shared" si="38"/>
        <v>12883</v>
      </c>
      <c r="AA143" s="50" t="str">
        <f t="shared" si="39"/>
        <v>MOQ OK</v>
      </c>
      <c r="AB143" s="923">
        <f t="shared" si="40"/>
        <v>1.6472580073103857</v>
      </c>
      <c r="AC143" s="924">
        <f t="shared" si="41"/>
        <v>1.9108192884800472</v>
      </c>
      <c r="AD143" s="203">
        <f t="shared" si="42"/>
        <v>164725.80073103859</v>
      </c>
      <c r="AE143" s="912">
        <f t="shared" si="43"/>
        <v>191081.92884800475</v>
      </c>
      <c r="AF143" s="923" cm="1">
        <f t="array" ref="AF143">IF(O143="Quantum",IFERROR(_xlfn.LET(_xlpm.b,_xlfn.SWITCH(LOWER(B143),"zipper bag","Zipper pouch","open bag","Open pouch","sup with zipper","Stand-up pouch","stand-up pouch","Stand-up pouch",B143),_xlpm.w,G143,_xlpm.q,K143,_xlpm.types,'Converting-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missing"),IFERROR(_xlfn.LET(_xlpm.s,O143,_xlpm.b,_xlfn.SWITCH(LOWER(B143),"zipper bag","Zipper pouch","open bag","Open pouch",B143),_xlpm.w,G143,_xlpm.q,K143,_xlpm.src,'Converting-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143" s="923">
        <f>IFERROR(IF(OR(B143="Zipper pouch",B143="SUP with zipper"),HELPER!$DE$2*(AH143+AI143)/K143,HELPER!$DE$2*AH143/K143),"Data is missing")</f>
        <v>1.2084648556424172E-2</v>
      </c>
      <c r="AH143" s="923">
        <f t="shared" si="44"/>
        <v>2.014108092737362</v>
      </c>
      <c r="AI143" s="923" t="str">
        <f>IF(OR(B143="Zipper pouch",B143="SUP with zipper"),HELPER!$DC$2*G143/1000,"")</f>
        <v/>
      </c>
      <c r="AJ143" s="923" cm="1">
        <f t="array" ref="AJ143">IF(INDEX('Laminates- copilot'!$E$6:$E$257,ROUNDUP((ROW()-5)/3,0))+50&gt;IF(O143="Quantum",760,1220),"Width exceeds supplier maximum",IFERROR(AF143+AG143+N(AI143)+AH143*G143/1000/MAX(1,MIN(MAX(2,INT(900/INDEX('Laminates- copilot'!$E$6:$E$257,ROUNDUP((ROW()-5)/3,0)))),INT((IF(O143="Quantum",760,1220)-50)/INDEX('Laminates- copilot'!$E$6:$E$257,ROUNDUP((ROW()-5)/3,0))))),"Data is missing"))</f>
        <v>1.2354435054827893</v>
      </c>
      <c r="AK143" s="203">
        <f t="shared" si="45"/>
        <v>1647.2580073103857</v>
      </c>
      <c r="AL143" t="str">
        <f t="shared" si="46"/>
        <v>PASS</v>
      </c>
      <c r="AM143" s="50" t="str">
        <f t="shared" si="47"/>
        <v/>
      </c>
    </row>
    <row r="144" spans="1:39" hidden="1">
      <c r="A144" t="s">
        <v>1772</v>
      </c>
      <c r="B144" t="s">
        <v>251</v>
      </c>
      <c r="C144" s="50" t="s">
        <v>2209</v>
      </c>
      <c r="D144" t="str">
        <f>'Laminates- copilot'!B52</f>
        <v>608 W</v>
      </c>
      <c r="E144" s="858">
        <f>'Laminates- copilot'!D52</f>
        <v>100</v>
      </c>
      <c r="F144" s="858">
        <v>600</v>
      </c>
      <c r="G144" s="858">
        <v>200</v>
      </c>
      <c r="H144" s="858">
        <v>50</v>
      </c>
      <c r="I144" s="858">
        <v>0</v>
      </c>
      <c r="J144" s="858">
        <v>1300</v>
      </c>
      <c r="K144" s="858">
        <v>200000</v>
      </c>
      <c r="L144" s="858" t="str">
        <f>'Laminates- copilot'!K52</f>
        <v>Printed</v>
      </c>
      <c r="M144" s="858" t="str">
        <f>'Laminates- copilot'!L52</f>
        <v>5-8</v>
      </c>
      <c r="N144" s="858">
        <f>'Laminates- copilot'!M52</f>
        <v>8</v>
      </c>
      <c r="O144" s="858" t="str">
        <f>'Laminates- copilot'!O52</f>
        <v>Marma</v>
      </c>
      <c r="P144" s="858" t="str">
        <f>'Laminates- copilot'!N52</f>
        <v>Europe to Europe</v>
      </c>
      <c r="Q144" s="858">
        <f t="shared" si="32"/>
        <v>40000</v>
      </c>
      <c r="R144" s="858">
        <f t="shared" si="33"/>
        <v>40000</v>
      </c>
      <c r="S144" s="858">
        <f>IFERROR('Laminates- copilot'!Q52/'Laminates- copilot'!P52*Q144,"")</f>
        <v>4657.3199999999988</v>
      </c>
      <c r="T144" s="203">
        <f>IFERROR('Laminates- copilot'!R52/'Laminates- copilot'!P52*Q144,"")</f>
        <v>64894.177399758963</v>
      </c>
      <c r="U144" s="912">
        <f>IFERROR('Laminates- copilot'!S52/'Laminates- copilot'!P52*Q144,"")</f>
        <v>75277.245783720384</v>
      </c>
      <c r="V144" s="913">
        <f t="shared" si="34"/>
        <v>13.933802573101909</v>
      </c>
      <c r="W144" s="914">
        <f t="shared" si="35"/>
        <v>16.163210984798212</v>
      </c>
      <c r="X144" s="913">
        <f t="shared" si="36"/>
        <v>1.622354434993974</v>
      </c>
      <c r="Y144" s="913">
        <f t="shared" si="37"/>
        <v>13.933802573101909</v>
      </c>
      <c r="Z144" s="95">
        <f t="shared" si="38"/>
        <v>21472</v>
      </c>
      <c r="AA144" s="50" t="str">
        <f t="shared" si="39"/>
        <v>MOQ OK</v>
      </c>
      <c r="AB144" s="923">
        <f t="shared" si="40"/>
        <v>0.53559832073023883</v>
      </c>
      <c r="AC144" s="924">
        <f t="shared" si="41"/>
        <v>0.62129405204707699</v>
      </c>
      <c r="AD144" s="203">
        <f t="shared" si="42"/>
        <v>107119.66414604777</v>
      </c>
      <c r="AE144" s="912">
        <f t="shared" si="43"/>
        <v>124258.8104094154</v>
      </c>
      <c r="AF144" s="923" cm="1">
        <f t="array" ref="AF144">IF(O144="Quantum",IFERROR(_xlfn.LET(_xlpm.b,_xlfn.SWITCH(LOWER(B144),"zipper bag","Zipper pouch","open bag","Open pouch","sup with zipper","Stand-up pouch","stand-up pouch","Stand-up pouch",B144),_xlpm.w,G144,_xlpm.q,K144,_xlpm.types,'Converting-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missing"),IFERROR(_xlfn.LET(_xlpm.s,O144,_xlpm.b,_xlfn.SWITCH(LOWER(B144),"zipper bag","Zipper pouch","open bag","Open pouch",B144),_xlpm.w,G144,_xlpm.q,K144,_xlpm.src,'Converting-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144" s="923">
        <f>IFERROR(IF(OR(B144="Zipper pouch",B144="SUP with zipper"),HELPER!$DE$2*(AH144+AI144)/K144,HELPER!$DE$2*AH144/K144),"Data is missing")</f>
        <v>4.9534633049819216E-3</v>
      </c>
      <c r="AH144" s="923">
        <f t="shared" si="44"/>
        <v>1.622354434993974</v>
      </c>
      <c r="AI144" s="923">
        <f>IF(OR(B144="Zipper pouch",B144="SUP with zipper"),HELPER!$DC$2*G144/1000,"")</f>
        <v>2.8799999999999996E-2</v>
      </c>
      <c r="AJ144" s="923" cm="1">
        <f t="array" ref="AJ144">IF(INDEX('Laminates- copilot'!$E$6:$E$257,ROUNDUP((ROW()-5)/3,0))+50&gt;IF(O144="Quantum",760,1220),"Width exceeds supplier maximum",IFERROR(AF144+AG144+N(AI144)+AH144*G144/1000/MAX(1,MIN(MAX(2,INT(900/INDEX('Laminates- copilot'!$E$6:$E$257,ROUNDUP((ROW()-5)/3,0)))),INT((IF(O144="Quantum",760,1220)-50)/INDEX('Laminates- copilot'!$E$6:$E$257,ROUNDUP((ROW()-5)/3,0))))),"Data is missing"))</f>
        <v>0.40169874054767912</v>
      </c>
      <c r="AK144" s="203">
        <f t="shared" si="45"/>
        <v>535.59832073023881</v>
      </c>
      <c r="AL144" t="str">
        <f t="shared" si="46"/>
        <v>PASS</v>
      </c>
      <c r="AM144" s="50" t="str">
        <f t="shared" si="47"/>
        <v/>
      </c>
    </row>
    <row r="145" spans="1:39" hidden="1">
      <c r="A145" t="s">
        <v>1773</v>
      </c>
      <c r="B145" t="s">
        <v>261</v>
      </c>
      <c r="C145" s="50" t="s">
        <v>2209</v>
      </c>
      <c r="D145" t="str">
        <f>'Laminates- copilot'!B52</f>
        <v>608 W</v>
      </c>
      <c r="E145" s="858">
        <f>'Laminates- copilot'!D52</f>
        <v>100</v>
      </c>
      <c r="F145" s="858">
        <v>600</v>
      </c>
      <c r="G145" s="858">
        <v>200</v>
      </c>
      <c r="H145" s="858">
        <v>50</v>
      </c>
      <c r="I145" s="858">
        <v>0</v>
      </c>
      <c r="J145" s="858">
        <v>1300</v>
      </c>
      <c r="K145" s="858">
        <v>200000</v>
      </c>
      <c r="L145" s="858" t="str">
        <f>'Laminates- copilot'!K52</f>
        <v>Printed</v>
      </c>
      <c r="M145" s="858" t="str">
        <f>'Laminates- copilot'!L52</f>
        <v>5-8</v>
      </c>
      <c r="N145" s="858">
        <f>'Laminates- copilot'!M52</f>
        <v>8</v>
      </c>
      <c r="O145" s="858" t="str">
        <f>'Laminates- copilot'!O52</f>
        <v>Marma</v>
      </c>
      <c r="P145" s="858" t="str">
        <f>'Laminates- copilot'!N52</f>
        <v>Europe to Europe</v>
      </c>
      <c r="Q145" s="858">
        <f t="shared" si="32"/>
        <v>40000</v>
      </c>
      <c r="R145" s="858">
        <f t="shared" si="33"/>
        <v>40000</v>
      </c>
      <c r="S145" s="858">
        <f>IFERROR('Laminates- copilot'!Q52/'Laminates- copilot'!P52*Q145,"")</f>
        <v>4657.3199999999988</v>
      </c>
      <c r="T145" s="203">
        <f>IFERROR('Laminates- copilot'!R52/'Laminates- copilot'!P52*Q145,"")</f>
        <v>64894.177399758963</v>
      </c>
      <c r="U145" s="912">
        <f>IFERROR('Laminates- copilot'!S52/'Laminates- copilot'!P52*Q145,"")</f>
        <v>75277.245783720384</v>
      </c>
      <c r="V145" s="913">
        <f t="shared" si="34"/>
        <v>13.933802573101909</v>
      </c>
      <c r="W145" s="914">
        <f t="shared" si="35"/>
        <v>16.163210984798212</v>
      </c>
      <c r="X145" s="913">
        <f t="shared" si="36"/>
        <v>1.622354434993974</v>
      </c>
      <c r="Y145" s="913">
        <f t="shared" si="37"/>
        <v>13.933802573101909</v>
      </c>
      <c r="Z145" s="95">
        <f t="shared" si="38"/>
        <v>21472</v>
      </c>
      <c r="AA145" s="50" t="str">
        <f t="shared" si="39"/>
        <v>MOQ OK</v>
      </c>
      <c r="AB145" s="923">
        <f t="shared" si="40"/>
        <v>0.53086809160976578</v>
      </c>
      <c r="AC145" s="924">
        <f t="shared" si="41"/>
        <v>0.61580698626732822</v>
      </c>
      <c r="AD145" s="203">
        <f t="shared" si="42"/>
        <v>106173.61832195315</v>
      </c>
      <c r="AE145" s="912">
        <f t="shared" si="43"/>
        <v>123161.39725346565</v>
      </c>
      <c r="AF145" s="923" cm="1">
        <f t="array" ref="AF145">IF(O145="Quantum",IFERROR(_xlfn.LET(_xlpm.b,_xlfn.SWITCH(LOWER(B145),"zipper bag","Zipper pouch","open bag","Open pouch","sup with zipper","Stand-up pouch","stand-up pouch","Stand-up pouch",B145),_xlpm.w,G145,_xlpm.q,K145,_xlpm.types,'Converting-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missing"),IFERROR(_xlfn.LET(_xlpm.s,O145,_xlpm.b,_xlfn.SWITCH(LOWER(B145),"zipper bag","Zipper pouch","open bag","Open pouch",B145),_xlpm.w,G145,_xlpm.q,K145,_xlpm.src,'Converting-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145" s="923">
        <f>IFERROR(IF(OR(B145="Zipper pouch",B145="SUP with zipper"),HELPER!$DE$2*(AH145+AI145)/K145,HELPER!$DE$2*AH145/K145),"Data is missing")</f>
        <v>4.9534633049819216E-3</v>
      </c>
      <c r="AH145" s="923">
        <f t="shared" si="44"/>
        <v>1.622354434993974</v>
      </c>
      <c r="AI145" s="923">
        <f>IF(OR(B145="Zipper pouch",B145="SUP with zipper"),HELPER!$DC$2*G145/1000,"")</f>
        <v>2.8799999999999996E-2</v>
      </c>
      <c r="AJ145" s="923" cm="1">
        <f t="array" ref="AJ145">IF(INDEX('Laminates- copilot'!$E$6:$E$257,ROUNDUP((ROW()-5)/3,0))+50&gt;IF(O145="Quantum",760,1220),"Width exceeds supplier maximum",IFERROR(AF145+AG145+N(AI145)+AH145*G145/1000/MAX(1,MIN(MAX(2,INT(900/INDEX('Laminates- copilot'!$E$6:$E$257,ROUNDUP((ROW()-5)/3,0)))),INT((IF(O145="Quantum",760,1220)-50)/INDEX('Laminates- copilot'!$E$6:$E$257,ROUNDUP((ROW()-5)/3,0))))),"Data is missing"))</f>
        <v>0.39815106870732436</v>
      </c>
      <c r="AK145" s="203">
        <f t="shared" si="45"/>
        <v>530.86809160976577</v>
      </c>
      <c r="AL145" t="str">
        <f t="shared" si="46"/>
        <v>PASS</v>
      </c>
      <c r="AM145" s="50" t="str">
        <f t="shared" si="47"/>
        <v/>
      </c>
    </row>
    <row r="146" spans="1:39" hidden="1">
      <c r="A146" t="s">
        <v>1774</v>
      </c>
      <c r="B146" t="s">
        <v>262</v>
      </c>
      <c r="C146" s="50" t="s">
        <v>2209</v>
      </c>
      <c r="D146" t="str">
        <f>'Laminates- copilot'!B52</f>
        <v>608 W</v>
      </c>
      <c r="E146" s="858">
        <f>'Laminates- copilot'!D52</f>
        <v>100</v>
      </c>
      <c r="F146" s="858">
        <v>600</v>
      </c>
      <c r="G146" s="858">
        <v>200</v>
      </c>
      <c r="H146" s="858">
        <v>0</v>
      </c>
      <c r="I146" s="858">
        <v>0</v>
      </c>
      <c r="J146" s="858">
        <v>1200</v>
      </c>
      <c r="K146" s="858">
        <v>200000</v>
      </c>
      <c r="L146" s="858" t="str">
        <f>'Laminates- copilot'!K52</f>
        <v>Printed</v>
      </c>
      <c r="M146" s="858" t="str">
        <f>'Laminates- copilot'!L52</f>
        <v>5-8</v>
      </c>
      <c r="N146" s="858">
        <f>'Laminates- copilot'!M52</f>
        <v>8</v>
      </c>
      <c r="O146" s="858" t="str">
        <f>'Laminates- copilot'!O52</f>
        <v>Marma</v>
      </c>
      <c r="P146" s="858" t="str">
        <f>'Laminates- copilot'!N52</f>
        <v>Europe to Europe</v>
      </c>
      <c r="Q146" s="858">
        <f t="shared" si="32"/>
        <v>40000</v>
      </c>
      <c r="R146" s="858">
        <f t="shared" si="33"/>
        <v>40000</v>
      </c>
      <c r="S146" s="858">
        <f>IFERROR('Laminates- copilot'!Q52/'Laminates- copilot'!P52*Q146,"")</f>
        <v>4657.3199999999988</v>
      </c>
      <c r="T146" s="203">
        <f>IFERROR('Laminates- copilot'!R52/'Laminates- copilot'!P52*Q146,"")</f>
        <v>64894.177399758963</v>
      </c>
      <c r="U146" s="912">
        <f>IFERROR('Laminates- copilot'!S52/'Laminates- copilot'!P52*Q146,"")</f>
        <v>75277.245783720384</v>
      </c>
      <c r="V146" s="913">
        <f t="shared" si="34"/>
        <v>13.933802573101909</v>
      </c>
      <c r="W146" s="914">
        <f t="shared" si="35"/>
        <v>16.163210984798212</v>
      </c>
      <c r="X146" s="913">
        <f t="shared" si="36"/>
        <v>1.622354434993974</v>
      </c>
      <c r="Y146" s="913">
        <f t="shared" si="37"/>
        <v>13.933802573101909</v>
      </c>
      <c r="Z146" s="95">
        <f t="shared" si="38"/>
        <v>21472</v>
      </c>
      <c r="AA146" s="50" t="str">
        <f t="shared" si="39"/>
        <v>MOQ OK</v>
      </c>
      <c r="AB146" s="923">
        <f t="shared" si="40"/>
        <v>0.48706769269928979</v>
      </c>
      <c r="AC146" s="924">
        <f t="shared" si="41"/>
        <v>0.56499852353117608</v>
      </c>
      <c r="AD146" s="203">
        <f t="shared" si="42"/>
        <v>97413.538539857953</v>
      </c>
      <c r="AE146" s="912">
        <f t="shared" si="43"/>
        <v>112999.70470623522</v>
      </c>
      <c r="AF146" s="923" cm="1">
        <f t="array" ref="AF146">IF(O146="Quantum",IFERROR(_xlfn.LET(_xlpm.b,_xlfn.SWITCH(LOWER(B146),"zipper bag","Zipper pouch","open bag","Open pouch","sup with zipper","Stand-up pouch","stand-up pouch","Stand-up pouch",B146),_xlpm.w,G146,_xlpm.q,K146,_xlpm.types,'Converting-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missing"),IFERROR(_xlfn.LET(_xlpm.s,O146,_xlpm.b,_xlfn.SWITCH(LOWER(B146),"zipper bag","Zipper pouch","open bag","Open pouch",B146),_xlpm.w,G146,_xlpm.q,K146,_xlpm.src,'Converting-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146" s="923">
        <f>IFERROR(IF(OR(B146="Zipper pouch",B146="SUP with zipper"),HELPER!$DE$2*(AH146+AI146)/K146,HELPER!$DE$2*AH146/K146),"Data is missing")</f>
        <v>4.8670633049819221E-3</v>
      </c>
      <c r="AH146" s="923">
        <f t="shared" si="44"/>
        <v>1.622354434993974</v>
      </c>
      <c r="AI146" s="923" t="str">
        <f>IF(OR(B146="Zipper pouch",B146="SUP with zipper"),HELPER!$DC$2*G146/1000,"")</f>
        <v/>
      </c>
      <c r="AJ146" s="923" cm="1">
        <f t="array" ref="AJ146">IF(INDEX('Laminates- copilot'!$E$6:$E$257,ROUNDUP((ROW()-5)/3,0))+50&gt;IF(O146="Quantum",760,1220),"Width exceeds supplier maximum",IFERROR(AF146+AG146+N(AI146)+AH146*G146/1000/MAX(1,MIN(MAX(2,INT(900/INDEX('Laminates- copilot'!$E$6:$E$257,ROUNDUP((ROW()-5)/3,0)))),INT((IF(O146="Quantum",760,1220)-50)/INDEX('Laminates- copilot'!$E$6:$E$257,ROUNDUP((ROW()-5)/3,0))))),"Data is missing"))</f>
        <v>0.36530076952446733</v>
      </c>
      <c r="AK146" s="203">
        <f t="shared" si="45"/>
        <v>487.06769269928981</v>
      </c>
      <c r="AL146" t="str">
        <f t="shared" si="46"/>
        <v>PASS</v>
      </c>
      <c r="AM146" s="50" t="str">
        <f t="shared" si="47"/>
        <v/>
      </c>
    </row>
    <row r="147" spans="1:39" hidden="1">
      <c r="A147" t="s">
        <v>1775</v>
      </c>
      <c r="B147" t="s">
        <v>251</v>
      </c>
      <c r="C147" s="50" t="s">
        <v>2210</v>
      </c>
      <c r="D147" t="str">
        <f>'Laminates- copilot'!B53</f>
        <v>608 W</v>
      </c>
      <c r="E147" s="858">
        <f>'Laminates- copilot'!D53</f>
        <v>100</v>
      </c>
      <c r="F147" s="858">
        <v>700</v>
      </c>
      <c r="G147" s="858">
        <v>300</v>
      </c>
      <c r="H147" s="858">
        <v>75</v>
      </c>
      <c r="I147" s="858">
        <v>0</v>
      </c>
      <c r="J147" s="858">
        <v>1550</v>
      </c>
      <c r="K147" s="858">
        <v>200000</v>
      </c>
      <c r="L147" s="858" t="str">
        <f>'Laminates- copilot'!K53</f>
        <v>Not Printed</v>
      </c>
      <c r="M147" s="858" t="str">
        <f>'Laminates- copilot'!L53</f>
        <v>0</v>
      </c>
      <c r="N147" s="858">
        <f>'Laminates- copilot'!M53</f>
        <v>1</v>
      </c>
      <c r="O147" s="858" t="str">
        <f>'Laminates- copilot'!O53</f>
        <v>Bastin</v>
      </c>
      <c r="P147" s="858" t="str">
        <f>'Laminates- copilot'!N53</f>
        <v>Europe to US</v>
      </c>
      <c r="Q147" s="858">
        <f t="shared" si="32"/>
        <v>60000</v>
      </c>
      <c r="R147" s="858">
        <f t="shared" si="33"/>
        <v>60000</v>
      </c>
      <c r="S147" s="858">
        <f>IFERROR('Laminates- copilot'!Q53/'Laminates- copilot'!P53*Q147,"")</f>
        <v>1940.5500000000002</v>
      </c>
      <c r="T147" s="203">
        <f>IFERROR('Laminates- copilot'!R53/'Laminates- copilot'!P53*Q147,"")</f>
        <v>31082.76446602814</v>
      </c>
      <c r="U147" s="912">
        <f>IFERROR('Laminates- copilot'!S53/'Laminates- copilot'!P53*Q147,"")</f>
        <v>36056.006780592637</v>
      </c>
      <c r="V147" s="913">
        <f t="shared" si="34"/>
        <v>16.017502494668076</v>
      </c>
      <c r="W147" s="914">
        <f t="shared" si="35"/>
        <v>18.580302893814967</v>
      </c>
      <c r="X147" s="913">
        <f t="shared" si="36"/>
        <v>0.51804607443380235</v>
      </c>
      <c r="Y147" s="913">
        <f t="shared" si="37"/>
        <v>16.017502494668076</v>
      </c>
      <c r="Z147" s="95">
        <f t="shared" si="38"/>
        <v>51532</v>
      </c>
      <c r="AA147" s="50" t="str">
        <f t="shared" si="39"/>
        <v>MOQ OK</v>
      </c>
      <c r="AB147" s="923">
        <f t="shared" si="40"/>
        <v>0.22351850201755541</v>
      </c>
      <c r="AC147" s="924">
        <f t="shared" si="41"/>
        <v>0.25928146234036425</v>
      </c>
      <c r="AD147" s="203">
        <f t="shared" si="42"/>
        <v>44703.70040351108</v>
      </c>
      <c r="AE147" s="912">
        <f t="shared" si="43"/>
        <v>51856.292468072847</v>
      </c>
      <c r="AF147" s="923" cm="1">
        <f t="array" ref="AF147">IF(O147="Quantum",IFERROR(_xlfn.LET(_xlpm.b,_xlfn.SWITCH(LOWER(B147),"zipper bag","Zipper pouch","open bag","Open pouch","sup with zipper","Stand-up pouch","stand-up pouch","Stand-up pouch",B147),_xlpm.w,G147,_xlpm.q,K147,_xlpm.types,'Converting-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missing"),IFERROR(_xlfn.LET(_xlpm.s,O147,_xlpm.b,_xlfn.SWITCH(LOWER(B147),"zipper bag","Zipper pouch","open bag","Open pouch",B147),_xlpm.w,G147,_xlpm.q,K147,_xlpm.src,'Converting-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147" s="923">
        <f>IFERROR(IF(OR(B147="Zipper pouch",B147="SUP with zipper"),HELPER!$DE$2*(AH147+AI147)/K147,HELPER!$DE$2*AH147/K147),"Data is missing")</f>
        <v>1.683738223301407E-3</v>
      </c>
      <c r="AH147" s="923">
        <f t="shared" si="44"/>
        <v>0.51804607443380235</v>
      </c>
      <c r="AI147" s="923">
        <f>IF(OR(B147="Zipper pouch",B147="SUP with zipper"),HELPER!$DC$2*G147/1000,"")</f>
        <v>4.3199999999999995E-2</v>
      </c>
      <c r="AJ147" s="923" cm="1">
        <f t="array" ref="AJ147">IF(INDEX('Laminates- copilot'!$E$6:$E$257,ROUNDUP((ROW()-5)/3,0))+50&gt;IF(O147="Quantum",760,1220),"Width exceeds supplier maximum",IFERROR(AF147+AG147+N(AI147)+AH147*G147/1000/MAX(1,MIN(MAX(2,INT(900/INDEX('Laminates- copilot'!$E$6:$E$257,ROUNDUP((ROW()-5)/3,0)))),INT((IF(O147="Quantum",760,1220)-50)/INDEX('Laminates- copilot'!$E$6:$E$257,ROUNDUP((ROW()-5)/3,0))))),"Data is missing"))</f>
        <v>0.16763887651316656</v>
      </c>
      <c r="AK147" s="203">
        <f t="shared" si="45"/>
        <v>223.51850201755542</v>
      </c>
      <c r="AL147" t="str">
        <f t="shared" si="46"/>
        <v>PASS</v>
      </c>
      <c r="AM147" s="50" t="str">
        <f t="shared" si="47"/>
        <v/>
      </c>
    </row>
    <row r="148" spans="1:39" hidden="1">
      <c r="A148" t="s">
        <v>1776</v>
      </c>
      <c r="B148" t="s">
        <v>261</v>
      </c>
      <c r="C148" s="50" t="s">
        <v>2210</v>
      </c>
      <c r="D148" t="str">
        <f>'Laminates- copilot'!B53</f>
        <v>608 W</v>
      </c>
      <c r="E148" s="858">
        <f>'Laminates- copilot'!D53</f>
        <v>100</v>
      </c>
      <c r="F148" s="858">
        <v>700</v>
      </c>
      <c r="G148" s="858">
        <v>300</v>
      </c>
      <c r="H148" s="858">
        <v>75</v>
      </c>
      <c r="I148" s="858">
        <v>0</v>
      </c>
      <c r="J148" s="858">
        <v>1550</v>
      </c>
      <c r="K148" s="858">
        <v>200000</v>
      </c>
      <c r="L148" s="858" t="str">
        <f>'Laminates- copilot'!K53</f>
        <v>Not Printed</v>
      </c>
      <c r="M148" s="858" t="str">
        <f>'Laminates- copilot'!L53</f>
        <v>0</v>
      </c>
      <c r="N148" s="858">
        <f>'Laminates- copilot'!M53</f>
        <v>1</v>
      </c>
      <c r="O148" s="858" t="str">
        <f>'Laminates- copilot'!O53</f>
        <v>Bastin</v>
      </c>
      <c r="P148" s="858" t="str">
        <f>'Laminates- copilot'!N53</f>
        <v>Europe to US</v>
      </c>
      <c r="Q148" s="858">
        <f t="shared" si="32"/>
        <v>60000</v>
      </c>
      <c r="R148" s="858">
        <f t="shared" si="33"/>
        <v>60000</v>
      </c>
      <c r="S148" s="858">
        <f>IFERROR('Laminates- copilot'!Q53/'Laminates- copilot'!P53*Q148,"")</f>
        <v>1940.5500000000002</v>
      </c>
      <c r="T148" s="203">
        <f>IFERROR('Laminates- copilot'!R53/'Laminates- copilot'!P53*Q148,"")</f>
        <v>31082.76446602814</v>
      </c>
      <c r="U148" s="912">
        <f>IFERROR('Laminates- copilot'!S53/'Laminates- copilot'!P53*Q148,"")</f>
        <v>36056.006780592637</v>
      </c>
      <c r="V148" s="913">
        <f t="shared" si="34"/>
        <v>16.017502494668076</v>
      </c>
      <c r="W148" s="914">
        <f t="shared" si="35"/>
        <v>18.580302893814967</v>
      </c>
      <c r="X148" s="913">
        <f t="shared" si="36"/>
        <v>0.51804607443380235</v>
      </c>
      <c r="Y148" s="913">
        <f t="shared" si="37"/>
        <v>16.017502494668076</v>
      </c>
      <c r="Z148" s="95">
        <f t="shared" si="38"/>
        <v>51532</v>
      </c>
      <c r="AA148" s="50" t="str">
        <f t="shared" si="39"/>
        <v>MOQ OK</v>
      </c>
      <c r="AB148" s="923">
        <f t="shared" si="40"/>
        <v>0.21592231054761934</v>
      </c>
      <c r="AC148" s="924">
        <f t="shared" si="41"/>
        <v>0.25046988023523842</v>
      </c>
      <c r="AD148" s="203">
        <f t="shared" si="42"/>
        <v>43184.462109523869</v>
      </c>
      <c r="AE148" s="912">
        <f t="shared" si="43"/>
        <v>50093.976047047683</v>
      </c>
      <c r="AF148" s="923" cm="1">
        <f t="array" ref="AF148">IF(O148="Quantum",IFERROR(_xlfn.LET(_xlpm.b,_xlfn.SWITCH(LOWER(B148),"zipper bag","Zipper pouch","open bag","Open pouch","sup with zipper","Stand-up pouch","stand-up pouch","Stand-up pouch",B148),_xlpm.w,G148,_xlpm.q,K148,_xlpm.types,'Converting-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missing"),IFERROR(_xlfn.LET(_xlpm.s,O148,_xlpm.b,_xlfn.SWITCH(LOWER(B148),"zipper bag","Zipper pouch","open bag","Open pouch",B148),_xlpm.w,G148,_xlpm.q,K148,_xlpm.src,'Converting-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148" s="923">
        <f>IFERROR(IF(OR(B148="Zipper pouch",B148="SUP with zipper"),HELPER!$DE$2*(AH148+AI148)/K148,HELPER!$DE$2*AH148/K148),"Data is missing")</f>
        <v>1.683738223301407E-3</v>
      </c>
      <c r="AH148" s="923">
        <f t="shared" si="44"/>
        <v>0.51804607443380235</v>
      </c>
      <c r="AI148" s="923">
        <f>IF(OR(B148="Zipper pouch",B148="SUP with zipper"),HELPER!$DC$2*G148/1000,"")</f>
        <v>4.3199999999999995E-2</v>
      </c>
      <c r="AJ148" s="923" cm="1">
        <f t="array" ref="AJ148">IF(INDEX('Laminates- copilot'!$E$6:$E$257,ROUNDUP((ROW()-5)/3,0))+50&gt;IF(O148="Quantum",760,1220),"Width exceeds supplier maximum",IFERROR(AF148+AG148+N(AI148)+AH148*G148/1000/MAX(1,MIN(MAX(2,INT(900/INDEX('Laminates- copilot'!$E$6:$E$257,ROUNDUP((ROW()-5)/3,0)))),INT((IF(O148="Quantum",760,1220)-50)/INDEX('Laminates- copilot'!$E$6:$E$257,ROUNDUP((ROW()-5)/3,0))))),"Data is missing"))</f>
        <v>0.16194173291071451</v>
      </c>
      <c r="AK148" s="203">
        <f t="shared" si="45"/>
        <v>215.92231054761933</v>
      </c>
      <c r="AL148" t="str">
        <f t="shared" si="46"/>
        <v>PASS</v>
      </c>
      <c r="AM148" s="50" t="str">
        <f t="shared" si="47"/>
        <v/>
      </c>
    </row>
    <row r="149" spans="1:39" hidden="1">
      <c r="A149" t="s">
        <v>1777</v>
      </c>
      <c r="B149" t="s">
        <v>262</v>
      </c>
      <c r="C149" s="50" t="s">
        <v>2210</v>
      </c>
      <c r="D149" t="str">
        <f>'Laminates- copilot'!B53</f>
        <v>608 W</v>
      </c>
      <c r="E149" s="858">
        <f>'Laminates- copilot'!D53</f>
        <v>100</v>
      </c>
      <c r="F149" s="858">
        <v>700</v>
      </c>
      <c r="G149" s="858">
        <v>300</v>
      </c>
      <c r="H149" s="858">
        <v>0</v>
      </c>
      <c r="I149" s="858">
        <v>0</v>
      </c>
      <c r="J149" s="858">
        <v>1400</v>
      </c>
      <c r="K149" s="858">
        <v>200000</v>
      </c>
      <c r="L149" s="858" t="str">
        <f>'Laminates- copilot'!K53</f>
        <v>Not Printed</v>
      </c>
      <c r="M149" s="858" t="str">
        <f>'Laminates- copilot'!L53</f>
        <v>0</v>
      </c>
      <c r="N149" s="858">
        <f>'Laminates- copilot'!M53</f>
        <v>1</v>
      </c>
      <c r="O149" s="858" t="str">
        <f>'Laminates- copilot'!O53</f>
        <v>Bastin</v>
      </c>
      <c r="P149" s="858" t="str">
        <f>'Laminates- copilot'!N53</f>
        <v>Europe to US</v>
      </c>
      <c r="Q149" s="858">
        <f t="shared" si="32"/>
        <v>60000</v>
      </c>
      <c r="R149" s="858">
        <f t="shared" si="33"/>
        <v>60000</v>
      </c>
      <c r="S149" s="858">
        <f>IFERROR('Laminates- copilot'!Q53/'Laminates- copilot'!P53*Q149,"")</f>
        <v>1940.5500000000002</v>
      </c>
      <c r="T149" s="203">
        <f>IFERROR('Laminates- copilot'!R53/'Laminates- copilot'!P53*Q149,"")</f>
        <v>31082.76446602814</v>
      </c>
      <c r="U149" s="912">
        <f>IFERROR('Laminates- copilot'!S53/'Laminates- copilot'!P53*Q149,"")</f>
        <v>36056.006780592637</v>
      </c>
      <c r="V149" s="913">
        <f t="shared" si="34"/>
        <v>16.017502494668076</v>
      </c>
      <c r="W149" s="914">
        <f t="shared" si="35"/>
        <v>18.580302893814967</v>
      </c>
      <c r="X149" s="913">
        <f t="shared" si="36"/>
        <v>0.51804607443380235</v>
      </c>
      <c r="Y149" s="913">
        <f t="shared" si="37"/>
        <v>16.017502494668076</v>
      </c>
      <c r="Z149" s="95">
        <f t="shared" si="38"/>
        <v>51532</v>
      </c>
      <c r="AA149" s="50" t="str">
        <f t="shared" si="39"/>
        <v>MOQ OK</v>
      </c>
      <c r="AB149" s="923">
        <f t="shared" si="40"/>
        <v>0.14919510145078166</v>
      </c>
      <c r="AC149" s="924">
        <f t="shared" si="41"/>
        <v>0.1730663176829067</v>
      </c>
      <c r="AD149" s="203">
        <f t="shared" si="42"/>
        <v>29839.020290156332</v>
      </c>
      <c r="AE149" s="912">
        <f t="shared" si="43"/>
        <v>34613.26353658134</v>
      </c>
      <c r="AF149" s="923" cm="1">
        <f t="array" ref="AF149">IF(O149="Quantum",IFERROR(_xlfn.LET(_xlpm.b,_xlfn.SWITCH(LOWER(B149),"zipper bag","Zipper pouch","open bag","Open pouch","sup with zipper","Stand-up pouch","stand-up pouch","Stand-up pouch",B149),_xlpm.w,G149,_xlpm.q,K149,_xlpm.types,'Converting-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missing"),IFERROR(_xlfn.LET(_xlpm.s,O149,_xlpm.b,_xlfn.SWITCH(LOWER(B149),"zipper bag","Zipper pouch","open bag","Open pouch",B149),_xlpm.w,G149,_xlpm.q,K149,_xlpm.src,'Converting-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149" s="923">
        <f>IFERROR(IF(OR(B149="Zipper pouch",B149="SUP with zipper"),HELPER!$DE$2*(AH149+AI149)/K149,HELPER!$DE$2*AH149/K149),"Data is missing")</f>
        <v>1.5541382233014071E-3</v>
      </c>
      <c r="AH149" s="923">
        <f t="shared" si="44"/>
        <v>0.51804607443380235</v>
      </c>
      <c r="AI149" s="923" t="str">
        <f>IF(OR(B149="Zipper pouch",B149="SUP with zipper"),HELPER!$DC$2*G149/1000,"")</f>
        <v/>
      </c>
      <c r="AJ149" s="923" cm="1">
        <f t="array" ref="AJ149">IF(INDEX('Laminates- copilot'!$E$6:$E$257,ROUNDUP((ROW()-5)/3,0))+50&gt;IF(O149="Quantum",760,1220),"Width exceeds supplier maximum",IFERROR(AF149+AG149+N(AI149)+AH149*G149/1000/MAX(1,MIN(MAX(2,INT(900/INDEX('Laminates- copilot'!$E$6:$E$257,ROUNDUP((ROW()-5)/3,0)))),INT((IF(O149="Quantum",760,1220)-50)/INDEX('Laminates- copilot'!$E$6:$E$257,ROUNDUP((ROW()-5)/3,0))))),"Data is missing"))</f>
        <v>0.11189632608808625</v>
      </c>
      <c r="AK149" s="203">
        <f t="shared" si="45"/>
        <v>149.19510145078166</v>
      </c>
      <c r="AL149" t="str">
        <f t="shared" si="46"/>
        <v>PASS</v>
      </c>
      <c r="AM149" s="50" t="str">
        <f t="shared" si="47"/>
        <v/>
      </c>
    </row>
    <row r="150" spans="1:39" hidden="1">
      <c r="A150" t="s">
        <v>1778</v>
      </c>
      <c r="B150" t="s">
        <v>251</v>
      </c>
      <c r="C150" s="50" t="s">
        <v>1626</v>
      </c>
      <c r="D150" t="str">
        <f>'Laminates- copilot'!B54</f>
        <v>608 W</v>
      </c>
      <c r="E150" s="858">
        <f>'Laminates- copilot'!D54</f>
        <v>100</v>
      </c>
      <c r="F150" s="858">
        <v>250</v>
      </c>
      <c r="G150" s="858">
        <v>400</v>
      </c>
      <c r="H150" s="858">
        <v>50</v>
      </c>
      <c r="I150" s="858">
        <v>0</v>
      </c>
      <c r="J150" s="858">
        <v>600</v>
      </c>
      <c r="K150" s="858">
        <v>1000000</v>
      </c>
      <c r="L150" s="858" t="str">
        <f>'Laminates- copilot'!K54</f>
        <v>Printed</v>
      </c>
      <c r="M150" s="858" t="str">
        <f>'Laminates- copilot'!L54</f>
        <v>3-4</v>
      </c>
      <c r="N150" s="858">
        <f>'Laminates- copilot'!M54</f>
        <v>4</v>
      </c>
      <c r="O150" s="858" t="str">
        <f>'Laminates- copilot'!O54</f>
        <v>Marma</v>
      </c>
      <c r="P150" s="858" t="str">
        <f>'Laminates- copilot'!N54</f>
        <v>Europe to Europe</v>
      </c>
      <c r="Q150" s="858">
        <f t="shared" si="32"/>
        <v>400000</v>
      </c>
      <c r="R150" s="858">
        <f t="shared" si="33"/>
        <v>400000</v>
      </c>
      <c r="S150" s="858">
        <f>IFERROR('Laminates- copilot'!Q54/'Laminates- copilot'!P54*Q150,"")</f>
        <v>31048.799999999999</v>
      </c>
      <c r="T150" s="203">
        <f>IFERROR('Laminates- copilot'!R54/'Laminates- copilot'!P54*Q150,"")</f>
        <v>452384.74869499984</v>
      </c>
      <c r="U150" s="912">
        <f>IFERROR('Laminates- copilot'!S54/'Laminates- copilot'!P54*Q150,"")</f>
        <v>524766.30848619982</v>
      </c>
      <c r="V150" s="913">
        <f t="shared" si="34"/>
        <v>14.570120220266157</v>
      </c>
      <c r="W150" s="914">
        <f t="shared" si="35"/>
        <v>16.901339455508744</v>
      </c>
      <c r="X150" s="913">
        <f t="shared" si="36"/>
        <v>1.1309618717374996</v>
      </c>
      <c r="Y150" s="913">
        <f t="shared" si="37"/>
        <v>14.570120220266157</v>
      </c>
      <c r="Z150" s="95">
        <f t="shared" si="38"/>
        <v>16104</v>
      </c>
      <c r="AA150" s="50" t="str">
        <f t="shared" si="39"/>
        <v>MOQ OK</v>
      </c>
      <c r="AB150" s="923">
        <f t="shared" si="40"/>
        <v>0.77905784400504474</v>
      </c>
      <c r="AC150" s="924">
        <f t="shared" si="41"/>
        <v>0.90370709904585189</v>
      </c>
      <c r="AD150" s="203">
        <f t="shared" si="42"/>
        <v>779057.84400504478</v>
      </c>
      <c r="AE150" s="912">
        <f t="shared" si="43"/>
        <v>903707.09904585185</v>
      </c>
      <c r="AF150" s="923" cm="1">
        <f t="array" ref="AF150">IF(O150="Quantum",IFERROR(_xlfn.LET(_xlpm.b,_xlfn.SWITCH(LOWER(B150),"zipper bag","Zipper pouch","open bag","Open pouch","sup with zipper","Stand-up pouch","stand-up pouch","Stand-up pouch",B150),_xlpm.w,G150,_xlpm.q,K150,_xlpm.types,'Converting-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missing"),IFERROR(_xlfn.LET(_xlpm.s,O150,_xlpm.b,_xlfn.SWITCH(LOWER(B150),"zipper bag","Zipper pouch","open bag","Open pouch",B150),_xlpm.w,G150,_xlpm.q,K150,_xlpm.src,'Converting-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150" s="923">
        <f>IFERROR(IF(OR(B150="Zipper pouch",B150="SUP with zipper"),HELPER!$DE$2*(AH150+AI150)/K150,HELPER!$DE$2*AH150/K150),"Data is missing")</f>
        <v>7.1313712304249988E-4</v>
      </c>
      <c r="AH150" s="923">
        <f t="shared" si="44"/>
        <v>1.1309618717374996</v>
      </c>
      <c r="AI150" s="923">
        <f>IF(OR(B150="Zipper pouch",B150="SUP with zipper"),HELPER!$DC$2*G150/1000,"")</f>
        <v>5.7599999999999991E-2</v>
      </c>
      <c r="AJ150" s="923" cm="1">
        <f t="array" ref="AJ150">IF(INDEX('Laminates- copilot'!$E$6:$E$257,ROUNDUP((ROW()-5)/3,0))+50&gt;IF(O150="Quantum",760,1220),"Width exceeds supplier maximum",IFERROR(AF150+AG150+N(AI150)+AH150*G150/1000/MAX(1,MIN(MAX(2,INT(900/INDEX('Laminates- copilot'!$E$6:$E$257,ROUNDUP((ROW()-5)/3,0)))),INT((IF(O150="Quantum",760,1220)-50)/INDEX('Laminates- copilot'!$E$6:$E$257,ROUNDUP((ROW()-5)/3,0))))),"Data is missing"))</f>
        <v>0.58429338300378353</v>
      </c>
      <c r="AK150" s="203">
        <f t="shared" si="45"/>
        <v>779.05784400504479</v>
      </c>
      <c r="AL150" t="str">
        <f t="shared" si="46"/>
        <v>PASS</v>
      </c>
      <c r="AM150" s="50" t="str">
        <f t="shared" si="47"/>
        <v/>
      </c>
    </row>
    <row r="151" spans="1:39" hidden="1">
      <c r="A151" t="s">
        <v>1779</v>
      </c>
      <c r="B151" t="s">
        <v>261</v>
      </c>
      <c r="C151" s="50" t="s">
        <v>1626</v>
      </c>
      <c r="D151" t="str">
        <f>'Laminates- copilot'!B54</f>
        <v>608 W</v>
      </c>
      <c r="E151" s="858">
        <f>'Laminates- copilot'!D54</f>
        <v>100</v>
      </c>
      <c r="F151" s="858">
        <v>250</v>
      </c>
      <c r="G151" s="858">
        <v>400</v>
      </c>
      <c r="H151" s="858">
        <v>50</v>
      </c>
      <c r="I151" s="858">
        <v>0</v>
      </c>
      <c r="J151" s="858">
        <v>600</v>
      </c>
      <c r="K151" s="858">
        <v>1000000</v>
      </c>
      <c r="L151" s="858" t="str">
        <f>'Laminates- copilot'!K54</f>
        <v>Printed</v>
      </c>
      <c r="M151" s="858" t="str">
        <f>'Laminates- copilot'!L54</f>
        <v>3-4</v>
      </c>
      <c r="N151" s="858">
        <f>'Laminates- copilot'!M54</f>
        <v>4</v>
      </c>
      <c r="O151" s="858" t="str">
        <f>'Laminates- copilot'!O54</f>
        <v>Marma</v>
      </c>
      <c r="P151" s="858" t="str">
        <f>'Laminates- copilot'!N54</f>
        <v>Europe to Europe</v>
      </c>
      <c r="Q151" s="858">
        <f t="shared" si="32"/>
        <v>400000</v>
      </c>
      <c r="R151" s="858">
        <f t="shared" si="33"/>
        <v>400000</v>
      </c>
      <c r="S151" s="858">
        <f>IFERROR('Laminates- copilot'!Q54/'Laminates- copilot'!P54*Q151,"")</f>
        <v>31048.799999999999</v>
      </c>
      <c r="T151" s="203">
        <f>IFERROR('Laminates- copilot'!R54/'Laminates- copilot'!P54*Q151,"")</f>
        <v>452384.74869499984</v>
      </c>
      <c r="U151" s="912">
        <f>IFERROR('Laminates- copilot'!S54/'Laminates- copilot'!P54*Q151,"")</f>
        <v>524766.30848619982</v>
      </c>
      <c r="V151" s="913">
        <f t="shared" si="34"/>
        <v>14.570120220266157</v>
      </c>
      <c r="W151" s="914">
        <f t="shared" si="35"/>
        <v>16.901339455508744</v>
      </c>
      <c r="X151" s="913">
        <f t="shared" si="36"/>
        <v>1.1309618717374996</v>
      </c>
      <c r="Y151" s="913">
        <f t="shared" si="37"/>
        <v>14.570120220266157</v>
      </c>
      <c r="Z151" s="95">
        <f t="shared" si="38"/>
        <v>16104</v>
      </c>
      <c r="AA151" s="50" t="str">
        <f t="shared" si="39"/>
        <v>MOQ OK</v>
      </c>
      <c r="AB151" s="923">
        <f t="shared" si="40"/>
        <v>0.77141670465658818</v>
      </c>
      <c r="AC151" s="924">
        <f t="shared" si="41"/>
        <v>0.89484337740164221</v>
      </c>
      <c r="AD151" s="203">
        <f t="shared" si="42"/>
        <v>771416.70465658815</v>
      </c>
      <c r="AE151" s="912">
        <f t="shared" si="43"/>
        <v>894843.37740164215</v>
      </c>
      <c r="AF151" s="923" cm="1">
        <f t="array" ref="AF151">IF(O151="Quantum",IFERROR(_xlfn.LET(_xlpm.b,_xlfn.SWITCH(LOWER(B151),"zipper bag","Zipper pouch","open bag","Open pouch","sup with zipper","Stand-up pouch","stand-up pouch","Stand-up pouch",B151),_xlpm.w,G151,_xlpm.q,K151,_xlpm.types,'Converting-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missing"),IFERROR(_xlfn.LET(_xlpm.s,O151,_xlpm.b,_xlfn.SWITCH(LOWER(B151),"zipper bag","Zipper pouch","open bag","Open pouch",B151),_xlpm.w,G151,_xlpm.q,K151,_xlpm.src,'Converting-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151" s="923">
        <f>IFERROR(IF(OR(B151="Zipper pouch",B151="SUP with zipper"),HELPER!$DE$2*(AH151+AI151)/K151,HELPER!$DE$2*AH151/K151),"Data is missing")</f>
        <v>7.1313712304249988E-4</v>
      </c>
      <c r="AH151" s="923">
        <f t="shared" si="44"/>
        <v>1.1309618717374996</v>
      </c>
      <c r="AI151" s="923">
        <f>IF(OR(B151="Zipper pouch",B151="SUP with zipper"),HELPER!$DC$2*G151/1000,"")</f>
        <v>5.7599999999999991E-2</v>
      </c>
      <c r="AJ151" s="923" cm="1">
        <f t="array" ref="AJ151">IF(INDEX('Laminates- copilot'!$E$6:$E$257,ROUNDUP((ROW()-5)/3,0))+50&gt;IF(O151="Quantum",760,1220),"Width exceeds supplier maximum",IFERROR(AF151+AG151+N(AI151)+AH151*G151/1000/MAX(1,MIN(MAX(2,INT(900/INDEX('Laminates- copilot'!$E$6:$E$257,ROUNDUP((ROW()-5)/3,0)))),INT((IF(O151="Quantum",760,1220)-50)/INDEX('Laminates- copilot'!$E$6:$E$257,ROUNDUP((ROW()-5)/3,0))))),"Data is missing"))</f>
        <v>0.57856252849244116</v>
      </c>
      <c r="AK151" s="203">
        <f t="shared" si="45"/>
        <v>771.41670465658819</v>
      </c>
      <c r="AL151" t="str">
        <f t="shared" si="46"/>
        <v>PASS</v>
      </c>
      <c r="AM151" s="50" t="str">
        <f t="shared" si="47"/>
        <v/>
      </c>
    </row>
    <row r="152" spans="1:39" hidden="1">
      <c r="A152" t="s">
        <v>1780</v>
      </c>
      <c r="B152" t="s">
        <v>262</v>
      </c>
      <c r="C152" s="50" t="s">
        <v>1626</v>
      </c>
      <c r="D152" t="str">
        <f>'Laminates- copilot'!B54</f>
        <v>608 W</v>
      </c>
      <c r="E152" s="858">
        <f>'Laminates- copilot'!D54</f>
        <v>100</v>
      </c>
      <c r="F152" s="858">
        <v>250</v>
      </c>
      <c r="G152" s="858">
        <v>400</v>
      </c>
      <c r="H152" s="858">
        <v>0</v>
      </c>
      <c r="I152" s="858">
        <v>15</v>
      </c>
      <c r="J152" s="858">
        <v>515</v>
      </c>
      <c r="K152" s="858">
        <v>1000000</v>
      </c>
      <c r="L152" s="858" t="str">
        <f>'Laminates- copilot'!K54</f>
        <v>Printed</v>
      </c>
      <c r="M152" s="858" t="str">
        <f>'Laminates- copilot'!L54</f>
        <v>3-4</v>
      </c>
      <c r="N152" s="858">
        <f>'Laminates- copilot'!M54</f>
        <v>4</v>
      </c>
      <c r="O152" s="858" t="str">
        <f>'Laminates- copilot'!O54</f>
        <v>Marma</v>
      </c>
      <c r="P152" s="858" t="str">
        <f>'Laminates- copilot'!N54</f>
        <v>Europe to Europe</v>
      </c>
      <c r="Q152" s="858">
        <f t="shared" si="32"/>
        <v>400000</v>
      </c>
      <c r="R152" s="858">
        <f t="shared" si="33"/>
        <v>400000</v>
      </c>
      <c r="S152" s="858">
        <f>IFERROR('Laminates- copilot'!Q54/'Laminates- copilot'!P54*Q152,"")</f>
        <v>31048.799999999999</v>
      </c>
      <c r="T152" s="203">
        <f>IFERROR('Laminates- copilot'!R54/'Laminates- copilot'!P54*Q152,"")</f>
        <v>452384.74869499984</v>
      </c>
      <c r="U152" s="912">
        <f>IFERROR('Laminates- copilot'!S54/'Laminates- copilot'!P54*Q152,"")</f>
        <v>524766.30848619982</v>
      </c>
      <c r="V152" s="913">
        <f t="shared" si="34"/>
        <v>14.570120220266157</v>
      </c>
      <c r="W152" s="914">
        <f t="shared" si="35"/>
        <v>16.901339455508744</v>
      </c>
      <c r="X152" s="913">
        <f t="shared" si="36"/>
        <v>1.1309618717374996</v>
      </c>
      <c r="Y152" s="913">
        <f t="shared" si="37"/>
        <v>14.570120220266157</v>
      </c>
      <c r="Z152" s="95">
        <f t="shared" si="38"/>
        <v>16104</v>
      </c>
      <c r="AA152" s="50" t="str">
        <f t="shared" si="39"/>
        <v>MOQ OK</v>
      </c>
      <c r="AB152" s="923">
        <f t="shared" si="40"/>
        <v>0.68447216435857128</v>
      </c>
      <c r="AC152" s="924">
        <f t="shared" si="41"/>
        <v>0.79398771065594265</v>
      </c>
      <c r="AD152" s="203">
        <f t="shared" si="42"/>
        <v>684472.16435857129</v>
      </c>
      <c r="AE152" s="912">
        <f t="shared" si="43"/>
        <v>793987.71065594268</v>
      </c>
      <c r="AF152" s="923" cm="1">
        <f t="array" ref="AF152">IF(O152="Quantum",IFERROR(_xlfn.LET(_xlpm.b,_xlfn.SWITCH(LOWER(B152),"zipper bag","Zipper pouch","open bag","Open pouch","sup with zipper","Stand-up pouch","stand-up pouch","Stand-up pouch",B152),_xlpm.w,G152,_xlpm.q,K152,_xlpm.types,'Converting-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missing"),IFERROR(_xlfn.LET(_xlpm.s,O152,_xlpm.b,_xlfn.SWITCH(LOWER(B152),"zipper bag","Zipper pouch","open bag","Open pouch",B152),_xlpm.w,G152,_xlpm.q,K152,_xlpm.src,'Converting-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152" s="923">
        <f>IFERROR(IF(OR(B152="Zipper pouch",B152="SUP with zipper"),HELPER!$DE$2*(AH152+AI152)/K152,HELPER!$DE$2*AH152/K152),"Data is missing")</f>
        <v>6.7857712304249978E-4</v>
      </c>
      <c r="AH152" s="923">
        <f t="shared" si="44"/>
        <v>1.1309618717374996</v>
      </c>
      <c r="AI152" s="923" t="str">
        <f>IF(OR(B152="Zipper pouch",B152="SUP with zipper"),HELPER!$DC$2*G152/1000,"")</f>
        <v/>
      </c>
      <c r="AJ152" s="923" cm="1">
        <f t="array" ref="AJ152">IF(INDEX('Laminates- copilot'!$E$6:$E$257,ROUNDUP((ROW()-5)/3,0))+50&gt;IF(O152="Quantum",760,1220),"Width exceeds supplier maximum",IFERROR(AF152+AG152+N(AI152)+AH152*G152/1000/MAX(1,MIN(MAX(2,INT(900/INDEX('Laminates- copilot'!$E$6:$E$257,ROUNDUP((ROW()-5)/3,0)))),INT((IF(O152="Quantum",760,1220)-50)/INDEX('Laminates- copilot'!$E$6:$E$257,ROUNDUP((ROW()-5)/3,0))))),"Data is missing"))</f>
        <v>0.51335412326892849</v>
      </c>
      <c r="AK152" s="203">
        <f t="shared" si="45"/>
        <v>684.47216435857126</v>
      </c>
      <c r="AL152" t="str">
        <f t="shared" si="46"/>
        <v>PASS</v>
      </c>
      <c r="AM152" s="50" t="str">
        <f t="shared" si="47"/>
        <v/>
      </c>
    </row>
    <row r="153" spans="1:39" hidden="1">
      <c r="A153" t="s">
        <v>1781</v>
      </c>
      <c r="B153" t="s">
        <v>251</v>
      </c>
      <c r="C153" s="50" t="s">
        <v>1627</v>
      </c>
      <c r="D153" t="str">
        <f>'Laminates- copilot'!B55</f>
        <v>608 W</v>
      </c>
      <c r="E153" s="858">
        <f>'Laminates- copilot'!D55</f>
        <v>100</v>
      </c>
      <c r="F153" s="858">
        <v>350</v>
      </c>
      <c r="G153" s="858">
        <v>500</v>
      </c>
      <c r="H153" s="858">
        <v>100</v>
      </c>
      <c r="I153" s="858">
        <v>0</v>
      </c>
      <c r="J153" s="858">
        <v>900</v>
      </c>
      <c r="K153" s="858">
        <v>1600000</v>
      </c>
      <c r="L153" s="858" t="str">
        <f>'Laminates- copilot'!K55</f>
        <v>Printed</v>
      </c>
      <c r="M153" s="858" t="str">
        <f>'Laminates- copilot'!L55</f>
        <v>1-2</v>
      </c>
      <c r="N153" s="858">
        <f>'Laminates- copilot'!M55</f>
        <v>2</v>
      </c>
      <c r="O153" s="858" t="str">
        <f>'Laminates- copilot'!O55</f>
        <v>Quantum</v>
      </c>
      <c r="P153" s="858" t="str">
        <f>'Laminates- copilot'!N55</f>
        <v>Europe to Europe</v>
      </c>
      <c r="Q153" s="858">
        <f t="shared" si="32"/>
        <v>800000</v>
      </c>
      <c r="R153" s="858">
        <f t="shared" si="33"/>
        <v>800000</v>
      </c>
      <c r="S153" s="858">
        <f>IFERROR('Laminates- copilot'!Q55/'Laminates- copilot'!P55*Q153,"")</f>
        <v>46573.2</v>
      </c>
      <c r="T153" s="203">
        <f>IFERROR('Laminates- copilot'!R55/'Laminates- copilot'!P55*Q153,"")</f>
        <v>1299651.4987571056</v>
      </c>
      <c r="U153" s="912">
        <f>IFERROR('Laminates- copilot'!S55/'Laminates- copilot'!P55*Q153,"")</f>
        <v>1507595.7385582423</v>
      </c>
      <c r="V153" s="913">
        <f t="shared" si="34"/>
        <v>27.905565835225101</v>
      </c>
      <c r="W153" s="914">
        <f t="shared" si="35"/>
        <v>32.370456368861113</v>
      </c>
      <c r="X153" s="913">
        <f t="shared" si="36"/>
        <v>1.6245643734463819</v>
      </c>
      <c r="Y153" s="913">
        <f t="shared" si="37"/>
        <v>27.905565835225101</v>
      </c>
      <c r="Z153" s="95">
        <f t="shared" si="38"/>
        <v>17178</v>
      </c>
      <c r="AA153" s="50" t="str">
        <f t="shared" si="39"/>
        <v>MOQ OK</v>
      </c>
      <c r="AB153" s="923">
        <f t="shared" si="40"/>
        <v>1.5353417441494168</v>
      </c>
      <c r="AC153" s="924">
        <f t="shared" si="41"/>
        <v>1.7809964232133233</v>
      </c>
      <c r="AD153" s="203">
        <f t="shared" si="42"/>
        <v>2456546.7906390671</v>
      </c>
      <c r="AE153" s="912">
        <f t="shared" si="43"/>
        <v>2849594.2771413177</v>
      </c>
      <c r="AF153" s="923" cm="1">
        <f t="array" ref="AF153">IF(O153="Quantum",IFERROR(_xlfn.LET(_xlpm.b,_xlfn.SWITCH(LOWER(B153),"zipper bag","Zipper pouch","open bag","Open pouch","sup with zipper","Stand-up pouch","stand-up pouch","Stand-up pouch",B153),_xlpm.w,G153,_xlpm.q,K153,_xlpm.types,'Converting-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missing"),IFERROR(_xlfn.LET(_xlpm.s,O153,_xlpm.b,_xlfn.SWITCH(LOWER(B153),"zipper bag","Zipper pouch","open bag","Open pouch",B153),_xlpm.w,G153,_xlpm.q,K153,_xlpm.src,'Converting-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153" s="923">
        <f>IFERROR(IF(OR(B153="Zipper pouch",B153="SUP with zipper"),HELPER!$DE$2*(AH153+AI153)/K153,HELPER!$DE$2*AH153/K153),"Data is missing")</f>
        <v>6.3621164004239324E-4</v>
      </c>
      <c r="AH153" s="923">
        <f t="shared" si="44"/>
        <v>1.6245643734463819</v>
      </c>
      <c r="AI153" s="923">
        <f>IF(OR(B153="Zipper pouch",B153="SUP with zipper"),HELPER!$DC$2*G153/1000,"")</f>
        <v>7.1999999999999995E-2</v>
      </c>
      <c r="AJ153" s="923" cm="1">
        <f t="array" ref="AJ153">IF(INDEX('Laminates- copilot'!$E$6:$E$257,ROUNDUP((ROW()-5)/3,0))+50&gt;IF(O153="Quantum",760,1220),"Width exceeds supplier maximum",IFERROR(AF153+AG153+N(AI153)+AH153*G153/1000/MAX(1,MIN(MAX(2,INT(900/INDEX('Laminates- copilot'!$E$6:$E$257,ROUNDUP((ROW()-5)/3,0)))),INT((IF(O153="Quantum",760,1220)-50)/INDEX('Laminates- copilot'!$E$6:$E$257,ROUNDUP((ROW()-5)/3,0))))),"Data is missing"))</f>
        <v>1.1515063081120627</v>
      </c>
      <c r="AK153" s="203">
        <f t="shared" si="45"/>
        <v>1535.3417441494169</v>
      </c>
      <c r="AL153" t="str">
        <f t="shared" si="46"/>
        <v>PASS</v>
      </c>
      <c r="AM153" s="50" t="str">
        <f t="shared" si="47"/>
        <v/>
      </c>
    </row>
    <row r="154" spans="1:39" hidden="1">
      <c r="A154" t="s">
        <v>1782</v>
      </c>
      <c r="B154" t="s">
        <v>261</v>
      </c>
      <c r="C154" s="50" t="s">
        <v>1627</v>
      </c>
      <c r="D154" t="str">
        <f>'Laminates- copilot'!B55</f>
        <v>608 W</v>
      </c>
      <c r="E154" s="858">
        <f>'Laminates- copilot'!D55</f>
        <v>100</v>
      </c>
      <c r="F154" s="858">
        <v>350</v>
      </c>
      <c r="G154" s="858">
        <v>500</v>
      </c>
      <c r="H154" s="858">
        <v>100</v>
      </c>
      <c r="I154" s="858">
        <v>0</v>
      </c>
      <c r="J154" s="858">
        <v>900</v>
      </c>
      <c r="K154" s="858">
        <v>1600000</v>
      </c>
      <c r="L154" s="858" t="str">
        <f>'Laminates- copilot'!K55</f>
        <v>Printed</v>
      </c>
      <c r="M154" s="858" t="str">
        <f>'Laminates- copilot'!L55</f>
        <v>1-2</v>
      </c>
      <c r="N154" s="858">
        <f>'Laminates- copilot'!M55</f>
        <v>2</v>
      </c>
      <c r="O154" s="858" t="str">
        <f>'Laminates- copilot'!O55</f>
        <v>Quantum</v>
      </c>
      <c r="P154" s="858" t="str">
        <f>'Laminates- copilot'!N55</f>
        <v>Europe to Europe</v>
      </c>
      <c r="Q154" s="858">
        <f t="shared" si="32"/>
        <v>800000</v>
      </c>
      <c r="R154" s="858">
        <f t="shared" si="33"/>
        <v>800000</v>
      </c>
      <c r="S154" s="858">
        <f>IFERROR('Laminates- copilot'!Q55/'Laminates- copilot'!P55*Q154,"")</f>
        <v>46573.2</v>
      </c>
      <c r="T154" s="203">
        <f>IFERROR('Laminates- copilot'!R55/'Laminates- copilot'!P55*Q154,"")</f>
        <v>1299651.4987571056</v>
      </c>
      <c r="U154" s="912">
        <f>IFERROR('Laminates- copilot'!S55/'Laminates- copilot'!P55*Q154,"")</f>
        <v>1507595.7385582423</v>
      </c>
      <c r="V154" s="913">
        <f t="shared" si="34"/>
        <v>27.905565835225101</v>
      </c>
      <c r="W154" s="914">
        <f t="shared" si="35"/>
        <v>32.370456368861113</v>
      </c>
      <c r="X154" s="913">
        <f t="shared" si="36"/>
        <v>1.6245643734463819</v>
      </c>
      <c r="Y154" s="913">
        <f t="shared" si="37"/>
        <v>27.905565835225101</v>
      </c>
      <c r="Z154" s="95">
        <f t="shared" si="38"/>
        <v>17178</v>
      </c>
      <c r="AA154" s="50" t="str">
        <f t="shared" si="39"/>
        <v>MOQ OK</v>
      </c>
      <c r="AB154" s="923">
        <f t="shared" si="40"/>
        <v>1.4959238673539328</v>
      </c>
      <c r="AC154" s="924">
        <f t="shared" si="41"/>
        <v>1.7352716861305619</v>
      </c>
      <c r="AD154" s="203">
        <f t="shared" si="42"/>
        <v>2393478.1877662926</v>
      </c>
      <c r="AE154" s="912">
        <f t="shared" si="43"/>
        <v>2776434.6978088995</v>
      </c>
      <c r="AF154" s="923" cm="1">
        <f t="array" ref="AF154">IF(O154="Quantum",IFERROR(_xlfn.LET(_xlpm.b,_xlfn.SWITCH(LOWER(B154),"zipper bag","Zipper pouch","open bag","Open pouch","sup with zipper","Stand-up pouch","stand-up pouch","Stand-up pouch",B154),_xlpm.w,G154,_xlpm.q,K154,_xlpm.types,'Converting-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missing"),IFERROR(_xlfn.LET(_xlpm.s,O154,_xlpm.b,_xlfn.SWITCH(LOWER(B154),"zipper bag","Zipper pouch","open bag","Open pouch",B154),_xlpm.w,G154,_xlpm.q,K154,_xlpm.src,'Converting-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154" s="923">
        <f>IFERROR(IF(OR(B154="Zipper pouch",B154="SUP with zipper"),HELPER!$DE$2*(AH154+AI154)/K154,HELPER!$DE$2*AH154/K154),"Data is missing")</f>
        <v>6.3621164004239324E-4</v>
      </c>
      <c r="AH154" s="923">
        <f t="shared" si="44"/>
        <v>1.6245643734463819</v>
      </c>
      <c r="AI154" s="923">
        <f>IF(OR(B154="Zipper pouch",B154="SUP with zipper"),HELPER!$DC$2*G154/1000,"")</f>
        <v>7.1999999999999995E-2</v>
      </c>
      <c r="AJ154" s="923" cm="1">
        <f t="array" ref="AJ154">IF(INDEX('Laminates- copilot'!$E$6:$E$257,ROUNDUP((ROW()-5)/3,0))+50&gt;IF(O154="Quantum",760,1220),"Width exceeds supplier maximum",IFERROR(AF154+AG154+N(AI154)+AH154*G154/1000/MAX(1,MIN(MAX(2,INT(900/INDEX('Laminates- copilot'!$E$6:$E$257,ROUNDUP((ROW()-5)/3,0)))),INT((IF(O154="Quantum",760,1220)-50)/INDEX('Laminates- copilot'!$E$6:$E$257,ROUNDUP((ROW()-5)/3,0))))),"Data is missing"))</f>
        <v>1.1219429005154495</v>
      </c>
      <c r="AK154" s="203">
        <f t="shared" si="45"/>
        <v>1495.9238673539328</v>
      </c>
      <c r="AL154" t="str">
        <f t="shared" si="46"/>
        <v>PASS</v>
      </c>
      <c r="AM154" s="50" t="str">
        <f t="shared" si="47"/>
        <v/>
      </c>
    </row>
    <row r="155" spans="1:39" hidden="1">
      <c r="A155" t="s">
        <v>1783</v>
      </c>
      <c r="B155" t="s">
        <v>262</v>
      </c>
      <c r="C155" s="50" t="s">
        <v>1627</v>
      </c>
      <c r="D155" t="str">
        <f>'Laminates- copilot'!B55</f>
        <v>608 W</v>
      </c>
      <c r="E155" s="858">
        <f>'Laminates- copilot'!D55</f>
        <v>100</v>
      </c>
      <c r="F155" s="858">
        <v>350</v>
      </c>
      <c r="G155" s="858">
        <v>500</v>
      </c>
      <c r="H155" s="858">
        <v>0</v>
      </c>
      <c r="I155" s="858">
        <v>25</v>
      </c>
      <c r="J155" s="858">
        <v>725</v>
      </c>
      <c r="K155" s="858">
        <v>1600000</v>
      </c>
      <c r="L155" s="858" t="str">
        <f>'Laminates- copilot'!K55</f>
        <v>Printed</v>
      </c>
      <c r="M155" s="858" t="str">
        <f>'Laminates- copilot'!L55</f>
        <v>1-2</v>
      </c>
      <c r="N155" s="858">
        <f>'Laminates- copilot'!M55</f>
        <v>2</v>
      </c>
      <c r="O155" s="858" t="str">
        <f>'Laminates- copilot'!O55</f>
        <v>Quantum</v>
      </c>
      <c r="P155" s="858" t="str">
        <f>'Laminates- copilot'!N55</f>
        <v>Europe to Europe</v>
      </c>
      <c r="Q155" s="858">
        <f t="shared" si="32"/>
        <v>800000</v>
      </c>
      <c r="R155" s="858">
        <f t="shared" si="33"/>
        <v>800000</v>
      </c>
      <c r="S155" s="858">
        <f>IFERROR('Laminates- copilot'!Q55/'Laminates- copilot'!P55*Q155,"")</f>
        <v>46573.2</v>
      </c>
      <c r="T155" s="203">
        <f>IFERROR('Laminates- copilot'!R55/'Laminates- copilot'!P55*Q155,"")</f>
        <v>1299651.4987571056</v>
      </c>
      <c r="U155" s="912">
        <f>IFERROR('Laminates- copilot'!S55/'Laminates- copilot'!P55*Q155,"")</f>
        <v>1507595.7385582423</v>
      </c>
      <c r="V155" s="913">
        <f t="shared" si="34"/>
        <v>27.905565835225101</v>
      </c>
      <c r="W155" s="914">
        <f t="shared" si="35"/>
        <v>32.370456368861113</v>
      </c>
      <c r="X155" s="913">
        <f t="shared" si="36"/>
        <v>1.6245643734463819</v>
      </c>
      <c r="Y155" s="913">
        <f t="shared" si="37"/>
        <v>27.905565835225101</v>
      </c>
      <c r="Z155" s="95">
        <f t="shared" si="38"/>
        <v>17178</v>
      </c>
      <c r="AA155" s="50" t="str">
        <f t="shared" si="39"/>
        <v>MOQ OK</v>
      </c>
      <c r="AB155" s="923">
        <f t="shared" si="40"/>
        <v>1.3681236808600739</v>
      </c>
      <c r="AC155" s="924">
        <f t="shared" si="41"/>
        <v>1.5870234697976855</v>
      </c>
      <c r="AD155" s="203">
        <f t="shared" si="42"/>
        <v>2188997.8893761183</v>
      </c>
      <c r="AE155" s="912">
        <f t="shared" si="43"/>
        <v>2539237.5516762971</v>
      </c>
      <c r="AF155" s="923" cm="1">
        <f t="array" ref="AF155">IF(O155="Quantum",IFERROR(_xlfn.LET(_xlpm.b,_xlfn.SWITCH(LOWER(B155),"zipper bag","Zipper pouch","open bag","Open pouch","sup with zipper","Stand-up pouch","stand-up pouch","Stand-up pouch",B155),_xlpm.w,G155,_xlpm.q,K155,_xlpm.types,'Converting-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missing"),IFERROR(_xlfn.LET(_xlpm.s,O155,_xlpm.b,_xlfn.SWITCH(LOWER(B155),"zipper bag","Zipper pouch","open bag","Open pouch",B155),_xlpm.w,G155,_xlpm.q,K155,_xlpm.src,'Converting-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155" s="923">
        <f>IFERROR(IF(OR(B155="Zipper pouch",B155="SUP with zipper"),HELPER!$DE$2*(AH155+AI155)/K155,HELPER!$DE$2*AH155/K155),"Data is missing")</f>
        <v>6.0921164004239324E-4</v>
      </c>
      <c r="AH155" s="923">
        <f t="shared" si="44"/>
        <v>1.6245643734463819</v>
      </c>
      <c r="AI155" s="923" t="str">
        <f>IF(OR(B155="Zipper pouch",B155="SUP with zipper"),HELPER!$DC$2*G155/1000,"")</f>
        <v/>
      </c>
      <c r="AJ155" s="923" cm="1">
        <f t="array" ref="AJ155">IF(INDEX('Laminates- copilot'!$E$6:$E$257,ROUNDUP((ROW()-5)/3,0))+50&gt;IF(O155="Quantum",760,1220),"Width exceeds supplier maximum",IFERROR(AF155+AG155+N(AI155)+AH155*G155/1000/MAX(1,MIN(MAX(2,INT(900/INDEX('Laminates- copilot'!$E$6:$E$257,ROUNDUP((ROW()-5)/3,0)))),INT((IF(O155="Quantum",760,1220)-50)/INDEX('Laminates- copilot'!$E$6:$E$257,ROUNDUP((ROW()-5)/3,0))))),"Data is missing"))</f>
        <v>1.0260927606450554</v>
      </c>
      <c r="AK155" s="203">
        <f t="shared" si="45"/>
        <v>1368.1236808600738</v>
      </c>
      <c r="AL155" t="str">
        <f t="shared" si="46"/>
        <v>PASS</v>
      </c>
      <c r="AM155" s="50" t="str">
        <f t="shared" si="47"/>
        <v/>
      </c>
    </row>
    <row r="156" spans="1:39" hidden="1">
      <c r="A156" t="s">
        <v>1784</v>
      </c>
      <c r="B156" t="s">
        <v>251</v>
      </c>
      <c r="C156" s="50" t="s">
        <v>2203</v>
      </c>
      <c r="D156">
        <f>'Laminates- copilot'!B56</f>
        <v>618</v>
      </c>
      <c r="E156" s="858">
        <f>'Laminates- copilot'!D56</f>
        <v>51</v>
      </c>
      <c r="F156" s="858">
        <v>100</v>
      </c>
      <c r="G156" s="858">
        <v>100</v>
      </c>
      <c r="H156" s="858">
        <v>20</v>
      </c>
      <c r="I156" s="858">
        <v>0</v>
      </c>
      <c r="J156" s="858">
        <v>240</v>
      </c>
      <c r="K156" s="858">
        <v>25000</v>
      </c>
      <c r="L156" s="858" t="str">
        <f>'Laminates- copilot'!K56</f>
        <v>Not Printed</v>
      </c>
      <c r="M156" s="858" t="str">
        <f>'Laminates- copilot'!L56</f>
        <v>0</v>
      </c>
      <c r="N156" s="858">
        <f>'Laminates- copilot'!M56</f>
        <v>1</v>
      </c>
      <c r="O156" s="858" t="str">
        <f>'Laminates- copilot'!O56</f>
        <v>Marma</v>
      </c>
      <c r="P156" s="858" t="str">
        <f>'Laminates- copilot'!N56</f>
        <v>Europe to Europe</v>
      </c>
      <c r="Q156" s="858">
        <f t="shared" si="32"/>
        <v>2500</v>
      </c>
      <c r="R156" s="858">
        <f t="shared" si="33"/>
        <v>2500</v>
      </c>
      <c r="S156" s="858">
        <f>IFERROR('Laminates- copilot'!Q56/'Laminates- copilot'!P56*Q156,"")</f>
        <v>20.211000000000002</v>
      </c>
      <c r="T156" s="203">
        <f>IFERROR('Laminates- copilot'!R56/'Laminates- copilot'!P56*Q156,"")</f>
        <v>201.76086029197609</v>
      </c>
      <c r="U156" s="912">
        <f>IFERROR('Laminates- copilot'!S56/'Laminates- copilot'!P56*Q156,"")</f>
        <v>234.04259793869224</v>
      </c>
      <c r="V156" s="913">
        <f t="shared" si="34"/>
        <v>9.9827252630733785</v>
      </c>
      <c r="W156" s="914">
        <f t="shared" si="35"/>
        <v>11.579961305165119</v>
      </c>
      <c r="X156" s="913">
        <f t="shared" si="36"/>
        <v>8.0704344116790436E-2</v>
      </c>
      <c r="Y156" s="913">
        <f t="shared" si="37"/>
        <v>9.9827252630733785</v>
      </c>
      <c r="Z156" s="95">
        <f t="shared" si="38"/>
        <v>618476</v>
      </c>
      <c r="AA156" s="50" t="str">
        <f t="shared" si="39"/>
        <v>Below MOQ by 593,476 bags</v>
      </c>
      <c r="AB156" s="923">
        <f t="shared" si="40"/>
        <v>7.4711318749089442E-2</v>
      </c>
      <c r="AC156" s="924">
        <f t="shared" si="41"/>
        <v>8.6665129748943748E-2</v>
      </c>
      <c r="AD156" s="203">
        <f t="shared" si="42"/>
        <v>1867.782968727236</v>
      </c>
      <c r="AE156" s="912">
        <f t="shared" si="43"/>
        <v>2166.6282437235936</v>
      </c>
      <c r="AF156" s="923" cm="1">
        <f t="array" ref="AF156">IF(O156="Quantum",IFERROR(_xlfn.LET(_xlpm.b,_xlfn.SWITCH(LOWER(B156),"zipper bag","Zipper pouch","open bag","Open pouch","sup with zipper","Stand-up pouch","stand-up pouch","Stand-up pouch",B156),_xlpm.w,G156,_xlpm.q,K156,_xlpm.types,'Converting-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missing"),IFERROR(_xlfn.LET(_xlpm.s,O156,_xlpm.b,_xlfn.SWITCH(LOWER(B156),"zipper bag","Zipper pouch","open bag","Open pouch",B156),_xlpm.w,G156,_xlpm.q,K156,_xlpm.src,'Converting-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156" s="923">
        <f>IFERROR(IF(OR(B156="Zipper pouch",B156="SUP with zipper"),HELPER!$DE$2*(AH156+AI156)/K156,HELPER!$DE$2*AH156/K156),"Data is missing")</f>
        <v>2.2825042588029702E-3</v>
      </c>
      <c r="AH156" s="923">
        <f t="shared" si="44"/>
        <v>8.0704344116790436E-2</v>
      </c>
      <c r="AI156" s="923">
        <f>IF(OR(B156="Zipper pouch",B156="SUP with zipper"),HELPER!$DC$2*G156/1000,"")</f>
        <v>1.4399999999999998E-2</v>
      </c>
      <c r="AJ156" s="923" cm="1">
        <f t="array" ref="AJ156">IF(INDEX('Laminates- copilot'!$E$6:$E$257,ROUNDUP((ROW()-5)/3,0))+50&gt;IF(O156="Quantum",760,1220),"Width exceeds supplier maximum",IFERROR(AF156+AG156+N(AI156)+AH156*G156/1000/MAX(1,MIN(MAX(2,INT(900/INDEX('Laminates- copilot'!$E$6:$E$257,ROUNDUP((ROW()-5)/3,0)))),INT((IF(O156="Quantum",760,1220)-50)/INDEX('Laminates- copilot'!$E$6:$E$257,ROUNDUP((ROW()-5)/3,0))))),"Data is missing"))</f>
        <v>5.6033489061817078E-2</v>
      </c>
      <c r="AK156" s="203">
        <f t="shared" si="45"/>
        <v>74.711318749089443</v>
      </c>
      <c r="AL156" t="str">
        <f t="shared" si="46"/>
        <v>PASS</v>
      </c>
      <c r="AM156" s="50" t="str">
        <f t="shared" si="47"/>
        <v/>
      </c>
    </row>
    <row r="157" spans="1:39" hidden="1">
      <c r="A157" t="s">
        <v>1785</v>
      </c>
      <c r="B157" t="s">
        <v>261</v>
      </c>
      <c r="C157" s="50" t="s">
        <v>2203</v>
      </c>
      <c r="D157">
        <f>'Laminates- copilot'!B56</f>
        <v>618</v>
      </c>
      <c r="E157" s="858">
        <f>'Laminates- copilot'!D56</f>
        <v>51</v>
      </c>
      <c r="F157" s="858">
        <v>100</v>
      </c>
      <c r="G157" s="858">
        <v>100</v>
      </c>
      <c r="H157" s="858">
        <v>20</v>
      </c>
      <c r="I157" s="858">
        <v>0</v>
      </c>
      <c r="J157" s="858">
        <v>240</v>
      </c>
      <c r="K157" s="858">
        <v>25000</v>
      </c>
      <c r="L157" s="858" t="str">
        <f>'Laminates- copilot'!K56</f>
        <v>Not Printed</v>
      </c>
      <c r="M157" s="858" t="str">
        <f>'Laminates- copilot'!L56</f>
        <v>0</v>
      </c>
      <c r="N157" s="858">
        <f>'Laminates- copilot'!M56</f>
        <v>1</v>
      </c>
      <c r="O157" s="858" t="str">
        <f>'Laminates- copilot'!O56</f>
        <v>Marma</v>
      </c>
      <c r="P157" s="858" t="str">
        <f>'Laminates- copilot'!N56</f>
        <v>Europe to Europe</v>
      </c>
      <c r="Q157" s="858">
        <f t="shared" si="32"/>
        <v>2500</v>
      </c>
      <c r="R157" s="858">
        <f t="shared" si="33"/>
        <v>2500</v>
      </c>
      <c r="S157" s="858">
        <f>IFERROR('Laminates- copilot'!Q56/'Laminates- copilot'!P56*Q157,"")</f>
        <v>20.211000000000002</v>
      </c>
      <c r="T157" s="203">
        <f>IFERROR('Laminates- copilot'!R56/'Laminates- copilot'!P56*Q157,"")</f>
        <v>201.76086029197609</v>
      </c>
      <c r="U157" s="912">
        <f>IFERROR('Laminates- copilot'!S56/'Laminates- copilot'!P56*Q157,"")</f>
        <v>234.04259793869224</v>
      </c>
      <c r="V157" s="913">
        <f t="shared" si="34"/>
        <v>9.9827252630733785</v>
      </c>
      <c r="W157" s="914">
        <f t="shared" si="35"/>
        <v>11.579961305165119</v>
      </c>
      <c r="X157" s="913">
        <f t="shared" si="36"/>
        <v>8.0704344116790436E-2</v>
      </c>
      <c r="Y157" s="913">
        <f t="shared" si="37"/>
        <v>9.9827252630733785</v>
      </c>
      <c r="Z157" s="95">
        <f t="shared" si="38"/>
        <v>618476</v>
      </c>
      <c r="AA157" s="50" t="str">
        <f t="shared" si="39"/>
        <v>Below MOQ by 593,476 bags</v>
      </c>
      <c r="AB157" s="923">
        <f t="shared" si="40"/>
        <v>7.1285980420471032E-2</v>
      </c>
      <c r="AC157" s="924">
        <f t="shared" si="41"/>
        <v>8.2691737287746397E-2</v>
      </c>
      <c r="AD157" s="203">
        <f t="shared" si="42"/>
        <v>1782.1495105117758</v>
      </c>
      <c r="AE157" s="912">
        <f t="shared" si="43"/>
        <v>2067.29343219366</v>
      </c>
      <c r="AF157" s="923" cm="1">
        <f t="array" ref="AF157">IF(O157="Quantum",IFERROR(_xlfn.LET(_xlpm.b,_xlfn.SWITCH(LOWER(B157),"zipper bag","Zipper pouch","open bag","Open pouch","sup with zipper","Stand-up pouch","stand-up pouch","Stand-up pouch",B157),_xlpm.w,G157,_xlpm.q,K157,_xlpm.types,'Converting-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missing"),IFERROR(_xlfn.LET(_xlpm.s,O157,_xlpm.b,_xlfn.SWITCH(LOWER(B157),"zipper bag","Zipper pouch","open bag","Open pouch",B157),_xlpm.w,G157,_xlpm.q,K157,_xlpm.src,'Converting-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157" s="923">
        <f>IFERROR(IF(OR(B157="Zipper pouch",B157="SUP with zipper"),HELPER!$DE$2*(AH157+AI157)/K157,HELPER!$DE$2*AH157/K157),"Data is missing")</f>
        <v>2.2825042588029702E-3</v>
      </c>
      <c r="AH157" s="923">
        <f t="shared" si="44"/>
        <v>8.0704344116790436E-2</v>
      </c>
      <c r="AI157" s="923">
        <f>IF(OR(B157="Zipper pouch",B157="SUP with zipper"),HELPER!$DC$2*G157/1000,"")</f>
        <v>1.4399999999999998E-2</v>
      </c>
      <c r="AJ157" s="923" cm="1">
        <f t="array" ref="AJ157">IF(INDEX('Laminates- copilot'!$E$6:$E$257,ROUNDUP((ROW()-5)/3,0))+50&gt;IF(O157="Quantum",760,1220),"Width exceeds supplier maximum",IFERROR(AF157+AG157+N(AI157)+AH157*G157/1000/MAX(1,MIN(MAX(2,INT(900/INDEX('Laminates- copilot'!$E$6:$E$257,ROUNDUP((ROW()-5)/3,0)))),INT((IF(O157="Quantum",760,1220)-50)/INDEX('Laminates- copilot'!$E$6:$E$257,ROUNDUP((ROW()-5)/3,0))))),"Data is missing"))</f>
        <v>5.3464485315353277E-2</v>
      </c>
      <c r="AK157" s="203">
        <f t="shared" si="45"/>
        <v>71.285980420471034</v>
      </c>
      <c r="AL157" t="str">
        <f t="shared" si="46"/>
        <v>PASS</v>
      </c>
      <c r="AM157" s="50" t="str">
        <f t="shared" si="47"/>
        <v/>
      </c>
    </row>
    <row r="158" spans="1:39" hidden="1">
      <c r="A158" t="s">
        <v>1786</v>
      </c>
      <c r="B158" t="s">
        <v>262</v>
      </c>
      <c r="C158" s="50" t="s">
        <v>2203</v>
      </c>
      <c r="D158">
        <f>'Laminates- copilot'!B56</f>
        <v>618</v>
      </c>
      <c r="E158" s="858">
        <f>'Laminates- copilot'!D56</f>
        <v>51</v>
      </c>
      <c r="F158" s="858">
        <v>100</v>
      </c>
      <c r="G158" s="858">
        <v>100</v>
      </c>
      <c r="H158" s="858">
        <v>0</v>
      </c>
      <c r="I158" s="858">
        <v>0</v>
      </c>
      <c r="J158" s="858">
        <v>200</v>
      </c>
      <c r="K158" s="858">
        <v>25000</v>
      </c>
      <c r="L158" s="858" t="str">
        <f>'Laminates- copilot'!K56</f>
        <v>Not Printed</v>
      </c>
      <c r="M158" s="858" t="str">
        <f>'Laminates- copilot'!L56</f>
        <v>0</v>
      </c>
      <c r="N158" s="858">
        <f>'Laminates- copilot'!M56</f>
        <v>1</v>
      </c>
      <c r="O158" s="858" t="str">
        <f>'Laminates- copilot'!O56</f>
        <v>Marma</v>
      </c>
      <c r="P158" s="858" t="str">
        <f>'Laminates- copilot'!N56</f>
        <v>Europe to Europe</v>
      </c>
      <c r="Q158" s="858">
        <f t="shared" si="32"/>
        <v>2500</v>
      </c>
      <c r="R158" s="858">
        <f t="shared" si="33"/>
        <v>2500</v>
      </c>
      <c r="S158" s="858">
        <f>IFERROR('Laminates- copilot'!Q56/'Laminates- copilot'!P56*Q158,"")</f>
        <v>20.211000000000002</v>
      </c>
      <c r="T158" s="203">
        <f>IFERROR('Laminates- copilot'!R56/'Laminates- copilot'!P56*Q158,"")</f>
        <v>201.76086029197609</v>
      </c>
      <c r="U158" s="912">
        <f>IFERROR('Laminates- copilot'!S56/'Laminates- copilot'!P56*Q158,"")</f>
        <v>234.04259793869224</v>
      </c>
      <c r="V158" s="913">
        <f t="shared" si="34"/>
        <v>9.9827252630733785</v>
      </c>
      <c r="W158" s="914">
        <f t="shared" si="35"/>
        <v>11.579961305165119</v>
      </c>
      <c r="X158" s="913">
        <f t="shared" si="36"/>
        <v>8.0704344116790436E-2</v>
      </c>
      <c r="Y158" s="913">
        <f t="shared" si="37"/>
        <v>9.9827252630733785</v>
      </c>
      <c r="Z158" s="95">
        <f t="shared" si="38"/>
        <v>618476</v>
      </c>
      <c r="AA158" s="50" t="str">
        <f t="shared" si="39"/>
        <v>Below MOQ by 593,476 bags</v>
      </c>
      <c r="AB158" s="923">
        <f t="shared" si="40"/>
        <v>4.7854576072605425E-2</v>
      </c>
      <c r="AC158" s="924">
        <f t="shared" si="41"/>
        <v>5.551130824422229E-2</v>
      </c>
      <c r="AD158" s="203">
        <f t="shared" si="42"/>
        <v>1196.3644018151356</v>
      </c>
      <c r="AE158" s="912">
        <f t="shared" si="43"/>
        <v>1387.7827061055573</v>
      </c>
      <c r="AF158" s="923" cm="1">
        <f t="array" ref="AF158">IF(O158="Quantum",IFERROR(_xlfn.LET(_xlpm.b,_xlfn.SWITCH(LOWER(B158),"zipper bag","Zipper pouch","open bag","Open pouch","sup with zipper","Stand-up pouch","stand-up pouch","Stand-up pouch",B158),_xlpm.w,G158,_xlpm.q,K158,_xlpm.types,'Converting-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missing"),IFERROR(_xlfn.LET(_xlpm.s,O158,_xlpm.b,_xlfn.SWITCH(LOWER(B158),"zipper bag","Zipper pouch","open bag","Open pouch",B158),_xlpm.w,G158,_xlpm.q,K158,_xlpm.src,'Converting-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158" s="923">
        <f>IFERROR(IF(OR(B158="Zipper pouch",B158="SUP with zipper"),HELPER!$DE$2*(AH158+AI158)/K158,HELPER!$DE$2*AH158/K158),"Data is missing")</f>
        <v>1.9369042588029705E-3</v>
      </c>
      <c r="AH158" s="923">
        <f t="shared" si="44"/>
        <v>8.0704344116790436E-2</v>
      </c>
      <c r="AI158" s="923" t="str">
        <f>IF(OR(B158="Zipper pouch",B158="SUP with zipper"),HELPER!$DC$2*G158/1000,"")</f>
        <v/>
      </c>
      <c r="AJ158" s="923" cm="1">
        <f t="array" ref="AJ158">IF(INDEX('Laminates- copilot'!$E$6:$E$257,ROUNDUP((ROW()-5)/3,0))+50&gt;IF(O158="Quantum",760,1220),"Width exceeds supplier maximum",IFERROR(AF158+AG158+N(AI158)+AH158*G158/1000/MAX(1,MIN(MAX(2,INT(900/INDEX('Laminates- copilot'!$E$6:$E$257,ROUNDUP((ROW()-5)/3,0)))),INT((IF(O158="Quantum",760,1220)-50)/INDEX('Laminates- copilot'!$E$6:$E$257,ROUNDUP((ROW()-5)/3,0))))),"Data is missing"))</f>
        <v>3.5890932054454067E-2</v>
      </c>
      <c r="AK158" s="203">
        <f t="shared" si="45"/>
        <v>47.854576072605425</v>
      </c>
      <c r="AL158" t="str">
        <f t="shared" si="46"/>
        <v>PASS</v>
      </c>
      <c r="AM158" s="50" t="str">
        <f t="shared" si="47"/>
        <v/>
      </c>
    </row>
    <row r="159" spans="1:39" hidden="1">
      <c r="A159" t="s">
        <v>1787</v>
      </c>
      <c r="B159" t="s">
        <v>251</v>
      </c>
      <c r="C159" s="50" t="s">
        <v>2204</v>
      </c>
      <c r="D159">
        <f>'Laminates- copilot'!B57</f>
        <v>618</v>
      </c>
      <c r="E159" s="858">
        <f>'Laminates- copilot'!D57</f>
        <v>51</v>
      </c>
      <c r="F159" s="858">
        <v>150</v>
      </c>
      <c r="G159" s="858">
        <v>150</v>
      </c>
      <c r="H159" s="858">
        <v>25</v>
      </c>
      <c r="I159" s="858">
        <v>0</v>
      </c>
      <c r="J159" s="858">
        <v>350</v>
      </c>
      <c r="K159" s="858">
        <v>25000</v>
      </c>
      <c r="L159" s="858" t="str">
        <f>'Laminates- copilot'!K57</f>
        <v>Printed</v>
      </c>
      <c r="M159" s="858" t="str">
        <f>'Laminates- copilot'!L57</f>
        <v>1-2</v>
      </c>
      <c r="N159" s="858">
        <f>'Laminates- copilot'!M57</f>
        <v>1</v>
      </c>
      <c r="O159" s="858" t="str">
        <f>'Laminates- copilot'!O57</f>
        <v>Bastin</v>
      </c>
      <c r="P159" s="858" t="str">
        <f>'Laminates- copilot'!N57</f>
        <v>Europe to US</v>
      </c>
      <c r="Q159" s="858">
        <f t="shared" si="32"/>
        <v>3750</v>
      </c>
      <c r="R159" s="858">
        <f t="shared" si="33"/>
        <v>3750</v>
      </c>
      <c r="S159" s="858">
        <f>IFERROR('Laminates- copilot'!Q57/'Laminates- copilot'!P57*Q159,"")</f>
        <v>30.316500000000001</v>
      </c>
      <c r="T159" s="203">
        <f>IFERROR('Laminates- copilot'!R57/'Laminates- copilot'!P57*Q159,"")</f>
        <v>16104.325615191965</v>
      </c>
      <c r="U159" s="912">
        <f>IFERROR('Laminates- copilot'!S57/'Laminates- copilot'!P57*Q159,"")</f>
        <v>18681.017713622681</v>
      </c>
      <c r="V159" s="913">
        <f t="shared" si="34"/>
        <v>531.20662395698594</v>
      </c>
      <c r="W159" s="914">
        <f t="shared" si="35"/>
        <v>616.19968379010379</v>
      </c>
      <c r="X159" s="913">
        <f t="shared" si="36"/>
        <v>4.2944868307178572</v>
      </c>
      <c r="Y159" s="913">
        <f t="shared" si="37"/>
        <v>531.20662395698594</v>
      </c>
      <c r="Z159" s="95">
        <f t="shared" si="38"/>
        <v>412317</v>
      </c>
      <c r="AA159" s="50" t="str">
        <f t="shared" si="39"/>
        <v>Below MOQ by 387,317 bags</v>
      </c>
      <c r="AB159" s="923">
        <f t="shared" si="40"/>
        <v>0.36489461911993537</v>
      </c>
      <c r="AC159" s="924">
        <f t="shared" si="41"/>
        <v>0.423277758179125</v>
      </c>
      <c r="AD159" s="203">
        <f t="shared" si="42"/>
        <v>9122.3654779983844</v>
      </c>
      <c r="AE159" s="912">
        <f t="shared" si="43"/>
        <v>10581.943954478125</v>
      </c>
      <c r="AF159" s="923" cm="1">
        <f t="array" ref="AF159">IF(O159="Quantum",IFERROR(_xlfn.LET(_xlpm.b,_xlfn.SWITCH(LOWER(B159),"zipper bag","Zipper pouch","open bag","Open pouch","sup with zipper","Stand-up pouch","stand-up pouch","Stand-up pouch",B159),_xlpm.w,G159,_xlpm.q,K159,_xlpm.types,'Converting-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missing"),IFERROR(_xlfn.LET(_xlpm.s,O159,_xlpm.b,_xlfn.SWITCH(LOWER(B159),"zipper bag","Zipper pouch","open bag","Open pouch",B159),_xlpm.w,G159,_xlpm.q,K159,_xlpm.src,'Converting-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159" s="923">
        <f>IFERROR(IF(OR(B159="Zipper pouch",B159="SUP with zipper"),HELPER!$DE$2*(AH159+AI159)/K159,HELPER!$DE$2*AH159/K159),"Data is missing")</f>
        <v>0.10358608393722858</v>
      </c>
      <c r="AH159" s="923">
        <f t="shared" si="44"/>
        <v>4.2944868307178572</v>
      </c>
      <c r="AI159" s="923">
        <f>IF(OR(B159="Zipper pouch",B159="SUP with zipper"),HELPER!$DC$2*G159/1000,"")</f>
        <v>2.1599999999999998E-2</v>
      </c>
      <c r="AJ159" s="923" cm="1">
        <f t="array" ref="AJ159">IF(INDEX('Laminates- copilot'!$E$6:$E$257,ROUNDUP((ROW()-5)/3,0))+50&gt;IF(O159="Quantum",760,1220),"Width exceeds supplier maximum",IFERROR(AF159+AG159+N(AI159)+AH159*G159/1000/MAX(1,MIN(MAX(2,INT(900/INDEX('Laminates- copilot'!$E$6:$E$257,ROUNDUP((ROW()-5)/3,0)))),INT((IF(O159="Quantum",760,1220)-50)/INDEX('Laminates- copilot'!$E$6:$E$257,ROUNDUP((ROW()-5)/3,0))))),"Data is missing"))</f>
        <v>0.27367096433995153</v>
      </c>
      <c r="AK159" s="203">
        <f t="shared" si="45"/>
        <v>364.89461911993538</v>
      </c>
      <c r="AL159" t="str">
        <f t="shared" si="46"/>
        <v>PASS</v>
      </c>
      <c r="AM159" s="50" t="str">
        <f t="shared" si="47"/>
        <v/>
      </c>
    </row>
    <row r="160" spans="1:39" hidden="1">
      <c r="A160" t="s">
        <v>1788</v>
      </c>
      <c r="B160" t="s">
        <v>261</v>
      </c>
      <c r="C160" s="50" t="s">
        <v>2204</v>
      </c>
      <c r="D160">
        <f>'Laminates- copilot'!B57</f>
        <v>618</v>
      </c>
      <c r="E160" s="858">
        <f>'Laminates- copilot'!D57</f>
        <v>51</v>
      </c>
      <c r="F160" s="858">
        <v>150</v>
      </c>
      <c r="G160" s="858">
        <v>150</v>
      </c>
      <c r="H160" s="858">
        <v>25</v>
      </c>
      <c r="I160" s="858">
        <v>0</v>
      </c>
      <c r="J160" s="858">
        <v>350</v>
      </c>
      <c r="K160" s="858">
        <v>25000</v>
      </c>
      <c r="L160" s="858" t="str">
        <f>'Laminates- copilot'!K57</f>
        <v>Printed</v>
      </c>
      <c r="M160" s="858" t="str">
        <f>'Laminates- copilot'!L57</f>
        <v>1-2</v>
      </c>
      <c r="N160" s="858">
        <f>'Laminates- copilot'!M57</f>
        <v>1</v>
      </c>
      <c r="O160" s="858" t="str">
        <f>'Laminates- copilot'!O57</f>
        <v>Bastin</v>
      </c>
      <c r="P160" s="858" t="str">
        <f>'Laminates- copilot'!N57</f>
        <v>Europe to US</v>
      </c>
      <c r="Q160" s="858">
        <f t="shared" si="32"/>
        <v>3750</v>
      </c>
      <c r="R160" s="858">
        <f t="shared" si="33"/>
        <v>3750</v>
      </c>
      <c r="S160" s="858">
        <f>IFERROR('Laminates- copilot'!Q57/'Laminates- copilot'!P57*Q160,"")</f>
        <v>30.316500000000001</v>
      </c>
      <c r="T160" s="203">
        <f>IFERROR('Laminates- copilot'!R57/'Laminates- copilot'!P57*Q160,"")</f>
        <v>16104.325615191965</v>
      </c>
      <c r="U160" s="912">
        <f>IFERROR('Laminates- copilot'!S57/'Laminates- copilot'!P57*Q160,"")</f>
        <v>18681.017713622681</v>
      </c>
      <c r="V160" s="913">
        <f t="shared" si="34"/>
        <v>531.20662395698594</v>
      </c>
      <c r="W160" s="914">
        <f t="shared" si="35"/>
        <v>616.19968379010379</v>
      </c>
      <c r="X160" s="913">
        <f t="shared" si="36"/>
        <v>4.2944868307178572</v>
      </c>
      <c r="Y160" s="913">
        <f t="shared" si="37"/>
        <v>531.20662395698594</v>
      </c>
      <c r="Z160" s="95">
        <f t="shared" si="38"/>
        <v>412317</v>
      </c>
      <c r="AA160" s="50" t="str">
        <f t="shared" si="39"/>
        <v>Below MOQ by 387,317 bags</v>
      </c>
      <c r="AB160" s="923">
        <f t="shared" si="40"/>
        <v>0.3597292089203788</v>
      </c>
      <c r="AC160" s="924">
        <f t="shared" si="41"/>
        <v>0.41728588234763936</v>
      </c>
      <c r="AD160" s="203">
        <f t="shared" si="42"/>
        <v>8993.2302230094701</v>
      </c>
      <c r="AE160" s="912">
        <f t="shared" si="43"/>
        <v>10432.147058690985</v>
      </c>
      <c r="AF160" s="923" cm="1">
        <f t="array" ref="AF160">IF(O160="Quantum",IFERROR(_xlfn.LET(_xlpm.b,_xlfn.SWITCH(LOWER(B160),"zipper bag","Zipper pouch","open bag","Open pouch","sup with zipper","Stand-up pouch","stand-up pouch","Stand-up pouch",B160),_xlpm.w,G160,_xlpm.q,K160,_xlpm.types,'Converting-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missing"),IFERROR(_xlfn.LET(_xlpm.s,O160,_xlpm.b,_xlfn.SWITCH(LOWER(B160),"zipper bag","Zipper pouch","open bag","Open pouch",B160),_xlpm.w,G160,_xlpm.q,K160,_xlpm.src,'Converting-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60" s="923">
        <f>IFERROR(IF(OR(B160="Zipper pouch",B160="SUP with zipper"),HELPER!$DE$2*(AH160+AI160)/K160,HELPER!$DE$2*AH160/K160),"Data is missing")</f>
        <v>0.10358608393722858</v>
      </c>
      <c r="AH160" s="923">
        <f t="shared" si="44"/>
        <v>4.2944868307178572</v>
      </c>
      <c r="AI160" s="923">
        <f>IF(OR(B160="Zipper pouch",B160="SUP with zipper"),HELPER!$DC$2*G160/1000,"")</f>
        <v>2.1599999999999998E-2</v>
      </c>
      <c r="AJ160" s="923" cm="1">
        <f t="array" ref="AJ160">IF(INDEX('Laminates- copilot'!$E$6:$E$257,ROUNDUP((ROW()-5)/3,0))+50&gt;IF(O160="Quantum",760,1220),"Width exceeds supplier maximum",IFERROR(AF160+AG160+N(AI160)+AH160*G160/1000/MAX(1,MIN(MAX(2,INT(900/INDEX('Laminates- copilot'!$E$6:$E$257,ROUNDUP((ROW()-5)/3,0)))),INT((IF(O160="Quantum",760,1220)-50)/INDEX('Laminates- copilot'!$E$6:$E$257,ROUNDUP((ROW()-5)/3,0))))),"Data is missing"))</f>
        <v>0.26979690669028411</v>
      </c>
      <c r="AK160" s="203">
        <f t="shared" si="45"/>
        <v>359.72920892037882</v>
      </c>
      <c r="AL160" t="str">
        <f t="shared" si="46"/>
        <v>PASS</v>
      </c>
      <c r="AM160" s="50" t="str">
        <f t="shared" si="47"/>
        <v/>
      </c>
    </row>
    <row r="161" spans="1:39" hidden="1">
      <c r="A161" t="s">
        <v>1789</v>
      </c>
      <c r="B161" t="s">
        <v>262</v>
      </c>
      <c r="C161" s="50" t="s">
        <v>2204</v>
      </c>
      <c r="D161">
        <f>'Laminates- copilot'!B57</f>
        <v>618</v>
      </c>
      <c r="E161" s="858">
        <f>'Laminates- copilot'!D57</f>
        <v>51</v>
      </c>
      <c r="F161" s="858">
        <v>150</v>
      </c>
      <c r="G161" s="858">
        <v>150</v>
      </c>
      <c r="H161" s="858">
        <v>0</v>
      </c>
      <c r="I161" s="858">
        <v>0</v>
      </c>
      <c r="J161" s="858">
        <v>300</v>
      </c>
      <c r="K161" s="858">
        <v>25000</v>
      </c>
      <c r="L161" s="858" t="str">
        <f>'Laminates- copilot'!K57</f>
        <v>Printed</v>
      </c>
      <c r="M161" s="858" t="str">
        <f>'Laminates- copilot'!L57</f>
        <v>1-2</v>
      </c>
      <c r="N161" s="858">
        <f>'Laminates- copilot'!M57</f>
        <v>1</v>
      </c>
      <c r="O161" s="858" t="str">
        <f>'Laminates- copilot'!O57</f>
        <v>Bastin</v>
      </c>
      <c r="P161" s="858" t="str">
        <f>'Laminates- copilot'!N57</f>
        <v>Europe to US</v>
      </c>
      <c r="Q161" s="858">
        <f t="shared" si="32"/>
        <v>3750</v>
      </c>
      <c r="R161" s="858">
        <f t="shared" si="33"/>
        <v>3750</v>
      </c>
      <c r="S161" s="858">
        <f>IFERROR('Laminates- copilot'!Q57/'Laminates- copilot'!P57*Q161,"")</f>
        <v>30.316500000000001</v>
      </c>
      <c r="T161" s="203">
        <f>IFERROR('Laminates- copilot'!R57/'Laminates- copilot'!P57*Q161,"")</f>
        <v>16104.325615191965</v>
      </c>
      <c r="U161" s="912">
        <f>IFERROR('Laminates- copilot'!S57/'Laminates- copilot'!P57*Q161,"")</f>
        <v>18681.017713622681</v>
      </c>
      <c r="V161" s="913">
        <f t="shared" si="34"/>
        <v>531.20662395698594</v>
      </c>
      <c r="W161" s="914">
        <f t="shared" si="35"/>
        <v>616.19968379010379</v>
      </c>
      <c r="X161" s="913">
        <f t="shared" si="36"/>
        <v>4.2944868307178572</v>
      </c>
      <c r="Y161" s="913">
        <f t="shared" si="37"/>
        <v>531.20662395698594</v>
      </c>
      <c r="Z161" s="95">
        <f t="shared" si="38"/>
        <v>412317</v>
      </c>
      <c r="AA161" s="50" t="str">
        <f t="shared" si="39"/>
        <v>Below MOQ by 387,317 bags</v>
      </c>
      <c r="AB161" s="923">
        <f t="shared" si="40"/>
        <v>0.32440397008412275</v>
      </c>
      <c r="AC161" s="924">
        <f t="shared" si="41"/>
        <v>0.37630860529758237</v>
      </c>
      <c r="AD161" s="203">
        <f t="shared" si="42"/>
        <v>8110.0992521030685</v>
      </c>
      <c r="AE161" s="912">
        <f t="shared" si="43"/>
        <v>9407.7151324395581</v>
      </c>
      <c r="AF161" s="923" cm="1">
        <f t="array" ref="AF161">IF(O161="Quantum",IFERROR(_xlfn.LET(_xlpm.b,_xlfn.SWITCH(LOWER(B161),"zipper bag","Zipper pouch","open bag","Open pouch","sup with zipper","Stand-up pouch","stand-up pouch","Stand-up pouch",B161),_xlpm.w,G161,_xlpm.q,K161,_xlpm.types,'Converting-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missing"),IFERROR(_xlfn.LET(_xlpm.s,O161,_xlpm.b,_xlfn.SWITCH(LOWER(B161),"zipper bag","Zipper pouch","open bag","Open pouch",B161),_xlpm.w,G161,_xlpm.q,K161,_xlpm.src,'Converting-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61" s="923">
        <f>IFERROR(IF(OR(B161="Zipper pouch",B161="SUP with zipper"),HELPER!$DE$2*(AH161+AI161)/K161,HELPER!$DE$2*AH161/K161),"Data is missing")</f>
        <v>0.10306768393722858</v>
      </c>
      <c r="AH161" s="923">
        <f t="shared" si="44"/>
        <v>4.2944868307178572</v>
      </c>
      <c r="AI161" s="923" t="str">
        <f>IF(OR(B161="Zipper pouch",B161="SUP with zipper"),HELPER!$DC$2*G161/1000,"")</f>
        <v/>
      </c>
      <c r="AJ161" s="923" cm="1">
        <f t="array" ref="AJ161">IF(INDEX('Laminates- copilot'!$E$6:$E$257,ROUNDUP((ROW()-5)/3,0))+50&gt;IF(O161="Quantum",760,1220),"Width exceeds supplier maximum",IFERROR(AF161+AG161+N(AI161)+AH161*G161/1000/MAX(1,MIN(MAX(2,INT(900/INDEX('Laminates- copilot'!$E$6:$E$257,ROUNDUP((ROW()-5)/3,0)))),INT((IF(O161="Quantum",760,1220)-50)/INDEX('Laminates- copilot'!$E$6:$E$257,ROUNDUP((ROW()-5)/3,0))))),"Data is missing"))</f>
        <v>0.24330297756309205</v>
      </c>
      <c r="AK161" s="203">
        <f t="shared" si="45"/>
        <v>324.40397008412276</v>
      </c>
      <c r="AL161" t="str">
        <f t="shared" si="46"/>
        <v>PASS</v>
      </c>
      <c r="AM161" s="50" t="str">
        <f t="shared" si="47"/>
        <v/>
      </c>
    </row>
    <row r="162" spans="1:39" hidden="1">
      <c r="A162" t="s">
        <v>1790</v>
      </c>
      <c r="B162" t="s">
        <v>251</v>
      </c>
      <c r="C162" s="50" t="s">
        <v>2205</v>
      </c>
      <c r="D162">
        <f>'Laminates- copilot'!B58</f>
        <v>618</v>
      </c>
      <c r="E162" s="858">
        <f>'Laminates- copilot'!D58</f>
        <v>66</v>
      </c>
      <c r="F162" s="858">
        <v>250</v>
      </c>
      <c r="G162" s="858">
        <v>200</v>
      </c>
      <c r="H162" s="858">
        <v>40</v>
      </c>
      <c r="I162" s="858">
        <v>0</v>
      </c>
      <c r="J162" s="858">
        <v>580</v>
      </c>
      <c r="K162" s="858">
        <v>50000</v>
      </c>
      <c r="L162" s="858" t="str">
        <f>'Laminates- copilot'!K58</f>
        <v>Printed</v>
      </c>
      <c r="M162" s="858" t="str">
        <f>'Laminates- copilot'!L58</f>
        <v>3-4</v>
      </c>
      <c r="N162" s="858">
        <f>'Laminates- copilot'!M58</f>
        <v>4</v>
      </c>
      <c r="O162" s="858" t="str">
        <f>'Laminates- copilot'!O58</f>
        <v>Quantum</v>
      </c>
      <c r="P162" s="858" t="str">
        <f>'Laminates- copilot'!N58</f>
        <v>Europe to Europe</v>
      </c>
      <c r="Q162" s="858">
        <f t="shared" si="32"/>
        <v>10000</v>
      </c>
      <c r="R162" s="858">
        <f t="shared" si="33"/>
        <v>10000</v>
      </c>
      <c r="S162" s="858">
        <f>IFERROR('Laminates- copilot'!Q58/'Laminates- copilot'!P58*Q162,"")</f>
        <v>301.42000000000007</v>
      </c>
      <c r="T162" s="203">
        <f>IFERROR('Laminates- copilot'!R58/'Laminates- copilot'!P58*Q162,"")</f>
        <v>6869.1594580529127</v>
      </c>
      <c r="U162" s="912">
        <f>IFERROR('Laminates- copilot'!S58/'Laminates- copilot'!P58*Q162,"")</f>
        <v>7968.2249713413776</v>
      </c>
      <c r="V162" s="913">
        <f t="shared" si="34"/>
        <v>22.789328704309305</v>
      </c>
      <c r="W162" s="914">
        <f t="shared" si="35"/>
        <v>26.435621296998793</v>
      </c>
      <c r="X162" s="913">
        <f t="shared" si="36"/>
        <v>0.68691594580529125</v>
      </c>
      <c r="Y162" s="913">
        <f t="shared" si="37"/>
        <v>22.789328704309305</v>
      </c>
      <c r="Z162" s="95">
        <f t="shared" si="38"/>
        <v>82941</v>
      </c>
      <c r="AA162" s="50" t="str">
        <f t="shared" si="39"/>
        <v>Below MOQ by 32,941 bags</v>
      </c>
      <c r="AB162" s="923">
        <f t="shared" si="40"/>
        <v>0.29713770781894278</v>
      </c>
      <c r="AC162" s="924">
        <f t="shared" si="41"/>
        <v>0.34467974106997362</v>
      </c>
      <c r="AD162" s="203">
        <f t="shared" si="42"/>
        <v>14856.885390947138</v>
      </c>
      <c r="AE162" s="912">
        <f t="shared" si="43"/>
        <v>17233.98705349868</v>
      </c>
      <c r="AF162" s="923" cm="1">
        <f t="array" ref="AF162">IF(O162="Quantum",IFERROR(_xlfn.LET(_xlpm.b,_xlfn.SWITCH(LOWER(B162),"zipper bag","Zipper pouch","open bag","Open pouch","sup with zipper","Stand-up pouch","stand-up pouch","Stand-up pouch",B162),_xlpm.w,G162,_xlpm.q,K162,_xlpm.types,'Converting-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missing"),IFERROR(_xlfn.LET(_xlpm.s,O162,_xlpm.b,_xlfn.SWITCH(LOWER(B162),"zipper bag","Zipper pouch","open bag","Open pouch",B162),_xlpm.w,G162,_xlpm.q,K162,_xlpm.src,'Converting-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162" s="923">
        <f>IFERROR(IF(OR(B162="Zipper pouch",B162="SUP with zipper"),HELPER!$DE$2*(AH162+AI162)/K162,HELPER!$DE$2*AH162/K162),"Data is missing")</f>
        <v>8.5885913496634957E-3</v>
      </c>
      <c r="AH162" s="923">
        <f t="shared" si="44"/>
        <v>0.68691594580529125</v>
      </c>
      <c r="AI162" s="923">
        <f>IF(OR(B162="Zipper pouch",B162="SUP with zipper"),HELPER!$DC$2*G162/1000,"")</f>
        <v>2.8799999999999996E-2</v>
      </c>
      <c r="AJ162" s="923" cm="1">
        <f t="array" ref="AJ162">IF(INDEX('Laminates- copilot'!$E$6:$E$257,ROUNDUP((ROW()-5)/3,0))+50&gt;IF(O162="Quantum",760,1220),"Width exceeds supplier maximum",IFERROR(AF162+AG162+N(AI162)+AH162*G162/1000/MAX(1,MIN(MAX(2,INT(900/INDEX('Laminates- copilot'!$E$6:$E$257,ROUNDUP((ROW()-5)/3,0)))),INT((IF(O162="Quantum",760,1220)-50)/INDEX('Laminates- copilot'!$E$6:$E$257,ROUNDUP((ROW()-5)/3,0))))),"Data is missing"))</f>
        <v>0.22285328086420708</v>
      </c>
      <c r="AK162" s="203">
        <f t="shared" si="45"/>
        <v>297.13770781894277</v>
      </c>
      <c r="AL162" t="str">
        <f t="shared" si="46"/>
        <v>PASS</v>
      </c>
      <c r="AM162" s="50" t="str">
        <f t="shared" si="47"/>
        <v/>
      </c>
    </row>
    <row r="163" spans="1:39" hidden="1">
      <c r="A163" t="s">
        <v>1791</v>
      </c>
      <c r="B163" t="s">
        <v>261</v>
      </c>
      <c r="C163" s="50" t="s">
        <v>2205</v>
      </c>
      <c r="D163">
        <f>'Laminates- copilot'!B58</f>
        <v>618</v>
      </c>
      <c r="E163" s="858">
        <f>'Laminates- copilot'!D58</f>
        <v>66</v>
      </c>
      <c r="F163" s="858">
        <v>250</v>
      </c>
      <c r="G163" s="858">
        <v>200</v>
      </c>
      <c r="H163" s="858">
        <v>40</v>
      </c>
      <c r="I163" s="858">
        <v>0</v>
      </c>
      <c r="J163" s="858">
        <v>580</v>
      </c>
      <c r="K163" s="858">
        <v>50000</v>
      </c>
      <c r="L163" s="858" t="str">
        <f>'Laminates- copilot'!K58</f>
        <v>Printed</v>
      </c>
      <c r="M163" s="858" t="str">
        <f>'Laminates- copilot'!L58</f>
        <v>3-4</v>
      </c>
      <c r="N163" s="858">
        <f>'Laminates- copilot'!M58</f>
        <v>4</v>
      </c>
      <c r="O163" s="858" t="str">
        <f>'Laminates- copilot'!O58</f>
        <v>Quantum</v>
      </c>
      <c r="P163" s="858" t="str">
        <f>'Laminates- copilot'!N58</f>
        <v>Europe to Europe</v>
      </c>
      <c r="Q163" s="858">
        <f t="shared" si="32"/>
        <v>10000</v>
      </c>
      <c r="R163" s="858">
        <f t="shared" si="33"/>
        <v>10000</v>
      </c>
      <c r="S163" s="858">
        <f>IFERROR('Laminates- copilot'!Q58/'Laminates- copilot'!P58*Q163,"")</f>
        <v>301.42000000000007</v>
      </c>
      <c r="T163" s="203">
        <f>IFERROR('Laminates- copilot'!R58/'Laminates- copilot'!P58*Q163,"")</f>
        <v>6869.1594580529127</v>
      </c>
      <c r="U163" s="912">
        <f>IFERROR('Laminates- copilot'!S58/'Laminates- copilot'!P58*Q163,"")</f>
        <v>7968.2249713413776</v>
      </c>
      <c r="V163" s="913">
        <f t="shared" si="34"/>
        <v>22.789328704309305</v>
      </c>
      <c r="W163" s="914">
        <f t="shared" si="35"/>
        <v>26.435621296998793</v>
      </c>
      <c r="X163" s="913">
        <f t="shared" si="36"/>
        <v>0.68691594580529125</v>
      </c>
      <c r="Y163" s="913">
        <f t="shared" si="37"/>
        <v>22.789328704309305</v>
      </c>
      <c r="Z163" s="95">
        <f t="shared" si="38"/>
        <v>82941</v>
      </c>
      <c r="AA163" s="50" t="str">
        <f t="shared" si="39"/>
        <v>Below MOQ by 32,941 bags</v>
      </c>
      <c r="AB163" s="923">
        <f t="shared" si="40"/>
        <v>0.28137055710074904</v>
      </c>
      <c r="AC163" s="924">
        <f t="shared" si="41"/>
        <v>0.32638984623686884</v>
      </c>
      <c r="AD163" s="203">
        <f t="shared" si="42"/>
        <v>14068.527855037451</v>
      </c>
      <c r="AE163" s="912">
        <f t="shared" si="43"/>
        <v>16319.492311843442</v>
      </c>
      <c r="AF163" s="923" cm="1">
        <f t="array" ref="AF163">IF(O163="Quantum",IFERROR(_xlfn.LET(_xlpm.b,_xlfn.SWITCH(LOWER(B163),"zipper bag","Zipper pouch","open bag","Open pouch","sup with zipper","Stand-up pouch","stand-up pouch","Stand-up pouch",B163),_xlpm.w,G163,_xlpm.q,K163,_xlpm.types,'Converting-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missing"),IFERROR(_xlfn.LET(_xlpm.s,O163,_xlpm.b,_xlfn.SWITCH(LOWER(B163),"zipper bag","Zipper pouch","open bag","Open pouch",B163),_xlpm.w,G163,_xlpm.q,K163,_xlpm.src,'Converting-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163" s="923">
        <f>IFERROR(IF(OR(B163="Zipper pouch",B163="SUP with zipper"),HELPER!$DE$2*(AH163+AI163)/K163,HELPER!$DE$2*AH163/K163),"Data is missing")</f>
        <v>8.5885913496634957E-3</v>
      </c>
      <c r="AH163" s="923">
        <f t="shared" si="44"/>
        <v>0.68691594580529125</v>
      </c>
      <c r="AI163" s="923">
        <f>IF(OR(B163="Zipper pouch",B163="SUP with zipper"),HELPER!$DC$2*G163/1000,"")</f>
        <v>2.8799999999999996E-2</v>
      </c>
      <c r="AJ163" s="923" cm="1">
        <f t="array" ref="AJ163">IF(INDEX('Laminates- copilot'!$E$6:$E$257,ROUNDUP((ROW()-5)/3,0))+50&gt;IF(O163="Quantum",760,1220),"Width exceeds supplier maximum",IFERROR(AF163+AG163+N(AI163)+AH163*G163/1000/MAX(1,MIN(MAX(2,INT(900/INDEX('Laminates- copilot'!$E$6:$E$257,ROUNDUP((ROW()-5)/3,0)))),INT((IF(O163="Quantum",760,1220)-50)/INDEX('Laminates- copilot'!$E$6:$E$257,ROUNDUP((ROW()-5)/3,0))))),"Data is missing"))</f>
        <v>0.21102791782556179</v>
      </c>
      <c r="AK163" s="203">
        <f t="shared" si="45"/>
        <v>281.37055710074907</v>
      </c>
      <c r="AL163" t="str">
        <f t="shared" si="46"/>
        <v>PASS</v>
      </c>
      <c r="AM163" s="50" t="str">
        <f t="shared" si="47"/>
        <v/>
      </c>
    </row>
    <row r="164" spans="1:39" hidden="1">
      <c r="A164" t="s">
        <v>1792</v>
      </c>
      <c r="B164" t="s">
        <v>262</v>
      </c>
      <c r="C164" s="50" t="s">
        <v>2205</v>
      </c>
      <c r="D164">
        <f>'Laminates- copilot'!B58</f>
        <v>618</v>
      </c>
      <c r="E164" s="858">
        <f>'Laminates- copilot'!D58</f>
        <v>66</v>
      </c>
      <c r="F164" s="858">
        <v>250</v>
      </c>
      <c r="G164" s="858">
        <v>200</v>
      </c>
      <c r="H164" s="858">
        <v>0</v>
      </c>
      <c r="I164" s="858">
        <v>0</v>
      </c>
      <c r="J164" s="858">
        <v>500</v>
      </c>
      <c r="K164" s="858">
        <v>50000</v>
      </c>
      <c r="L164" s="858" t="str">
        <f>'Laminates- copilot'!K58</f>
        <v>Printed</v>
      </c>
      <c r="M164" s="858" t="str">
        <f>'Laminates- copilot'!L58</f>
        <v>3-4</v>
      </c>
      <c r="N164" s="858">
        <f>'Laminates- copilot'!M58</f>
        <v>4</v>
      </c>
      <c r="O164" s="858" t="str">
        <f>'Laminates- copilot'!O58</f>
        <v>Quantum</v>
      </c>
      <c r="P164" s="858" t="str">
        <f>'Laminates- copilot'!N58</f>
        <v>Europe to Europe</v>
      </c>
      <c r="Q164" s="858">
        <f t="shared" si="32"/>
        <v>10000</v>
      </c>
      <c r="R164" s="858">
        <f t="shared" si="33"/>
        <v>10000</v>
      </c>
      <c r="S164" s="858">
        <f>IFERROR('Laminates- copilot'!Q58/'Laminates- copilot'!P58*Q164,"")</f>
        <v>301.42000000000007</v>
      </c>
      <c r="T164" s="203">
        <f>IFERROR('Laminates- copilot'!R58/'Laminates- copilot'!P58*Q164,"")</f>
        <v>6869.1594580529127</v>
      </c>
      <c r="U164" s="912">
        <f>IFERROR('Laminates- copilot'!S58/'Laminates- copilot'!P58*Q164,"")</f>
        <v>7968.2249713413776</v>
      </c>
      <c r="V164" s="913">
        <f t="shared" si="34"/>
        <v>22.789328704309305</v>
      </c>
      <c r="W164" s="914">
        <f t="shared" si="35"/>
        <v>26.435621296998793</v>
      </c>
      <c r="X164" s="913">
        <f t="shared" si="36"/>
        <v>0.68691594580529125</v>
      </c>
      <c r="Y164" s="913">
        <f t="shared" si="37"/>
        <v>22.789328704309305</v>
      </c>
      <c r="Z164" s="95">
        <f t="shared" si="38"/>
        <v>82941</v>
      </c>
      <c r="AA164" s="50" t="str">
        <f t="shared" si="39"/>
        <v>Below MOQ by 32,941 bags</v>
      </c>
      <c r="AB164" s="923">
        <f t="shared" si="40"/>
        <v>0.22529833537676883</v>
      </c>
      <c r="AC164" s="924">
        <f t="shared" si="41"/>
        <v>0.26134606903705182</v>
      </c>
      <c r="AD164" s="203">
        <f t="shared" si="42"/>
        <v>11264.91676883844</v>
      </c>
      <c r="AE164" s="912">
        <f t="shared" si="43"/>
        <v>13067.303451852589</v>
      </c>
      <c r="AF164" s="923" cm="1">
        <f t="array" ref="AF164">IF(O164="Quantum",IFERROR(_xlfn.LET(_xlpm.b,_xlfn.SWITCH(LOWER(B164),"zipper bag","Zipper pouch","open bag","Open pouch","sup with zipper","Stand-up pouch","stand-up pouch","Stand-up pouch",B164),_xlpm.w,G164,_xlpm.q,K164,_xlpm.types,'Converting-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missing"),IFERROR(_xlfn.LET(_xlpm.s,O164,_xlpm.b,_xlfn.SWITCH(LOWER(B164),"zipper bag","Zipper pouch","open bag","Open pouch",B164),_xlpm.w,G164,_xlpm.q,K164,_xlpm.src,'Converting-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164" s="923">
        <f>IFERROR(IF(OR(B164="Zipper pouch",B164="SUP with zipper"),HELPER!$DE$2*(AH164+AI164)/K164,HELPER!$DE$2*AH164/K164),"Data is missing")</f>
        <v>8.2429913496634942E-3</v>
      </c>
      <c r="AH164" s="923">
        <f t="shared" si="44"/>
        <v>0.68691594580529125</v>
      </c>
      <c r="AI164" s="923" t="str">
        <f>IF(OR(B164="Zipper pouch",B164="SUP with zipper"),HELPER!$DC$2*G164/1000,"")</f>
        <v/>
      </c>
      <c r="AJ164" s="923" cm="1">
        <f t="array" ref="AJ164">IF(INDEX('Laminates- copilot'!$E$6:$E$257,ROUNDUP((ROW()-5)/3,0))+50&gt;IF(O164="Quantum",760,1220),"Width exceeds supplier maximum",IFERROR(AF164+AG164+N(AI164)+AH164*G164/1000/MAX(1,MIN(MAX(2,INT(900/INDEX('Laminates- copilot'!$E$6:$E$257,ROUNDUP((ROW()-5)/3,0)))),INT((IF(O164="Quantum",760,1220)-50)/INDEX('Laminates- copilot'!$E$6:$E$257,ROUNDUP((ROW()-5)/3,0))))),"Data is missing"))</f>
        <v>0.16897375153257663</v>
      </c>
      <c r="AK164" s="203">
        <f t="shared" si="45"/>
        <v>225.29833537676882</v>
      </c>
      <c r="AL164" t="str">
        <f t="shared" si="46"/>
        <v>PASS</v>
      </c>
      <c r="AM164" s="50" t="str">
        <f t="shared" si="47"/>
        <v/>
      </c>
    </row>
    <row r="165" spans="1:39">
      <c r="A165" t="s">
        <v>1793</v>
      </c>
      <c r="B165" t="s">
        <v>251</v>
      </c>
      <c r="C165" s="50" t="s">
        <v>2206</v>
      </c>
      <c r="D165">
        <f>'Laminates- copilot'!B59</f>
        <v>618</v>
      </c>
      <c r="E165" s="858">
        <f>'Laminates- copilot'!D59</f>
        <v>100</v>
      </c>
      <c r="F165" s="858">
        <v>300</v>
      </c>
      <c r="G165" s="858">
        <v>300</v>
      </c>
      <c r="H165" s="858">
        <v>50</v>
      </c>
      <c r="I165" s="858">
        <v>0</v>
      </c>
      <c r="J165" s="858">
        <v>700</v>
      </c>
      <c r="K165" s="95">
        <v>50000</v>
      </c>
      <c r="L165" s="858" t="str">
        <f>'Laminates- copilot'!K59</f>
        <v>Printed</v>
      </c>
      <c r="M165" s="858" t="str">
        <f>'Laminates- copilot'!L59</f>
        <v>5-8</v>
      </c>
      <c r="N165" s="858">
        <f>'Laminates- copilot'!M59</f>
        <v>8</v>
      </c>
      <c r="O165" s="858" t="str">
        <f>'Laminates- copilot'!O59</f>
        <v>Marma</v>
      </c>
      <c r="P165" s="858" t="str">
        <f>'Laminates- copilot'!N59</f>
        <v>Europe to US</v>
      </c>
      <c r="Q165" s="858">
        <f t="shared" si="32"/>
        <v>15000</v>
      </c>
      <c r="R165" s="858">
        <f t="shared" si="33"/>
        <v>15000</v>
      </c>
      <c r="S165" s="858">
        <f>IFERROR('Laminates- copilot'!Q59/'Laminates- copilot'!P59*Q165,"")</f>
        <v>1732.9949999999999</v>
      </c>
      <c r="T165" s="203">
        <f>IFERROR('Laminates- copilot'!R59/'Laminates- copilot'!P59*Q165,"")</f>
        <v>26207.327429747154</v>
      </c>
      <c r="U165" s="912">
        <f>IFERROR('Laminates- copilot'!S59/'Laminates- copilot'!P59*Q165,"")</f>
        <v>30400.499818506698</v>
      </c>
      <c r="V165" s="913">
        <f t="shared" si="34"/>
        <v>15.122563786824056</v>
      </c>
      <c r="W165" s="914">
        <f t="shared" si="35"/>
        <v>17.542173992715906</v>
      </c>
      <c r="X165" s="913">
        <f t="shared" si="36"/>
        <v>1.7471551619831436</v>
      </c>
      <c r="Y165" s="913">
        <f t="shared" si="37"/>
        <v>15.122563786824056</v>
      </c>
      <c r="Z165" s="95">
        <f t="shared" si="38"/>
        <v>14426</v>
      </c>
      <c r="AA165" s="50" t="str">
        <f t="shared" si="39"/>
        <v>MOQ OK</v>
      </c>
      <c r="AB165" s="923">
        <f t="shared" si="40"/>
        <v>0.86176261746310023</v>
      </c>
      <c r="AC165" s="924">
        <f t="shared" si="41"/>
        <v>0.99964463625719624</v>
      </c>
      <c r="AD165" s="203">
        <f t="shared" si="42"/>
        <v>43088.130873155009</v>
      </c>
      <c r="AE165" s="912">
        <f t="shared" si="43"/>
        <v>49982.231812859805</v>
      </c>
      <c r="AF165" s="923" cm="1">
        <f t="array" ref="AF165">IF(O165="Quantum",IFERROR(_xlfn.LET(_xlpm.b,_xlfn.SWITCH(LOWER(B165),"zipper bag","Zipper pouch","open bag","Open pouch","sup with zipper","Stand-up pouch","stand-up pouch","Stand-up pouch",B165),_xlpm.w,G165,_xlpm.q,K165,_xlpm.types,'Converting-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missing"),IFERROR(_xlfn.LET(_xlpm.s,O165,_xlpm.b,_xlfn.SWITCH(LOWER(B165),"zipper bag","Zipper pouch","open bag","Open pouch",B165),_xlpm.w,G165,_xlpm.q,K165,_xlpm.src,'Converting-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65" s="923">
        <f>IFERROR(IF(OR(B165="Zipper pouch",B165="SUP with zipper"),HELPER!$DE$2*(AH165+AI165)/K165,HELPER!$DE$2*AH165/K165),"Data is missing")</f>
        <v>2.1484261943797725E-2</v>
      </c>
      <c r="AH165" s="923">
        <f t="shared" si="44"/>
        <v>1.7471551619831436</v>
      </c>
      <c r="AI165" s="923">
        <f>IF(OR(B165="Zipper pouch",B165="SUP with zipper"),HELPER!$DC$2*G165/1000,"")</f>
        <v>4.3199999999999995E-2</v>
      </c>
      <c r="AJ165" s="923" cm="1">
        <f t="array" ref="AJ165">IF(INDEX('Laminates- copilot'!$E$6:$E$257,ROUNDUP((ROW()-5)/3,0))+50&gt;IF(O165="Quantum",760,1220),"Width exceeds supplier maximum",IFERROR(AF165+AG165+N(AI165)+AH165*G165/1000/MAX(1,MIN(MAX(2,INT(900/INDEX('Laminates- copilot'!$E$6:$E$257,ROUNDUP((ROW()-5)/3,0)))),INT((IF(O165="Quantum",760,1220)-50)/INDEX('Laminates- copilot'!$E$6:$E$257,ROUNDUP((ROW()-5)/3,0))))),"Data is missing"))</f>
        <v>0.64632196309732515</v>
      </c>
      <c r="AK165" s="203">
        <f t="shared" si="45"/>
        <v>861.76261746310024</v>
      </c>
      <c r="AL165" t="str">
        <f t="shared" si="46"/>
        <v>PASS</v>
      </c>
      <c r="AM165" s="50" t="str">
        <f t="shared" si="47"/>
        <v/>
      </c>
    </row>
    <row r="166" spans="1:39">
      <c r="A166" t="s">
        <v>1794</v>
      </c>
      <c r="B166" t="s">
        <v>261</v>
      </c>
      <c r="C166" s="50" t="s">
        <v>2206</v>
      </c>
      <c r="D166">
        <f>'Laminates- copilot'!B59</f>
        <v>618</v>
      </c>
      <c r="E166" s="858">
        <f>'Laminates- copilot'!D59</f>
        <v>100</v>
      </c>
      <c r="F166" s="858">
        <v>300</v>
      </c>
      <c r="G166" s="858">
        <v>300</v>
      </c>
      <c r="H166" s="858">
        <v>50</v>
      </c>
      <c r="I166" s="858">
        <v>0</v>
      </c>
      <c r="J166" s="858">
        <v>700</v>
      </c>
      <c r="K166" s="858">
        <v>50000</v>
      </c>
      <c r="L166" s="858" t="str">
        <f>'Laminates- copilot'!K59</f>
        <v>Printed</v>
      </c>
      <c r="M166" s="858" t="str">
        <f>'Laminates- copilot'!L59</f>
        <v>5-8</v>
      </c>
      <c r="N166" s="858">
        <f>'Laminates- copilot'!M59</f>
        <v>8</v>
      </c>
      <c r="O166" s="858" t="str">
        <f>'Laminates- copilot'!O59</f>
        <v>Marma</v>
      </c>
      <c r="P166" s="858" t="str">
        <f>'Laminates- copilot'!N59</f>
        <v>Europe to US</v>
      </c>
      <c r="Q166" s="858">
        <f t="shared" si="32"/>
        <v>15000</v>
      </c>
      <c r="R166" s="858">
        <f t="shared" si="33"/>
        <v>15000</v>
      </c>
      <c r="S166" s="858">
        <f>IFERROR('Laminates- copilot'!Q59/'Laminates- copilot'!P59*Q166,"")</f>
        <v>1732.9949999999999</v>
      </c>
      <c r="T166" s="203">
        <f>IFERROR('Laminates- copilot'!R59/'Laminates- copilot'!P59*Q166,"")</f>
        <v>26207.327429747154</v>
      </c>
      <c r="U166" s="912">
        <f>IFERROR('Laminates- copilot'!S59/'Laminates- copilot'!P59*Q166,"")</f>
        <v>30400.499818506698</v>
      </c>
      <c r="V166" s="913">
        <f t="shared" si="34"/>
        <v>15.122563786824056</v>
      </c>
      <c r="W166" s="914">
        <f t="shared" si="35"/>
        <v>17.542173992715906</v>
      </c>
      <c r="X166" s="913">
        <f t="shared" si="36"/>
        <v>1.7471551619831436</v>
      </c>
      <c r="Y166" s="913">
        <f t="shared" si="37"/>
        <v>15.122563786824056</v>
      </c>
      <c r="Z166" s="95">
        <f t="shared" si="38"/>
        <v>14426</v>
      </c>
      <c r="AA166" s="50" t="str">
        <f t="shared" si="39"/>
        <v>MOQ OK</v>
      </c>
      <c r="AB166" s="923">
        <f t="shared" si="40"/>
        <v>0.85591939325545707</v>
      </c>
      <c r="AC166" s="924">
        <f t="shared" si="41"/>
        <v>0.99286649617633016</v>
      </c>
      <c r="AD166" s="203">
        <f t="shared" si="42"/>
        <v>42795.969662772855</v>
      </c>
      <c r="AE166" s="912">
        <f t="shared" si="43"/>
        <v>49643.324808816506</v>
      </c>
      <c r="AF166" s="923" cm="1">
        <f t="array" ref="AF166">IF(O166="Quantum",IFERROR(_xlfn.LET(_xlpm.b,_xlfn.SWITCH(LOWER(B166),"zipper bag","Zipper pouch","open bag","Open pouch","sup with zipper","Stand-up pouch","stand-up pouch","Stand-up pouch",B166),_xlpm.w,G166,_xlpm.q,K166,_xlpm.types,'Converting-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missing"),IFERROR(_xlfn.LET(_xlpm.s,O166,_xlpm.b,_xlfn.SWITCH(LOWER(B166),"zipper bag","Zipper pouch","open bag","Open pouch",B166),_xlpm.w,G166,_xlpm.q,K166,_xlpm.src,'Converting-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66" s="923">
        <f>IFERROR(IF(OR(B166="Zipper pouch",B166="SUP with zipper"),HELPER!$DE$2*(AH166+AI166)/K166,HELPER!$DE$2*AH166/K166),"Data is missing")</f>
        <v>2.1484261943797725E-2</v>
      </c>
      <c r="AH166" s="923">
        <f t="shared" si="44"/>
        <v>1.7471551619831436</v>
      </c>
      <c r="AI166" s="923">
        <f>IF(OR(B166="Zipper pouch",B166="SUP with zipper"),HELPER!$DC$2*G166/1000,"")</f>
        <v>4.3199999999999995E-2</v>
      </c>
      <c r="AJ166" s="923" cm="1">
        <f t="array" ref="AJ166">IF(INDEX('Laminates- copilot'!$E$6:$E$257,ROUNDUP((ROW()-5)/3,0))+50&gt;IF(O166="Quantum",760,1220),"Width exceeds supplier maximum",IFERROR(AF166+AG166+N(AI166)+AH166*G166/1000/MAX(1,MIN(MAX(2,INT(900/INDEX('Laminates- copilot'!$E$6:$E$257,ROUNDUP((ROW()-5)/3,0)))),INT((IF(O166="Quantum",760,1220)-50)/INDEX('Laminates- copilot'!$E$6:$E$257,ROUNDUP((ROW()-5)/3,0))))),"Data is missing"))</f>
        <v>0.64193954494159278</v>
      </c>
      <c r="AK166" s="203">
        <f t="shared" si="45"/>
        <v>855.91939325545707</v>
      </c>
      <c r="AL166" t="str">
        <f t="shared" si="46"/>
        <v>PASS</v>
      </c>
      <c r="AM166" s="50" t="str">
        <f t="shared" si="47"/>
        <v/>
      </c>
    </row>
    <row r="167" spans="1:39">
      <c r="A167" t="s">
        <v>1795</v>
      </c>
      <c r="B167" t="s">
        <v>262</v>
      </c>
      <c r="C167" s="50" t="s">
        <v>2206</v>
      </c>
      <c r="D167">
        <f>'Laminates- copilot'!B59</f>
        <v>618</v>
      </c>
      <c r="E167" s="858">
        <f>'Laminates- copilot'!D59</f>
        <v>100</v>
      </c>
      <c r="F167" s="858">
        <v>300</v>
      </c>
      <c r="G167" s="858">
        <v>300</v>
      </c>
      <c r="H167" s="858">
        <v>0</v>
      </c>
      <c r="I167" s="858">
        <v>10</v>
      </c>
      <c r="J167" s="858">
        <v>610</v>
      </c>
      <c r="K167" s="858">
        <v>50000</v>
      </c>
      <c r="L167" s="858" t="str">
        <f>'Laminates- copilot'!K59</f>
        <v>Printed</v>
      </c>
      <c r="M167" s="858" t="str">
        <f>'Laminates- copilot'!L59</f>
        <v>5-8</v>
      </c>
      <c r="N167" s="858">
        <f>'Laminates- copilot'!M59</f>
        <v>8</v>
      </c>
      <c r="O167" s="858" t="str">
        <f>'Laminates- copilot'!O59</f>
        <v>Marma</v>
      </c>
      <c r="P167" s="858" t="str">
        <f>'Laminates- copilot'!N59</f>
        <v>Europe to US</v>
      </c>
      <c r="Q167" s="858">
        <f t="shared" si="32"/>
        <v>15000</v>
      </c>
      <c r="R167" s="858">
        <f t="shared" si="33"/>
        <v>15000</v>
      </c>
      <c r="S167" s="858">
        <f>IFERROR('Laminates- copilot'!Q59/'Laminates- copilot'!P59*Q167,"")</f>
        <v>1732.9949999999999</v>
      </c>
      <c r="T167" s="203">
        <f>IFERROR('Laminates- copilot'!R59/'Laminates- copilot'!P59*Q167,"")</f>
        <v>26207.327429747154</v>
      </c>
      <c r="U167" s="912">
        <f>IFERROR('Laminates- copilot'!S59/'Laminates- copilot'!P59*Q167,"")</f>
        <v>30400.499818506698</v>
      </c>
      <c r="V167" s="913">
        <f t="shared" si="34"/>
        <v>15.122563786824056</v>
      </c>
      <c r="W167" s="914">
        <f t="shared" si="35"/>
        <v>17.542173992715906</v>
      </c>
      <c r="X167" s="913">
        <f t="shared" si="36"/>
        <v>1.7471551619831436</v>
      </c>
      <c r="Y167" s="913">
        <f t="shared" si="37"/>
        <v>15.122563786824056</v>
      </c>
      <c r="Z167" s="95">
        <f t="shared" si="38"/>
        <v>14426</v>
      </c>
      <c r="AA167" s="50" t="str">
        <f t="shared" si="39"/>
        <v>MOQ OK</v>
      </c>
      <c r="AB167" s="923">
        <f t="shared" si="40"/>
        <v>0.79074018625788955</v>
      </c>
      <c r="AC167" s="924">
        <f t="shared" si="41"/>
        <v>0.91725861605915182</v>
      </c>
      <c r="AD167" s="203">
        <f t="shared" si="42"/>
        <v>39537.009312894479</v>
      </c>
      <c r="AE167" s="912">
        <f t="shared" si="43"/>
        <v>45862.930802957591</v>
      </c>
      <c r="AF167" s="923" cm="1">
        <f t="array" ref="AF167">IF(O167="Quantum",IFERROR(_xlfn.LET(_xlpm.b,_xlfn.SWITCH(LOWER(B167),"zipper bag","Zipper pouch","open bag","Open pouch","sup with zipper","Stand-up pouch","stand-up pouch","Stand-up pouch",B167),_xlpm.w,G167,_xlpm.q,K167,_xlpm.types,'Converting-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missing"),IFERROR(_xlfn.LET(_xlpm.s,O167,_xlpm.b,_xlfn.SWITCH(LOWER(B167),"zipper bag","Zipper pouch","open bag","Open pouch",B167),_xlpm.w,G167,_xlpm.q,K167,_xlpm.src,'Converting-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67" s="923">
        <f>IFERROR(IF(OR(B167="Zipper pouch",B167="SUP with zipper"),HELPER!$DE$2*(AH167+AI167)/K167,HELPER!$DE$2*AH167/K167),"Data is missing")</f>
        <v>2.0965861943797723E-2</v>
      </c>
      <c r="AH167" s="923">
        <f t="shared" si="44"/>
        <v>1.7471551619831436</v>
      </c>
      <c r="AI167" s="923" t="str">
        <f>IF(OR(B167="Zipper pouch",B167="SUP with zipper"),HELPER!$DC$2*G167/1000,"")</f>
        <v/>
      </c>
      <c r="AJ167" s="923" cm="1">
        <f t="array" ref="AJ167">IF(INDEX('Laminates- copilot'!$E$6:$E$257,ROUNDUP((ROW()-5)/3,0))+50&gt;IF(O167="Quantum",760,1220),"Width exceeds supplier maximum",IFERROR(AF167+AG167+N(AI167)+AH167*G167/1000/MAX(1,MIN(MAX(2,INT(900/INDEX('Laminates- copilot'!$E$6:$E$257,ROUNDUP((ROW()-5)/3,0)))),INT((IF(O167="Quantum",760,1220)-50)/INDEX('Laminates- copilot'!$E$6:$E$257,ROUNDUP((ROW()-5)/3,0))))),"Data is missing"))</f>
        <v>0.59305513969341717</v>
      </c>
      <c r="AK167" s="203">
        <f t="shared" si="45"/>
        <v>790.7401862578896</v>
      </c>
      <c r="AL167" t="str">
        <f t="shared" si="46"/>
        <v>PASS</v>
      </c>
      <c r="AM167" s="50" t="str">
        <f t="shared" si="47"/>
        <v/>
      </c>
    </row>
    <row r="168" spans="1:39" hidden="1">
      <c r="A168" t="s">
        <v>1796</v>
      </c>
      <c r="B168" t="s">
        <v>251</v>
      </c>
      <c r="C168" s="50" t="s">
        <v>2207</v>
      </c>
      <c r="D168">
        <f>'Laminates- copilot'!B60</f>
        <v>618</v>
      </c>
      <c r="E168" s="858">
        <f>'Laminates- copilot'!D60</f>
        <v>66</v>
      </c>
      <c r="F168" s="858">
        <v>350</v>
      </c>
      <c r="G168" s="858">
        <v>400</v>
      </c>
      <c r="H168" s="858">
        <v>60</v>
      </c>
      <c r="I168" s="858">
        <v>0</v>
      </c>
      <c r="J168" s="858">
        <v>820</v>
      </c>
      <c r="K168" s="858">
        <v>100000</v>
      </c>
      <c r="L168" s="858" t="str">
        <f>'Laminates- copilot'!K60</f>
        <v>Not Printed</v>
      </c>
      <c r="M168" s="858" t="str">
        <f>'Laminates- copilot'!L60</f>
        <v>0</v>
      </c>
      <c r="N168" s="858">
        <f>'Laminates- copilot'!M60</f>
        <v>1</v>
      </c>
      <c r="O168" s="858" t="str">
        <f>'Laminates- copilot'!O60</f>
        <v>Bastin</v>
      </c>
      <c r="P168" s="858" t="str">
        <f>'Laminates- copilot'!N60</f>
        <v>Europe to Europe</v>
      </c>
      <c r="Q168" s="858">
        <f t="shared" si="32"/>
        <v>40000</v>
      </c>
      <c r="R168" s="858">
        <f t="shared" si="33"/>
        <v>40000</v>
      </c>
      <c r="S168" s="858">
        <f>IFERROR('Laminates- copilot'!Q60/'Laminates- copilot'!P60*Q168,"")</f>
        <v>1205.68</v>
      </c>
      <c r="T168" s="203">
        <f>IFERROR('Laminates- copilot'!R60/'Laminates- copilot'!P60*Q168,"")</f>
        <v>14217.373313999999</v>
      </c>
      <c r="U168" s="912">
        <f>IFERROR('Laminates- copilot'!S60/'Laminates- copilot'!P60*Q168,"")</f>
        <v>16492.153044239996</v>
      </c>
      <c r="V168" s="913">
        <f t="shared" si="34"/>
        <v>11.791995648928404</v>
      </c>
      <c r="W168" s="914">
        <f t="shared" si="35"/>
        <v>13.678714952756946</v>
      </c>
      <c r="X168" s="913">
        <f t="shared" si="36"/>
        <v>0.35543433284999998</v>
      </c>
      <c r="Y168" s="913">
        <f t="shared" si="37"/>
        <v>11.791995648928404</v>
      </c>
      <c r="Z168" s="95">
        <f t="shared" si="38"/>
        <v>41471</v>
      </c>
      <c r="AA168" s="50" t="str">
        <f t="shared" si="39"/>
        <v>MOQ OK</v>
      </c>
      <c r="AB168" s="923">
        <f t="shared" si="40"/>
        <v>0.30551874174258314</v>
      </c>
      <c r="AC168" s="924">
        <f t="shared" si="41"/>
        <v>0.35440174042139644</v>
      </c>
      <c r="AD168" s="203">
        <f t="shared" si="42"/>
        <v>30551.874174258315</v>
      </c>
      <c r="AE168" s="912">
        <f t="shared" si="43"/>
        <v>35440.174042139646</v>
      </c>
      <c r="AF168" s="923" cm="1">
        <f t="array" ref="AF168">IF(O168="Quantum",IFERROR(_xlfn.LET(_xlpm.b,_xlfn.SWITCH(LOWER(B168),"zipper bag","Zipper pouch","open bag","Open pouch","sup with zipper","Stand-up pouch","stand-up pouch","Stand-up pouch",B168),_xlpm.w,G168,_xlpm.q,K168,_xlpm.types,'Converting-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missing"),IFERROR(_xlfn.LET(_xlpm.s,O168,_xlpm.b,_xlfn.SWITCH(LOWER(B168),"zipper bag","Zipper pouch","open bag","Open pouch",B168),_xlpm.w,G168,_xlpm.q,K168,_xlpm.src,'Converting-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68" s="923">
        <f>IFERROR(IF(OR(B168="Zipper pouch",B168="SUP with zipper"),HELPER!$DE$2*(AH168+AI168)/K168,HELPER!$DE$2*AH168/K168),"Data is missing")</f>
        <v>2.4782059970999996E-3</v>
      </c>
      <c r="AH168" s="923">
        <f t="shared" si="44"/>
        <v>0.35543433284999998</v>
      </c>
      <c r="AI168" s="923">
        <f>IF(OR(B168="Zipper pouch",B168="SUP with zipper"),HELPER!$DC$2*G168/1000,"")</f>
        <v>5.7599999999999991E-2</v>
      </c>
      <c r="AJ168" s="923" cm="1">
        <f t="array" ref="AJ168">IF(INDEX('Laminates- copilot'!$E$6:$E$257,ROUNDUP((ROW()-5)/3,0))+50&gt;IF(O168="Quantum",760,1220),"Width exceeds supplier maximum",IFERROR(AF168+AG168+N(AI168)+AH168*G168/1000/MAX(1,MIN(MAX(2,INT(900/INDEX('Laminates- copilot'!$E$6:$E$257,ROUNDUP((ROW()-5)/3,0)))),INT((IF(O168="Quantum",760,1220)-50)/INDEX('Laminates- copilot'!$E$6:$E$257,ROUNDUP((ROW()-5)/3,0))))),"Data is missing"))</f>
        <v>0.22913905630693737</v>
      </c>
      <c r="AK168" s="203">
        <f t="shared" si="45"/>
        <v>305.51874174258313</v>
      </c>
      <c r="AL168" t="str">
        <f t="shared" si="46"/>
        <v>PASS</v>
      </c>
      <c r="AM168" s="50" t="str">
        <f t="shared" si="47"/>
        <v/>
      </c>
    </row>
    <row r="169" spans="1:39" hidden="1">
      <c r="A169" t="s">
        <v>1797</v>
      </c>
      <c r="B169" t="s">
        <v>261</v>
      </c>
      <c r="C169" s="50" t="s">
        <v>2207</v>
      </c>
      <c r="D169">
        <f>'Laminates- copilot'!B60</f>
        <v>618</v>
      </c>
      <c r="E169" s="858">
        <f>'Laminates- copilot'!D60</f>
        <v>66</v>
      </c>
      <c r="F169" s="858">
        <v>350</v>
      </c>
      <c r="G169" s="858">
        <v>400</v>
      </c>
      <c r="H169" s="858">
        <v>60</v>
      </c>
      <c r="I169" s="858">
        <v>0</v>
      </c>
      <c r="J169" s="858">
        <v>820</v>
      </c>
      <c r="K169" s="858">
        <v>100000</v>
      </c>
      <c r="L169" s="858" t="str">
        <f>'Laminates- copilot'!K60</f>
        <v>Not Printed</v>
      </c>
      <c r="M169" s="858" t="str">
        <f>'Laminates- copilot'!L60</f>
        <v>0</v>
      </c>
      <c r="N169" s="858">
        <f>'Laminates- copilot'!M60</f>
        <v>1</v>
      </c>
      <c r="O169" s="858" t="str">
        <f>'Laminates- copilot'!O60</f>
        <v>Bastin</v>
      </c>
      <c r="P169" s="858" t="str">
        <f>'Laminates- copilot'!N60</f>
        <v>Europe to Europe</v>
      </c>
      <c r="Q169" s="858">
        <f t="shared" si="32"/>
        <v>40000</v>
      </c>
      <c r="R169" s="858">
        <f t="shared" si="33"/>
        <v>40000</v>
      </c>
      <c r="S169" s="858">
        <f>IFERROR('Laminates- copilot'!Q60/'Laminates- copilot'!P60*Q169,"")</f>
        <v>1205.68</v>
      </c>
      <c r="T169" s="203">
        <f>IFERROR('Laminates- copilot'!R60/'Laminates- copilot'!P60*Q169,"")</f>
        <v>14217.373313999999</v>
      </c>
      <c r="U169" s="912">
        <f>IFERROR('Laminates- copilot'!S60/'Laminates- copilot'!P60*Q169,"")</f>
        <v>16492.153044239996</v>
      </c>
      <c r="V169" s="913">
        <f t="shared" si="34"/>
        <v>11.791995648928404</v>
      </c>
      <c r="W169" s="914">
        <f t="shared" si="35"/>
        <v>13.678714952756946</v>
      </c>
      <c r="X169" s="913">
        <f t="shared" si="36"/>
        <v>0.35543433284999998</v>
      </c>
      <c r="Y169" s="913">
        <f t="shared" si="37"/>
        <v>11.791995648928404</v>
      </c>
      <c r="Z169" s="95">
        <f t="shared" si="38"/>
        <v>41471</v>
      </c>
      <c r="AA169" s="50" t="str">
        <f t="shared" si="39"/>
        <v>MOQ OK</v>
      </c>
      <c r="AB169" s="923">
        <f t="shared" si="40"/>
        <v>0.29558526058958984</v>
      </c>
      <c r="AC169" s="924">
        <f t="shared" si="41"/>
        <v>0.3428789022839242</v>
      </c>
      <c r="AD169" s="203">
        <f t="shared" si="42"/>
        <v>29558.526058958985</v>
      </c>
      <c r="AE169" s="912">
        <f t="shared" si="43"/>
        <v>34287.890228392418</v>
      </c>
      <c r="AF169" s="923" cm="1">
        <f t="array" ref="AF169">IF(O169="Quantum",IFERROR(_xlfn.LET(_xlpm.b,_xlfn.SWITCH(LOWER(B169),"zipper bag","Zipper pouch","open bag","Open pouch","sup with zipper","Stand-up pouch","stand-up pouch","Stand-up pouch",B169),_xlpm.w,G169,_xlpm.q,K169,_xlpm.types,'Converting-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missing"),IFERROR(_xlfn.LET(_xlpm.s,O169,_xlpm.b,_xlfn.SWITCH(LOWER(B169),"zipper bag","Zipper pouch","open bag","Open pouch",B169),_xlpm.w,G169,_xlpm.q,K169,_xlpm.src,'Converting-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69" s="923">
        <f>IFERROR(IF(OR(B169="Zipper pouch",B169="SUP with zipper"),HELPER!$DE$2*(AH169+AI169)/K169,HELPER!$DE$2*AH169/K169),"Data is missing")</f>
        <v>2.4782059970999996E-3</v>
      </c>
      <c r="AH169" s="923">
        <f t="shared" si="44"/>
        <v>0.35543433284999998</v>
      </c>
      <c r="AI169" s="923">
        <f>IF(OR(B169="Zipper pouch",B169="SUP with zipper"),HELPER!$DC$2*G169/1000,"")</f>
        <v>5.7599999999999991E-2</v>
      </c>
      <c r="AJ169" s="923" cm="1">
        <f t="array" ref="AJ169">IF(INDEX('Laminates- copilot'!$E$6:$E$257,ROUNDUP((ROW()-5)/3,0))+50&gt;IF(O169="Quantum",760,1220),"Width exceeds supplier maximum",IFERROR(AF169+AG169+N(AI169)+AH169*G169/1000/MAX(1,MIN(MAX(2,INT(900/INDEX('Laminates- copilot'!$E$6:$E$257,ROUNDUP((ROW()-5)/3,0)))),INT((IF(O169="Quantum",760,1220)-50)/INDEX('Laminates- copilot'!$E$6:$E$257,ROUNDUP((ROW()-5)/3,0))))),"Data is missing"))</f>
        <v>0.22168894544219236</v>
      </c>
      <c r="AK169" s="203">
        <f t="shared" si="45"/>
        <v>295.58526058958984</v>
      </c>
      <c r="AL169" t="str">
        <f t="shared" si="46"/>
        <v>PASS</v>
      </c>
      <c r="AM169" s="50" t="str">
        <f t="shared" si="47"/>
        <v/>
      </c>
    </row>
    <row r="170" spans="1:39" hidden="1">
      <c r="A170" t="s">
        <v>1798</v>
      </c>
      <c r="B170" t="s">
        <v>262</v>
      </c>
      <c r="C170" s="50" t="s">
        <v>2207</v>
      </c>
      <c r="D170">
        <f>'Laminates- copilot'!B60</f>
        <v>618</v>
      </c>
      <c r="E170" s="858">
        <f>'Laminates- copilot'!D60</f>
        <v>66</v>
      </c>
      <c r="F170" s="858">
        <v>350</v>
      </c>
      <c r="G170" s="858">
        <v>400</v>
      </c>
      <c r="H170" s="858">
        <v>0</v>
      </c>
      <c r="I170" s="858">
        <v>0</v>
      </c>
      <c r="J170" s="858">
        <v>700</v>
      </c>
      <c r="K170" s="858">
        <v>100000</v>
      </c>
      <c r="L170" s="858" t="str">
        <f>'Laminates- copilot'!K60</f>
        <v>Not Printed</v>
      </c>
      <c r="M170" s="858" t="str">
        <f>'Laminates- copilot'!L60</f>
        <v>0</v>
      </c>
      <c r="N170" s="858">
        <f>'Laminates- copilot'!M60</f>
        <v>1</v>
      </c>
      <c r="O170" s="858" t="str">
        <f>'Laminates- copilot'!O60</f>
        <v>Bastin</v>
      </c>
      <c r="P170" s="858" t="str">
        <f>'Laminates- copilot'!N60</f>
        <v>Europe to Europe</v>
      </c>
      <c r="Q170" s="858">
        <f t="shared" si="32"/>
        <v>40000</v>
      </c>
      <c r="R170" s="858">
        <f t="shared" si="33"/>
        <v>40000</v>
      </c>
      <c r="S170" s="858">
        <f>IFERROR('Laminates- copilot'!Q60/'Laminates- copilot'!P60*Q170,"")</f>
        <v>1205.68</v>
      </c>
      <c r="T170" s="203">
        <f>IFERROR('Laminates- copilot'!R60/'Laminates- copilot'!P60*Q170,"")</f>
        <v>14217.373313999999</v>
      </c>
      <c r="U170" s="912">
        <f>IFERROR('Laminates- copilot'!S60/'Laminates- copilot'!P60*Q170,"")</f>
        <v>16492.153044239996</v>
      </c>
      <c r="V170" s="913">
        <f t="shared" si="34"/>
        <v>11.791995648928404</v>
      </c>
      <c r="W170" s="914">
        <f t="shared" si="35"/>
        <v>13.678714952756946</v>
      </c>
      <c r="X170" s="913">
        <f t="shared" si="36"/>
        <v>0.35543433284999998</v>
      </c>
      <c r="Y170" s="913">
        <f t="shared" si="37"/>
        <v>11.791995648928404</v>
      </c>
      <c r="Z170" s="95">
        <f t="shared" si="38"/>
        <v>41471</v>
      </c>
      <c r="AA170" s="50" t="str">
        <f t="shared" si="39"/>
        <v>MOQ OK</v>
      </c>
      <c r="AB170" s="923">
        <f t="shared" si="40"/>
        <v>0.20519646220216795</v>
      </c>
      <c r="AC170" s="924">
        <f t="shared" si="41"/>
        <v>0.23802789615451481</v>
      </c>
      <c r="AD170" s="203">
        <f t="shared" si="42"/>
        <v>20519.646220216793</v>
      </c>
      <c r="AE170" s="912">
        <f t="shared" si="43"/>
        <v>23802.789615451478</v>
      </c>
      <c r="AF170" s="923" cm="1">
        <f t="array" ref="AF170">IF(O170="Quantum",IFERROR(_xlfn.LET(_xlpm.b,_xlfn.SWITCH(LOWER(B170),"zipper bag","Zipper pouch","open bag","Open pouch","sup with zipper","Stand-up pouch","stand-up pouch","Stand-up pouch",B170),_xlpm.w,G170,_xlpm.q,K170,_xlpm.types,'Converting-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missing"),IFERROR(_xlfn.LET(_xlpm.s,O170,_xlpm.b,_xlfn.SWITCH(LOWER(B170),"zipper bag","Zipper pouch","open bag","Open pouch",B170),_xlpm.w,G170,_xlpm.q,K170,_xlpm.src,'Converting-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170" s="923">
        <f>IFERROR(IF(OR(B170="Zipper pouch",B170="SUP with zipper"),HELPER!$DE$2*(AH170+AI170)/K170,HELPER!$DE$2*AH170/K170),"Data is missing")</f>
        <v>2.1326059970999999E-3</v>
      </c>
      <c r="AH170" s="923">
        <f t="shared" si="44"/>
        <v>0.35543433284999998</v>
      </c>
      <c r="AI170" s="923" t="str">
        <f>IF(OR(B170="Zipper pouch",B170="SUP with zipper"),HELPER!$DC$2*G170/1000,"")</f>
        <v/>
      </c>
      <c r="AJ170" s="923" cm="1">
        <f t="array" ref="AJ170">IF(INDEX('Laminates- copilot'!$E$6:$E$257,ROUNDUP((ROW()-5)/3,0))+50&gt;IF(O170="Quantum",760,1220),"Width exceeds supplier maximum",IFERROR(AF170+AG170+N(AI170)+AH170*G170/1000/MAX(1,MIN(MAX(2,INT(900/INDEX('Laminates- copilot'!$E$6:$E$257,ROUNDUP((ROW()-5)/3,0)))),INT((IF(O170="Quantum",760,1220)-50)/INDEX('Laminates- copilot'!$E$6:$E$257,ROUNDUP((ROW()-5)/3,0))))),"Data is missing"))</f>
        <v>0.15389734665162597</v>
      </c>
      <c r="AK170" s="203">
        <f t="shared" si="45"/>
        <v>205.19646220216794</v>
      </c>
      <c r="AL170" t="str">
        <f t="shared" si="46"/>
        <v>PASS</v>
      </c>
      <c r="AM170" s="50" t="str">
        <f t="shared" si="47"/>
        <v/>
      </c>
    </row>
    <row r="171" spans="1:39" hidden="1">
      <c r="A171" t="s">
        <v>1799</v>
      </c>
      <c r="B171" t="s">
        <v>251</v>
      </c>
      <c r="C171" s="50" t="s">
        <v>2208</v>
      </c>
      <c r="D171">
        <f>'Laminates- copilot'!B61</f>
        <v>618</v>
      </c>
      <c r="E171" s="858">
        <f>'Laminates- copilot'!D61</f>
        <v>100</v>
      </c>
      <c r="F171" s="858">
        <v>400</v>
      </c>
      <c r="G171" s="858">
        <v>500</v>
      </c>
      <c r="H171" s="858">
        <v>80</v>
      </c>
      <c r="I171" s="858">
        <v>0</v>
      </c>
      <c r="J171" s="858">
        <v>960</v>
      </c>
      <c r="K171" s="858">
        <v>100000</v>
      </c>
      <c r="L171" s="858" t="str">
        <f>'Laminates- copilot'!K61</f>
        <v>Printed</v>
      </c>
      <c r="M171" s="858" t="str">
        <f>'Laminates- copilot'!L61</f>
        <v>3-4</v>
      </c>
      <c r="N171" s="858">
        <f>'Laminates- copilot'!M61</f>
        <v>4</v>
      </c>
      <c r="O171" s="858" t="str">
        <f>'Laminates- copilot'!O61</f>
        <v>Quantum</v>
      </c>
      <c r="P171" s="858" t="str">
        <f>'Laminates- copilot'!N61</f>
        <v>Europe to US</v>
      </c>
      <c r="Q171" s="858">
        <f t="shared" si="32"/>
        <v>50000</v>
      </c>
      <c r="R171" s="858">
        <f t="shared" si="33"/>
        <v>50000</v>
      </c>
      <c r="S171" s="858">
        <f>IFERROR('Laminates- copilot'!Q61/'Laminates- copilot'!P61*Q171,"")</f>
        <v>3851.0999999999995</v>
      </c>
      <c r="T171" s="203">
        <f>IFERROR('Laminates- copilot'!R61/'Laminates- copilot'!P61*Q171,"")</f>
        <v>93408.931966063101</v>
      </c>
      <c r="U171" s="912">
        <f>IFERROR('Laminates- copilot'!S61/'Laminates- copilot'!P61*Q171,"")</f>
        <v>108354.36108063319</v>
      </c>
      <c r="V171" s="913">
        <f t="shared" si="34"/>
        <v>24.255130213721564</v>
      </c>
      <c r="W171" s="914">
        <f t="shared" si="35"/>
        <v>28.135951047917011</v>
      </c>
      <c r="X171" s="913">
        <f t="shared" si="36"/>
        <v>1.868178639321262</v>
      </c>
      <c r="Y171" s="913">
        <f t="shared" si="37"/>
        <v>24.255130213721564</v>
      </c>
      <c r="Z171" s="95">
        <f t="shared" si="38"/>
        <v>12984</v>
      </c>
      <c r="AA171" s="50" t="str">
        <f t="shared" si="39"/>
        <v>MOQ OK</v>
      </c>
      <c r="AB171" s="923">
        <f t="shared" si="40"/>
        <v>1.7186312982122411</v>
      </c>
      <c r="AC171" s="924">
        <f t="shared" si="41"/>
        <v>1.9936123059261996</v>
      </c>
      <c r="AD171" s="203">
        <f t="shared" si="42"/>
        <v>171863.12982122411</v>
      </c>
      <c r="AE171" s="912">
        <f t="shared" si="43"/>
        <v>199361.23059261995</v>
      </c>
      <c r="AF171" s="923" cm="1">
        <f t="array" ref="AF171">IF(O171="Quantum",IFERROR(_xlfn.LET(_xlpm.b,_xlfn.SWITCH(LOWER(B171),"zipper bag","Zipper pouch","open bag","Open pouch","sup with zipper","Stand-up pouch","stand-up pouch","Stand-up pouch",B171),_xlpm.w,G171,_xlpm.q,K171,_xlpm.types,'Converting-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missing"),IFERROR(_xlfn.LET(_xlpm.s,O171,_xlpm.b,_xlfn.SWITCH(LOWER(B171),"zipper bag","Zipper pouch","open bag","Open pouch",B171),_xlpm.w,G171,_xlpm.q,K171,_xlpm.src,'Converting-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171" s="923">
        <f>IFERROR(IF(OR(B171="Zipper pouch",B171="SUP with zipper"),HELPER!$DE$2*(AH171+AI171)/K171,HELPER!$DE$2*AH171/K171),"Data is missing")</f>
        <v>1.1641071835927573E-2</v>
      </c>
      <c r="AH171" s="923">
        <f t="shared" si="44"/>
        <v>1.868178639321262</v>
      </c>
      <c r="AI171" s="923">
        <f>IF(OR(B171="Zipper pouch",B171="SUP with zipper"),HELPER!$DC$2*G171/1000,"")</f>
        <v>7.1999999999999995E-2</v>
      </c>
      <c r="AJ171" s="923" cm="1">
        <f t="array" ref="AJ171">IF(INDEX('Laminates- copilot'!$E$6:$E$257,ROUNDUP((ROW()-5)/3,0))+50&gt;IF(O171="Quantum",760,1220),"Width exceeds supplier maximum",IFERROR(AF171+AG171+N(AI171)+AH171*G171/1000/MAX(1,MIN(MAX(2,INT(900/INDEX('Laminates- copilot'!$E$6:$E$257,ROUNDUP((ROW()-5)/3,0)))),INT((IF(O171="Quantum",760,1220)-50)/INDEX('Laminates- copilot'!$E$6:$E$257,ROUNDUP((ROW()-5)/3,0))))),"Data is missing"))</f>
        <v>1.2889734736591809</v>
      </c>
      <c r="AK171" s="203">
        <f t="shared" si="45"/>
        <v>1718.6312982122411</v>
      </c>
      <c r="AL171" t="str">
        <f t="shared" si="46"/>
        <v>PASS</v>
      </c>
      <c r="AM171" s="50" t="str">
        <f t="shared" si="47"/>
        <v/>
      </c>
    </row>
    <row r="172" spans="1:39" hidden="1">
      <c r="A172" t="s">
        <v>1800</v>
      </c>
      <c r="B172" t="s">
        <v>261</v>
      </c>
      <c r="C172" s="50" t="s">
        <v>2208</v>
      </c>
      <c r="D172">
        <f>'Laminates- copilot'!B61</f>
        <v>618</v>
      </c>
      <c r="E172" s="858">
        <f>'Laminates- copilot'!D61</f>
        <v>100</v>
      </c>
      <c r="F172" s="858">
        <v>400</v>
      </c>
      <c r="G172" s="858">
        <v>500</v>
      </c>
      <c r="H172" s="858">
        <v>80</v>
      </c>
      <c r="I172" s="858">
        <v>0</v>
      </c>
      <c r="J172" s="858">
        <v>960</v>
      </c>
      <c r="K172" s="858">
        <v>100000</v>
      </c>
      <c r="L172" s="858" t="str">
        <f>'Laminates- copilot'!K61</f>
        <v>Printed</v>
      </c>
      <c r="M172" s="858" t="str">
        <f>'Laminates- copilot'!L61</f>
        <v>3-4</v>
      </c>
      <c r="N172" s="858">
        <f>'Laminates- copilot'!M61</f>
        <v>4</v>
      </c>
      <c r="O172" s="858" t="str">
        <f>'Laminates- copilot'!O61</f>
        <v>Quantum</v>
      </c>
      <c r="P172" s="858" t="str">
        <f>'Laminates- copilot'!N61</f>
        <v>Europe to US</v>
      </c>
      <c r="Q172" s="858">
        <f t="shared" si="32"/>
        <v>50000</v>
      </c>
      <c r="R172" s="858">
        <f t="shared" si="33"/>
        <v>50000</v>
      </c>
      <c r="S172" s="858">
        <f>IFERROR('Laminates- copilot'!Q61/'Laminates- copilot'!P61*Q172,"")</f>
        <v>3851.0999999999995</v>
      </c>
      <c r="T172" s="203">
        <f>IFERROR('Laminates- copilot'!R61/'Laminates- copilot'!P61*Q172,"")</f>
        <v>93408.931966063101</v>
      </c>
      <c r="U172" s="912">
        <f>IFERROR('Laminates- copilot'!S61/'Laminates- copilot'!P61*Q172,"")</f>
        <v>108354.36108063319</v>
      </c>
      <c r="V172" s="913">
        <f t="shared" si="34"/>
        <v>24.255130213721564</v>
      </c>
      <c r="W172" s="914">
        <f t="shared" si="35"/>
        <v>28.135951047917011</v>
      </c>
      <c r="X172" s="913">
        <f t="shared" si="36"/>
        <v>1.868178639321262</v>
      </c>
      <c r="Y172" s="913">
        <f t="shared" si="37"/>
        <v>24.255130213721564</v>
      </c>
      <c r="Z172" s="95">
        <f t="shared" si="38"/>
        <v>12984</v>
      </c>
      <c r="AA172" s="50" t="str">
        <f t="shared" si="39"/>
        <v>MOQ OK</v>
      </c>
      <c r="AB172" s="923">
        <f t="shared" si="40"/>
        <v>1.6792134214167571</v>
      </c>
      <c r="AC172" s="924">
        <f t="shared" si="41"/>
        <v>1.9478875688434381</v>
      </c>
      <c r="AD172" s="203">
        <f t="shared" si="42"/>
        <v>167921.3421416757</v>
      </c>
      <c r="AE172" s="912">
        <f t="shared" si="43"/>
        <v>194788.75688434381</v>
      </c>
      <c r="AF172" s="923" cm="1">
        <f t="array" ref="AF172">IF(O172="Quantum",IFERROR(_xlfn.LET(_xlpm.b,_xlfn.SWITCH(LOWER(B172),"zipper bag","Zipper pouch","open bag","Open pouch","sup with zipper","Stand-up pouch","stand-up pouch","Stand-up pouch",B172),_xlpm.w,G172,_xlpm.q,K172,_xlpm.types,'Converting-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missing"),IFERROR(_xlfn.LET(_xlpm.s,O172,_xlpm.b,_xlfn.SWITCH(LOWER(B172),"zipper bag","Zipper pouch","open bag","Open pouch",B172),_xlpm.w,G172,_xlpm.q,K172,_xlpm.src,'Converting-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172" s="923">
        <f>IFERROR(IF(OR(B172="Zipper pouch",B172="SUP with zipper"),HELPER!$DE$2*(AH172+AI172)/K172,HELPER!$DE$2*AH172/K172),"Data is missing")</f>
        <v>1.1641071835927573E-2</v>
      </c>
      <c r="AH172" s="923">
        <f t="shared" si="44"/>
        <v>1.868178639321262</v>
      </c>
      <c r="AI172" s="923">
        <f>IF(OR(B172="Zipper pouch",B172="SUP with zipper"),HELPER!$DC$2*G172/1000,"")</f>
        <v>7.1999999999999995E-2</v>
      </c>
      <c r="AJ172" s="923" cm="1">
        <f t="array" ref="AJ172">IF(INDEX('Laminates- copilot'!$E$6:$E$257,ROUNDUP((ROW()-5)/3,0))+50&gt;IF(O172="Quantum",760,1220),"Width exceeds supplier maximum",IFERROR(AF172+AG172+N(AI172)+AH172*G172/1000/MAX(1,MIN(MAX(2,INT(900/INDEX('Laminates- copilot'!$E$6:$E$257,ROUNDUP((ROW()-5)/3,0)))),INT((IF(O172="Quantum",760,1220)-50)/INDEX('Laminates- copilot'!$E$6:$E$257,ROUNDUP((ROW()-5)/3,0))))),"Data is missing"))</f>
        <v>1.2594100660625678</v>
      </c>
      <c r="AK172" s="203">
        <f t="shared" si="45"/>
        <v>1679.213421416757</v>
      </c>
      <c r="AL172" t="str">
        <f t="shared" si="46"/>
        <v>PASS</v>
      </c>
      <c r="AM172" s="50" t="str">
        <f t="shared" si="47"/>
        <v/>
      </c>
    </row>
    <row r="173" spans="1:39" hidden="1">
      <c r="A173" t="s">
        <v>1801</v>
      </c>
      <c r="B173" t="s">
        <v>262</v>
      </c>
      <c r="C173" s="50" t="s">
        <v>2208</v>
      </c>
      <c r="D173">
        <f>'Laminates- copilot'!B61</f>
        <v>618</v>
      </c>
      <c r="E173" s="858">
        <f>'Laminates- copilot'!D61</f>
        <v>100</v>
      </c>
      <c r="F173" s="858">
        <v>400</v>
      </c>
      <c r="G173" s="858">
        <v>500</v>
      </c>
      <c r="H173" s="858">
        <v>0</v>
      </c>
      <c r="I173" s="858">
        <v>20</v>
      </c>
      <c r="J173" s="858">
        <v>820</v>
      </c>
      <c r="K173" s="858">
        <v>100000</v>
      </c>
      <c r="L173" s="858" t="str">
        <f>'Laminates- copilot'!K61</f>
        <v>Printed</v>
      </c>
      <c r="M173" s="858" t="str">
        <f>'Laminates- copilot'!L61</f>
        <v>3-4</v>
      </c>
      <c r="N173" s="858">
        <f>'Laminates- copilot'!M61</f>
        <v>4</v>
      </c>
      <c r="O173" s="858" t="str">
        <f>'Laminates- copilot'!O61</f>
        <v>Quantum</v>
      </c>
      <c r="P173" s="858" t="str">
        <f>'Laminates- copilot'!N61</f>
        <v>Europe to US</v>
      </c>
      <c r="Q173" s="858">
        <f t="shared" si="32"/>
        <v>50000</v>
      </c>
      <c r="R173" s="858">
        <f t="shared" si="33"/>
        <v>50000</v>
      </c>
      <c r="S173" s="858">
        <f>IFERROR('Laminates- copilot'!Q61/'Laminates- copilot'!P61*Q173,"")</f>
        <v>3851.0999999999995</v>
      </c>
      <c r="T173" s="203">
        <f>IFERROR('Laminates- copilot'!R61/'Laminates- copilot'!P61*Q173,"")</f>
        <v>93408.931966063101</v>
      </c>
      <c r="U173" s="912">
        <f>IFERROR('Laminates- copilot'!S61/'Laminates- copilot'!P61*Q173,"")</f>
        <v>108354.36108063319</v>
      </c>
      <c r="V173" s="913">
        <f t="shared" si="34"/>
        <v>24.255130213721564</v>
      </c>
      <c r="W173" s="914">
        <f t="shared" si="35"/>
        <v>28.135951047917011</v>
      </c>
      <c r="X173" s="913">
        <f t="shared" si="36"/>
        <v>1.868178639321262</v>
      </c>
      <c r="Y173" s="913">
        <f t="shared" si="37"/>
        <v>24.255130213721564</v>
      </c>
      <c r="Z173" s="95">
        <f t="shared" si="38"/>
        <v>12984</v>
      </c>
      <c r="AA173" s="50" t="str">
        <f t="shared" si="39"/>
        <v>MOQ OK</v>
      </c>
      <c r="AB173" s="923">
        <f t="shared" si="40"/>
        <v>1.5488042694056567</v>
      </c>
      <c r="AC173" s="924">
        <f t="shared" si="41"/>
        <v>1.7966129525105616</v>
      </c>
      <c r="AD173" s="203">
        <f t="shared" si="42"/>
        <v>154880.42694056567</v>
      </c>
      <c r="AE173" s="912">
        <f t="shared" si="43"/>
        <v>179661.29525105617</v>
      </c>
      <c r="AF173" s="923" cm="1">
        <f t="array" ref="AF173">IF(O173="Quantum",IFERROR(_xlfn.LET(_xlpm.b,_xlfn.SWITCH(LOWER(B173),"zipper bag","Zipper pouch","open bag","Open pouch","sup with zipper","Stand-up pouch","stand-up pouch","Stand-up pouch",B173),_xlpm.w,G173,_xlpm.q,K173,_xlpm.types,'Converting-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missing"),IFERROR(_xlfn.LET(_xlpm.s,O173,_xlpm.b,_xlfn.SWITCH(LOWER(B173),"zipper bag","Zipper pouch","open bag","Open pouch",B173),_xlpm.w,G173,_xlpm.q,K173,_xlpm.src,'Converting-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173" s="923">
        <f>IFERROR(IF(OR(B173="Zipper pouch",B173="SUP with zipper"),HELPER!$DE$2*(AH173+AI173)/K173,HELPER!$DE$2*AH173/K173),"Data is missing")</f>
        <v>1.1209071835927573E-2</v>
      </c>
      <c r="AH173" s="923">
        <f t="shared" si="44"/>
        <v>1.868178639321262</v>
      </c>
      <c r="AI173" s="923" t="str">
        <f>IF(OR(B173="Zipper pouch",B173="SUP with zipper"),HELPER!$DC$2*G173/1000,"")</f>
        <v/>
      </c>
      <c r="AJ173" s="923" cm="1">
        <f t="array" ref="AJ173">IF(INDEX('Laminates- copilot'!$E$6:$E$257,ROUNDUP((ROW()-5)/3,0))+50&gt;IF(O173="Quantum",760,1220),"Width exceeds supplier maximum",IFERROR(AF173+AG173+N(AI173)+AH173*G173/1000/MAX(1,MIN(MAX(2,INT(900/INDEX('Laminates- copilot'!$E$6:$E$257,ROUNDUP((ROW()-5)/3,0)))),INT((IF(O173="Quantum",760,1220)-50)/INDEX('Laminates- copilot'!$E$6:$E$257,ROUNDUP((ROW()-5)/3,0))))),"Data is missing"))</f>
        <v>1.1616032020542426</v>
      </c>
      <c r="AK173" s="203">
        <f t="shared" si="45"/>
        <v>1548.8042694056567</v>
      </c>
      <c r="AL173" t="str">
        <f t="shared" si="46"/>
        <v>PASS</v>
      </c>
      <c r="AM173" s="50" t="str">
        <f t="shared" si="47"/>
        <v/>
      </c>
    </row>
    <row r="174" spans="1:39" hidden="1">
      <c r="A174" t="s">
        <v>1802</v>
      </c>
      <c r="B174" t="s">
        <v>251</v>
      </c>
      <c r="C174" s="50" t="s">
        <v>2209</v>
      </c>
      <c r="D174">
        <f>'Laminates- copilot'!B62</f>
        <v>618</v>
      </c>
      <c r="E174" s="858">
        <f>'Laminates- copilot'!D62</f>
        <v>51</v>
      </c>
      <c r="F174" s="858">
        <v>600</v>
      </c>
      <c r="G174" s="858">
        <v>200</v>
      </c>
      <c r="H174" s="858">
        <v>50</v>
      </c>
      <c r="I174" s="858">
        <v>0</v>
      </c>
      <c r="J174" s="858">
        <v>1300</v>
      </c>
      <c r="K174" s="858">
        <v>200000</v>
      </c>
      <c r="L174" s="858" t="str">
        <f>'Laminates- copilot'!K62</f>
        <v>Printed</v>
      </c>
      <c r="M174" s="858" t="str">
        <f>'Laminates- copilot'!L62</f>
        <v>5-8</v>
      </c>
      <c r="N174" s="858">
        <f>'Laminates- copilot'!M62</f>
        <v>8</v>
      </c>
      <c r="O174" s="858" t="str">
        <f>'Laminates- copilot'!O62</f>
        <v>Marma</v>
      </c>
      <c r="P174" s="858" t="str">
        <f>'Laminates- copilot'!N62</f>
        <v>Europe to Europe</v>
      </c>
      <c r="Q174" s="858">
        <f t="shared" si="32"/>
        <v>40000</v>
      </c>
      <c r="R174" s="858">
        <f t="shared" si="33"/>
        <v>40000</v>
      </c>
      <c r="S174" s="858">
        <f>IFERROR('Laminates- copilot'!Q62/'Laminates- copilot'!P62*Q174,"")</f>
        <v>2425.3200000000002</v>
      </c>
      <c r="T174" s="203">
        <f>IFERROR('Laminates- copilot'!R62/'Laminates- copilot'!P62*Q174,"")</f>
        <v>49374.210699048017</v>
      </c>
      <c r="U174" s="912">
        <f>IFERROR('Laminates- copilot'!S62/'Laminates- copilot'!P62*Q174,"")</f>
        <v>57274.084410895695</v>
      </c>
      <c r="V174" s="913">
        <f t="shared" si="34"/>
        <v>20.357812865538573</v>
      </c>
      <c r="W174" s="914">
        <f t="shared" si="35"/>
        <v>23.615062924024745</v>
      </c>
      <c r="X174" s="913">
        <f t="shared" si="36"/>
        <v>1.2343552674762004</v>
      </c>
      <c r="Y174" s="913">
        <f t="shared" si="37"/>
        <v>20.357812865538573</v>
      </c>
      <c r="Z174" s="95">
        <f t="shared" si="38"/>
        <v>41232</v>
      </c>
      <c r="AA174" s="50" t="str">
        <f t="shared" si="39"/>
        <v>MOQ OK</v>
      </c>
      <c r="AB174" s="923">
        <f t="shared" si="40"/>
        <v>0.43057987938876147</v>
      </c>
      <c r="AC174" s="924">
        <f t="shared" si="41"/>
        <v>0.49947266009096325</v>
      </c>
      <c r="AD174" s="203">
        <f t="shared" si="42"/>
        <v>86115.975877752295</v>
      </c>
      <c r="AE174" s="912">
        <f t="shared" si="43"/>
        <v>99894.532018192651</v>
      </c>
      <c r="AF174" s="923" cm="1">
        <f t="array" ref="AF174">IF(O174="Quantum",IFERROR(_xlfn.LET(_xlpm.b,_xlfn.SWITCH(LOWER(B174),"zipper bag","Zipper pouch","open bag","Open pouch","sup with zipper","Stand-up pouch","stand-up pouch","Stand-up pouch",B174),_xlpm.w,G174,_xlpm.q,K174,_xlpm.types,'Converting-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missing"),IFERROR(_xlfn.LET(_xlpm.s,O174,_xlpm.b,_xlfn.SWITCH(LOWER(B174),"zipper bag","Zipper pouch","open bag","Open pouch",B174),_xlpm.w,G174,_xlpm.q,K174,_xlpm.src,'Converting-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174" s="923">
        <f>IFERROR(IF(OR(B174="Zipper pouch",B174="SUP with zipper"),HELPER!$DE$2*(AH174+AI174)/K174,HELPER!$DE$2*AH174/K174),"Data is missing")</f>
        <v>3.7894658024286007E-3</v>
      </c>
      <c r="AH174" s="923">
        <f t="shared" si="44"/>
        <v>1.2343552674762004</v>
      </c>
      <c r="AI174" s="923">
        <f>IF(OR(B174="Zipper pouch",B174="SUP with zipper"),HELPER!$DC$2*G174/1000,"")</f>
        <v>2.8799999999999996E-2</v>
      </c>
      <c r="AJ174" s="923" cm="1">
        <f t="array" ref="AJ174">IF(INDEX('Laminates- copilot'!$E$6:$E$257,ROUNDUP((ROW()-5)/3,0))+50&gt;IF(O174="Quantum",760,1220),"Width exceeds supplier maximum",IFERROR(AF174+AG174+N(AI174)+AH174*G174/1000/MAX(1,MIN(MAX(2,INT(900/INDEX('Laminates- copilot'!$E$6:$E$257,ROUNDUP((ROW()-5)/3,0)))),INT((IF(O174="Quantum",760,1220)-50)/INDEX('Laminates- copilot'!$E$6:$E$257,ROUNDUP((ROW()-5)/3,0))))),"Data is missing"))</f>
        <v>0.32293490954157111</v>
      </c>
      <c r="AK174" s="203">
        <f t="shared" si="45"/>
        <v>430.57987938876147</v>
      </c>
      <c r="AL174" t="str">
        <f t="shared" si="46"/>
        <v>PASS</v>
      </c>
      <c r="AM174" s="50" t="str">
        <f t="shared" si="47"/>
        <v/>
      </c>
    </row>
    <row r="175" spans="1:39" hidden="1">
      <c r="A175" t="s">
        <v>1803</v>
      </c>
      <c r="B175" t="s">
        <v>261</v>
      </c>
      <c r="C175" s="50" t="s">
        <v>2209</v>
      </c>
      <c r="D175">
        <f>'Laminates- copilot'!B62</f>
        <v>618</v>
      </c>
      <c r="E175" s="858">
        <f>'Laminates- copilot'!D62</f>
        <v>51</v>
      </c>
      <c r="F175" s="858">
        <v>600</v>
      </c>
      <c r="G175" s="858">
        <v>200</v>
      </c>
      <c r="H175" s="858">
        <v>50</v>
      </c>
      <c r="I175" s="858">
        <v>0</v>
      </c>
      <c r="J175" s="858">
        <v>1300</v>
      </c>
      <c r="K175" s="858">
        <v>200000</v>
      </c>
      <c r="L175" s="858" t="str">
        <f>'Laminates- copilot'!K62</f>
        <v>Printed</v>
      </c>
      <c r="M175" s="858" t="str">
        <f>'Laminates- copilot'!L62</f>
        <v>5-8</v>
      </c>
      <c r="N175" s="858">
        <f>'Laminates- copilot'!M62</f>
        <v>8</v>
      </c>
      <c r="O175" s="858" t="str">
        <f>'Laminates- copilot'!O62</f>
        <v>Marma</v>
      </c>
      <c r="P175" s="858" t="str">
        <f>'Laminates- copilot'!N62</f>
        <v>Europe to Europe</v>
      </c>
      <c r="Q175" s="858">
        <f t="shared" si="32"/>
        <v>40000</v>
      </c>
      <c r="R175" s="858">
        <f t="shared" si="33"/>
        <v>40000</v>
      </c>
      <c r="S175" s="858">
        <f>IFERROR('Laminates- copilot'!Q62/'Laminates- copilot'!P62*Q175,"")</f>
        <v>2425.3200000000002</v>
      </c>
      <c r="T175" s="203">
        <f>IFERROR('Laminates- copilot'!R62/'Laminates- copilot'!P62*Q175,"")</f>
        <v>49374.210699048017</v>
      </c>
      <c r="U175" s="912">
        <f>IFERROR('Laminates- copilot'!S62/'Laminates- copilot'!P62*Q175,"")</f>
        <v>57274.084410895695</v>
      </c>
      <c r="V175" s="913">
        <f t="shared" si="34"/>
        <v>20.357812865538573</v>
      </c>
      <c r="W175" s="914">
        <f t="shared" si="35"/>
        <v>23.615062924024745</v>
      </c>
      <c r="X175" s="913">
        <f t="shared" si="36"/>
        <v>1.2343552674762004</v>
      </c>
      <c r="Y175" s="913">
        <f t="shared" si="37"/>
        <v>20.357812865538573</v>
      </c>
      <c r="Z175" s="95">
        <f t="shared" si="38"/>
        <v>41232</v>
      </c>
      <c r="AA175" s="50" t="str">
        <f t="shared" si="39"/>
        <v>MOQ OK</v>
      </c>
      <c r="AB175" s="923">
        <f t="shared" si="40"/>
        <v>0.42584965026828847</v>
      </c>
      <c r="AC175" s="924">
        <f t="shared" si="41"/>
        <v>0.49398559431121458</v>
      </c>
      <c r="AD175" s="203">
        <f t="shared" si="42"/>
        <v>85169.930053657692</v>
      </c>
      <c r="AE175" s="912">
        <f t="shared" si="43"/>
        <v>98797.118862242918</v>
      </c>
      <c r="AF175" s="923" cm="1">
        <f t="array" ref="AF175">IF(O175="Quantum",IFERROR(_xlfn.LET(_xlpm.b,_xlfn.SWITCH(LOWER(B175),"zipper bag","Zipper pouch","open bag","Open pouch","sup with zipper","Stand-up pouch","stand-up pouch","Stand-up pouch",B175),_xlpm.w,G175,_xlpm.q,K175,_xlpm.types,'Converting-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missing"),IFERROR(_xlfn.LET(_xlpm.s,O175,_xlpm.b,_xlfn.SWITCH(LOWER(B175),"zipper bag","Zipper pouch","open bag","Open pouch",B175),_xlpm.w,G175,_xlpm.q,K175,_xlpm.src,'Converting-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175" s="923">
        <f>IFERROR(IF(OR(B175="Zipper pouch",B175="SUP with zipper"),HELPER!$DE$2*(AH175+AI175)/K175,HELPER!$DE$2*AH175/K175),"Data is missing")</f>
        <v>3.7894658024286007E-3</v>
      </c>
      <c r="AH175" s="923">
        <f t="shared" si="44"/>
        <v>1.2343552674762004</v>
      </c>
      <c r="AI175" s="923">
        <f>IF(OR(B175="Zipper pouch",B175="SUP with zipper"),HELPER!$DC$2*G175/1000,"")</f>
        <v>2.8799999999999996E-2</v>
      </c>
      <c r="AJ175" s="923" cm="1">
        <f t="array" ref="AJ175">IF(INDEX('Laminates- copilot'!$E$6:$E$257,ROUNDUP((ROW()-5)/3,0))+50&gt;IF(O175="Quantum",760,1220),"Width exceeds supplier maximum",IFERROR(AF175+AG175+N(AI175)+AH175*G175/1000/MAX(1,MIN(MAX(2,INT(900/INDEX('Laminates- copilot'!$E$6:$E$257,ROUNDUP((ROW()-5)/3,0)))),INT((IF(O175="Quantum",760,1220)-50)/INDEX('Laminates- copilot'!$E$6:$E$257,ROUNDUP((ROW()-5)/3,0))))),"Data is missing"))</f>
        <v>0.31938723770121635</v>
      </c>
      <c r="AK175" s="203">
        <f t="shared" si="45"/>
        <v>425.84965026828849</v>
      </c>
      <c r="AL175" t="str">
        <f t="shared" si="46"/>
        <v>PASS</v>
      </c>
      <c r="AM175" s="50" t="str">
        <f t="shared" si="47"/>
        <v/>
      </c>
    </row>
    <row r="176" spans="1:39" hidden="1">
      <c r="A176" t="s">
        <v>1804</v>
      </c>
      <c r="B176" t="s">
        <v>262</v>
      </c>
      <c r="C176" s="50" t="s">
        <v>2209</v>
      </c>
      <c r="D176">
        <f>'Laminates- copilot'!B62</f>
        <v>618</v>
      </c>
      <c r="E176" s="858">
        <f>'Laminates- copilot'!D62</f>
        <v>51</v>
      </c>
      <c r="F176" s="858">
        <v>600</v>
      </c>
      <c r="G176" s="858">
        <v>200</v>
      </c>
      <c r="H176" s="858">
        <v>0</v>
      </c>
      <c r="I176" s="858">
        <v>0</v>
      </c>
      <c r="J176" s="858">
        <v>1200</v>
      </c>
      <c r="K176" s="858">
        <v>200000</v>
      </c>
      <c r="L176" s="858" t="str">
        <f>'Laminates- copilot'!K62</f>
        <v>Printed</v>
      </c>
      <c r="M176" s="858" t="str">
        <f>'Laminates- copilot'!L62</f>
        <v>5-8</v>
      </c>
      <c r="N176" s="858">
        <f>'Laminates- copilot'!M62</f>
        <v>8</v>
      </c>
      <c r="O176" s="858" t="str">
        <f>'Laminates- copilot'!O62</f>
        <v>Marma</v>
      </c>
      <c r="P176" s="858" t="str">
        <f>'Laminates- copilot'!N62</f>
        <v>Europe to Europe</v>
      </c>
      <c r="Q176" s="858">
        <f t="shared" si="32"/>
        <v>40000</v>
      </c>
      <c r="R176" s="858">
        <f t="shared" si="33"/>
        <v>40000</v>
      </c>
      <c r="S176" s="858">
        <f>IFERROR('Laminates- copilot'!Q62/'Laminates- copilot'!P62*Q176,"")</f>
        <v>2425.3200000000002</v>
      </c>
      <c r="T176" s="203">
        <f>IFERROR('Laminates- copilot'!R62/'Laminates- copilot'!P62*Q176,"")</f>
        <v>49374.210699048017</v>
      </c>
      <c r="U176" s="912">
        <f>IFERROR('Laminates- copilot'!S62/'Laminates- copilot'!P62*Q176,"")</f>
        <v>57274.084410895695</v>
      </c>
      <c r="V176" s="913">
        <f t="shared" si="34"/>
        <v>20.357812865538573</v>
      </c>
      <c r="W176" s="914">
        <f t="shared" si="35"/>
        <v>23.615062924024745</v>
      </c>
      <c r="X176" s="913">
        <f t="shared" si="36"/>
        <v>1.2343552674762004</v>
      </c>
      <c r="Y176" s="913">
        <f t="shared" si="37"/>
        <v>20.357812865538573</v>
      </c>
      <c r="Z176" s="95">
        <f t="shared" si="38"/>
        <v>41232</v>
      </c>
      <c r="AA176" s="50" t="str">
        <f t="shared" si="39"/>
        <v>MOQ OK</v>
      </c>
      <c r="AB176" s="923">
        <f t="shared" si="40"/>
        <v>0.38204925135781242</v>
      </c>
      <c r="AC176" s="924">
        <f t="shared" si="41"/>
        <v>0.44317713157506239</v>
      </c>
      <c r="AD176" s="203">
        <f t="shared" si="42"/>
        <v>76409.850271562478</v>
      </c>
      <c r="AE176" s="912">
        <f t="shared" si="43"/>
        <v>88635.426315012475</v>
      </c>
      <c r="AF176" s="923" cm="1">
        <f t="array" ref="AF176">IF(O176="Quantum",IFERROR(_xlfn.LET(_xlpm.b,_xlfn.SWITCH(LOWER(B176),"zipper bag","Zipper pouch","open bag","Open pouch","sup with zipper","Stand-up pouch","stand-up pouch","Stand-up pouch",B176),_xlpm.w,G176,_xlpm.q,K176,_xlpm.types,'Converting-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missing"),IFERROR(_xlfn.LET(_xlpm.s,O176,_xlpm.b,_xlfn.SWITCH(LOWER(B176),"zipper bag","Zipper pouch","open bag","Open pouch",B176),_xlpm.w,G176,_xlpm.q,K176,_xlpm.src,'Converting-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176" s="923">
        <f>IFERROR(IF(OR(B176="Zipper pouch",B176="SUP with zipper"),HELPER!$DE$2*(AH176+AI176)/K176,HELPER!$DE$2*AH176/K176),"Data is missing")</f>
        <v>3.7030658024286007E-3</v>
      </c>
      <c r="AH176" s="923">
        <f t="shared" si="44"/>
        <v>1.2343552674762004</v>
      </c>
      <c r="AI176" s="923" t="str">
        <f>IF(OR(B176="Zipper pouch",B176="SUP with zipper"),HELPER!$DC$2*G176/1000,"")</f>
        <v/>
      </c>
      <c r="AJ176" s="923" cm="1">
        <f t="array" ref="AJ176">IF(INDEX('Laminates- copilot'!$E$6:$E$257,ROUNDUP((ROW()-5)/3,0))+50&gt;IF(O176="Quantum",760,1220),"Width exceeds supplier maximum",IFERROR(AF176+AG176+N(AI176)+AH176*G176/1000/MAX(1,MIN(MAX(2,INT(900/INDEX('Laminates- copilot'!$E$6:$E$257,ROUNDUP((ROW()-5)/3,0)))),INT((IF(O176="Quantum",760,1220)-50)/INDEX('Laminates- copilot'!$E$6:$E$257,ROUNDUP((ROW()-5)/3,0))))),"Data is missing"))</f>
        <v>0.28653693851835932</v>
      </c>
      <c r="AK176" s="203">
        <f t="shared" si="45"/>
        <v>382.04925135781241</v>
      </c>
      <c r="AL176" t="str">
        <f t="shared" si="46"/>
        <v>PASS</v>
      </c>
      <c r="AM176" s="50" t="str">
        <f t="shared" si="47"/>
        <v/>
      </c>
    </row>
    <row r="177" spans="1:39" hidden="1">
      <c r="A177" t="s">
        <v>1805</v>
      </c>
      <c r="B177" t="s">
        <v>251</v>
      </c>
      <c r="C177" s="50" t="s">
        <v>2210</v>
      </c>
      <c r="D177">
        <f>'Laminates- copilot'!B63</f>
        <v>618</v>
      </c>
      <c r="E177" s="858">
        <f>'Laminates- copilot'!D63</f>
        <v>100</v>
      </c>
      <c r="F177" s="858">
        <v>700</v>
      </c>
      <c r="G177" s="858">
        <v>300</v>
      </c>
      <c r="H177" s="858">
        <v>75</v>
      </c>
      <c r="I177" s="858">
        <v>0</v>
      </c>
      <c r="J177" s="858">
        <v>1550</v>
      </c>
      <c r="K177" s="858">
        <v>200000</v>
      </c>
      <c r="L177" s="858" t="str">
        <f>'Laminates- copilot'!K63</f>
        <v>Not Printed</v>
      </c>
      <c r="M177" s="858" t="str">
        <f>'Laminates- copilot'!L63</f>
        <v>0</v>
      </c>
      <c r="N177" s="858">
        <f>'Laminates- copilot'!M63</f>
        <v>1</v>
      </c>
      <c r="O177" s="858" t="str">
        <f>'Laminates- copilot'!O63</f>
        <v>Bastin</v>
      </c>
      <c r="P177" s="858" t="str">
        <f>'Laminates- copilot'!N63</f>
        <v>Europe to US</v>
      </c>
      <c r="Q177" s="858">
        <f t="shared" si="32"/>
        <v>60000</v>
      </c>
      <c r="R177" s="858">
        <f t="shared" si="33"/>
        <v>60000</v>
      </c>
      <c r="S177" s="858">
        <f>IFERROR('Laminates- copilot'!Q63/'Laminates- copilot'!P63*Q177,"")</f>
        <v>1925.5500000000002</v>
      </c>
      <c r="T177" s="203">
        <f>IFERROR('Laminates- copilot'!R63/'Laminates- copilot'!P63*Q177,"")</f>
        <v>27667.979748453436</v>
      </c>
      <c r="U177" s="912">
        <f>IFERROR('Laminates- copilot'!S63/'Laminates- copilot'!P63*Q177,"")</f>
        <v>32094.856508205983</v>
      </c>
      <c r="V177" s="913">
        <f t="shared" si="34"/>
        <v>14.36887110095995</v>
      </c>
      <c r="W177" s="914">
        <f t="shared" si="35"/>
        <v>16.667890477113541</v>
      </c>
      <c r="X177" s="913">
        <f t="shared" si="36"/>
        <v>0.46113299580755723</v>
      </c>
      <c r="Y177" s="913">
        <f t="shared" si="37"/>
        <v>14.36887110095995</v>
      </c>
      <c r="Z177" s="95">
        <f t="shared" si="38"/>
        <v>51934</v>
      </c>
      <c r="AA177" s="50" t="str">
        <f t="shared" si="39"/>
        <v>MOQ OK</v>
      </c>
      <c r="AB177" s="923">
        <f t="shared" si="40"/>
        <v>0.2157024392195511</v>
      </c>
      <c r="AC177" s="924">
        <f t="shared" si="41"/>
        <v>0.25021482949467927</v>
      </c>
      <c r="AD177" s="203">
        <f t="shared" si="42"/>
        <v>43140.487843910218</v>
      </c>
      <c r="AE177" s="912">
        <f t="shared" si="43"/>
        <v>50042.96589893585</v>
      </c>
      <c r="AF177" s="923" cm="1">
        <f t="array" ref="AF177">IF(O177="Quantum",IFERROR(_xlfn.LET(_xlpm.b,_xlfn.SWITCH(LOWER(B177),"zipper bag","Zipper pouch","open bag","Open pouch","sup with zipper","Stand-up pouch","stand-up pouch","Stand-up pouch",B177),_xlpm.w,G177,_xlpm.q,K177,_xlpm.types,'Converting-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missing"),IFERROR(_xlfn.LET(_xlpm.s,O177,_xlpm.b,_xlfn.SWITCH(LOWER(B177),"zipper bag","Zipper pouch","open bag","Open pouch",B177),_xlpm.w,G177,_xlpm.q,K177,_xlpm.src,'Converting-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177" s="923">
        <f>IFERROR(IF(OR(B177="Zipper pouch",B177="SUP with zipper"),HELPER!$DE$2*(AH177+AI177)/K177,HELPER!$DE$2*AH177/K177),"Data is missing")</f>
        <v>1.5129989874226714E-3</v>
      </c>
      <c r="AH177" s="923">
        <f t="shared" si="44"/>
        <v>0.46113299580755723</v>
      </c>
      <c r="AI177" s="923">
        <f>IF(OR(B177="Zipper pouch",B177="SUP with zipper"),HELPER!$DC$2*G177/1000,"")</f>
        <v>4.3199999999999995E-2</v>
      </c>
      <c r="AJ177" s="923" cm="1">
        <f t="array" ref="AJ177">IF(INDEX('Laminates- copilot'!$E$6:$E$257,ROUNDUP((ROW()-5)/3,0))+50&gt;IF(O177="Quantum",760,1220),"Width exceeds supplier maximum",IFERROR(AF177+AG177+N(AI177)+AH177*G177/1000/MAX(1,MIN(MAX(2,INT(900/INDEX('Laminates- copilot'!$E$6:$E$257,ROUNDUP((ROW()-5)/3,0)))),INT((IF(O177="Quantum",760,1220)-50)/INDEX('Laminates- copilot'!$E$6:$E$257,ROUNDUP((ROW()-5)/3,0))))),"Data is missing"))</f>
        <v>0.16177682941466331</v>
      </c>
      <c r="AK177" s="203">
        <f t="shared" si="45"/>
        <v>215.70243921955108</v>
      </c>
      <c r="AL177" t="str">
        <f t="shared" si="46"/>
        <v>PASS</v>
      </c>
      <c r="AM177" s="50" t="str">
        <f t="shared" si="47"/>
        <v/>
      </c>
    </row>
    <row r="178" spans="1:39" hidden="1">
      <c r="A178" t="s">
        <v>1806</v>
      </c>
      <c r="B178" t="s">
        <v>261</v>
      </c>
      <c r="C178" s="50" t="s">
        <v>2210</v>
      </c>
      <c r="D178">
        <f>'Laminates- copilot'!B63</f>
        <v>618</v>
      </c>
      <c r="E178" s="858">
        <f>'Laminates- copilot'!D63</f>
        <v>100</v>
      </c>
      <c r="F178" s="858">
        <v>700</v>
      </c>
      <c r="G178" s="858">
        <v>300</v>
      </c>
      <c r="H178" s="858">
        <v>75</v>
      </c>
      <c r="I178" s="858">
        <v>0</v>
      </c>
      <c r="J178" s="858">
        <v>1550</v>
      </c>
      <c r="K178" s="858">
        <v>200000</v>
      </c>
      <c r="L178" s="858" t="str">
        <f>'Laminates- copilot'!K63</f>
        <v>Not Printed</v>
      </c>
      <c r="M178" s="858" t="str">
        <f>'Laminates- copilot'!L63</f>
        <v>0</v>
      </c>
      <c r="N178" s="858">
        <f>'Laminates- copilot'!M63</f>
        <v>1</v>
      </c>
      <c r="O178" s="858" t="str">
        <f>'Laminates- copilot'!O63</f>
        <v>Bastin</v>
      </c>
      <c r="P178" s="858" t="str">
        <f>'Laminates- copilot'!N63</f>
        <v>Europe to US</v>
      </c>
      <c r="Q178" s="858">
        <f t="shared" si="32"/>
        <v>60000</v>
      </c>
      <c r="R178" s="858">
        <f t="shared" si="33"/>
        <v>60000</v>
      </c>
      <c r="S178" s="858">
        <f>IFERROR('Laminates- copilot'!Q63/'Laminates- copilot'!P63*Q178,"")</f>
        <v>1925.5500000000002</v>
      </c>
      <c r="T178" s="203">
        <f>IFERROR('Laminates- copilot'!R63/'Laminates- copilot'!P63*Q178,"")</f>
        <v>27667.979748453436</v>
      </c>
      <c r="U178" s="912">
        <f>IFERROR('Laminates- copilot'!S63/'Laminates- copilot'!P63*Q178,"")</f>
        <v>32094.856508205983</v>
      </c>
      <c r="V178" s="913">
        <f t="shared" si="34"/>
        <v>14.36887110095995</v>
      </c>
      <c r="W178" s="914">
        <f t="shared" si="35"/>
        <v>16.667890477113541</v>
      </c>
      <c r="X178" s="913">
        <f t="shared" si="36"/>
        <v>0.46113299580755723</v>
      </c>
      <c r="Y178" s="913">
        <f t="shared" si="37"/>
        <v>14.36887110095995</v>
      </c>
      <c r="Z178" s="95">
        <f t="shared" si="38"/>
        <v>51934</v>
      </c>
      <c r="AA178" s="50" t="str">
        <f t="shared" si="39"/>
        <v>MOQ OK</v>
      </c>
      <c r="AB178" s="923">
        <f t="shared" si="40"/>
        <v>0.20810624774961503</v>
      </c>
      <c r="AC178" s="924">
        <f t="shared" si="41"/>
        <v>0.24140324738955343</v>
      </c>
      <c r="AD178" s="203">
        <f t="shared" si="42"/>
        <v>41621.249549923006</v>
      </c>
      <c r="AE178" s="912">
        <f t="shared" si="43"/>
        <v>48280.649477910687</v>
      </c>
      <c r="AF178" s="923" cm="1">
        <f t="array" ref="AF178">IF(O178="Quantum",IFERROR(_xlfn.LET(_xlpm.b,_xlfn.SWITCH(LOWER(B178),"zipper bag","Zipper pouch","open bag","Open pouch","sup with zipper","Stand-up pouch","stand-up pouch","Stand-up pouch",B178),_xlpm.w,G178,_xlpm.q,K178,_xlpm.types,'Converting-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missing"),IFERROR(_xlfn.LET(_xlpm.s,O178,_xlpm.b,_xlfn.SWITCH(LOWER(B178),"zipper bag","Zipper pouch","open bag","Open pouch",B178),_xlpm.w,G178,_xlpm.q,K178,_xlpm.src,'Converting-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178" s="923">
        <f>IFERROR(IF(OR(B178="Zipper pouch",B178="SUP with zipper"),HELPER!$DE$2*(AH178+AI178)/K178,HELPER!$DE$2*AH178/K178),"Data is missing")</f>
        <v>1.5129989874226714E-3</v>
      </c>
      <c r="AH178" s="923">
        <f t="shared" si="44"/>
        <v>0.46113299580755723</v>
      </c>
      <c r="AI178" s="923">
        <f>IF(OR(B178="Zipper pouch",B178="SUP with zipper"),HELPER!$DC$2*G178/1000,"")</f>
        <v>4.3199999999999995E-2</v>
      </c>
      <c r="AJ178" s="923" cm="1">
        <f t="array" ref="AJ178">IF(INDEX('Laminates- copilot'!$E$6:$E$257,ROUNDUP((ROW()-5)/3,0))+50&gt;IF(O178="Quantum",760,1220),"Width exceeds supplier maximum",IFERROR(AF178+AG178+N(AI178)+AH178*G178/1000/MAX(1,MIN(MAX(2,INT(900/INDEX('Laminates- copilot'!$E$6:$E$257,ROUNDUP((ROW()-5)/3,0)))),INT((IF(O178="Quantum",760,1220)-50)/INDEX('Laminates- copilot'!$E$6:$E$257,ROUNDUP((ROW()-5)/3,0))))),"Data is missing"))</f>
        <v>0.15607968581221127</v>
      </c>
      <c r="AK178" s="203">
        <f t="shared" si="45"/>
        <v>208.10624774961502</v>
      </c>
      <c r="AL178" t="str">
        <f t="shared" si="46"/>
        <v>PASS</v>
      </c>
      <c r="AM178" s="50" t="str">
        <f t="shared" si="47"/>
        <v/>
      </c>
    </row>
    <row r="179" spans="1:39" hidden="1">
      <c r="A179" t="s">
        <v>1807</v>
      </c>
      <c r="B179" t="s">
        <v>262</v>
      </c>
      <c r="C179" s="50" t="s">
        <v>2210</v>
      </c>
      <c r="D179">
        <f>'Laminates- copilot'!B63</f>
        <v>618</v>
      </c>
      <c r="E179" s="858">
        <f>'Laminates- copilot'!D63</f>
        <v>100</v>
      </c>
      <c r="F179" s="858">
        <v>700</v>
      </c>
      <c r="G179" s="858">
        <v>300</v>
      </c>
      <c r="H179" s="858">
        <v>0</v>
      </c>
      <c r="I179" s="858">
        <v>0</v>
      </c>
      <c r="J179" s="858">
        <v>1400</v>
      </c>
      <c r="K179" s="858">
        <v>200000</v>
      </c>
      <c r="L179" s="858" t="str">
        <f>'Laminates- copilot'!K63</f>
        <v>Not Printed</v>
      </c>
      <c r="M179" s="858" t="str">
        <f>'Laminates- copilot'!L63</f>
        <v>0</v>
      </c>
      <c r="N179" s="858">
        <f>'Laminates- copilot'!M63</f>
        <v>1</v>
      </c>
      <c r="O179" s="858" t="str">
        <f>'Laminates- copilot'!O63</f>
        <v>Bastin</v>
      </c>
      <c r="P179" s="858" t="str">
        <f>'Laminates- copilot'!N63</f>
        <v>Europe to US</v>
      </c>
      <c r="Q179" s="858">
        <f t="shared" si="32"/>
        <v>60000</v>
      </c>
      <c r="R179" s="858">
        <f t="shared" si="33"/>
        <v>60000</v>
      </c>
      <c r="S179" s="858">
        <f>IFERROR('Laminates- copilot'!Q63/'Laminates- copilot'!P63*Q179,"")</f>
        <v>1925.5500000000002</v>
      </c>
      <c r="T179" s="203">
        <f>IFERROR('Laminates- copilot'!R63/'Laminates- copilot'!P63*Q179,"")</f>
        <v>27667.979748453436</v>
      </c>
      <c r="U179" s="912">
        <f>IFERROR('Laminates- copilot'!S63/'Laminates- copilot'!P63*Q179,"")</f>
        <v>32094.856508205983</v>
      </c>
      <c r="V179" s="913">
        <f t="shared" si="34"/>
        <v>14.36887110095995</v>
      </c>
      <c r="W179" s="914">
        <f t="shared" si="35"/>
        <v>16.667890477113541</v>
      </c>
      <c r="X179" s="913">
        <f t="shared" si="36"/>
        <v>0.46113299580755723</v>
      </c>
      <c r="Y179" s="913">
        <f t="shared" si="37"/>
        <v>14.36887110095995</v>
      </c>
      <c r="Z179" s="95">
        <f t="shared" si="38"/>
        <v>51934</v>
      </c>
      <c r="AA179" s="50" t="str">
        <f t="shared" si="39"/>
        <v>MOQ OK</v>
      </c>
      <c r="AB179" s="923">
        <f t="shared" si="40"/>
        <v>0.14137903865277734</v>
      </c>
      <c r="AC179" s="924">
        <f t="shared" si="41"/>
        <v>0.16399968483722172</v>
      </c>
      <c r="AD179" s="203">
        <f t="shared" si="42"/>
        <v>28275.807730555469</v>
      </c>
      <c r="AE179" s="912">
        <f t="shared" si="43"/>
        <v>32799.936967444344</v>
      </c>
      <c r="AF179" s="923" cm="1">
        <f t="array" ref="AF179">IF(O179="Quantum",IFERROR(_xlfn.LET(_xlpm.b,_xlfn.SWITCH(LOWER(B179),"zipper bag","Zipper pouch","open bag","Open pouch","sup with zipper","Stand-up pouch","stand-up pouch","Stand-up pouch",B179),_xlpm.w,G179,_xlpm.q,K179,_xlpm.types,'Converting-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missing"),IFERROR(_xlfn.LET(_xlpm.s,O179,_xlpm.b,_xlfn.SWITCH(LOWER(B179),"zipper bag","Zipper pouch","open bag","Open pouch",B179),_xlpm.w,G179,_xlpm.q,K179,_xlpm.src,'Converting-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179" s="923">
        <f>IFERROR(IF(OR(B179="Zipper pouch",B179="SUP with zipper"),HELPER!$DE$2*(AH179+AI179)/K179,HELPER!$DE$2*AH179/K179),"Data is missing")</f>
        <v>1.3833989874226717E-3</v>
      </c>
      <c r="AH179" s="923">
        <f t="shared" si="44"/>
        <v>0.46113299580755723</v>
      </c>
      <c r="AI179" s="923" t="str">
        <f>IF(OR(B179="Zipper pouch",B179="SUP with zipper"),HELPER!$DC$2*G179/1000,"")</f>
        <v/>
      </c>
      <c r="AJ179" s="923" cm="1">
        <f t="array" ref="AJ179">IF(INDEX('Laminates- copilot'!$E$6:$E$257,ROUNDUP((ROW()-5)/3,0))+50&gt;IF(O179="Quantum",760,1220),"Width exceeds supplier maximum",IFERROR(AF179+AG179+N(AI179)+AH179*G179/1000/MAX(1,MIN(MAX(2,INT(900/INDEX('Laminates- copilot'!$E$6:$E$257,ROUNDUP((ROW()-5)/3,0)))),INT((IF(O179="Quantum",760,1220)-50)/INDEX('Laminates- copilot'!$E$6:$E$257,ROUNDUP((ROW()-5)/3,0))))),"Data is missing"))</f>
        <v>0.10603427898958301</v>
      </c>
      <c r="AK179" s="203">
        <f t="shared" si="45"/>
        <v>141.37903865277735</v>
      </c>
      <c r="AL179" t="str">
        <f t="shared" si="46"/>
        <v>PASS</v>
      </c>
      <c r="AM179" s="50" t="str">
        <f t="shared" si="47"/>
        <v/>
      </c>
    </row>
    <row r="180" spans="1:39" hidden="1">
      <c r="A180" t="s">
        <v>1808</v>
      </c>
      <c r="B180" t="s">
        <v>251</v>
      </c>
      <c r="C180" s="50" t="s">
        <v>1626</v>
      </c>
      <c r="D180">
        <f>'Laminates- copilot'!B64</f>
        <v>618</v>
      </c>
      <c r="E180" s="858">
        <f>'Laminates- copilot'!D64</f>
        <v>66</v>
      </c>
      <c r="F180" s="858">
        <v>250</v>
      </c>
      <c r="G180" s="858">
        <v>400</v>
      </c>
      <c r="H180" s="858">
        <v>50</v>
      </c>
      <c r="I180" s="858">
        <v>0</v>
      </c>
      <c r="J180" s="858">
        <v>600</v>
      </c>
      <c r="K180" s="858">
        <v>1000000</v>
      </c>
      <c r="L180" s="858" t="str">
        <f>'Laminates- copilot'!K64</f>
        <v>Printed</v>
      </c>
      <c r="M180" s="858" t="str">
        <f>'Laminates- copilot'!L64</f>
        <v>3-4</v>
      </c>
      <c r="N180" s="858">
        <f>'Laminates- copilot'!M64</f>
        <v>4</v>
      </c>
      <c r="O180" s="858" t="str">
        <f>'Laminates- copilot'!O64</f>
        <v>Marma</v>
      </c>
      <c r="P180" s="858" t="str">
        <f>'Laminates- copilot'!N64</f>
        <v>Europe to Europe</v>
      </c>
      <c r="Q180" s="858">
        <f t="shared" si="32"/>
        <v>400000</v>
      </c>
      <c r="R180" s="858">
        <f t="shared" si="33"/>
        <v>400000</v>
      </c>
      <c r="S180" s="858">
        <f>IFERROR('Laminates- copilot'!Q64/'Laminates- copilot'!P64*Q180,"")</f>
        <v>20668.799999999996</v>
      </c>
      <c r="T180" s="203">
        <f>IFERROR('Laminates- copilot'!R64/'Laminates- copilot'!P64*Q180,"")</f>
        <v>359923.52455999993</v>
      </c>
      <c r="U180" s="912">
        <f>IFERROR('Laminates- copilot'!S64/'Laminates- copilot'!P64*Q180,"")</f>
        <v>417511.28848959989</v>
      </c>
      <c r="V180" s="913">
        <f t="shared" si="34"/>
        <v>17.413856854776281</v>
      </c>
      <c r="W180" s="914">
        <f t="shared" si="35"/>
        <v>20.200073951540485</v>
      </c>
      <c r="X180" s="913">
        <f t="shared" si="36"/>
        <v>0.8998088113999998</v>
      </c>
      <c r="Y180" s="913">
        <f t="shared" si="37"/>
        <v>17.413856854776281</v>
      </c>
      <c r="Z180" s="95">
        <f t="shared" si="38"/>
        <v>24192</v>
      </c>
      <c r="AA180" s="50" t="str">
        <f t="shared" si="39"/>
        <v>MOQ OK</v>
      </c>
      <c r="AB180" s="923">
        <f t="shared" si="40"/>
        <v>0.65559128937677469</v>
      </c>
      <c r="AC180" s="924">
        <f t="shared" si="41"/>
        <v>0.7604858956770586</v>
      </c>
      <c r="AD180" s="203">
        <f t="shared" si="42"/>
        <v>655591.28937677469</v>
      </c>
      <c r="AE180" s="912">
        <f t="shared" si="43"/>
        <v>760485.89567705861</v>
      </c>
      <c r="AF180" s="923" cm="1">
        <f t="array" ref="AF180">IF(O180="Quantum",IFERROR(_xlfn.LET(_xlpm.b,_xlfn.SWITCH(LOWER(B180),"zipper bag","Zipper pouch","open bag","Open pouch","sup with zipper","Stand-up pouch","stand-up pouch","Stand-up pouch",B180),_xlpm.w,G180,_xlpm.q,K180,_xlpm.types,'Converting-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missing"),IFERROR(_xlfn.LET(_xlpm.s,O180,_xlpm.b,_xlfn.SWITCH(LOWER(B180),"zipper bag","Zipper pouch","open bag","Open pouch",B180),_xlpm.w,G180,_xlpm.q,K180,_xlpm.src,'Converting-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180" s="923">
        <f>IFERROR(IF(OR(B180="Zipper pouch",B180="SUP with zipper"),HELPER!$DE$2*(AH180+AI180)/K180,HELPER!$DE$2*AH180/K180),"Data is missing")</f>
        <v>5.7444528683999992E-4</v>
      </c>
      <c r="AH180" s="923">
        <f t="shared" si="44"/>
        <v>0.8998088113999998</v>
      </c>
      <c r="AI180" s="923">
        <f>IF(OR(B180="Zipper pouch",B180="SUP with zipper"),HELPER!$DC$2*G180/1000,"")</f>
        <v>5.7599999999999991E-2</v>
      </c>
      <c r="AJ180" s="923" cm="1">
        <f t="array" ref="AJ180">IF(INDEX('Laminates- copilot'!$E$6:$E$257,ROUNDUP((ROW()-5)/3,0))+50&gt;IF(O180="Quantum",760,1220),"Width exceeds supplier maximum",IFERROR(AF180+AG180+N(AI180)+AH180*G180/1000/MAX(1,MIN(MAX(2,INT(900/INDEX('Laminates- copilot'!$E$6:$E$257,ROUNDUP((ROW()-5)/3,0)))),INT((IF(O180="Quantum",760,1220)-50)/INDEX('Laminates- copilot'!$E$6:$E$257,ROUNDUP((ROW()-5)/3,0))))),"Data is missing"))</f>
        <v>0.49169346703258099</v>
      </c>
      <c r="AK180" s="203">
        <f t="shared" si="45"/>
        <v>655.59128937677474</v>
      </c>
      <c r="AL180" t="str">
        <f t="shared" si="46"/>
        <v>PASS</v>
      </c>
      <c r="AM180" s="50" t="str">
        <f t="shared" si="47"/>
        <v/>
      </c>
    </row>
    <row r="181" spans="1:39" hidden="1">
      <c r="A181" t="s">
        <v>1809</v>
      </c>
      <c r="B181" t="s">
        <v>261</v>
      </c>
      <c r="C181" s="50" t="s">
        <v>1626</v>
      </c>
      <c r="D181">
        <f>'Laminates- copilot'!B64</f>
        <v>618</v>
      </c>
      <c r="E181" s="858">
        <f>'Laminates- copilot'!D64</f>
        <v>66</v>
      </c>
      <c r="F181" s="858">
        <v>250</v>
      </c>
      <c r="G181" s="858">
        <v>400</v>
      </c>
      <c r="H181" s="858">
        <v>50</v>
      </c>
      <c r="I181" s="858">
        <v>0</v>
      </c>
      <c r="J181" s="858">
        <v>600</v>
      </c>
      <c r="K181" s="858">
        <v>1000000</v>
      </c>
      <c r="L181" s="858" t="str">
        <f>'Laminates- copilot'!K64</f>
        <v>Printed</v>
      </c>
      <c r="M181" s="858" t="str">
        <f>'Laminates- copilot'!L64</f>
        <v>3-4</v>
      </c>
      <c r="N181" s="858">
        <f>'Laminates- copilot'!M64</f>
        <v>4</v>
      </c>
      <c r="O181" s="858" t="str">
        <f>'Laminates- copilot'!O64</f>
        <v>Marma</v>
      </c>
      <c r="P181" s="858" t="str">
        <f>'Laminates- copilot'!N64</f>
        <v>Europe to Europe</v>
      </c>
      <c r="Q181" s="858">
        <f t="shared" si="32"/>
        <v>400000</v>
      </c>
      <c r="R181" s="858">
        <f t="shared" si="33"/>
        <v>400000</v>
      </c>
      <c r="S181" s="858">
        <f>IFERROR('Laminates- copilot'!Q64/'Laminates- copilot'!P64*Q181,"")</f>
        <v>20668.799999999996</v>
      </c>
      <c r="T181" s="203">
        <f>IFERROR('Laminates- copilot'!R64/'Laminates- copilot'!P64*Q181,"")</f>
        <v>359923.52455999993</v>
      </c>
      <c r="U181" s="912">
        <f>IFERROR('Laminates- copilot'!S64/'Laminates- copilot'!P64*Q181,"")</f>
        <v>417511.28848959989</v>
      </c>
      <c r="V181" s="913">
        <f t="shared" si="34"/>
        <v>17.413856854776281</v>
      </c>
      <c r="W181" s="914">
        <f t="shared" si="35"/>
        <v>20.200073951540485</v>
      </c>
      <c r="X181" s="913">
        <f t="shared" si="36"/>
        <v>0.8998088113999998</v>
      </c>
      <c r="Y181" s="913">
        <f t="shared" si="37"/>
        <v>17.413856854776281</v>
      </c>
      <c r="Z181" s="95">
        <f t="shared" si="38"/>
        <v>24192</v>
      </c>
      <c r="AA181" s="50" t="str">
        <f t="shared" si="39"/>
        <v>MOQ OK</v>
      </c>
      <c r="AB181" s="923">
        <f t="shared" si="40"/>
        <v>0.64795015002831835</v>
      </c>
      <c r="AC181" s="924">
        <f t="shared" si="41"/>
        <v>0.75162217403284926</v>
      </c>
      <c r="AD181" s="203">
        <f t="shared" si="42"/>
        <v>647950.1500283184</v>
      </c>
      <c r="AE181" s="912">
        <f t="shared" si="43"/>
        <v>751622.17403284926</v>
      </c>
      <c r="AF181" s="923" cm="1">
        <f t="array" ref="AF181">IF(O181="Quantum",IFERROR(_xlfn.LET(_xlpm.b,_xlfn.SWITCH(LOWER(B181),"zipper bag","Zipper pouch","open bag","Open pouch","sup with zipper","Stand-up pouch","stand-up pouch","Stand-up pouch",B181),_xlpm.w,G181,_xlpm.q,K181,_xlpm.types,'Converting-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missing"),IFERROR(_xlfn.LET(_xlpm.s,O181,_xlpm.b,_xlfn.SWITCH(LOWER(B181),"zipper bag","Zipper pouch","open bag","Open pouch",B181),_xlpm.w,G181,_xlpm.q,K181,_xlpm.src,'Converting-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181" s="923">
        <f>IFERROR(IF(OR(B181="Zipper pouch",B181="SUP with zipper"),HELPER!$DE$2*(AH181+AI181)/K181,HELPER!$DE$2*AH181/K181),"Data is missing")</f>
        <v>5.7444528683999992E-4</v>
      </c>
      <c r="AH181" s="923">
        <f t="shared" si="44"/>
        <v>0.8998088113999998</v>
      </c>
      <c r="AI181" s="923">
        <f>IF(OR(B181="Zipper pouch",B181="SUP with zipper"),HELPER!$DC$2*G181/1000,"")</f>
        <v>5.7599999999999991E-2</v>
      </c>
      <c r="AJ181" s="923" cm="1">
        <f t="array" ref="AJ181">IF(INDEX('Laminates- copilot'!$E$6:$E$257,ROUNDUP((ROW()-5)/3,0))+50&gt;IF(O181="Quantum",760,1220),"Width exceeds supplier maximum",IFERROR(AF181+AG181+N(AI181)+AH181*G181/1000/MAX(1,MIN(MAX(2,INT(900/INDEX('Laminates- copilot'!$E$6:$E$257,ROUNDUP((ROW()-5)/3,0)))),INT((IF(O181="Quantum",760,1220)-50)/INDEX('Laminates- copilot'!$E$6:$E$257,ROUNDUP((ROW()-5)/3,0))))),"Data is missing"))</f>
        <v>0.48596261252123873</v>
      </c>
      <c r="AK181" s="203">
        <f t="shared" si="45"/>
        <v>647.95015002831838</v>
      </c>
      <c r="AL181" t="str">
        <f t="shared" si="46"/>
        <v>PASS</v>
      </c>
      <c r="AM181" s="50" t="str">
        <f t="shared" si="47"/>
        <v/>
      </c>
    </row>
    <row r="182" spans="1:39" hidden="1">
      <c r="A182" t="s">
        <v>1810</v>
      </c>
      <c r="B182" t="s">
        <v>262</v>
      </c>
      <c r="C182" s="50" t="s">
        <v>1626</v>
      </c>
      <c r="D182">
        <f>'Laminates- copilot'!B64</f>
        <v>618</v>
      </c>
      <c r="E182" s="858">
        <f>'Laminates- copilot'!D64</f>
        <v>66</v>
      </c>
      <c r="F182" s="858">
        <v>250</v>
      </c>
      <c r="G182" s="858">
        <v>400</v>
      </c>
      <c r="H182" s="858">
        <v>0</v>
      </c>
      <c r="I182" s="858">
        <v>15</v>
      </c>
      <c r="J182" s="858">
        <v>515</v>
      </c>
      <c r="K182" s="858">
        <v>1000000</v>
      </c>
      <c r="L182" s="858" t="str">
        <f>'Laminates- copilot'!K64</f>
        <v>Printed</v>
      </c>
      <c r="M182" s="858" t="str">
        <f>'Laminates- copilot'!L64</f>
        <v>3-4</v>
      </c>
      <c r="N182" s="858">
        <f>'Laminates- copilot'!M64</f>
        <v>4</v>
      </c>
      <c r="O182" s="858" t="str">
        <f>'Laminates- copilot'!O64</f>
        <v>Marma</v>
      </c>
      <c r="P182" s="858" t="str">
        <f>'Laminates- copilot'!N64</f>
        <v>Europe to Europe</v>
      </c>
      <c r="Q182" s="858">
        <f t="shared" si="32"/>
        <v>400000</v>
      </c>
      <c r="R182" s="858">
        <f t="shared" si="33"/>
        <v>400000</v>
      </c>
      <c r="S182" s="858">
        <f>IFERROR('Laminates- copilot'!Q64/'Laminates- copilot'!P64*Q182,"")</f>
        <v>20668.799999999996</v>
      </c>
      <c r="T182" s="203">
        <f>IFERROR('Laminates- copilot'!R64/'Laminates- copilot'!P64*Q182,"")</f>
        <v>359923.52455999993</v>
      </c>
      <c r="U182" s="912">
        <f>IFERROR('Laminates- copilot'!S64/'Laminates- copilot'!P64*Q182,"")</f>
        <v>417511.28848959989</v>
      </c>
      <c r="V182" s="913">
        <f t="shared" si="34"/>
        <v>17.413856854776281</v>
      </c>
      <c r="W182" s="914">
        <f t="shared" si="35"/>
        <v>20.200073951540485</v>
      </c>
      <c r="X182" s="913">
        <f t="shared" si="36"/>
        <v>0.8998088113999998</v>
      </c>
      <c r="Y182" s="913">
        <f t="shared" si="37"/>
        <v>17.413856854776281</v>
      </c>
      <c r="Z182" s="95">
        <f t="shared" si="38"/>
        <v>24192</v>
      </c>
      <c r="AA182" s="50" t="str">
        <f t="shared" si="39"/>
        <v>MOQ OK</v>
      </c>
      <c r="AB182" s="923">
        <f t="shared" si="40"/>
        <v>0.56100560973030145</v>
      </c>
      <c r="AC182" s="924">
        <f t="shared" si="41"/>
        <v>0.65076650728714969</v>
      </c>
      <c r="AD182" s="203">
        <f t="shared" si="42"/>
        <v>561005.60973030142</v>
      </c>
      <c r="AE182" s="912">
        <f t="shared" si="43"/>
        <v>650766.50728714955</v>
      </c>
      <c r="AF182" s="923" cm="1">
        <f t="array" ref="AF182">IF(O182="Quantum",IFERROR(_xlfn.LET(_xlpm.b,_xlfn.SWITCH(LOWER(B182),"zipper bag","Zipper pouch","open bag","Open pouch","sup with zipper","Stand-up pouch","stand-up pouch","Stand-up pouch",B182),_xlpm.w,G182,_xlpm.q,K182,_xlpm.types,'Converting-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missing"),IFERROR(_xlfn.LET(_xlpm.s,O182,_xlpm.b,_xlfn.SWITCH(LOWER(B182),"zipper bag","Zipper pouch","open bag","Open pouch",B182),_xlpm.w,G182,_xlpm.q,K182,_xlpm.src,'Converting-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182" s="923">
        <f>IFERROR(IF(OR(B182="Zipper pouch",B182="SUP with zipper"),HELPER!$DE$2*(AH182+AI182)/K182,HELPER!$DE$2*AH182/K182),"Data is missing")</f>
        <v>5.3988528683999993E-4</v>
      </c>
      <c r="AH182" s="923">
        <f t="shared" si="44"/>
        <v>0.8998088113999998</v>
      </c>
      <c r="AI182" s="923" t="str">
        <f>IF(OR(B182="Zipper pouch",B182="SUP with zipper"),HELPER!$DC$2*G182/1000,"")</f>
        <v/>
      </c>
      <c r="AJ182" s="923" cm="1">
        <f t="array" ref="AJ182">IF(INDEX('Laminates- copilot'!$E$6:$E$257,ROUNDUP((ROW()-5)/3,0))+50&gt;IF(O182="Quantum",760,1220),"Width exceeds supplier maximum",IFERROR(AF182+AG182+N(AI182)+AH182*G182/1000/MAX(1,MIN(MAX(2,INT(900/INDEX('Laminates- copilot'!$E$6:$E$257,ROUNDUP((ROW()-5)/3,0)))),INT((IF(O182="Quantum",760,1220)-50)/INDEX('Laminates- copilot'!$E$6:$E$257,ROUNDUP((ROW()-5)/3,0))))),"Data is missing"))</f>
        <v>0.42075420729772606</v>
      </c>
      <c r="AK182" s="203">
        <f t="shared" si="45"/>
        <v>561.00560973030144</v>
      </c>
      <c r="AL182" t="str">
        <f t="shared" si="46"/>
        <v>PASS</v>
      </c>
      <c r="AM182" s="50" t="str">
        <f t="shared" si="47"/>
        <v/>
      </c>
    </row>
    <row r="183" spans="1:39" hidden="1">
      <c r="A183" t="s">
        <v>1811</v>
      </c>
      <c r="B183" t="s">
        <v>251</v>
      </c>
      <c r="C183" s="50" t="s">
        <v>1627</v>
      </c>
      <c r="D183">
        <f>'Laminates- copilot'!B65</f>
        <v>618</v>
      </c>
      <c r="E183" s="858">
        <f>'Laminates- copilot'!D65</f>
        <v>51</v>
      </c>
      <c r="F183" s="858">
        <v>350</v>
      </c>
      <c r="G183" s="858">
        <v>500</v>
      </c>
      <c r="H183" s="858">
        <v>100</v>
      </c>
      <c r="I183" s="858">
        <v>0</v>
      </c>
      <c r="J183" s="858">
        <v>900</v>
      </c>
      <c r="K183" s="858">
        <v>1600000</v>
      </c>
      <c r="L183" s="858" t="str">
        <f>'Laminates- copilot'!K65</f>
        <v>Printed</v>
      </c>
      <c r="M183" s="858" t="str">
        <f>'Laminates- copilot'!L65</f>
        <v>1-2</v>
      </c>
      <c r="N183" s="858">
        <f>'Laminates- copilot'!M65</f>
        <v>2</v>
      </c>
      <c r="O183" s="858" t="str">
        <f>'Laminates- copilot'!O65</f>
        <v>Quantum</v>
      </c>
      <c r="P183" s="858" t="str">
        <f>'Laminates- copilot'!N65</f>
        <v>Europe to Europe</v>
      </c>
      <c r="Q183" s="858">
        <f t="shared" si="32"/>
        <v>800000</v>
      </c>
      <c r="R183" s="858">
        <f t="shared" si="33"/>
        <v>800000</v>
      </c>
      <c r="S183" s="858">
        <f>IFERROR('Laminates- copilot'!Q65/'Laminates- copilot'!P65*Q183,"")</f>
        <v>24253.200000000001</v>
      </c>
      <c r="T183" s="203">
        <f>IFERROR('Laminates- copilot'!R65/'Laminates- copilot'!P65*Q183,"")</f>
        <v>895325.9575670273</v>
      </c>
      <c r="U183" s="912">
        <f>IFERROR('Laminates- copilot'!S65/'Laminates- copilot'!P65*Q183,"")</f>
        <v>1038578.1107777517</v>
      </c>
      <c r="V183" s="913">
        <f t="shared" si="34"/>
        <v>36.915786682459519</v>
      </c>
      <c r="W183" s="914">
        <f t="shared" si="35"/>
        <v>42.822312551653042</v>
      </c>
      <c r="X183" s="913">
        <f t="shared" si="36"/>
        <v>1.1191574469587842</v>
      </c>
      <c r="Y183" s="913">
        <f t="shared" si="37"/>
        <v>36.915786682459519</v>
      </c>
      <c r="Z183" s="95">
        <f t="shared" si="38"/>
        <v>32986</v>
      </c>
      <c r="AA183" s="50" t="str">
        <f t="shared" si="39"/>
        <v>MOQ OK</v>
      </c>
      <c r="AB183" s="923">
        <f t="shared" si="40"/>
        <v>1.1981510896944412</v>
      </c>
      <c r="AC183" s="924">
        <f t="shared" si="41"/>
        <v>1.3898552640455517</v>
      </c>
      <c r="AD183" s="203">
        <f t="shared" si="42"/>
        <v>1917041.7435111059</v>
      </c>
      <c r="AE183" s="912">
        <f t="shared" si="43"/>
        <v>2223768.4224728826</v>
      </c>
      <c r="AF183" s="923" cm="1">
        <f t="array" ref="AF183">IF(O183="Quantum",IFERROR(_xlfn.LET(_xlpm.b,_xlfn.SWITCH(LOWER(B183),"zipper bag","Zipper pouch","open bag","Open pouch","sup with zipper","Stand-up pouch","stand-up pouch","Stand-up pouch",B183),_xlpm.w,G183,_xlpm.q,K183,_xlpm.types,'Converting-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missing"),IFERROR(_xlfn.LET(_xlpm.s,O183,_xlpm.b,_xlfn.SWITCH(LOWER(B183),"zipper bag","Zipper pouch","open bag","Open pouch",B183),_xlpm.w,G183,_xlpm.q,K183,_xlpm.src,'Converting-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183" s="923">
        <f>IFERROR(IF(OR(B183="Zipper pouch",B183="SUP with zipper"),HELPER!$DE$2*(AH183+AI183)/K183,HELPER!$DE$2*AH183/K183),"Data is missing")</f>
        <v>4.4668404260954413E-4</v>
      </c>
      <c r="AH183" s="923">
        <f t="shared" si="44"/>
        <v>1.1191574469587842</v>
      </c>
      <c r="AI183" s="923">
        <f>IF(OR(B183="Zipper pouch",B183="SUP with zipper"),HELPER!$DC$2*G183/1000,"")</f>
        <v>7.1999999999999995E-2</v>
      </c>
      <c r="AJ183" s="923" cm="1">
        <f t="array" ref="AJ183">IF(INDEX('Laminates- copilot'!$E$6:$E$257,ROUNDUP((ROW()-5)/3,0))+50&gt;IF(O183="Quantum",760,1220),"Width exceeds supplier maximum",IFERROR(AF183+AG183+N(AI183)+AH183*G183/1000/MAX(1,MIN(MAX(2,INT(900/INDEX('Laminates- copilot'!$E$6:$E$257,ROUNDUP((ROW()-5)/3,0)))),INT((IF(O183="Quantum",760,1220)-50)/INDEX('Laminates- copilot'!$E$6:$E$257,ROUNDUP((ROW()-5)/3,0))))),"Data is missing"))</f>
        <v>0.89861331727083094</v>
      </c>
      <c r="AK183" s="203">
        <f t="shared" si="45"/>
        <v>1198.1510896944412</v>
      </c>
      <c r="AL183" t="str">
        <f t="shared" si="46"/>
        <v>PASS</v>
      </c>
      <c r="AM183" s="50" t="str">
        <f t="shared" si="47"/>
        <v/>
      </c>
    </row>
    <row r="184" spans="1:39" hidden="1">
      <c r="A184" t="s">
        <v>1812</v>
      </c>
      <c r="B184" t="s">
        <v>261</v>
      </c>
      <c r="C184" s="50" t="s">
        <v>1627</v>
      </c>
      <c r="D184">
        <f>'Laminates- copilot'!B65</f>
        <v>618</v>
      </c>
      <c r="E184" s="858">
        <f>'Laminates- copilot'!D65</f>
        <v>51</v>
      </c>
      <c r="F184" s="858">
        <v>350</v>
      </c>
      <c r="G184" s="858">
        <v>500</v>
      </c>
      <c r="H184" s="858">
        <v>100</v>
      </c>
      <c r="I184" s="858">
        <v>0</v>
      </c>
      <c r="J184" s="858">
        <v>900</v>
      </c>
      <c r="K184" s="858">
        <v>1600000</v>
      </c>
      <c r="L184" s="858" t="str">
        <f>'Laminates- copilot'!K65</f>
        <v>Printed</v>
      </c>
      <c r="M184" s="858" t="str">
        <f>'Laminates- copilot'!L65</f>
        <v>1-2</v>
      </c>
      <c r="N184" s="858">
        <f>'Laminates- copilot'!M65</f>
        <v>2</v>
      </c>
      <c r="O184" s="858" t="str">
        <f>'Laminates- copilot'!O65</f>
        <v>Quantum</v>
      </c>
      <c r="P184" s="858" t="str">
        <f>'Laminates- copilot'!N65</f>
        <v>Europe to Europe</v>
      </c>
      <c r="Q184" s="858">
        <f t="shared" si="32"/>
        <v>800000</v>
      </c>
      <c r="R184" s="858">
        <f t="shared" si="33"/>
        <v>800000</v>
      </c>
      <c r="S184" s="858">
        <f>IFERROR('Laminates- copilot'!Q65/'Laminates- copilot'!P65*Q184,"")</f>
        <v>24253.200000000001</v>
      </c>
      <c r="T184" s="203">
        <f>IFERROR('Laminates- copilot'!R65/'Laminates- copilot'!P65*Q184,"")</f>
        <v>895325.9575670273</v>
      </c>
      <c r="U184" s="912">
        <f>IFERROR('Laminates- copilot'!S65/'Laminates- copilot'!P65*Q184,"")</f>
        <v>1038578.1107777517</v>
      </c>
      <c r="V184" s="913">
        <f t="shared" si="34"/>
        <v>36.915786682459519</v>
      </c>
      <c r="W184" s="914">
        <f t="shared" si="35"/>
        <v>42.822312551653042</v>
      </c>
      <c r="X184" s="913">
        <f t="shared" si="36"/>
        <v>1.1191574469587842</v>
      </c>
      <c r="Y184" s="913">
        <f t="shared" si="37"/>
        <v>36.915786682459519</v>
      </c>
      <c r="Z184" s="95">
        <f t="shared" si="38"/>
        <v>32986</v>
      </c>
      <c r="AA184" s="50" t="str">
        <f t="shared" si="39"/>
        <v>MOQ OK</v>
      </c>
      <c r="AB184" s="923">
        <f t="shared" si="40"/>
        <v>1.1587332128989569</v>
      </c>
      <c r="AC184" s="924">
        <f t="shared" si="41"/>
        <v>1.3441305269627899</v>
      </c>
      <c r="AD184" s="203">
        <f t="shared" si="42"/>
        <v>1853973.1406383312</v>
      </c>
      <c r="AE184" s="912">
        <f t="shared" si="43"/>
        <v>2150608.8431404638</v>
      </c>
      <c r="AF184" s="923" cm="1">
        <f t="array" ref="AF184">IF(O184="Quantum",IFERROR(_xlfn.LET(_xlpm.b,_xlfn.SWITCH(LOWER(B184),"zipper bag","Zipper pouch","open bag","Open pouch","sup with zipper","Stand-up pouch","stand-up pouch","Stand-up pouch",B184),_xlpm.w,G184,_xlpm.q,K184,_xlpm.types,'Converting-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missing"),IFERROR(_xlfn.LET(_xlpm.s,O184,_xlpm.b,_xlfn.SWITCH(LOWER(B184),"zipper bag","Zipper pouch","open bag","Open pouch",B184),_xlpm.w,G184,_xlpm.q,K184,_xlpm.src,'Converting-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184" s="923">
        <f>IFERROR(IF(OR(B184="Zipper pouch",B184="SUP with zipper"),HELPER!$DE$2*(AH184+AI184)/K184,HELPER!$DE$2*AH184/K184),"Data is missing")</f>
        <v>4.4668404260954413E-4</v>
      </c>
      <c r="AH184" s="923">
        <f t="shared" si="44"/>
        <v>1.1191574469587842</v>
      </c>
      <c r="AI184" s="923">
        <f>IF(OR(B184="Zipper pouch",B184="SUP with zipper"),HELPER!$DC$2*G184/1000,"")</f>
        <v>7.1999999999999995E-2</v>
      </c>
      <c r="AJ184" s="923" cm="1">
        <f t="array" ref="AJ184">IF(INDEX('Laminates- copilot'!$E$6:$E$257,ROUNDUP((ROW()-5)/3,0))+50&gt;IF(O184="Quantum",760,1220),"Width exceeds supplier maximum",IFERROR(AF184+AG184+N(AI184)+AH184*G184/1000/MAX(1,MIN(MAX(2,INT(900/INDEX('Laminates- copilot'!$E$6:$E$257,ROUNDUP((ROW()-5)/3,0)))),INT((IF(O184="Quantum",760,1220)-50)/INDEX('Laminates- copilot'!$E$6:$E$257,ROUNDUP((ROW()-5)/3,0))))),"Data is missing"))</f>
        <v>0.86904990967421769</v>
      </c>
      <c r="AK184" s="203">
        <f t="shared" si="45"/>
        <v>1158.7332128989569</v>
      </c>
      <c r="AL184" t="str">
        <f t="shared" si="46"/>
        <v>PASS</v>
      </c>
      <c r="AM184" s="50" t="str">
        <f t="shared" si="47"/>
        <v/>
      </c>
    </row>
    <row r="185" spans="1:39" hidden="1">
      <c r="A185" t="s">
        <v>1813</v>
      </c>
      <c r="B185" t="s">
        <v>262</v>
      </c>
      <c r="C185" s="50" t="s">
        <v>1627</v>
      </c>
      <c r="D185">
        <f>'Laminates- copilot'!B65</f>
        <v>618</v>
      </c>
      <c r="E185" s="858">
        <f>'Laminates- copilot'!D65</f>
        <v>51</v>
      </c>
      <c r="F185" s="858">
        <v>350</v>
      </c>
      <c r="G185" s="858">
        <v>500</v>
      </c>
      <c r="H185" s="858">
        <v>0</v>
      </c>
      <c r="I185" s="858">
        <v>25</v>
      </c>
      <c r="J185" s="858">
        <v>725</v>
      </c>
      <c r="K185" s="858">
        <v>1600000</v>
      </c>
      <c r="L185" s="858" t="str">
        <f>'Laminates- copilot'!K65</f>
        <v>Printed</v>
      </c>
      <c r="M185" s="858" t="str">
        <f>'Laminates- copilot'!L65</f>
        <v>1-2</v>
      </c>
      <c r="N185" s="858">
        <f>'Laminates- copilot'!M65</f>
        <v>2</v>
      </c>
      <c r="O185" s="858" t="str">
        <f>'Laminates- copilot'!O65</f>
        <v>Quantum</v>
      </c>
      <c r="P185" s="858" t="str">
        <f>'Laminates- copilot'!N65</f>
        <v>Europe to Europe</v>
      </c>
      <c r="Q185" s="858">
        <f t="shared" si="32"/>
        <v>800000</v>
      </c>
      <c r="R185" s="858">
        <f t="shared" si="33"/>
        <v>800000</v>
      </c>
      <c r="S185" s="858">
        <f>IFERROR('Laminates- copilot'!Q65/'Laminates- copilot'!P65*Q185,"")</f>
        <v>24253.200000000001</v>
      </c>
      <c r="T185" s="203">
        <f>IFERROR('Laminates- copilot'!R65/'Laminates- copilot'!P65*Q185,"")</f>
        <v>895325.9575670273</v>
      </c>
      <c r="U185" s="912">
        <f>IFERROR('Laminates- copilot'!S65/'Laminates- copilot'!P65*Q185,"")</f>
        <v>1038578.1107777517</v>
      </c>
      <c r="V185" s="913">
        <f t="shared" si="34"/>
        <v>36.915786682459519</v>
      </c>
      <c r="W185" s="914">
        <f t="shared" si="35"/>
        <v>42.822312551653042</v>
      </c>
      <c r="X185" s="913">
        <f t="shared" si="36"/>
        <v>1.1191574469587842</v>
      </c>
      <c r="Y185" s="913">
        <f t="shared" si="37"/>
        <v>36.915786682459519</v>
      </c>
      <c r="Z185" s="95">
        <f t="shared" si="38"/>
        <v>32986</v>
      </c>
      <c r="AA185" s="50" t="str">
        <f t="shared" si="39"/>
        <v>MOQ OK</v>
      </c>
      <c r="AB185" s="923">
        <f t="shared" si="40"/>
        <v>1.0309330264050982</v>
      </c>
      <c r="AC185" s="924">
        <f t="shared" si="41"/>
        <v>1.1958823106299139</v>
      </c>
      <c r="AD185" s="203">
        <f t="shared" si="42"/>
        <v>1649492.8422481571</v>
      </c>
      <c r="AE185" s="912">
        <f t="shared" si="43"/>
        <v>1913411.6970078622</v>
      </c>
      <c r="AF185" s="923" cm="1">
        <f t="array" ref="AF185">IF(O185="Quantum",IFERROR(_xlfn.LET(_xlpm.b,_xlfn.SWITCH(LOWER(B185),"zipper bag","Zipper pouch","open bag","Open pouch","sup with zipper","Stand-up pouch","stand-up pouch","Stand-up pouch",B185),_xlpm.w,G185,_xlpm.q,K185,_xlpm.types,'Converting-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missing"),IFERROR(_xlfn.LET(_xlpm.s,O185,_xlpm.b,_xlfn.SWITCH(LOWER(B185),"zipper bag","Zipper pouch","open bag","Open pouch",B185),_xlpm.w,G185,_xlpm.q,K185,_xlpm.src,'Converting-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185" s="923">
        <f>IFERROR(IF(OR(B185="Zipper pouch",B185="SUP with zipper"),HELPER!$DE$2*(AH185+AI185)/K185,HELPER!$DE$2*AH185/K185),"Data is missing")</f>
        <v>4.1968404260954407E-4</v>
      </c>
      <c r="AH185" s="923">
        <f t="shared" si="44"/>
        <v>1.1191574469587842</v>
      </c>
      <c r="AI185" s="923" t="str">
        <f>IF(OR(B185="Zipper pouch",B185="SUP with zipper"),HELPER!$DC$2*G185/1000,"")</f>
        <v/>
      </c>
      <c r="AJ185" s="923" cm="1">
        <f t="array" ref="AJ185">IF(INDEX('Laminates- copilot'!$E$6:$E$257,ROUNDUP((ROW()-5)/3,0))+50&gt;IF(O185="Quantum",760,1220),"Width exceeds supplier maximum",IFERROR(AF185+AG185+N(AI185)+AH185*G185/1000/MAX(1,MIN(MAX(2,INT(900/INDEX('Laminates- copilot'!$E$6:$E$257,ROUNDUP((ROW()-5)/3,0)))),INT((IF(O185="Quantum",760,1220)-50)/INDEX('Laminates- copilot'!$E$6:$E$257,ROUNDUP((ROW()-5)/3,0))))),"Data is missing"))</f>
        <v>0.77319976980382366</v>
      </c>
      <c r="AK185" s="203">
        <f t="shared" si="45"/>
        <v>1030.9330264050982</v>
      </c>
      <c r="AL185" t="str">
        <f t="shared" si="46"/>
        <v>PASS</v>
      </c>
      <c r="AM185" s="50" t="str">
        <f t="shared" si="47"/>
        <v/>
      </c>
    </row>
    <row r="186" spans="1:39" hidden="1">
      <c r="A186" t="s">
        <v>1814</v>
      </c>
      <c r="B186" t="s">
        <v>251</v>
      </c>
      <c r="C186" s="50" t="s">
        <v>2203</v>
      </c>
      <c r="D186" t="str">
        <f>'Laminates- copilot'!B66</f>
        <v>618 W</v>
      </c>
      <c r="E186" s="858">
        <f>'Laminates- copilot'!D66</f>
        <v>51</v>
      </c>
      <c r="F186" s="858">
        <v>100</v>
      </c>
      <c r="G186" s="858">
        <v>100</v>
      </c>
      <c r="H186" s="858">
        <v>20</v>
      </c>
      <c r="I186" s="858">
        <v>0</v>
      </c>
      <c r="J186" s="858">
        <v>240</v>
      </c>
      <c r="K186" s="858">
        <v>25000</v>
      </c>
      <c r="L186" s="858" t="str">
        <f>'Laminates- copilot'!K66</f>
        <v>Not Printed</v>
      </c>
      <c r="M186" s="858" t="str">
        <f>'Laminates- copilot'!L66</f>
        <v>0</v>
      </c>
      <c r="N186" s="858">
        <f>'Laminates- copilot'!M66</f>
        <v>1</v>
      </c>
      <c r="O186" s="858" t="str">
        <f>'Laminates- copilot'!O66</f>
        <v>Marma</v>
      </c>
      <c r="P186" s="858" t="str">
        <f>'Laminates- copilot'!N66</f>
        <v>Europe to Europe</v>
      </c>
      <c r="Q186" s="858">
        <f t="shared" si="32"/>
        <v>2500</v>
      </c>
      <c r="R186" s="858">
        <f t="shared" si="33"/>
        <v>2500</v>
      </c>
      <c r="S186" s="858">
        <f>IFERROR('Laminates- copilot'!Q66/'Laminates- copilot'!P66*Q186,"")</f>
        <v>20.211000000000002</v>
      </c>
      <c r="T186" s="203">
        <f>IFERROR('Laminates- copilot'!R66/'Laminates- copilot'!P66*Q186,"")</f>
        <v>221.53377739669136</v>
      </c>
      <c r="U186" s="912">
        <f>IFERROR('Laminates- copilot'!S66/'Laminates- copilot'!P66*Q186,"")</f>
        <v>256.97918178016198</v>
      </c>
      <c r="V186" s="913">
        <f t="shared" si="34"/>
        <v>10.961049794502564</v>
      </c>
      <c r="W186" s="914">
        <f t="shared" si="35"/>
        <v>12.714817761622975</v>
      </c>
      <c r="X186" s="913">
        <f t="shared" si="36"/>
        <v>8.8613510958676547E-2</v>
      </c>
      <c r="Y186" s="913">
        <f t="shared" si="37"/>
        <v>10.961049794502564</v>
      </c>
      <c r="Z186" s="95">
        <f t="shared" si="38"/>
        <v>618476</v>
      </c>
      <c r="AA186" s="50" t="str">
        <f t="shared" si="39"/>
        <v>Below MOQ by 593,476 bags</v>
      </c>
      <c r="AB186" s="923">
        <f t="shared" si="40"/>
        <v>7.5115062885018111E-2</v>
      </c>
      <c r="AC186" s="924">
        <f t="shared" si="41"/>
        <v>8.7133472946621007E-2</v>
      </c>
      <c r="AD186" s="203">
        <f t="shared" si="42"/>
        <v>1877.8765721254529</v>
      </c>
      <c r="AE186" s="912">
        <f t="shared" si="43"/>
        <v>2178.3368236655251</v>
      </c>
      <c r="AF186" s="923" cm="1">
        <f t="array" ref="AF186">IF(O186="Quantum",IFERROR(_xlfn.LET(_xlpm.b,_xlfn.SWITCH(LOWER(B186),"zipper bag","Zipper pouch","open bag","Open pouch","sup with zipper","Stand-up pouch","stand-up pouch","Stand-up pouch",B186),_xlpm.w,G186,_xlpm.q,K186,_xlpm.types,'Converting-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missing"),IFERROR(_xlfn.LET(_xlpm.s,O186,_xlpm.b,_xlfn.SWITCH(LOWER(B186),"zipper bag","Zipper pouch","open bag","Open pouch",B186),_xlpm.w,G186,_xlpm.q,K186,_xlpm.src,'Converting-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186" s="923">
        <f>IFERROR(IF(OR(B186="Zipper pouch",B186="SUP with zipper"),HELPER!$DE$2*(AH186+AI186)/K186,HELPER!$DE$2*AH186/K186),"Data is missing")</f>
        <v>2.4723242630082369E-3</v>
      </c>
      <c r="AH186" s="923">
        <f t="shared" si="44"/>
        <v>8.8613510958676547E-2</v>
      </c>
      <c r="AI186" s="923">
        <f>IF(OR(B186="Zipper pouch",B186="SUP with zipper"),HELPER!$DC$2*G186/1000,"")</f>
        <v>1.4399999999999998E-2</v>
      </c>
      <c r="AJ186" s="923" cm="1">
        <f t="array" ref="AJ186">IF(INDEX('Laminates- copilot'!$E$6:$E$257,ROUNDUP((ROW()-5)/3,0))+50&gt;IF(O186="Quantum",760,1220),"Width exceeds supplier maximum",IFERROR(AF186+AG186+N(AI186)+AH186*G186/1000/MAX(1,MIN(MAX(2,INT(900/INDEX('Laminates- copilot'!$E$6:$E$257,ROUNDUP((ROW()-5)/3,0)))),INT((IF(O186="Quantum",760,1220)-50)/INDEX('Laminates- copilot'!$E$6:$E$257,ROUNDUP((ROW()-5)/3,0))))),"Data is missing"))</f>
        <v>5.633629716376358E-2</v>
      </c>
      <c r="AK186" s="203">
        <f t="shared" si="45"/>
        <v>75.115062885018105</v>
      </c>
      <c r="AL186" t="str">
        <f t="shared" si="46"/>
        <v>PASS</v>
      </c>
      <c r="AM186" s="50" t="str">
        <f t="shared" si="47"/>
        <v/>
      </c>
    </row>
    <row r="187" spans="1:39" hidden="1">
      <c r="A187" t="s">
        <v>1815</v>
      </c>
      <c r="B187" t="s">
        <v>261</v>
      </c>
      <c r="C187" s="50" t="s">
        <v>2203</v>
      </c>
      <c r="D187" t="str">
        <f>'Laminates- copilot'!B66</f>
        <v>618 W</v>
      </c>
      <c r="E187" s="858">
        <f>'Laminates- copilot'!D66</f>
        <v>51</v>
      </c>
      <c r="F187" s="858">
        <v>100</v>
      </c>
      <c r="G187" s="858">
        <v>100</v>
      </c>
      <c r="H187" s="858">
        <v>20</v>
      </c>
      <c r="I187" s="858">
        <v>0</v>
      </c>
      <c r="J187" s="858">
        <v>240</v>
      </c>
      <c r="K187" s="858">
        <v>25000</v>
      </c>
      <c r="L187" s="858" t="str">
        <f>'Laminates- copilot'!K66</f>
        <v>Not Printed</v>
      </c>
      <c r="M187" s="858" t="str">
        <f>'Laminates- copilot'!L66</f>
        <v>0</v>
      </c>
      <c r="N187" s="858">
        <f>'Laminates- copilot'!M66</f>
        <v>1</v>
      </c>
      <c r="O187" s="858" t="str">
        <f>'Laminates- copilot'!O66</f>
        <v>Marma</v>
      </c>
      <c r="P187" s="858" t="str">
        <f>'Laminates- copilot'!N66</f>
        <v>Europe to Europe</v>
      </c>
      <c r="Q187" s="858">
        <f t="shared" si="32"/>
        <v>2500</v>
      </c>
      <c r="R187" s="858">
        <f t="shared" si="33"/>
        <v>2500</v>
      </c>
      <c r="S187" s="858">
        <f>IFERROR('Laminates- copilot'!Q66/'Laminates- copilot'!P66*Q187,"")</f>
        <v>20.211000000000002</v>
      </c>
      <c r="T187" s="203">
        <f>IFERROR('Laminates- copilot'!R66/'Laminates- copilot'!P66*Q187,"")</f>
        <v>221.53377739669136</v>
      </c>
      <c r="U187" s="912">
        <f>IFERROR('Laminates- copilot'!S66/'Laminates- copilot'!P66*Q187,"")</f>
        <v>256.97918178016198</v>
      </c>
      <c r="V187" s="913">
        <f t="shared" si="34"/>
        <v>10.961049794502564</v>
      </c>
      <c r="W187" s="914">
        <f t="shared" si="35"/>
        <v>12.714817761622975</v>
      </c>
      <c r="X187" s="913">
        <f t="shared" si="36"/>
        <v>8.8613510958676547E-2</v>
      </c>
      <c r="Y187" s="913">
        <f t="shared" si="37"/>
        <v>10.961049794502564</v>
      </c>
      <c r="Z187" s="95">
        <f t="shared" si="38"/>
        <v>618476</v>
      </c>
      <c r="AA187" s="50" t="str">
        <f t="shared" si="39"/>
        <v>Below MOQ by 593,476 bags</v>
      </c>
      <c r="AB187" s="923">
        <f t="shared" si="40"/>
        <v>7.16897245563997E-2</v>
      </c>
      <c r="AC187" s="924">
        <f t="shared" si="41"/>
        <v>8.3160080485423643E-2</v>
      </c>
      <c r="AD187" s="203">
        <f t="shared" si="42"/>
        <v>1792.2431139099924</v>
      </c>
      <c r="AE187" s="912">
        <f t="shared" si="43"/>
        <v>2079.002012135591</v>
      </c>
      <c r="AF187" s="923" cm="1">
        <f t="array" ref="AF187">IF(O187="Quantum",IFERROR(_xlfn.LET(_xlpm.b,_xlfn.SWITCH(LOWER(B187),"zipper bag","Zipper pouch","open bag","Open pouch","sup with zipper","Stand-up pouch","stand-up pouch","Stand-up pouch",B187),_xlpm.w,G187,_xlpm.q,K187,_xlpm.types,'Converting-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missing"),IFERROR(_xlfn.LET(_xlpm.s,O187,_xlpm.b,_xlfn.SWITCH(LOWER(B187),"zipper bag","Zipper pouch","open bag","Open pouch",B187),_xlpm.w,G187,_xlpm.q,K187,_xlpm.src,'Converting-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187" s="923">
        <f>IFERROR(IF(OR(B187="Zipper pouch",B187="SUP with zipper"),HELPER!$DE$2*(AH187+AI187)/K187,HELPER!$DE$2*AH187/K187),"Data is missing")</f>
        <v>2.4723242630082369E-3</v>
      </c>
      <c r="AH187" s="923">
        <f t="shared" si="44"/>
        <v>8.8613510958676547E-2</v>
      </c>
      <c r="AI187" s="923">
        <f>IF(OR(B187="Zipper pouch",B187="SUP with zipper"),HELPER!$DC$2*G187/1000,"")</f>
        <v>1.4399999999999998E-2</v>
      </c>
      <c r="AJ187" s="923" cm="1">
        <f t="array" ref="AJ187">IF(INDEX('Laminates- copilot'!$E$6:$E$257,ROUNDUP((ROW()-5)/3,0))+50&gt;IF(O187="Quantum",760,1220),"Width exceeds supplier maximum",IFERROR(AF187+AG187+N(AI187)+AH187*G187/1000/MAX(1,MIN(MAX(2,INT(900/INDEX('Laminates- copilot'!$E$6:$E$257,ROUNDUP((ROW()-5)/3,0)))),INT((IF(O187="Quantum",760,1220)-50)/INDEX('Laminates- copilot'!$E$6:$E$257,ROUNDUP((ROW()-5)/3,0))))),"Data is missing"))</f>
        <v>5.3767293417299779E-2</v>
      </c>
      <c r="AK187" s="203">
        <f t="shared" si="45"/>
        <v>71.689724556399696</v>
      </c>
      <c r="AL187" t="str">
        <f t="shared" si="46"/>
        <v>PASS</v>
      </c>
      <c r="AM187" s="50" t="str">
        <f t="shared" si="47"/>
        <v/>
      </c>
    </row>
    <row r="188" spans="1:39" hidden="1">
      <c r="A188" t="s">
        <v>1816</v>
      </c>
      <c r="B188" t="s">
        <v>262</v>
      </c>
      <c r="C188" s="50" t="s">
        <v>2203</v>
      </c>
      <c r="D188" t="str">
        <f>'Laminates- copilot'!B66</f>
        <v>618 W</v>
      </c>
      <c r="E188" s="858">
        <f>'Laminates- copilot'!D66</f>
        <v>51</v>
      </c>
      <c r="F188" s="858">
        <v>100</v>
      </c>
      <c r="G188" s="858">
        <v>100</v>
      </c>
      <c r="H188" s="858">
        <v>0</v>
      </c>
      <c r="I188" s="858">
        <v>0</v>
      </c>
      <c r="J188" s="858">
        <v>200</v>
      </c>
      <c r="K188" s="858">
        <v>25000</v>
      </c>
      <c r="L188" s="858" t="str">
        <f>'Laminates- copilot'!K66</f>
        <v>Not Printed</v>
      </c>
      <c r="M188" s="858" t="str">
        <f>'Laminates- copilot'!L66</f>
        <v>0</v>
      </c>
      <c r="N188" s="858">
        <f>'Laminates- copilot'!M66</f>
        <v>1</v>
      </c>
      <c r="O188" s="858" t="str">
        <f>'Laminates- copilot'!O66</f>
        <v>Marma</v>
      </c>
      <c r="P188" s="858" t="str">
        <f>'Laminates- copilot'!N66</f>
        <v>Europe to Europe</v>
      </c>
      <c r="Q188" s="858">
        <f t="shared" si="32"/>
        <v>2500</v>
      </c>
      <c r="R188" s="858">
        <f t="shared" si="33"/>
        <v>2500</v>
      </c>
      <c r="S188" s="858">
        <f>IFERROR('Laminates- copilot'!Q66/'Laminates- copilot'!P66*Q188,"")</f>
        <v>20.211000000000002</v>
      </c>
      <c r="T188" s="203">
        <f>IFERROR('Laminates- copilot'!R66/'Laminates- copilot'!P66*Q188,"")</f>
        <v>221.53377739669136</v>
      </c>
      <c r="U188" s="912">
        <f>IFERROR('Laminates- copilot'!S66/'Laminates- copilot'!P66*Q188,"")</f>
        <v>256.97918178016198</v>
      </c>
      <c r="V188" s="913">
        <f t="shared" si="34"/>
        <v>10.961049794502564</v>
      </c>
      <c r="W188" s="914">
        <f t="shared" si="35"/>
        <v>12.714817761622975</v>
      </c>
      <c r="X188" s="913">
        <f t="shared" si="36"/>
        <v>8.8613510958676547E-2</v>
      </c>
      <c r="Y188" s="913">
        <f t="shared" si="37"/>
        <v>10.961049794502564</v>
      </c>
      <c r="Z188" s="95">
        <f t="shared" si="38"/>
        <v>618476</v>
      </c>
      <c r="AA188" s="50" t="str">
        <f t="shared" si="39"/>
        <v>Below MOQ by 593,476 bags</v>
      </c>
      <c r="AB188" s="923">
        <f t="shared" si="40"/>
        <v>4.8258320208534093E-2</v>
      </c>
      <c r="AC188" s="924">
        <f t="shared" si="41"/>
        <v>5.5979651441899543E-2</v>
      </c>
      <c r="AD188" s="203">
        <f t="shared" si="42"/>
        <v>1206.4580052133524</v>
      </c>
      <c r="AE188" s="912">
        <f t="shared" si="43"/>
        <v>1399.4912860474888</v>
      </c>
      <c r="AF188" s="923" cm="1">
        <f t="array" ref="AF188">IF(O188="Quantum",IFERROR(_xlfn.LET(_xlpm.b,_xlfn.SWITCH(LOWER(B188),"zipper bag","Zipper pouch","open bag","Open pouch","sup with zipper","Stand-up pouch","stand-up pouch","Stand-up pouch",B188),_xlpm.w,G188,_xlpm.q,K188,_xlpm.types,'Converting-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missing"),IFERROR(_xlfn.LET(_xlpm.s,O188,_xlpm.b,_xlfn.SWITCH(LOWER(B188),"zipper bag","Zipper pouch","open bag","Open pouch",B188),_xlpm.w,G188,_xlpm.q,K188,_xlpm.src,'Converting-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188" s="923">
        <f>IFERROR(IF(OR(B188="Zipper pouch",B188="SUP with zipper"),HELPER!$DE$2*(AH188+AI188)/K188,HELPER!$DE$2*AH188/K188),"Data is missing")</f>
        <v>2.1267242630082371E-3</v>
      </c>
      <c r="AH188" s="923">
        <f t="shared" si="44"/>
        <v>8.8613510958676547E-2</v>
      </c>
      <c r="AI188" s="923" t="str">
        <f>IF(OR(B188="Zipper pouch",B188="SUP with zipper"),HELPER!$DC$2*G188/1000,"")</f>
        <v/>
      </c>
      <c r="AJ188" s="923" cm="1">
        <f t="array" ref="AJ188">IF(INDEX('Laminates- copilot'!$E$6:$E$257,ROUNDUP((ROW()-5)/3,0))+50&gt;IF(O188="Quantum",760,1220),"Width exceeds supplier maximum",IFERROR(AF188+AG188+N(AI188)+AH188*G188/1000/MAX(1,MIN(MAX(2,INT(900/INDEX('Laminates- copilot'!$E$6:$E$257,ROUNDUP((ROW()-5)/3,0)))),INT((IF(O188="Quantum",760,1220)-50)/INDEX('Laminates- copilot'!$E$6:$E$257,ROUNDUP((ROW()-5)/3,0))))),"Data is missing"))</f>
        <v>3.6193740156400568E-2</v>
      </c>
      <c r="AK188" s="203">
        <f t="shared" si="45"/>
        <v>48.258320208534094</v>
      </c>
      <c r="AL188" t="str">
        <f t="shared" si="46"/>
        <v>PASS</v>
      </c>
      <c r="AM188" s="50" t="str">
        <f t="shared" si="47"/>
        <v/>
      </c>
    </row>
    <row r="189" spans="1:39" hidden="1">
      <c r="A189" t="s">
        <v>1817</v>
      </c>
      <c r="B189" t="s">
        <v>251</v>
      </c>
      <c r="C189" s="50" t="s">
        <v>2204</v>
      </c>
      <c r="D189" t="str">
        <f>'Laminates- copilot'!B67</f>
        <v>618 W</v>
      </c>
      <c r="E189" s="858">
        <f>'Laminates- copilot'!D67</f>
        <v>51</v>
      </c>
      <c r="F189" s="858">
        <v>150</v>
      </c>
      <c r="G189" s="858">
        <v>150</v>
      </c>
      <c r="H189" s="858">
        <v>25</v>
      </c>
      <c r="I189" s="858">
        <v>0</v>
      </c>
      <c r="J189" s="858">
        <v>350</v>
      </c>
      <c r="K189" s="858">
        <v>25000</v>
      </c>
      <c r="L189" s="858" t="str">
        <f>'Laminates- copilot'!K67</f>
        <v>Printed</v>
      </c>
      <c r="M189" s="858" t="str">
        <f>'Laminates- copilot'!L67</f>
        <v>1-2</v>
      </c>
      <c r="N189" s="858">
        <f>'Laminates- copilot'!M67</f>
        <v>1</v>
      </c>
      <c r="O189" s="858" t="str">
        <f>'Laminates- copilot'!O67</f>
        <v>Bastin</v>
      </c>
      <c r="P189" s="858" t="str">
        <f>'Laminates- copilot'!N67</f>
        <v>Europe to US</v>
      </c>
      <c r="Q189" s="858">
        <f t="shared" si="32"/>
        <v>3750</v>
      </c>
      <c r="R189" s="858">
        <f t="shared" si="33"/>
        <v>3750</v>
      </c>
      <c r="S189" s="858">
        <f>IFERROR('Laminates- copilot'!Q67/'Laminates- copilot'!P67*Q189,"")</f>
        <v>30.316500000000001</v>
      </c>
      <c r="T189" s="203">
        <f>IFERROR('Laminates- copilot'!R67/'Laminates- copilot'!P67*Q189,"")</f>
        <v>16220.029801906809</v>
      </c>
      <c r="U189" s="912">
        <f>IFERROR('Laminates- copilot'!S67/'Laminates- copilot'!P67*Q189,"")</f>
        <v>18815.234570211898</v>
      </c>
      <c r="V189" s="913">
        <f t="shared" si="34"/>
        <v>535.02316566578622</v>
      </c>
      <c r="W189" s="914">
        <f t="shared" si="35"/>
        <v>620.62687217231201</v>
      </c>
      <c r="X189" s="913">
        <f t="shared" si="36"/>
        <v>4.3253412805084821</v>
      </c>
      <c r="Y189" s="913">
        <f t="shared" si="37"/>
        <v>535.02316566578622</v>
      </c>
      <c r="Z189" s="95">
        <f t="shared" si="38"/>
        <v>412317</v>
      </c>
      <c r="AA189" s="50" t="str">
        <f t="shared" si="39"/>
        <v>Below MOQ by 387,317 bags</v>
      </c>
      <c r="AB189" s="923">
        <f t="shared" si="40"/>
        <v>0.36676351722153894</v>
      </c>
      <c r="AC189" s="924">
        <f t="shared" si="41"/>
        <v>0.42544567997698512</v>
      </c>
      <c r="AD189" s="203">
        <f t="shared" si="42"/>
        <v>9169.0879305384733</v>
      </c>
      <c r="AE189" s="912">
        <f t="shared" si="43"/>
        <v>10636.141999424628</v>
      </c>
      <c r="AF189" s="923" cm="1">
        <f t="array" ref="AF189">IF(O189="Quantum",IFERROR(_xlfn.LET(_xlpm.b,_xlfn.SWITCH(LOWER(B189),"zipper bag","Zipper pouch","open bag","Open pouch","sup with zipper","Stand-up pouch","stand-up pouch","Stand-up pouch",B189),_xlpm.w,G189,_xlpm.q,K189,_xlpm.types,'Converting-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missing"),IFERROR(_xlfn.LET(_xlpm.s,O189,_xlpm.b,_xlfn.SWITCH(LOWER(B189),"zipper bag","Zipper pouch","open bag","Open pouch",B189),_xlpm.w,G189,_xlpm.q,K189,_xlpm.src,'Converting-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189" s="923">
        <f>IFERROR(IF(OR(B189="Zipper pouch",B189="SUP with zipper"),HELPER!$DE$2*(AH189+AI189)/K189,HELPER!$DE$2*AH189/K189),"Data is missing")</f>
        <v>0.10432659073220359</v>
      </c>
      <c r="AH189" s="923">
        <f t="shared" si="44"/>
        <v>4.3253412805084821</v>
      </c>
      <c r="AI189" s="923">
        <f>IF(OR(B189="Zipper pouch",B189="SUP with zipper"),HELPER!$DC$2*G189/1000,"")</f>
        <v>2.1599999999999998E-2</v>
      </c>
      <c r="AJ189" s="923" cm="1">
        <f t="array" ref="AJ189">IF(INDEX('Laminates- copilot'!$E$6:$E$257,ROUNDUP((ROW()-5)/3,0))+50&gt;IF(O189="Quantum",760,1220),"Width exceeds supplier maximum",IFERROR(AF189+AG189+N(AI189)+AH189*G189/1000/MAX(1,MIN(MAX(2,INT(900/INDEX('Laminates- copilot'!$E$6:$E$257,ROUNDUP((ROW()-5)/3,0)))),INT((IF(O189="Quantum",760,1220)-50)/INDEX('Laminates- copilot'!$E$6:$E$257,ROUNDUP((ROW()-5)/3,0))))),"Data is missing"))</f>
        <v>0.27507263791615422</v>
      </c>
      <c r="AK189" s="203">
        <f t="shared" si="45"/>
        <v>366.76351722153896</v>
      </c>
      <c r="AL189" t="str">
        <f t="shared" si="46"/>
        <v>PASS</v>
      </c>
      <c r="AM189" s="50" t="str">
        <f t="shared" si="47"/>
        <v/>
      </c>
    </row>
    <row r="190" spans="1:39" hidden="1">
      <c r="A190" t="s">
        <v>1818</v>
      </c>
      <c r="B190" t="s">
        <v>261</v>
      </c>
      <c r="C190" s="50" t="s">
        <v>2204</v>
      </c>
      <c r="D190" t="str">
        <f>'Laminates- copilot'!B67</f>
        <v>618 W</v>
      </c>
      <c r="E190" s="858">
        <f>'Laminates- copilot'!D67</f>
        <v>51</v>
      </c>
      <c r="F190" s="858">
        <v>150</v>
      </c>
      <c r="G190" s="858">
        <v>150</v>
      </c>
      <c r="H190" s="858">
        <v>25</v>
      </c>
      <c r="I190" s="858">
        <v>0</v>
      </c>
      <c r="J190" s="858">
        <v>350</v>
      </c>
      <c r="K190" s="858">
        <v>25000</v>
      </c>
      <c r="L190" s="858" t="str">
        <f>'Laminates- copilot'!K67</f>
        <v>Printed</v>
      </c>
      <c r="M190" s="858" t="str">
        <f>'Laminates- copilot'!L67</f>
        <v>1-2</v>
      </c>
      <c r="N190" s="858">
        <f>'Laminates- copilot'!M67</f>
        <v>1</v>
      </c>
      <c r="O190" s="858" t="str">
        <f>'Laminates- copilot'!O67</f>
        <v>Bastin</v>
      </c>
      <c r="P190" s="858" t="str">
        <f>'Laminates- copilot'!N67</f>
        <v>Europe to US</v>
      </c>
      <c r="Q190" s="858">
        <f t="shared" si="32"/>
        <v>3750</v>
      </c>
      <c r="R190" s="858">
        <f t="shared" si="33"/>
        <v>3750</v>
      </c>
      <c r="S190" s="858">
        <f>IFERROR('Laminates- copilot'!Q67/'Laminates- copilot'!P67*Q190,"")</f>
        <v>30.316500000000001</v>
      </c>
      <c r="T190" s="203">
        <f>IFERROR('Laminates- copilot'!R67/'Laminates- copilot'!P67*Q190,"")</f>
        <v>16220.029801906809</v>
      </c>
      <c r="U190" s="912">
        <f>IFERROR('Laminates- copilot'!S67/'Laminates- copilot'!P67*Q190,"")</f>
        <v>18815.234570211898</v>
      </c>
      <c r="V190" s="913">
        <f t="shared" si="34"/>
        <v>535.02316566578622</v>
      </c>
      <c r="W190" s="914">
        <f t="shared" si="35"/>
        <v>620.62687217231201</v>
      </c>
      <c r="X190" s="913">
        <f t="shared" si="36"/>
        <v>4.3253412805084821</v>
      </c>
      <c r="Y190" s="913">
        <f t="shared" si="37"/>
        <v>535.02316566578622</v>
      </c>
      <c r="Z190" s="95">
        <f t="shared" si="38"/>
        <v>412317</v>
      </c>
      <c r="AA190" s="50" t="str">
        <f t="shared" si="39"/>
        <v>Below MOQ by 387,317 bags</v>
      </c>
      <c r="AB190" s="923">
        <f t="shared" si="40"/>
        <v>0.36159810702198242</v>
      </c>
      <c r="AC190" s="924">
        <f t="shared" si="41"/>
        <v>0.4194538041454996</v>
      </c>
      <c r="AD190" s="203">
        <f t="shared" si="42"/>
        <v>9039.9526755495608</v>
      </c>
      <c r="AE190" s="912">
        <f t="shared" si="43"/>
        <v>10486.34510363749</v>
      </c>
      <c r="AF190" s="923" cm="1">
        <f t="array" ref="AF190">IF(O190="Quantum",IFERROR(_xlfn.LET(_xlpm.b,_xlfn.SWITCH(LOWER(B190),"zipper bag","Zipper pouch","open bag","Open pouch","sup with zipper","Stand-up pouch","stand-up pouch","Stand-up pouch",B190),_xlpm.w,G190,_xlpm.q,K190,_xlpm.types,'Converting-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missing"),IFERROR(_xlfn.LET(_xlpm.s,O190,_xlpm.b,_xlfn.SWITCH(LOWER(B190),"zipper bag","Zipper pouch","open bag","Open pouch",B190),_xlpm.w,G190,_xlpm.q,K190,_xlpm.src,'Converting-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90" s="923">
        <f>IFERROR(IF(OR(B190="Zipper pouch",B190="SUP with zipper"),HELPER!$DE$2*(AH190+AI190)/K190,HELPER!$DE$2*AH190/K190),"Data is missing")</f>
        <v>0.10432659073220359</v>
      </c>
      <c r="AH190" s="923">
        <f t="shared" si="44"/>
        <v>4.3253412805084821</v>
      </c>
      <c r="AI190" s="923">
        <f>IF(OR(B190="Zipper pouch",B190="SUP with zipper"),HELPER!$DC$2*G190/1000,"")</f>
        <v>2.1599999999999998E-2</v>
      </c>
      <c r="AJ190" s="923" cm="1">
        <f t="array" ref="AJ190">IF(INDEX('Laminates- copilot'!$E$6:$E$257,ROUNDUP((ROW()-5)/3,0))+50&gt;IF(O190="Quantum",760,1220),"Width exceeds supplier maximum",IFERROR(AF190+AG190+N(AI190)+AH190*G190/1000/MAX(1,MIN(MAX(2,INT(900/INDEX('Laminates- copilot'!$E$6:$E$257,ROUNDUP((ROW()-5)/3,0)))),INT((IF(O190="Quantum",760,1220)-50)/INDEX('Laminates- copilot'!$E$6:$E$257,ROUNDUP((ROW()-5)/3,0))))),"Data is missing"))</f>
        <v>0.2711985802664868</v>
      </c>
      <c r="AK190" s="203">
        <f t="shared" si="45"/>
        <v>361.5981070219824</v>
      </c>
      <c r="AL190" t="str">
        <f t="shared" si="46"/>
        <v>PASS</v>
      </c>
      <c r="AM190" s="50" t="str">
        <f t="shared" si="47"/>
        <v/>
      </c>
    </row>
    <row r="191" spans="1:39" hidden="1">
      <c r="A191" t="s">
        <v>1819</v>
      </c>
      <c r="B191" t="s">
        <v>262</v>
      </c>
      <c r="C191" s="50" t="s">
        <v>2204</v>
      </c>
      <c r="D191" t="str">
        <f>'Laminates- copilot'!B67</f>
        <v>618 W</v>
      </c>
      <c r="E191" s="858">
        <f>'Laminates- copilot'!D67</f>
        <v>51</v>
      </c>
      <c r="F191" s="858">
        <v>150</v>
      </c>
      <c r="G191" s="858">
        <v>150</v>
      </c>
      <c r="H191" s="858">
        <v>0</v>
      </c>
      <c r="I191" s="858">
        <v>0</v>
      </c>
      <c r="J191" s="858">
        <v>300</v>
      </c>
      <c r="K191" s="858">
        <v>25000</v>
      </c>
      <c r="L191" s="858" t="str">
        <f>'Laminates- copilot'!K67</f>
        <v>Printed</v>
      </c>
      <c r="M191" s="858" t="str">
        <f>'Laminates- copilot'!L67</f>
        <v>1-2</v>
      </c>
      <c r="N191" s="858">
        <f>'Laminates- copilot'!M67</f>
        <v>1</v>
      </c>
      <c r="O191" s="858" t="str">
        <f>'Laminates- copilot'!O67</f>
        <v>Bastin</v>
      </c>
      <c r="P191" s="858" t="str">
        <f>'Laminates- copilot'!N67</f>
        <v>Europe to US</v>
      </c>
      <c r="Q191" s="858">
        <f t="shared" si="32"/>
        <v>3750</v>
      </c>
      <c r="R191" s="858">
        <f t="shared" si="33"/>
        <v>3750</v>
      </c>
      <c r="S191" s="858">
        <f>IFERROR('Laminates- copilot'!Q67/'Laminates- copilot'!P67*Q191,"")</f>
        <v>30.316500000000001</v>
      </c>
      <c r="T191" s="203">
        <f>IFERROR('Laminates- copilot'!R67/'Laminates- copilot'!P67*Q191,"")</f>
        <v>16220.029801906809</v>
      </c>
      <c r="U191" s="912">
        <f>IFERROR('Laminates- copilot'!S67/'Laminates- copilot'!P67*Q191,"")</f>
        <v>18815.234570211898</v>
      </c>
      <c r="V191" s="913">
        <f t="shared" si="34"/>
        <v>535.02316566578622</v>
      </c>
      <c r="W191" s="914">
        <f t="shared" si="35"/>
        <v>620.62687217231201</v>
      </c>
      <c r="X191" s="913">
        <f t="shared" si="36"/>
        <v>4.3253412805084821</v>
      </c>
      <c r="Y191" s="913">
        <f t="shared" si="37"/>
        <v>535.02316566578622</v>
      </c>
      <c r="Z191" s="95">
        <f t="shared" si="38"/>
        <v>412317</v>
      </c>
      <c r="AA191" s="50" t="str">
        <f t="shared" si="39"/>
        <v>Below MOQ by 387,317 bags</v>
      </c>
      <c r="AB191" s="923">
        <f t="shared" si="40"/>
        <v>0.32627286818572626</v>
      </c>
      <c r="AC191" s="924">
        <f t="shared" si="41"/>
        <v>0.37847652709544244</v>
      </c>
      <c r="AD191" s="203">
        <f t="shared" si="42"/>
        <v>8156.8217046431564</v>
      </c>
      <c r="AE191" s="912">
        <f t="shared" si="43"/>
        <v>9461.9131773860609</v>
      </c>
      <c r="AF191" s="923" cm="1">
        <f t="array" ref="AF191">IF(O191="Quantum",IFERROR(_xlfn.LET(_xlpm.b,_xlfn.SWITCH(LOWER(B191),"zipper bag","Zipper pouch","open bag","Open pouch","sup with zipper","Stand-up pouch","stand-up pouch","Stand-up pouch",B191),_xlpm.w,G191,_xlpm.q,K191,_xlpm.types,'Converting-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missing"),IFERROR(_xlfn.LET(_xlpm.s,O191,_xlpm.b,_xlfn.SWITCH(LOWER(B191),"zipper bag","Zipper pouch","open bag","Open pouch",B191),_xlpm.w,G191,_xlpm.q,K191,_xlpm.src,'Converting-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91" s="923">
        <f>IFERROR(IF(OR(B191="Zipper pouch",B191="SUP with zipper"),HELPER!$DE$2*(AH191+AI191)/K191,HELPER!$DE$2*AH191/K191),"Data is missing")</f>
        <v>0.10380819073220357</v>
      </c>
      <c r="AH191" s="923">
        <f t="shared" si="44"/>
        <v>4.3253412805084821</v>
      </c>
      <c r="AI191" s="923" t="str">
        <f>IF(OR(B191="Zipper pouch",B191="SUP with zipper"),HELPER!$DC$2*G191/1000,"")</f>
        <v/>
      </c>
      <c r="AJ191" s="923" cm="1">
        <f t="array" ref="AJ191">IF(INDEX('Laminates- copilot'!$E$6:$E$257,ROUNDUP((ROW()-5)/3,0))+50&gt;IF(O191="Quantum",760,1220),"Width exceeds supplier maximum",IFERROR(AF191+AG191+N(AI191)+AH191*G191/1000/MAX(1,MIN(MAX(2,INT(900/INDEX('Laminates- copilot'!$E$6:$E$257,ROUNDUP((ROW()-5)/3,0)))),INT((IF(O191="Quantum",760,1220)-50)/INDEX('Laminates- copilot'!$E$6:$E$257,ROUNDUP((ROW()-5)/3,0))))),"Data is missing"))</f>
        <v>0.24470465113929468</v>
      </c>
      <c r="AK191" s="203">
        <f t="shared" si="45"/>
        <v>326.27286818572628</v>
      </c>
      <c r="AL191" t="str">
        <f t="shared" si="46"/>
        <v>PASS</v>
      </c>
      <c r="AM191" s="50" t="str">
        <f t="shared" si="47"/>
        <v/>
      </c>
    </row>
    <row r="192" spans="1:39" hidden="1">
      <c r="A192" t="s">
        <v>1820</v>
      </c>
      <c r="B192" t="s">
        <v>251</v>
      </c>
      <c r="C192" s="50" t="s">
        <v>2205</v>
      </c>
      <c r="D192" t="str">
        <f>'Laminates- copilot'!B68</f>
        <v>618 W</v>
      </c>
      <c r="E192" s="858">
        <f>'Laminates- copilot'!D68</f>
        <v>66</v>
      </c>
      <c r="F192" s="858">
        <v>250</v>
      </c>
      <c r="G192" s="858">
        <v>200</v>
      </c>
      <c r="H192" s="858">
        <v>40</v>
      </c>
      <c r="I192" s="858">
        <v>0</v>
      </c>
      <c r="J192" s="858">
        <v>580</v>
      </c>
      <c r="K192" s="858">
        <v>50000</v>
      </c>
      <c r="L192" s="858" t="str">
        <f>'Laminates- copilot'!K68</f>
        <v>Printed</v>
      </c>
      <c r="M192" s="858" t="str">
        <f>'Laminates- copilot'!L68</f>
        <v>3-4</v>
      </c>
      <c r="N192" s="858">
        <f>'Laminates- copilot'!M68</f>
        <v>4</v>
      </c>
      <c r="O192" s="858" t="str">
        <f>'Laminates- copilot'!O68</f>
        <v>Quantum</v>
      </c>
      <c r="P192" s="858" t="str">
        <f>'Laminates- copilot'!N68</f>
        <v>Europe to Europe</v>
      </c>
      <c r="Q192" s="858">
        <f t="shared" si="32"/>
        <v>10000</v>
      </c>
      <c r="R192" s="858">
        <f t="shared" si="33"/>
        <v>10000</v>
      </c>
      <c r="S192" s="858">
        <f>IFERROR('Laminates- copilot'!Q68/'Laminates- copilot'!P68*Q192,"")</f>
        <v>301.42000000000007</v>
      </c>
      <c r="T192" s="203">
        <f>IFERROR('Laminates- copilot'!R68/'Laminates- copilot'!P68*Q192,"")</f>
        <v>7231.8033081927133</v>
      </c>
      <c r="U192" s="912">
        <f>IFERROR('Laminates- copilot'!S68/'Laminates- copilot'!P68*Q192,"")</f>
        <v>8388.8918375035464</v>
      </c>
      <c r="V192" s="913">
        <f t="shared" si="34"/>
        <v>23.992446779220728</v>
      </c>
      <c r="W192" s="914">
        <f t="shared" si="35"/>
        <v>27.83123826389604</v>
      </c>
      <c r="X192" s="913">
        <f t="shared" si="36"/>
        <v>0.72318033081927136</v>
      </c>
      <c r="Y192" s="913">
        <f t="shared" si="37"/>
        <v>23.992446779220728</v>
      </c>
      <c r="Z192" s="95">
        <f t="shared" si="38"/>
        <v>82941</v>
      </c>
      <c r="AA192" s="50" t="str">
        <f t="shared" si="39"/>
        <v>Below MOQ by 32,941 bags</v>
      </c>
      <c r="AB192" s="923">
        <f t="shared" si="40"/>
        <v>0.30255318931436376</v>
      </c>
      <c r="AC192" s="924">
        <f t="shared" si="41"/>
        <v>0.35096169960466195</v>
      </c>
      <c r="AD192" s="203">
        <f t="shared" si="42"/>
        <v>15127.659465718189</v>
      </c>
      <c r="AE192" s="912">
        <f t="shared" si="43"/>
        <v>17548.084980233096</v>
      </c>
      <c r="AF192" s="923" cm="1">
        <f t="array" ref="AF192">IF(O192="Quantum",IFERROR(_xlfn.LET(_xlpm.b,_xlfn.SWITCH(LOWER(B192),"zipper bag","Zipper pouch","open bag","Open pouch","sup with zipper","Stand-up pouch","stand-up pouch","Stand-up pouch",B192),_xlpm.w,G192,_xlpm.q,K192,_xlpm.types,'Converting-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missing"),IFERROR(_xlfn.LET(_xlpm.s,O192,_xlpm.b,_xlfn.SWITCH(LOWER(B192),"zipper bag","Zipper pouch","open bag","Open pouch",B192),_xlpm.w,G192,_xlpm.q,K192,_xlpm.src,'Converting-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192" s="923">
        <f>IFERROR(IF(OR(B192="Zipper pouch",B192="SUP with zipper"),HELPER!$DE$2*(AH192+AI192)/K192,HELPER!$DE$2*AH192/K192),"Data is missing")</f>
        <v>9.0237639698312576E-3</v>
      </c>
      <c r="AH192" s="923">
        <f t="shared" si="44"/>
        <v>0.72318033081927136</v>
      </c>
      <c r="AI192" s="923">
        <f>IF(OR(B192="Zipper pouch",B192="SUP with zipper"),HELPER!$DC$2*G192/1000,"")</f>
        <v>2.8799999999999996E-2</v>
      </c>
      <c r="AJ192" s="923" cm="1">
        <f t="array" ref="AJ192">IF(INDEX('Laminates- copilot'!$E$6:$E$257,ROUNDUP((ROW()-5)/3,0))+50&gt;IF(O192="Quantum",760,1220),"Width exceeds supplier maximum",IFERROR(AF192+AG192+N(AI192)+AH192*G192/1000/MAX(1,MIN(MAX(2,INT(900/INDEX('Laminates- copilot'!$E$6:$E$257,ROUNDUP((ROW()-5)/3,0)))),INT((IF(O192="Quantum",760,1220)-50)/INDEX('Laminates- copilot'!$E$6:$E$257,ROUNDUP((ROW()-5)/3,0))))),"Data is missing"))</f>
        <v>0.22691489198577283</v>
      </c>
      <c r="AK192" s="203">
        <f t="shared" si="45"/>
        <v>302.55318931436375</v>
      </c>
      <c r="AL192" t="str">
        <f t="shared" si="46"/>
        <v>PASS</v>
      </c>
      <c r="AM192" s="50" t="str">
        <f t="shared" si="47"/>
        <v/>
      </c>
    </row>
    <row r="193" spans="1:39" hidden="1">
      <c r="A193" t="s">
        <v>1821</v>
      </c>
      <c r="B193" t="s">
        <v>261</v>
      </c>
      <c r="C193" s="50" t="s">
        <v>2205</v>
      </c>
      <c r="D193" t="str">
        <f>'Laminates- copilot'!B68</f>
        <v>618 W</v>
      </c>
      <c r="E193" s="858">
        <f>'Laminates- copilot'!D68</f>
        <v>66</v>
      </c>
      <c r="F193" s="858">
        <v>250</v>
      </c>
      <c r="G193" s="858">
        <v>200</v>
      </c>
      <c r="H193" s="858">
        <v>40</v>
      </c>
      <c r="I193" s="858">
        <v>0</v>
      </c>
      <c r="J193" s="858">
        <v>580</v>
      </c>
      <c r="K193" s="858">
        <v>50000</v>
      </c>
      <c r="L193" s="858" t="str">
        <f>'Laminates- copilot'!K68</f>
        <v>Printed</v>
      </c>
      <c r="M193" s="858" t="str">
        <f>'Laminates- copilot'!L68</f>
        <v>3-4</v>
      </c>
      <c r="N193" s="858">
        <f>'Laminates- copilot'!M68</f>
        <v>4</v>
      </c>
      <c r="O193" s="858" t="str">
        <f>'Laminates- copilot'!O68</f>
        <v>Quantum</v>
      </c>
      <c r="P193" s="858" t="str">
        <f>'Laminates- copilot'!N68</f>
        <v>Europe to Europe</v>
      </c>
      <c r="Q193" s="858">
        <f t="shared" si="32"/>
        <v>10000</v>
      </c>
      <c r="R193" s="858">
        <f t="shared" si="33"/>
        <v>10000</v>
      </c>
      <c r="S193" s="858">
        <f>IFERROR('Laminates- copilot'!Q68/'Laminates- copilot'!P68*Q193,"")</f>
        <v>301.42000000000007</v>
      </c>
      <c r="T193" s="203">
        <f>IFERROR('Laminates- copilot'!R68/'Laminates- copilot'!P68*Q193,"")</f>
        <v>7231.8033081927133</v>
      </c>
      <c r="U193" s="912">
        <f>IFERROR('Laminates- copilot'!S68/'Laminates- copilot'!P68*Q193,"")</f>
        <v>8388.8918375035464</v>
      </c>
      <c r="V193" s="913">
        <f t="shared" si="34"/>
        <v>23.992446779220728</v>
      </c>
      <c r="W193" s="914">
        <f t="shared" si="35"/>
        <v>27.83123826389604</v>
      </c>
      <c r="X193" s="913">
        <f t="shared" si="36"/>
        <v>0.72318033081927136</v>
      </c>
      <c r="Y193" s="913">
        <f t="shared" si="37"/>
        <v>23.992446779220728</v>
      </c>
      <c r="Z193" s="95">
        <f t="shared" si="38"/>
        <v>82941</v>
      </c>
      <c r="AA193" s="50" t="str">
        <f t="shared" si="39"/>
        <v>Below MOQ by 32,941 bags</v>
      </c>
      <c r="AB193" s="923">
        <f t="shared" si="40"/>
        <v>0.28678603859617008</v>
      </c>
      <c r="AC193" s="924">
        <f t="shared" si="41"/>
        <v>0.33267180477155728</v>
      </c>
      <c r="AD193" s="203">
        <f t="shared" si="42"/>
        <v>14339.301929808504</v>
      </c>
      <c r="AE193" s="912">
        <f t="shared" si="43"/>
        <v>16633.590238577865</v>
      </c>
      <c r="AF193" s="923" cm="1">
        <f t="array" ref="AF193">IF(O193="Quantum",IFERROR(_xlfn.LET(_xlpm.b,_xlfn.SWITCH(LOWER(B193),"zipper bag","Zipper pouch","open bag","Open pouch","sup with zipper","Stand-up pouch","stand-up pouch","Stand-up pouch",B193),_xlpm.w,G193,_xlpm.q,K193,_xlpm.types,'Converting-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missing"),IFERROR(_xlfn.LET(_xlpm.s,O193,_xlpm.b,_xlfn.SWITCH(LOWER(B193),"zipper bag","Zipper pouch","open bag","Open pouch",B193),_xlpm.w,G193,_xlpm.q,K193,_xlpm.src,'Converting-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193" s="923">
        <f>IFERROR(IF(OR(B193="Zipper pouch",B193="SUP with zipper"),HELPER!$DE$2*(AH193+AI193)/K193,HELPER!$DE$2*AH193/K193),"Data is missing")</f>
        <v>9.0237639698312576E-3</v>
      </c>
      <c r="AH193" s="923">
        <f t="shared" si="44"/>
        <v>0.72318033081927136</v>
      </c>
      <c r="AI193" s="923">
        <f>IF(OR(B193="Zipper pouch",B193="SUP with zipper"),HELPER!$DC$2*G193/1000,"")</f>
        <v>2.8799999999999996E-2</v>
      </c>
      <c r="AJ193" s="923" cm="1">
        <f t="array" ref="AJ193">IF(INDEX('Laminates- copilot'!$E$6:$E$257,ROUNDUP((ROW()-5)/3,0))+50&gt;IF(O193="Quantum",760,1220),"Width exceeds supplier maximum",IFERROR(AF193+AG193+N(AI193)+AH193*G193/1000/MAX(1,MIN(MAX(2,INT(900/INDEX('Laminates- copilot'!$E$6:$E$257,ROUNDUP((ROW()-5)/3,0)))),INT((IF(O193="Quantum",760,1220)-50)/INDEX('Laminates- copilot'!$E$6:$E$257,ROUNDUP((ROW()-5)/3,0))))),"Data is missing"))</f>
        <v>0.21508952894712757</v>
      </c>
      <c r="AK193" s="203">
        <f t="shared" si="45"/>
        <v>286.7860385961701</v>
      </c>
      <c r="AL193" t="str">
        <f t="shared" si="46"/>
        <v>PASS</v>
      </c>
      <c r="AM193" s="50" t="str">
        <f t="shared" si="47"/>
        <v/>
      </c>
    </row>
    <row r="194" spans="1:39" hidden="1">
      <c r="A194" t="s">
        <v>1822</v>
      </c>
      <c r="B194" t="s">
        <v>262</v>
      </c>
      <c r="C194" s="50" t="s">
        <v>2205</v>
      </c>
      <c r="D194" t="str">
        <f>'Laminates- copilot'!B68</f>
        <v>618 W</v>
      </c>
      <c r="E194" s="858">
        <f>'Laminates- copilot'!D68</f>
        <v>66</v>
      </c>
      <c r="F194" s="858">
        <v>250</v>
      </c>
      <c r="G194" s="858">
        <v>200</v>
      </c>
      <c r="H194" s="858">
        <v>0</v>
      </c>
      <c r="I194" s="858">
        <v>0</v>
      </c>
      <c r="J194" s="858">
        <v>500</v>
      </c>
      <c r="K194" s="858">
        <v>50000</v>
      </c>
      <c r="L194" s="858" t="str">
        <f>'Laminates- copilot'!K68</f>
        <v>Printed</v>
      </c>
      <c r="M194" s="858" t="str">
        <f>'Laminates- copilot'!L68</f>
        <v>3-4</v>
      </c>
      <c r="N194" s="858">
        <f>'Laminates- copilot'!M68</f>
        <v>4</v>
      </c>
      <c r="O194" s="858" t="str">
        <f>'Laminates- copilot'!O68</f>
        <v>Quantum</v>
      </c>
      <c r="P194" s="858" t="str">
        <f>'Laminates- copilot'!N68</f>
        <v>Europe to Europe</v>
      </c>
      <c r="Q194" s="858">
        <f t="shared" si="32"/>
        <v>10000</v>
      </c>
      <c r="R194" s="858">
        <f t="shared" si="33"/>
        <v>10000</v>
      </c>
      <c r="S194" s="858">
        <f>IFERROR('Laminates- copilot'!Q68/'Laminates- copilot'!P68*Q194,"")</f>
        <v>301.42000000000007</v>
      </c>
      <c r="T194" s="203">
        <f>IFERROR('Laminates- copilot'!R68/'Laminates- copilot'!P68*Q194,"")</f>
        <v>7231.8033081927133</v>
      </c>
      <c r="U194" s="912">
        <f>IFERROR('Laminates- copilot'!S68/'Laminates- copilot'!P68*Q194,"")</f>
        <v>8388.8918375035464</v>
      </c>
      <c r="V194" s="913">
        <f t="shared" si="34"/>
        <v>23.992446779220728</v>
      </c>
      <c r="W194" s="914">
        <f t="shared" si="35"/>
        <v>27.83123826389604</v>
      </c>
      <c r="X194" s="913">
        <f t="shared" si="36"/>
        <v>0.72318033081927136</v>
      </c>
      <c r="Y194" s="913">
        <f t="shared" si="37"/>
        <v>23.992446779220728</v>
      </c>
      <c r="Z194" s="95">
        <f t="shared" si="38"/>
        <v>82941</v>
      </c>
      <c r="AA194" s="50" t="str">
        <f t="shared" si="39"/>
        <v>Below MOQ by 32,941 bags</v>
      </c>
      <c r="AB194" s="923">
        <f t="shared" si="40"/>
        <v>0.23071381687218984</v>
      </c>
      <c r="AC194" s="924">
        <f t="shared" si="41"/>
        <v>0.2676280275717402</v>
      </c>
      <c r="AD194" s="203">
        <f t="shared" si="42"/>
        <v>11535.690843609491</v>
      </c>
      <c r="AE194" s="912">
        <f t="shared" si="43"/>
        <v>13381.401378587008</v>
      </c>
      <c r="AF194" s="923" cm="1">
        <f t="array" ref="AF194">IF(O194="Quantum",IFERROR(_xlfn.LET(_xlpm.b,_xlfn.SWITCH(LOWER(B194),"zipper bag","Zipper pouch","open bag","Open pouch","sup with zipper","Stand-up pouch","stand-up pouch","Stand-up pouch",B194),_xlpm.w,G194,_xlpm.q,K194,_xlpm.types,'Converting-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missing"),IFERROR(_xlfn.LET(_xlpm.s,O194,_xlpm.b,_xlfn.SWITCH(LOWER(B194),"zipper bag","Zipper pouch","open bag","Open pouch",B194),_xlpm.w,G194,_xlpm.q,K194,_xlpm.src,'Converting-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194" s="923">
        <f>IFERROR(IF(OR(B194="Zipper pouch",B194="SUP with zipper"),HELPER!$DE$2*(AH194+AI194)/K194,HELPER!$DE$2*AH194/K194),"Data is missing")</f>
        <v>8.6781639698312561E-3</v>
      </c>
      <c r="AH194" s="923">
        <f t="shared" si="44"/>
        <v>0.72318033081927136</v>
      </c>
      <c r="AI194" s="923" t="str">
        <f>IF(OR(B194="Zipper pouch",B194="SUP with zipper"),HELPER!$DC$2*G194/1000,"")</f>
        <v/>
      </c>
      <c r="AJ194" s="923" cm="1">
        <f t="array" ref="AJ194">IF(INDEX('Laminates- copilot'!$E$6:$E$257,ROUNDUP((ROW()-5)/3,0))+50&gt;IF(O194="Quantum",760,1220),"Width exceeds supplier maximum",IFERROR(AF194+AG194+N(AI194)+AH194*G194/1000/MAX(1,MIN(MAX(2,INT(900/INDEX('Laminates- copilot'!$E$6:$E$257,ROUNDUP((ROW()-5)/3,0)))),INT((IF(O194="Quantum",760,1220)-50)/INDEX('Laminates- copilot'!$E$6:$E$257,ROUNDUP((ROW()-5)/3,0))))),"Data is missing"))</f>
        <v>0.17303536265414238</v>
      </c>
      <c r="AK194" s="203">
        <f t="shared" si="45"/>
        <v>230.71381687218982</v>
      </c>
      <c r="AL194" t="str">
        <f t="shared" si="46"/>
        <v>PASS</v>
      </c>
      <c r="AM194" s="50" t="str">
        <f t="shared" si="47"/>
        <v/>
      </c>
    </row>
    <row r="195" spans="1:39">
      <c r="A195" t="s">
        <v>1823</v>
      </c>
      <c r="B195" t="s">
        <v>251</v>
      </c>
      <c r="C195" s="50" t="s">
        <v>2206</v>
      </c>
      <c r="D195" t="str">
        <f>'Laminates- copilot'!B69</f>
        <v>618 W</v>
      </c>
      <c r="E195" s="858">
        <f>'Laminates- copilot'!D69</f>
        <v>106</v>
      </c>
      <c r="F195" s="858">
        <v>300</v>
      </c>
      <c r="G195" s="858">
        <v>300</v>
      </c>
      <c r="H195" s="858">
        <v>50</v>
      </c>
      <c r="I195" s="858">
        <v>0</v>
      </c>
      <c r="J195" s="858">
        <v>700</v>
      </c>
      <c r="K195" s="858">
        <v>50000</v>
      </c>
      <c r="L195" s="858" t="str">
        <f>'Laminates- copilot'!K69</f>
        <v>Printed</v>
      </c>
      <c r="M195" s="858" t="str">
        <f>'Laminates- copilot'!L69</f>
        <v>5-8</v>
      </c>
      <c r="N195" s="858">
        <f>'Laminates- copilot'!M69</f>
        <v>8</v>
      </c>
      <c r="O195" s="858" t="str">
        <f>'Laminates- copilot'!O69</f>
        <v>Marma</v>
      </c>
      <c r="P195" s="858" t="str">
        <f>'Laminates- copilot'!N69</f>
        <v>Europe to US</v>
      </c>
      <c r="Q195" s="858">
        <f t="shared" si="32"/>
        <v>15000</v>
      </c>
      <c r="R195" s="858">
        <f t="shared" si="33"/>
        <v>15000</v>
      </c>
      <c r="S195" s="858">
        <f>IFERROR('Laminates- copilot'!Q69/'Laminates- copilot'!P69*Q195,"")</f>
        <v>1837.6200000000001</v>
      </c>
      <c r="T195" s="203">
        <f>IFERROR('Laminates- copilot'!R69/'Laminates- copilot'!P69*Q195,"")</f>
        <v>30372.327233347445</v>
      </c>
      <c r="U195" s="912">
        <f>IFERROR('Laminates- copilot'!S69/'Laminates- copilot'!P69*Q195,"")</f>
        <v>35231.899590683039</v>
      </c>
      <c r="V195" s="913">
        <f t="shared" si="34"/>
        <v>16.528078293307345</v>
      </c>
      <c r="W195" s="914">
        <f t="shared" si="35"/>
        <v>19.172570820236523</v>
      </c>
      <c r="X195" s="913">
        <f t="shared" si="36"/>
        <v>2.0248218155564963</v>
      </c>
      <c r="Y195" s="913">
        <f t="shared" si="37"/>
        <v>16.528078293307345</v>
      </c>
      <c r="Z195" s="95">
        <f t="shared" si="38"/>
        <v>13605</v>
      </c>
      <c r="AA195" s="50" t="str">
        <f t="shared" si="39"/>
        <v>MOQ OK</v>
      </c>
      <c r="AB195" s="923">
        <f t="shared" si="40"/>
        <v>0.97727194534961492</v>
      </c>
      <c r="AC195" s="924">
        <f t="shared" si="41"/>
        <v>1.1336354566055533</v>
      </c>
      <c r="AD195" s="203">
        <f t="shared" si="42"/>
        <v>48863.597267480749</v>
      </c>
      <c r="AE195" s="912">
        <f t="shared" si="43"/>
        <v>56681.772830277667</v>
      </c>
      <c r="AF195" s="923" cm="1">
        <f t="array" ref="AF195">IF(O195="Quantum",IFERROR(_xlfn.LET(_xlpm.b,_xlfn.SWITCH(LOWER(B195),"zipper bag","Zipper pouch","open bag","Open pouch","sup with zipper","Stand-up pouch","stand-up pouch","Stand-up pouch",B195),_xlpm.w,G195,_xlpm.q,K195,_xlpm.types,'Converting-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missing"),IFERROR(_xlfn.LET(_xlpm.s,O195,_xlpm.b,_xlfn.SWITCH(LOWER(B195),"zipper bag","Zipper pouch","open bag","Open pouch",B195),_xlpm.w,G195,_xlpm.q,K195,_xlpm.src,'Converting-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95" s="923">
        <f>IFERROR(IF(OR(B195="Zipper pouch",B195="SUP with zipper"),HELPER!$DE$2*(AH195+AI195)/K195,HELPER!$DE$2*AH195/K195),"Data is missing")</f>
        <v>2.4816261786677955E-2</v>
      </c>
      <c r="AH195" s="923">
        <f t="shared" si="44"/>
        <v>2.0248218155564963</v>
      </c>
      <c r="AI195" s="923">
        <f>IF(OR(B195="Zipper pouch",B195="SUP with zipper"),HELPER!$DC$2*G195/1000,"")</f>
        <v>4.3199999999999995E-2</v>
      </c>
      <c r="AJ195" s="923" cm="1">
        <f t="array" ref="AJ195">IF(INDEX('Laminates- copilot'!$E$6:$E$257,ROUNDUP((ROW()-5)/3,0))+50&gt;IF(O195="Quantum",760,1220),"Width exceeds supplier maximum",IFERROR(AF195+AG195+N(AI195)+AH195*G195/1000/MAX(1,MIN(MAX(2,INT(900/INDEX('Laminates- copilot'!$E$6:$E$257,ROUNDUP((ROW()-5)/3,0)))),INT((IF(O195="Quantum",760,1220)-50)/INDEX('Laminates- copilot'!$E$6:$E$257,ROUNDUP((ROW()-5)/3,0))))),"Data is missing"))</f>
        <v>0.73295395901221116</v>
      </c>
      <c r="AK195" s="203">
        <f t="shared" si="45"/>
        <v>977.27194534961495</v>
      </c>
      <c r="AL195" t="str">
        <f t="shared" si="46"/>
        <v>PASS</v>
      </c>
      <c r="AM195" s="50" t="str">
        <f t="shared" si="47"/>
        <v/>
      </c>
    </row>
    <row r="196" spans="1:39">
      <c r="A196" t="s">
        <v>1824</v>
      </c>
      <c r="B196" t="s">
        <v>261</v>
      </c>
      <c r="C196" s="50" t="s">
        <v>2206</v>
      </c>
      <c r="D196" t="str">
        <f>'Laminates- copilot'!B69</f>
        <v>618 W</v>
      </c>
      <c r="E196" s="858">
        <f>'Laminates- copilot'!D69</f>
        <v>106</v>
      </c>
      <c r="F196" s="858">
        <v>300</v>
      </c>
      <c r="G196" s="858">
        <v>300</v>
      </c>
      <c r="H196" s="858">
        <v>50</v>
      </c>
      <c r="I196" s="858">
        <v>0</v>
      </c>
      <c r="J196" s="858">
        <v>700</v>
      </c>
      <c r="K196" s="858">
        <v>50000</v>
      </c>
      <c r="L196" s="858" t="str">
        <f>'Laminates- copilot'!K69</f>
        <v>Printed</v>
      </c>
      <c r="M196" s="858" t="str">
        <f>'Laminates- copilot'!L69</f>
        <v>5-8</v>
      </c>
      <c r="N196" s="858">
        <f>'Laminates- copilot'!M69</f>
        <v>8</v>
      </c>
      <c r="O196" s="858" t="str">
        <f>'Laminates- copilot'!O69</f>
        <v>Marma</v>
      </c>
      <c r="P196" s="858" t="str">
        <f>'Laminates- copilot'!N69</f>
        <v>Europe to US</v>
      </c>
      <c r="Q196" s="858">
        <f t="shared" si="32"/>
        <v>15000</v>
      </c>
      <c r="R196" s="858">
        <f t="shared" si="33"/>
        <v>15000</v>
      </c>
      <c r="S196" s="858">
        <f>IFERROR('Laminates- copilot'!Q69/'Laminates- copilot'!P69*Q196,"")</f>
        <v>1837.6200000000001</v>
      </c>
      <c r="T196" s="203">
        <f>IFERROR('Laminates- copilot'!R69/'Laminates- copilot'!P69*Q196,"")</f>
        <v>30372.327233347445</v>
      </c>
      <c r="U196" s="912">
        <f>IFERROR('Laminates- copilot'!S69/'Laminates- copilot'!P69*Q196,"")</f>
        <v>35231.899590683039</v>
      </c>
      <c r="V196" s="913">
        <f t="shared" si="34"/>
        <v>16.528078293307345</v>
      </c>
      <c r="W196" s="914">
        <f t="shared" si="35"/>
        <v>19.172570820236523</v>
      </c>
      <c r="X196" s="913">
        <f t="shared" si="36"/>
        <v>2.0248218155564963</v>
      </c>
      <c r="Y196" s="913">
        <f t="shared" si="37"/>
        <v>16.528078293307345</v>
      </c>
      <c r="Z196" s="95">
        <f t="shared" si="38"/>
        <v>13605</v>
      </c>
      <c r="AA196" s="50" t="str">
        <f t="shared" si="39"/>
        <v>MOQ OK</v>
      </c>
      <c r="AB196" s="923">
        <f t="shared" si="40"/>
        <v>0.97142872114197176</v>
      </c>
      <c r="AC196" s="924">
        <f t="shared" si="41"/>
        <v>1.1268573165246871</v>
      </c>
      <c r="AD196" s="203">
        <f t="shared" si="42"/>
        <v>48571.436057098588</v>
      </c>
      <c r="AE196" s="912">
        <f t="shared" si="43"/>
        <v>56342.86582623436</v>
      </c>
      <c r="AF196" s="923" cm="1">
        <f t="array" ref="AF196">IF(O196="Quantum",IFERROR(_xlfn.LET(_xlpm.b,_xlfn.SWITCH(LOWER(B196),"zipper bag","Zipper pouch","open bag","Open pouch","sup with zipper","Stand-up pouch","stand-up pouch","Stand-up pouch",B196),_xlpm.w,G196,_xlpm.q,K196,_xlpm.types,'Converting-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missing"),IFERROR(_xlfn.LET(_xlpm.s,O196,_xlpm.b,_xlfn.SWITCH(LOWER(B196),"zipper bag","Zipper pouch","open bag","Open pouch",B196),_xlpm.w,G196,_xlpm.q,K196,_xlpm.src,'Converting-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96" s="923">
        <f>IFERROR(IF(OR(B196="Zipper pouch",B196="SUP with zipper"),HELPER!$DE$2*(AH196+AI196)/K196,HELPER!$DE$2*AH196/K196),"Data is missing")</f>
        <v>2.4816261786677955E-2</v>
      </c>
      <c r="AH196" s="923">
        <f t="shared" si="44"/>
        <v>2.0248218155564963</v>
      </c>
      <c r="AI196" s="923">
        <f>IF(OR(B196="Zipper pouch",B196="SUP with zipper"),HELPER!$DC$2*G196/1000,"")</f>
        <v>4.3199999999999995E-2</v>
      </c>
      <c r="AJ196" s="923" cm="1">
        <f t="array" ref="AJ196">IF(INDEX('Laminates- copilot'!$E$6:$E$257,ROUNDUP((ROW()-5)/3,0))+50&gt;IF(O196="Quantum",760,1220),"Width exceeds supplier maximum",IFERROR(AF196+AG196+N(AI196)+AH196*G196/1000/MAX(1,MIN(MAX(2,INT(900/INDEX('Laminates- copilot'!$E$6:$E$257,ROUNDUP((ROW()-5)/3,0)))),INT((IF(O196="Quantum",760,1220)-50)/INDEX('Laminates- copilot'!$E$6:$E$257,ROUNDUP((ROW()-5)/3,0))))),"Data is missing"))</f>
        <v>0.72857154085647879</v>
      </c>
      <c r="AK196" s="203">
        <f t="shared" si="45"/>
        <v>971.42872114197178</v>
      </c>
      <c r="AL196" t="str">
        <f t="shared" si="46"/>
        <v>PASS</v>
      </c>
      <c r="AM196" s="50" t="str">
        <f t="shared" si="47"/>
        <v/>
      </c>
    </row>
    <row r="197" spans="1:39">
      <c r="A197" t="s">
        <v>1825</v>
      </c>
      <c r="B197" t="s">
        <v>262</v>
      </c>
      <c r="C197" s="50" t="s">
        <v>2206</v>
      </c>
      <c r="D197" t="str">
        <f>'Laminates- copilot'!B69</f>
        <v>618 W</v>
      </c>
      <c r="E197" s="858">
        <f>'Laminates- copilot'!D69</f>
        <v>106</v>
      </c>
      <c r="F197" s="858">
        <v>300</v>
      </c>
      <c r="G197" s="858">
        <v>300</v>
      </c>
      <c r="H197" s="858">
        <v>0</v>
      </c>
      <c r="I197" s="858">
        <v>10</v>
      </c>
      <c r="J197" s="858">
        <v>610</v>
      </c>
      <c r="K197" s="858">
        <v>50000</v>
      </c>
      <c r="L197" s="858" t="str">
        <f>'Laminates- copilot'!K69</f>
        <v>Printed</v>
      </c>
      <c r="M197" s="858" t="str">
        <f>'Laminates- copilot'!L69</f>
        <v>5-8</v>
      </c>
      <c r="N197" s="858">
        <f>'Laminates- copilot'!M69</f>
        <v>8</v>
      </c>
      <c r="O197" s="858" t="str">
        <f>'Laminates- copilot'!O69</f>
        <v>Marma</v>
      </c>
      <c r="P197" s="858" t="str">
        <f>'Laminates- copilot'!N69</f>
        <v>Europe to US</v>
      </c>
      <c r="Q197" s="858">
        <f t="shared" si="32"/>
        <v>15000</v>
      </c>
      <c r="R197" s="858">
        <f t="shared" si="33"/>
        <v>15000</v>
      </c>
      <c r="S197" s="858">
        <f>IFERROR('Laminates- copilot'!Q69/'Laminates- copilot'!P69*Q197,"")</f>
        <v>1837.6200000000001</v>
      </c>
      <c r="T197" s="203">
        <f>IFERROR('Laminates- copilot'!R69/'Laminates- copilot'!P69*Q197,"")</f>
        <v>30372.327233347445</v>
      </c>
      <c r="U197" s="912">
        <f>IFERROR('Laminates- copilot'!S69/'Laminates- copilot'!P69*Q197,"")</f>
        <v>35231.899590683039</v>
      </c>
      <c r="V197" s="913">
        <f t="shared" si="34"/>
        <v>16.528078293307345</v>
      </c>
      <c r="W197" s="914">
        <f t="shared" si="35"/>
        <v>19.172570820236523</v>
      </c>
      <c r="X197" s="913">
        <f t="shared" si="36"/>
        <v>2.0248218155564963</v>
      </c>
      <c r="Y197" s="913">
        <f t="shared" si="37"/>
        <v>16.528078293307345</v>
      </c>
      <c r="Z197" s="95">
        <f t="shared" si="38"/>
        <v>13605</v>
      </c>
      <c r="AA197" s="50" t="str">
        <f t="shared" si="39"/>
        <v>MOQ OK</v>
      </c>
      <c r="AB197" s="923">
        <f t="shared" si="40"/>
        <v>0.90624951414440424</v>
      </c>
      <c r="AC197" s="924">
        <f t="shared" si="41"/>
        <v>1.0512494364075089</v>
      </c>
      <c r="AD197" s="203">
        <f t="shared" si="42"/>
        <v>45312.475707220212</v>
      </c>
      <c r="AE197" s="912">
        <f t="shared" si="43"/>
        <v>52562.471820375446</v>
      </c>
      <c r="AF197" s="923" cm="1">
        <f t="array" ref="AF197">IF(O197="Quantum",IFERROR(_xlfn.LET(_xlpm.b,_xlfn.SWITCH(LOWER(B197),"zipper bag","Zipper pouch","open bag","Open pouch","sup with zipper","Stand-up pouch","stand-up pouch","Stand-up pouch",B197),_xlpm.w,G197,_xlpm.q,K197,_xlpm.types,'Converting-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missing"),IFERROR(_xlfn.LET(_xlpm.s,O197,_xlpm.b,_xlfn.SWITCH(LOWER(B197),"zipper bag","Zipper pouch","open bag","Open pouch",B197),_xlpm.w,G197,_xlpm.q,K197,_xlpm.src,'Converting-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97" s="923">
        <f>IFERROR(IF(OR(B197="Zipper pouch",B197="SUP with zipper"),HELPER!$DE$2*(AH197+AI197)/K197,HELPER!$DE$2*AH197/K197),"Data is missing")</f>
        <v>2.4297861786677952E-2</v>
      </c>
      <c r="AH197" s="923">
        <f t="shared" si="44"/>
        <v>2.0248218155564963</v>
      </c>
      <c r="AI197" s="923" t="str">
        <f>IF(OR(B197="Zipper pouch",B197="SUP with zipper"),HELPER!$DC$2*G197/1000,"")</f>
        <v/>
      </c>
      <c r="AJ197" s="923" cm="1">
        <f t="array" ref="AJ197">IF(INDEX('Laminates- copilot'!$E$6:$E$257,ROUNDUP((ROW()-5)/3,0))+50&gt;IF(O197="Quantum",760,1220),"Width exceeds supplier maximum",IFERROR(AF197+AG197+N(AI197)+AH197*G197/1000/MAX(1,MIN(MAX(2,INT(900/INDEX('Laminates- copilot'!$E$6:$E$257,ROUNDUP((ROW()-5)/3,0)))),INT((IF(O197="Quantum",760,1220)-50)/INDEX('Laminates- copilot'!$E$6:$E$257,ROUNDUP((ROW()-5)/3,0))))),"Data is missing"))</f>
        <v>0.67968713560830318</v>
      </c>
      <c r="AK197" s="203">
        <f t="shared" si="45"/>
        <v>906.2495141444042</v>
      </c>
      <c r="AL197" t="str">
        <f t="shared" si="46"/>
        <v>PASS</v>
      </c>
      <c r="AM197" s="50" t="str">
        <f t="shared" si="47"/>
        <v/>
      </c>
    </row>
    <row r="198" spans="1:39" hidden="1">
      <c r="A198" t="s">
        <v>1826</v>
      </c>
      <c r="B198" t="s">
        <v>251</v>
      </c>
      <c r="C198" s="50" t="s">
        <v>2207</v>
      </c>
      <c r="D198" t="str">
        <f>'Laminates- copilot'!B70</f>
        <v>618 W</v>
      </c>
      <c r="E198" s="858">
        <f>'Laminates- copilot'!D70</f>
        <v>66</v>
      </c>
      <c r="F198" s="858">
        <v>350</v>
      </c>
      <c r="G198" s="858">
        <v>400</v>
      </c>
      <c r="H198" s="858">
        <v>60</v>
      </c>
      <c r="I198" s="858">
        <v>0</v>
      </c>
      <c r="J198" s="858">
        <v>820</v>
      </c>
      <c r="K198" s="858">
        <v>100000</v>
      </c>
      <c r="L198" s="858" t="str">
        <f>'Laminates- copilot'!K70</f>
        <v>Not Printed</v>
      </c>
      <c r="M198" s="858" t="str">
        <f>'Laminates- copilot'!L70</f>
        <v>0</v>
      </c>
      <c r="N198" s="858">
        <f>'Laminates- copilot'!M70</f>
        <v>1</v>
      </c>
      <c r="O198" s="858" t="str">
        <f>'Laminates- copilot'!O70</f>
        <v>Bastin</v>
      </c>
      <c r="P198" s="858" t="str">
        <f>'Laminates- copilot'!N70</f>
        <v>Europe to Europe</v>
      </c>
      <c r="Q198" s="858">
        <f t="shared" ref="Q198:Q261" si="48">K198*G198/1000</f>
        <v>40000</v>
      </c>
      <c r="R198" s="858">
        <f t="shared" ref="R198:R261" si="49">Q198</f>
        <v>40000</v>
      </c>
      <c r="S198" s="858">
        <f>IFERROR('Laminates- copilot'!Q70/'Laminates- copilot'!P70*Q198,"")</f>
        <v>1205.68</v>
      </c>
      <c r="T198" s="203">
        <f>IFERROR('Laminates- copilot'!R70/'Laminates- copilot'!P70*Q198,"")</f>
        <v>15838.30967825</v>
      </c>
      <c r="U198" s="912">
        <f>IFERROR('Laminates- copilot'!S70/'Laminates- copilot'!P70*Q198,"")</f>
        <v>18372.439226770002</v>
      </c>
      <c r="V198" s="913">
        <f t="shared" ref="V198:V261" si="50">IFERROR(T198/S198,"")</f>
        <v>13.136412379943268</v>
      </c>
      <c r="W198" s="914">
        <f t="shared" ref="W198:W261" si="51">IFERROR(U198/S198,"")</f>
        <v>15.238238360734192</v>
      </c>
      <c r="X198" s="913">
        <f t="shared" ref="X198:X261" si="52">IFERROR(T198/Q198,"")</f>
        <v>0.39595774195625</v>
      </c>
      <c r="Y198" s="913">
        <f t="shared" ref="Y198:Y261" si="53">V198</f>
        <v>13.136412379943268</v>
      </c>
      <c r="Z198" s="95">
        <f t="shared" ref="Z198:Z261" si="54">IFERROR(ROUNDUP((500*Q198/S198)*1000/G198,0),"")</f>
        <v>41471</v>
      </c>
      <c r="AA198" s="50" t="str">
        <f t="shared" ref="AA198:AA261" si="55">IF(OR(K198="",Z198=""),"MOQ data missing",IF(K198&gt;=Z198,"MOQ OK","Below MOQ by "&amp;TEXT(Z198-K198,"#,##0")&amp;" bags"))</f>
        <v>MOQ OK</v>
      </c>
      <c r="AB198" s="923">
        <f t="shared" ref="AB198:AB261" si="56">IFERROR(AJ198/(1-25%),"Data is missing")</f>
        <v>0.31664917144376648</v>
      </c>
      <c r="AC198" s="924">
        <f t="shared" ref="AC198:AC261" si="57">IFERROR(AB198*1.16,"Data is missing")</f>
        <v>0.36731303887476907</v>
      </c>
      <c r="AD198" s="203">
        <f t="shared" ref="AD198:AD261" si="58">IFERROR(AB198*K198,"Data is missing")</f>
        <v>31664.917144376646</v>
      </c>
      <c r="AE198" s="912">
        <f t="shared" ref="AE198:AE261" si="59">IFERROR(AD198*1.16,"Data is missing")</f>
        <v>36731.303887476904</v>
      </c>
      <c r="AF198" s="923" cm="1">
        <f t="array" ref="AF198">IF(O198="Quantum",IFERROR(_xlfn.LET(_xlpm.b,_xlfn.SWITCH(LOWER(B198),"zipper bag","Zipper pouch","open bag","Open pouch","sup with zipper","Stand-up pouch","stand-up pouch","Stand-up pouch",B198),_xlpm.w,G198,_xlpm.q,K198,_xlpm.types,'Converting-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missing"),IFERROR(_xlfn.LET(_xlpm.s,O198,_xlpm.b,_xlfn.SWITCH(LOWER(B198),"zipper bag","Zipper pouch","open bag","Open pouch",B198),_xlpm.w,G198,_xlpm.q,K198,_xlpm.src,'Converting-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98" s="923">
        <f>IFERROR(IF(OR(B198="Zipper pouch",B198="SUP with zipper"),HELPER!$DE$2*(AH198+AI198)/K198,HELPER!$DE$2*AH198/K198),"Data is missing")</f>
        <v>2.7213464517375002E-3</v>
      </c>
      <c r="AH198" s="923">
        <f t="shared" ref="AH198:AH261" si="60">X198</f>
        <v>0.39595774195625</v>
      </c>
      <c r="AI198" s="923">
        <f>IF(OR(B198="Zipper pouch",B198="SUP with zipper"),HELPER!$DC$2*G198/1000,"")</f>
        <v>5.7599999999999991E-2</v>
      </c>
      <c r="AJ198" s="923" cm="1">
        <f t="array" ref="AJ198">IF(INDEX('Laminates- copilot'!$E$6:$E$257,ROUNDUP((ROW()-5)/3,0))+50&gt;IF(O198="Quantum",760,1220),"Width exceeds supplier maximum",IFERROR(AF198+AG198+N(AI198)+AH198*G198/1000/MAX(1,MIN(MAX(2,INT(900/INDEX('Laminates- copilot'!$E$6:$E$257,ROUNDUP((ROW()-5)/3,0)))),INT((IF(O198="Quantum",760,1220)-50)/INDEX('Laminates- copilot'!$E$6:$E$257,ROUNDUP((ROW()-5)/3,0))))),"Data is missing"))</f>
        <v>0.23748687858282486</v>
      </c>
      <c r="AK198" s="203">
        <f t="shared" ref="AK198:AK261" si="61">IFERROR(AB198*1000,"Data is missing")</f>
        <v>316.64917144376648</v>
      </c>
      <c r="AL198" t="str">
        <f t="shared" ref="AL198:AL261" si="62">IF(AND(ISNUMBER(AB198),ISNUMBER(AD198),K198&gt;0,ISNUMBER(AJ198),AM198=""),IF(AND(ABS(AD198-AB198*K198)&lt;0.05,ABS(AB198-AJ198/(1-25%))&lt;0.0001),"PASS","CHECK"),"CHECK")</f>
        <v>PASS</v>
      </c>
      <c r="AM198" s="50" t="str">
        <f t="shared" ref="AM198:AM261" si="63">_xlfn.TEXTJOIN("; ",TRUE,IF(OR(AF198="Data is missing",AG198="Data is missing",AJ198="Data is missing"),"Missing conversion data",""),IF(NOT(ISNUMBER(S198)),"Missing laminate weight",""),IF(NOT(ISNUMBER(T198)),"Missing laminate cost",""))</f>
        <v/>
      </c>
    </row>
    <row r="199" spans="1:39" hidden="1">
      <c r="A199" t="s">
        <v>1827</v>
      </c>
      <c r="B199" t="s">
        <v>261</v>
      </c>
      <c r="C199" s="50" t="s">
        <v>2207</v>
      </c>
      <c r="D199" t="str">
        <f>'Laminates- copilot'!B70</f>
        <v>618 W</v>
      </c>
      <c r="E199" s="858">
        <f>'Laminates- copilot'!D70</f>
        <v>66</v>
      </c>
      <c r="F199" s="858">
        <v>350</v>
      </c>
      <c r="G199" s="858">
        <v>400</v>
      </c>
      <c r="H199" s="858">
        <v>60</v>
      </c>
      <c r="I199" s="858">
        <v>0</v>
      </c>
      <c r="J199" s="858">
        <v>820</v>
      </c>
      <c r="K199" s="858">
        <v>100000</v>
      </c>
      <c r="L199" s="858" t="str">
        <f>'Laminates- copilot'!K70</f>
        <v>Not Printed</v>
      </c>
      <c r="M199" s="858" t="str">
        <f>'Laminates- copilot'!L70</f>
        <v>0</v>
      </c>
      <c r="N199" s="858">
        <f>'Laminates- copilot'!M70</f>
        <v>1</v>
      </c>
      <c r="O199" s="858" t="str">
        <f>'Laminates- copilot'!O70</f>
        <v>Bastin</v>
      </c>
      <c r="P199" s="858" t="str">
        <f>'Laminates- copilot'!N70</f>
        <v>Europe to Europe</v>
      </c>
      <c r="Q199" s="858">
        <f t="shared" si="48"/>
        <v>40000</v>
      </c>
      <c r="R199" s="858">
        <f t="shared" si="49"/>
        <v>40000</v>
      </c>
      <c r="S199" s="858">
        <f>IFERROR('Laminates- copilot'!Q70/'Laminates- copilot'!P70*Q199,"")</f>
        <v>1205.68</v>
      </c>
      <c r="T199" s="203">
        <f>IFERROR('Laminates- copilot'!R70/'Laminates- copilot'!P70*Q199,"")</f>
        <v>15838.30967825</v>
      </c>
      <c r="U199" s="912">
        <f>IFERROR('Laminates- copilot'!S70/'Laminates- copilot'!P70*Q199,"")</f>
        <v>18372.439226770002</v>
      </c>
      <c r="V199" s="913">
        <f t="shared" si="50"/>
        <v>13.136412379943268</v>
      </c>
      <c r="W199" s="914">
        <f t="shared" si="51"/>
        <v>15.238238360734192</v>
      </c>
      <c r="X199" s="913">
        <f t="shared" si="52"/>
        <v>0.39595774195625</v>
      </c>
      <c r="Y199" s="913">
        <f t="shared" si="53"/>
        <v>13.136412379943268</v>
      </c>
      <c r="Z199" s="95">
        <f t="shared" si="54"/>
        <v>41471</v>
      </c>
      <c r="AA199" s="50" t="str">
        <f t="shared" si="55"/>
        <v>MOQ OK</v>
      </c>
      <c r="AB199" s="923">
        <f t="shared" si="56"/>
        <v>0.30671569029077311</v>
      </c>
      <c r="AC199" s="924">
        <f t="shared" si="57"/>
        <v>0.35579020073729678</v>
      </c>
      <c r="AD199" s="203">
        <f t="shared" si="58"/>
        <v>30671.569029077313</v>
      </c>
      <c r="AE199" s="912">
        <f t="shared" si="59"/>
        <v>35579.020073729684</v>
      </c>
      <c r="AF199" s="923" cm="1">
        <f t="array" ref="AF199">IF(O199="Quantum",IFERROR(_xlfn.LET(_xlpm.b,_xlfn.SWITCH(LOWER(B199),"zipper bag","Zipper pouch","open bag","Open pouch","sup with zipper","Stand-up pouch","stand-up pouch","Stand-up pouch",B199),_xlpm.w,G199,_xlpm.q,K199,_xlpm.types,'Converting-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missing"),IFERROR(_xlfn.LET(_xlpm.s,O199,_xlpm.b,_xlfn.SWITCH(LOWER(B199),"zipper bag","Zipper pouch","open bag","Open pouch",B199),_xlpm.w,G199,_xlpm.q,K199,_xlpm.src,'Converting-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99" s="923">
        <f>IFERROR(IF(OR(B199="Zipper pouch",B199="SUP with zipper"),HELPER!$DE$2*(AH199+AI199)/K199,HELPER!$DE$2*AH199/K199),"Data is missing")</f>
        <v>2.7213464517375002E-3</v>
      </c>
      <c r="AH199" s="923">
        <f t="shared" si="60"/>
        <v>0.39595774195625</v>
      </c>
      <c r="AI199" s="923">
        <f>IF(OR(B199="Zipper pouch",B199="SUP with zipper"),HELPER!$DC$2*G199/1000,"")</f>
        <v>5.7599999999999991E-2</v>
      </c>
      <c r="AJ199" s="923" cm="1">
        <f t="array" ref="AJ199">IF(INDEX('Laminates- copilot'!$E$6:$E$257,ROUNDUP((ROW()-5)/3,0))+50&gt;IF(O199="Quantum",760,1220),"Width exceeds supplier maximum",IFERROR(AF199+AG199+N(AI199)+AH199*G199/1000/MAX(1,MIN(MAX(2,INT(900/INDEX('Laminates- copilot'!$E$6:$E$257,ROUNDUP((ROW()-5)/3,0)))),INT((IF(O199="Quantum",760,1220)-50)/INDEX('Laminates- copilot'!$E$6:$E$257,ROUNDUP((ROW()-5)/3,0))))),"Data is missing"))</f>
        <v>0.23003676771807985</v>
      </c>
      <c r="AK199" s="203">
        <f t="shared" si="61"/>
        <v>306.71569029077313</v>
      </c>
      <c r="AL199" t="str">
        <f t="shared" si="62"/>
        <v>PASS</v>
      </c>
      <c r="AM199" s="50" t="str">
        <f t="shared" si="63"/>
        <v/>
      </c>
    </row>
    <row r="200" spans="1:39" hidden="1">
      <c r="A200" t="s">
        <v>1828</v>
      </c>
      <c r="B200" t="s">
        <v>262</v>
      </c>
      <c r="C200" s="50" t="s">
        <v>2207</v>
      </c>
      <c r="D200" t="str">
        <f>'Laminates- copilot'!B70</f>
        <v>618 W</v>
      </c>
      <c r="E200" s="858">
        <f>'Laminates- copilot'!D70</f>
        <v>66</v>
      </c>
      <c r="F200" s="858">
        <v>350</v>
      </c>
      <c r="G200" s="858">
        <v>400</v>
      </c>
      <c r="H200" s="858">
        <v>0</v>
      </c>
      <c r="I200" s="858">
        <v>0</v>
      </c>
      <c r="J200" s="858">
        <v>700</v>
      </c>
      <c r="K200" s="858">
        <v>100000</v>
      </c>
      <c r="L200" s="858" t="str">
        <f>'Laminates- copilot'!K70</f>
        <v>Not Printed</v>
      </c>
      <c r="M200" s="858" t="str">
        <f>'Laminates- copilot'!L70</f>
        <v>0</v>
      </c>
      <c r="N200" s="858">
        <f>'Laminates- copilot'!M70</f>
        <v>1</v>
      </c>
      <c r="O200" s="858" t="str">
        <f>'Laminates- copilot'!O70</f>
        <v>Bastin</v>
      </c>
      <c r="P200" s="858" t="str">
        <f>'Laminates- copilot'!N70</f>
        <v>Europe to Europe</v>
      </c>
      <c r="Q200" s="858">
        <f t="shared" si="48"/>
        <v>40000</v>
      </c>
      <c r="R200" s="858">
        <f t="shared" si="49"/>
        <v>40000</v>
      </c>
      <c r="S200" s="858">
        <f>IFERROR('Laminates- copilot'!Q70/'Laminates- copilot'!P70*Q200,"")</f>
        <v>1205.68</v>
      </c>
      <c r="T200" s="203">
        <f>IFERROR('Laminates- copilot'!R70/'Laminates- copilot'!P70*Q200,"")</f>
        <v>15838.30967825</v>
      </c>
      <c r="U200" s="912">
        <f>IFERROR('Laminates- copilot'!S70/'Laminates- copilot'!P70*Q200,"")</f>
        <v>18372.439226770002</v>
      </c>
      <c r="V200" s="913">
        <f t="shared" si="50"/>
        <v>13.136412379943268</v>
      </c>
      <c r="W200" s="914">
        <f t="shared" si="51"/>
        <v>15.238238360734192</v>
      </c>
      <c r="X200" s="913">
        <f t="shared" si="52"/>
        <v>0.39595774195625</v>
      </c>
      <c r="Y200" s="913">
        <f t="shared" si="53"/>
        <v>13.136412379943268</v>
      </c>
      <c r="Z200" s="95">
        <f t="shared" si="54"/>
        <v>41471</v>
      </c>
      <c r="AA200" s="50" t="str">
        <f t="shared" si="55"/>
        <v>MOQ OK</v>
      </c>
      <c r="AB200" s="923">
        <f t="shared" si="56"/>
        <v>0.21632689190335128</v>
      </c>
      <c r="AC200" s="924">
        <f t="shared" si="57"/>
        <v>0.25093919460788744</v>
      </c>
      <c r="AD200" s="203">
        <f t="shared" si="58"/>
        <v>21632.689190335128</v>
      </c>
      <c r="AE200" s="912">
        <f t="shared" si="59"/>
        <v>25093.919460788748</v>
      </c>
      <c r="AF200" s="923" cm="1">
        <f t="array" ref="AF200">IF(O200="Quantum",IFERROR(_xlfn.LET(_xlpm.b,_xlfn.SWITCH(LOWER(B200),"zipper bag","Zipper pouch","open bag","Open pouch","sup with zipper","Stand-up pouch","stand-up pouch","Stand-up pouch",B200),_xlpm.w,G200,_xlpm.q,K200,_xlpm.types,'Converting-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missing"),IFERROR(_xlfn.LET(_xlpm.s,O200,_xlpm.b,_xlfn.SWITCH(LOWER(B200),"zipper bag","Zipper pouch","open bag","Open pouch",B200),_xlpm.w,G200,_xlpm.q,K200,_xlpm.src,'Converting-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00" s="923">
        <f>IFERROR(IF(OR(B200="Zipper pouch",B200="SUP with zipper"),HELPER!$DE$2*(AH200+AI200)/K200,HELPER!$DE$2*AH200/K200),"Data is missing")</f>
        <v>2.3757464517375E-3</v>
      </c>
      <c r="AH200" s="923">
        <f t="shared" si="60"/>
        <v>0.39595774195625</v>
      </c>
      <c r="AI200" s="923" t="str">
        <f>IF(OR(B200="Zipper pouch",B200="SUP with zipper"),HELPER!$DC$2*G200/1000,"")</f>
        <v/>
      </c>
      <c r="AJ200" s="923" cm="1">
        <f t="array" ref="AJ200">IF(INDEX('Laminates- copilot'!$E$6:$E$257,ROUNDUP((ROW()-5)/3,0))+50&gt;IF(O200="Quantum",760,1220),"Width exceeds supplier maximum",IFERROR(AF200+AG200+N(AI200)+AH200*G200/1000/MAX(1,MIN(MAX(2,INT(900/INDEX('Laminates- copilot'!$E$6:$E$257,ROUNDUP((ROW()-5)/3,0)))),INT((IF(O200="Quantum",760,1220)-50)/INDEX('Laminates- copilot'!$E$6:$E$257,ROUNDUP((ROW()-5)/3,0))))),"Data is missing"))</f>
        <v>0.16224516892751345</v>
      </c>
      <c r="AK200" s="203">
        <f t="shared" si="61"/>
        <v>216.32689190335128</v>
      </c>
      <c r="AL200" t="str">
        <f t="shared" si="62"/>
        <v>PASS</v>
      </c>
      <c r="AM200" s="50" t="str">
        <f t="shared" si="63"/>
        <v/>
      </c>
    </row>
    <row r="201" spans="1:39" hidden="1">
      <c r="A201" t="s">
        <v>1829</v>
      </c>
      <c r="B201" t="s">
        <v>251</v>
      </c>
      <c r="C201" s="50" t="s">
        <v>2208</v>
      </c>
      <c r="D201" t="str">
        <f>'Laminates- copilot'!B71</f>
        <v>618 W</v>
      </c>
      <c r="E201" s="858">
        <f>'Laminates- copilot'!D71</f>
        <v>106</v>
      </c>
      <c r="F201" s="858">
        <v>400</v>
      </c>
      <c r="G201" s="858">
        <v>500</v>
      </c>
      <c r="H201" s="858">
        <v>80</v>
      </c>
      <c r="I201" s="858">
        <v>0</v>
      </c>
      <c r="J201" s="858">
        <v>960</v>
      </c>
      <c r="K201" s="858">
        <v>100000</v>
      </c>
      <c r="L201" s="858" t="str">
        <f>'Laminates- copilot'!K71</f>
        <v>Printed</v>
      </c>
      <c r="M201" s="858" t="str">
        <f>'Laminates- copilot'!L71</f>
        <v>3-4</v>
      </c>
      <c r="N201" s="858">
        <f>'Laminates- copilot'!M71</f>
        <v>4</v>
      </c>
      <c r="O201" s="858" t="str">
        <f>'Laminates- copilot'!O71</f>
        <v>Quantum</v>
      </c>
      <c r="P201" s="858" t="str">
        <f>'Laminates- copilot'!N71</f>
        <v>Europe to US</v>
      </c>
      <c r="Q201" s="858">
        <f t="shared" si="48"/>
        <v>50000</v>
      </c>
      <c r="R201" s="858">
        <f t="shared" si="49"/>
        <v>50000</v>
      </c>
      <c r="S201" s="858">
        <f>IFERROR('Laminates- copilot'!Q71/'Laminates- copilot'!P71*Q201,"")</f>
        <v>4083.6</v>
      </c>
      <c r="T201" s="203">
        <f>IFERROR('Laminates- copilot'!R71/'Laminates- copilot'!P71*Q201,"")</f>
        <v>102567.19033789312</v>
      </c>
      <c r="U201" s="912">
        <f>IFERROR('Laminates- copilot'!S71/'Laminates- copilot'!P71*Q201,"")</f>
        <v>118977.940791956</v>
      </c>
      <c r="V201" s="913">
        <f t="shared" si="50"/>
        <v>25.116855308525103</v>
      </c>
      <c r="W201" s="914">
        <f t="shared" si="51"/>
        <v>29.135552157889119</v>
      </c>
      <c r="X201" s="913">
        <f t="shared" si="52"/>
        <v>2.0513438067578624</v>
      </c>
      <c r="Y201" s="913">
        <f t="shared" si="53"/>
        <v>25.116855308525103</v>
      </c>
      <c r="Z201" s="95">
        <f t="shared" si="54"/>
        <v>12245</v>
      </c>
      <c r="AA201" s="50" t="str">
        <f t="shared" si="55"/>
        <v>MOQ OK</v>
      </c>
      <c r="AB201" s="923">
        <f t="shared" si="56"/>
        <v>1.8422067311761345</v>
      </c>
      <c r="AC201" s="924">
        <f t="shared" si="57"/>
        <v>2.136959808164316</v>
      </c>
      <c r="AD201" s="203">
        <f t="shared" si="58"/>
        <v>184220.67311761345</v>
      </c>
      <c r="AE201" s="912">
        <f t="shared" si="59"/>
        <v>213695.98081643158</v>
      </c>
      <c r="AF201" s="923" cm="1">
        <f t="array" ref="AF201">IF(O201="Quantum",IFERROR(_xlfn.LET(_xlpm.b,_xlfn.SWITCH(LOWER(B201),"zipper bag","Zipper pouch","open bag","Open pouch","sup with zipper","Stand-up pouch","stand-up pouch","Stand-up pouch",B201),_xlpm.w,G201,_xlpm.q,K201,_xlpm.types,'Converting-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missing"),IFERROR(_xlfn.LET(_xlpm.s,O201,_xlpm.b,_xlfn.SWITCH(LOWER(B201),"zipper bag","Zipper pouch","open bag","Open pouch",B201),_xlpm.w,G201,_xlpm.q,K201,_xlpm.src,'Converting-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201" s="923">
        <f>IFERROR(IF(OR(B201="Zipper pouch",B201="SUP with zipper"),HELPER!$DE$2*(AH201+AI201)/K201,HELPER!$DE$2*AH201/K201),"Data is missing")</f>
        <v>1.2740062840547175E-2</v>
      </c>
      <c r="AH201" s="923">
        <f t="shared" si="60"/>
        <v>2.0513438067578624</v>
      </c>
      <c r="AI201" s="923">
        <f>IF(OR(B201="Zipper pouch",B201="SUP with zipper"),HELPER!$DC$2*G201/1000,"")</f>
        <v>7.1999999999999995E-2</v>
      </c>
      <c r="AJ201" s="923" cm="1">
        <f t="array" ref="AJ201">IF(INDEX('Laminates- copilot'!$E$6:$E$257,ROUNDUP((ROW()-5)/3,0))+50&gt;IF(O201="Quantum",760,1220),"Width exceeds supplier maximum",IFERROR(AF201+AG201+N(AI201)+AH201*G201/1000/MAX(1,MIN(MAX(2,INT(900/INDEX('Laminates- copilot'!$E$6:$E$257,ROUNDUP((ROW()-5)/3,0)))),INT((IF(O201="Quantum",760,1220)-50)/INDEX('Laminates- copilot'!$E$6:$E$257,ROUNDUP((ROW()-5)/3,0))))),"Data is missing"))</f>
        <v>1.3816550483821008</v>
      </c>
      <c r="AK201" s="203">
        <f t="shared" si="61"/>
        <v>1842.2067311761346</v>
      </c>
      <c r="AL201" t="str">
        <f t="shared" si="62"/>
        <v>PASS</v>
      </c>
      <c r="AM201" s="50" t="str">
        <f t="shared" si="63"/>
        <v/>
      </c>
    </row>
    <row r="202" spans="1:39" hidden="1">
      <c r="A202" t="s">
        <v>1830</v>
      </c>
      <c r="B202" t="s">
        <v>261</v>
      </c>
      <c r="C202" s="50" t="s">
        <v>2208</v>
      </c>
      <c r="D202" t="str">
        <f>'Laminates- copilot'!B71</f>
        <v>618 W</v>
      </c>
      <c r="E202" s="858">
        <f>'Laminates- copilot'!D71</f>
        <v>106</v>
      </c>
      <c r="F202" s="858">
        <v>400</v>
      </c>
      <c r="G202" s="858">
        <v>500</v>
      </c>
      <c r="H202" s="858">
        <v>80</v>
      </c>
      <c r="I202" s="858">
        <v>0</v>
      </c>
      <c r="J202" s="858">
        <v>960</v>
      </c>
      <c r="K202" s="858">
        <v>100000</v>
      </c>
      <c r="L202" s="858" t="str">
        <f>'Laminates- copilot'!K71</f>
        <v>Printed</v>
      </c>
      <c r="M202" s="858" t="str">
        <f>'Laminates- copilot'!L71</f>
        <v>3-4</v>
      </c>
      <c r="N202" s="858">
        <f>'Laminates- copilot'!M71</f>
        <v>4</v>
      </c>
      <c r="O202" s="858" t="str">
        <f>'Laminates- copilot'!O71</f>
        <v>Quantum</v>
      </c>
      <c r="P202" s="858" t="str">
        <f>'Laminates- copilot'!N71</f>
        <v>Europe to US</v>
      </c>
      <c r="Q202" s="858">
        <f t="shared" si="48"/>
        <v>50000</v>
      </c>
      <c r="R202" s="858">
        <f t="shared" si="49"/>
        <v>50000</v>
      </c>
      <c r="S202" s="858">
        <f>IFERROR('Laminates- copilot'!Q71/'Laminates- copilot'!P71*Q202,"")</f>
        <v>4083.6</v>
      </c>
      <c r="T202" s="203">
        <f>IFERROR('Laminates- copilot'!R71/'Laminates- copilot'!P71*Q202,"")</f>
        <v>102567.19033789312</v>
      </c>
      <c r="U202" s="912">
        <f>IFERROR('Laminates- copilot'!S71/'Laminates- copilot'!P71*Q202,"")</f>
        <v>118977.940791956</v>
      </c>
      <c r="V202" s="913">
        <f t="shared" si="50"/>
        <v>25.116855308525103</v>
      </c>
      <c r="W202" s="914">
        <f t="shared" si="51"/>
        <v>29.135552157889119</v>
      </c>
      <c r="X202" s="913">
        <f t="shared" si="52"/>
        <v>2.0513438067578624</v>
      </c>
      <c r="Y202" s="913">
        <f t="shared" si="53"/>
        <v>25.116855308525103</v>
      </c>
      <c r="Z202" s="95">
        <f t="shared" si="54"/>
        <v>12245</v>
      </c>
      <c r="AA202" s="50" t="str">
        <f t="shared" si="55"/>
        <v>MOQ OK</v>
      </c>
      <c r="AB202" s="923">
        <f t="shared" si="56"/>
        <v>1.8027888543806501</v>
      </c>
      <c r="AC202" s="924">
        <f t="shared" si="57"/>
        <v>2.0912350710815537</v>
      </c>
      <c r="AD202" s="203">
        <f t="shared" si="58"/>
        <v>180278.88543806502</v>
      </c>
      <c r="AE202" s="912">
        <f t="shared" si="59"/>
        <v>209123.50710815541</v>
      </c>
      <c r="AF202" s="923" cm="1">
        <f t="array" ref="AF202">IF(O202="Quantum",IFERROR(_xlfn.LET(_xlpm.b,_xlfn.SWITCH(LOWER(B202),"zipper bag","Zipper pouch","open bag","Open pouch","sup with zipper","Stand-up pouch","stand-up pouch","Stand-up pouch",B202),_xlpm.w,G202,_xlpm.q,K202,_xlpm.types,'Converting-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missing"),IFERROR(_xlfn.LET(_xlpm.s,O202,_xlpm.b,_xlfn.SWITCH(LOWER(B202),"zipper bag","Zipper pouch","open bag","Open pouch",B202),_xlpm.w,G202,_xlpm.q,K202,_xlpm.src,'Converting-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202" s="923">
        <f>IFERROR(IF(OR(B202="Zipper pouch",B202="SUP with zipper"),HELPER!$DE$2*(AH202+AI202)/K202,HELPER!$DE$2*AH202/K202),"Data is missing")</f>
        <v>1.2740062840547175E-2</v>
      </c>
      <c r="AH202" s="923">
        <f t="shared" si="60"/>
        <v>2.0513438067578624</v>
      </c>
      <c r="AI202" s="923">
        <f>IF(OR(B202="Zipper pouch",B202="SUP with zipper"),HELPER!$DC$2*G202/1000,"")</f>
        <v>7.1999999999999995E-2</v>
      </c>
      <c r="AJ202" s="923" cm="1">
        <f t="array" ref="AJ202">IF(INDEX('Laminates- copilot'!$E$6:$E$257,ROUNDUP((ROW()-5)/3,0))+50&gt;IF(O202="Quantum",760,1220),"Width exceeds supplier maximum",IFERROR(AF202+AG202+N(AI202)+AH202*G202/1000/MAX(1,MIN(MAX(2,INT(900/INDEX('Laminates- copilot'!$E$6:$E$257,ROUNDUP((ROW()-5)/3,0)))),INT((IF(O202="Quantum",760,1220)-50)/INDEX('Laminates- copilot'!$E$6:$E$257,ROUNDUP((ROW()-5)/3,0))))),"Data is missing"))</f>
        <v>1.3520916407854875</v>
      </c>
      <c r="AK202" s="203">
        <f t="shared" si="61"/>
        <v>1802.78885438065</v>
      </c>
      <c r="AL202" t="str">
        <f t="shared" si="62"/>
        <v>PASS</v>
      </c>
      <c r="AM202" s="50" t="str">
        <f t="shared" si="63"/>
        <v/>
      </c>
    </row>
    <row r="203" spans="1:39" hidden="1">
      <c r="A203" t="s">
        <v>1831</v>
      </c>
      <c r="B203" t="s">
        <v>262</v>
      </c>
      <c r="C203" s="50" t="s">
        <v>2208</v>
      </c>
      <c r="D203" t="str">
        <f>'Laminates- copilot'!B71</f>
        <v>618 W</v>
      </c>
      <c r="E203" s="858">
        <f>'Laminates- copilot'!D71</f>
        <v>106</v>
      </c>
      <c r="F203" s="858">
        <v>400</v>
      </c>
      <c r="G203" s="858">
        <v>500</v>
      </c>
      <c r="H203" s="858">
        <v>0</v>
      </c>
      <c r="I203" s="858">
        <v>20</v>
      </c>
      <c r="J203" s="858">
        <v>820</v>
      </c>
      <c r="K203" s="858">
        <v>100000</v>
      </c>
      <c r="L203" s="858" t="str">
        <f>'Laminates- copilot'!K71</f>
        <v>Printed</v>
      </c>
      <c r="M203" s="858" t="str">
        <f>'Laminates- copilot'!L71</f>
        <v>3-4</v>
      </c>
      <c r="N203" s="858">
        <f>'Laminates- copilot'!M71</f>
        <v>4</v>
      </c>
      <c r="O203" s="858" t="str">
        <f>'Laminates- copilot'!O71</f>
        <v>Quantum</v>
      </c>
      <c r="P203" s="858" t="str">
        <f>'Laminates- copilot'!N71</f>
        <v>Europe to US</v>
      </c>
      <c r="Q203" s="858">
        <f t="shared" si="48"/>
        <v>50000</v>
      </c>
      <c r="R203" s="858">
        <f t="shared" si="49"/>
        <v>50000</v>
      </c>
      <c r="S203" s="858">
        <f>IFERROR('Laminates- copilot'!Q71/'Laminates- copilot'!P71*Q203,"")</f>
        <v>4083.6</v>
      </c>
      <c r="T203" s="203">
        <f>IFERROR('Laminates- copilot'!R71/'Laminates- copilot'!P71*Q203,"")</f>
        <v>102567.19033789312</v>
      </c>
      <c r="U203" s="912">
        <f>IFERROR('Laminates- copilot'!S71/'Laminates- copilot'!P71*Q203,"")</f>
        <v>118977.940791956</v>
      </c>
      <c r="V203" s="913">
        <f t="shared" si="50"/>
        <v>25.116855308525103</v>
      </c>
      <c r="W203" s="914">
        <f t="shared" si="51"/>
        <v>29.135552157889119</v>
      </c>
      <c r="X203" s="913">
        <f t="shared" si="52"/>
        <v>2.0513438067578624</v>
      </c>
      <c r="Y203" s="913">
        <f t="shared" si="53"/>
        <v>25.116855308525103</v>
      </c>
      <c r="Z203" s="95">
        <f t="shared" si="54"/>
        <v>12245</v>
      </c>
      <c r="AA203" s="50" t="str">
        <f t="shared" si="55"/>
        <v>MOQ OK</v>
      </c>
      <c r="AB203" s="923">
        <f t="shared" si="56"/>
        <v>1.6723797023695501</v>
      </c>
      <c r="AC203" s="924">
        <f t="shared" si="57"/>
        <v>1.939960454748678</v>
      </c>
      <c r="AD203" s="203">
        <f t="shared" si="58"/>
        <v>167237.97023695501</v>
      </c>
      <c r="AE203" s="912">
        <f t="shared" si="59"/>
        <v>193996.0454748678</v>
      </c>
      <c r="AF203" s="923" cm="1">
        <f t="array" ref="AF203">IF(O203="Quantum",IFERROR(_xlfn.LET(_xlpm.b,_xlfn.SWITCH(LOWER(B203),"zipper bag","Zipper pouch","open bag","Open pouch","sup with zipper","Stand-up pouch","stand-up pouch","Stand-up pouch",B203),_xlpm.w,G203,_xlpm.q,K203,_xlpm.types,'Converting-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missing"),IFERROR(_xlfn.LET(_xlpm.s,O203,_xlpm.b,_xlfn.SWITCH(LOWER(B203),"zipper bag","Zipper pouch","open bag","Open pouch",B203),_xlpm.w,G203,_xlpm.q,K203,_xlpm.src,'Converting-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203" s="923">
        <f>IFERROR(IF(OR(B203="Zipper pouch",B203="SUP with zipper"),HELPER!$DE$2*(AH203+AI203)/K203,HELPER!$DE$2*AH203/K203),"Data is missing")</f>
        <v>1.2308062840547175E-2</v>
      </c>
      <c r="AH203" s="923">
        <f t="shared" si="60"/>
        <v>2.0513438067578624</v>
      </c>
      <c r="AI203" s="923" t="str">
        <f>IF(OR(B203="Zipper pouch",B203="SUP with zipper"),HELPER!$DC$2*G203/1000,"")</f>
        <v/>
      </c>
      <c r="AJ203" s="923" cm="1">
        <f t="array" ref="AJ203">IF(INDEX('Laminates- copilot'!$E$6:$E$257,ROUNDUP((ROW()-5)/3,0))+50&gt;IF(O203="Quantum",760,1220),"Width exceeds supplier maximum",IFERROR(AF203+AG203+N(AI203)+AH203*G203/1000/MAX(1,MIN(MAX(2,INT(900/INDEX('Laminates- copilot'!$E$6:$E$257,ROUNDUP((ROW()-5)/3,0)))),INT((IF(O203="Quantum",760,1220)-50)/INDEX('Laminates- copilot'!$E$6:$E$257,ROUNDUP((ROW()-5)/3,0))))),"Data is missing"))</f>
        <v>1.2542847767771625</v>
      </c>
      <c r="AK203" s="203">
        <f t="shared" si="61"/>
        <v>1672.3797023695502</v>
      </c>
      <c r="AL203" t="str">
        <f t="shared" si="62"/>
        <v>PASS</v>
      </c>
      <c r="AM203" s="50" t="str">
        <f t="shared" si="63"/>
        <v/>
      </c>
    </row>
    <row r="204" spans="1:39" hidden="1">
      <c r="A204" t="s">
        <v>1832</v>
      </c>
      <c r="B204" t="s">
        <v>251</v>
      </c>
      <c r="C204" s="50" t="s">
        <v>2209</v>
      </c>
      <c r="D204" t="str">
        <f>'Laminates- copilot'!B72</f>
        <v>618 W</v>
      </c>
      <c r="E204" s="858">
        <f>'Laminates- copilot'!D72</f>
        <v>51</v>
      </c>
      <c r="F204" s="858">
        <v>600</v>
      </c>
      <c r="G204" s="858">
        <v>200</v>
      </c>
      <c r="H204" s="858">
        <v>50</v>
      </c>
      <c r="I204" s="858">
        <v>0</v>
      </c>
      <c r="J204" s="858">
        <v>1300</v>
      </c>
      <c r="K204" s="858">
        <v>200000</v>
      </c>
      <c r="L204" s="858" t="str">
        <f>'Laminates- copilot'!K72</f>
        <v>Printed</v>
      </c>
      <c r="M204" s="858" t="str">
        <f>'Laminates- copilot'!L72</f>
        <v>5-8</v>
      </c>
      <c r="N204" s="858">
        <f>'Laminates- copilot'!M72</f>
        <v>8</v>
      </c>
      <c r="O204" s="858" t="str">
        <f>'Laminates- copilot'!O72</f>
        <v>Marma</v>
      </c>
      <c r="P204" s="858" t="str">
        <f>'Laminates- copilot'!N72</f>
        <v>Europe to Europe</v>
      </c>
      <c r="Q204" s="858">
        <f t="shared" si="48"/>
        <v>40000</v>
      </c>
      <c r="R204" s="858">
        <f t="shared" si="49"/>
        <v>40000</v>
      </c>
      <c r="S204" s="858">
        <f>IFERROR('Laminates- copilot'!Q72/'Laminates- copilot'!P72*Q204,"")</f>
        <v>2425.3200000000002</v>
      </c>
      <c r="T204" s="203">
        <f>IFERROR('Laminates- copilot'!R72/'Laminates- copilot'!P72*Q204,"")</f>
        <v>51728.132701225753</v>
      </c>
      <c r="U204" s="912">
        <f>IFERROR('Laminates- copilot'!S72/'Laminates- copilot'!P72*Q204,"")</f>
        <v>60004.633933421879</v>
      </c>
      <c r="V204" s="913">
        <f t="shared" si="50"/>
        <v>21.328374276889544</v>
      </c>
      <c r="W204" s="914">
        <f t="shared" si="51"/>
        <v>24.740914161191874</v>
      </c>
      <c r="X204" s="913">
        <f t="shared" si="52"/>
        <v>1.2932033175306439</v>
      </c>
      <c r="Y204" s="913">
        <f t="shared" si="53"/>
        <v>21.328374276889544</v>
      </c>
      <c r="Z204" s="95">
        <f t="shared" si="54"/>
        <v>41232</v>
      </c>
      <c r="AA204" s="50" t="str">
        <f t="shared" si="55"/>
        <v>MOQ OK</v>
      </c>
      <c r="AB204" s="923">
        <f t="shared" si="56"/>
        <v>0.44650808493683081</v>
      </c>
      <c r="AC204" s="924">
        <f t="shared" si="57"/>
        <v>0.51794937852672374</v>
      </c>
      <c r="AD204" s="203">
        <f t="shared" si="58"/>
        <v>89301.616987366157</v>
      </c>
      <c r="AE204" s="912">
        <f t="shared" si="59"/>
        <v>103589.87570534473</v>
      </c>
      <c r="AF204" s="923" cm="1">
        <f t="array" ref="AF204">IF(O204="Quantum",IFERROR(_xlfn.LET(_xlpm.b,_xlfn.SWITCH(LOWER(B204),"zipper bag","Zipper pouch","open bag","Open pouch","sup with zipper","Stand-up pouch","stand-up pouch","Stand-up pouch",B204),_xlpm.w,G204,_xlpm.q,K204,_xlpm.types,'Converting-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missing"),IFERROR(_xlfn.LET(_xlpm.s,O204,_xlpm.b,_xlfn.SWITCH(LOWER(B204),"zipper bag","Zipper pouch","open bag","Open pouch",B204),_xlpm.w,G204,_xlpm.q,K204,_xlpm.src,'Converting-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04" s="923">
        <f>IFERROR(IF(OR(B204="Zipper pouch",B204="SUP with zipper"),HELPER!$DE$2*(AH204+AI204)/K204,HELPER!$DE$2*AH204/K204),"Data is missing")</f>
        <v>3.9660099525919319E-3</v>
      </c>
      <c r="AH204" s="923">
        <f t="shared" si="60"/>
        <v>1.2932033175306439</v>
      </c>
      <c r="AI204" s="923">
        <f>IF(OR(B204="Zipper pouch",B204="SUP with zipper"),HELPER!$DC$2*G204/1000,"")</f>
        <v>2.8799999999999996E-2</v>
      </c>
      <c r="AJ204" s="923" cm="1">
        <f t="array" ref="AJ204">IF(INDEX('Laminates- copilot'!$E$6:$E$257,ROUNDUP((ROW()-5)/3,0))+50&gt;IF(O204="Quantum",760,1220),"Width exceeds supplier maximum",IFERROR(AF204+AG204+N(AI204)+AH204*G204/1000/MAX(1,MIN(MAX(2,INT(900/INDEX('Laminates- copilot'!$E$6:$E$257,ROUNDUP((ROW()-5)/3,0)))),INT((IF(O204="Quantum",760,1220)-50)/INDEX('Laminates- copilot'!$E$6:$E$257,ROUNDUP((ROW()-5)/3,0))))),"Data is missing"))</f>
        <v>0.33488106370262311</v>
      </c>
      <c r="AK204" s="203">
        <f t="shared" si="61"/>
        <v>446.50808493683081</v>
      </c>
      <c r="AL204" t="str">
        <f t="shared" si="62"/>
        <v>PASS</v>
      </c>
      <c r="AM204" s="50" t="str">
        <f t="shared" si="63"/>
        <v/>
      </c>
    </row>
    <row r="205" spans="1:39" hidden="1">
      <c r="A205" t="s">
        <v>1833</v>
      </c>
      <c r="B205" t="s">
        <v>261</v>
      </c>
      <c r="C205" s="50" t="s">
        <v>2209</v>
      </c>
      <c r="D205" t="str">
        <f>'Laminates- copilot'!B72</f>
        <v>618 W</v>
      </c>
      <c r="E205" s="858">
        <f>'Laminates- copilot'!D72</f>
        <v>51</v>
      </c>
      <c r="F205" s="858">
        <v>600</v>
      </c>
      <c r="G205" s="858">
        <v>200</v>
      </c>
      <c r="H205" s="858">
        <v>50</v>
      </c>
      <c r="I205" s="858">
        <v>0</v>
      </c>
      <c r="J205" s="858">
        <v>1300</v>
      </c>
      <c r="K205" s="858">
        <v>200000</v>
      </c>
      <c r="L205" s="858" t="str">
        <f>'Laminates- copilot'!K72</f>
        <v>Printed</v>
      </c>
      <c r="M205" s="858" t="str">
        <f>'Laminates- copilot'!L72</f>
        <v>5-8</v>
      </c>
      <c r="N205" s="858">
        <f>'Laminates- copilot'!M72</f>
        <v>8</v>
      </c>
      <c r="O205" s="858" t="str">
        <f>'Laminates- copilot'!O72</f>
        <v>Marma</v>
      </c>
      <c r="P205" s="858" t="str">
        <f>'Laminates- copilot'!N72</f>
        <v>Europe to Europe</v>
      </c>
      <c r="Q205" s="858">
        <f t="shared" si="48"/>
        <v>40000</v>
      </c>
      <c r="R205" s="858">
        <f t="shared" si="49"/>
        <v>40000</v>
      </c>
      <c r="S205" s="858">
        <f>IFERROR('Laminates- copilot'!Q72/'Laminates- copilot'!P72*Q205,"")</f>
        <v>2425.3200000000002</v>
      </c>
      <c r="T205" s="203">
        <f>IFERROR('Laminates- copilot'!R72/'Laminates- copilot'!P72*Q205,"")</f>
        <v>51728.132701225753</v>
      </c>
      <c r="U205" s="912">
        <f>IFERROR('Laminates- copilot'!S72/'Laminates- copilot'!P72*Q205,"")</f>
        <v>60004.633933421879</v>
      </c>
      <c r="V205" s="913">
        <f t="shared" si="50"/>
        <v>21.328374276889544</v>
      </c>
      <c r="W205" s="914">
        <f t="shared" si="51"/>
        <v>24.740914161191874</v>
      </c>
      <c r="X205" s="913">
        <f t="shared" si="52"/>
        <v>1.2932033175306439</v>
      </c>
      <c r="Y205" s="913">
        <f t="shared" si="53"/>
        <v>21.328374276889544</v>
      </c>
      <c r="Z205" s="95">
        <f t="shared" si="54"/>
        <v>41232</v>
      </c>
      <c r="AA205" s="50" t="str">
        <f t="shared" si="55"/>
        <v>MOQ OK</v>
      </c>
      <c r="AB205" s="923">
        <f t="shared" si="56"/>
        <v>0.44177785581635781</v>
      </c>
      <c r="AC205" s="924">
        <f t="shared" si="57"/>
        <v>0.51246231274697507</v>
      </c>
      <c r="AD205" s="203">
        <f t="shared" si="58"/>
        <v>88355.571163271568</v>
      </c>
      <c r="AE205" s="912">
        <f t="shared" si="59"/>
        <v>102492.46254939502</v>
      </c>
      <c r="AF205" s="923" cm="1">
        <f t="array" ref="AF205">IF(O205="Quantum",IFERROR(_xlfn.LET(_xlpm.b,_xlfn.SWITCH(LOWER(B205),"zipper bag","Zipper pouch","open bag","Open pouch","sup with zipper","Stand-up pouch","stand-up pouch","Stand-up pouch",B205),_xlpm.w,G205,_xlpm.q,K205,_xlpm.types,'Converting-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missing"),IFERROR(_xlfn.LET(_xlpm.s,O205,_xlpm.b,_xlfn.SWITCH(LOWER(B205),"zipper bag","Zipper pouch","open bag","Open pouch",B205),_xlpm.w,G205,_xlpm.q,K205,_xlpm.src,'Converting-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05" s="923">
        <f>IFERROR(IF(OR(B205="Zipper pouch",B205="SUP with zipper"),HELPER!$DE$2*(AH205+AI205)/K205,HELPER!$DE$2*AH205/K205),"Data is missing")</f>
        <v>3.9660099525919319E-3</v>
      </c>
      <c r="AH205" s="923">
        <f t="shared" si="60"/>
        <v>1.2932033175306439</v>
      </c>
      <c r="AI205" s="923">
        <f>IF(OR(B205="Zipper pouch",B205="SUP with zipper"),HELPER!$DC$2*G205/1000,"")</f>
        <v>2.8799999999999996E-2</v>
      </c>
      <c r="AJ205" s="923" cm="1">
        <f t="array" ref="AJ205">IF(INDEX('Laminates- copilot'!$E$6:$E$257,ROUNDUP((ROW()-5)/3,0))+50&gt;IF(O205="Quantum",760,1220),"Width exceeds supplier maximum",IFERROR(AF205+AG205+N(AI205)+AH205*G205/1000/MAX(1,MIN(MAX(2,INT(900/INDEX('Laminates- copilot'!$E$6:$E$257,ROUNDUP((ROW()-5)/3,0)))),INT((IF(O205="Quantum",760,1220)-50)/INDEX('Laminates- copilot'!$E$6:$E$257,ROUNDUP((ROW()-5)/3,0))))),"Data is missing"))</f>
        <v>0.33133339186226834</v>
      </c>
      <c r="AK205" s="203">
        <f t="shared" si="61"/>
        <v>441.77785581635783</v>
      </c>
      <c r="AL205" t="str">
        <f t="shared" si="62"/>
        <v>PASS</v>
      </c>
      <c r="AM205" s="50" t="str">
        <f t="shared" si="63"/>
        <v/>
      </c>
    </row>
    <row r="206" spans="1:39" hidden="1">
      <c r="A206" t="s">
        <v>1834</v>
      </c>
      <c r="B206" t="s">
        <v>262</v>
      </c>
      <c r="C206" s="50" t="s">
        <v>2209</v>
      </c>
      <c r="D206" t="str">
        <f>'Laminates- copilot'!B72</f>
        <v>618 W</v>
      </c>
      <c r="E206" s="858">
        <f>'Laminates- copilot'!D72</f>
        <v>51</v>
      </c>
      <c r="F206" s="858">
        <v>600</v>
      </c>
      <c r="G206" s="858">
        <v>200</v>
      </c>
      <c r="H206" s="858">
        <v>0</v>
      </c>
      <c r="I206" s="858">
        <v>0</v>
      </c>
      <c r="J206" s="858">
        <v>1200</v>
      </c>
      <c r="K206" s="858">
        <v>200000</v>
      </c>
      <c r="L206" s="858" t="str">
        <f>'Laminates- copilot'!K72</f>
        <v>Printed</v>
      </c>
      <c r="M206" s="858" t="str">
        <f>'Laminates- copilot'!L72</f>
        <v>5-8</v>
      </c>
      <c r="N206" s="858">
        <f>'Laminates- copilot'!M72</f>
        <v>8</v>
      </c>
      <c r="O206" s="858" t="str">
        <f>'Laminates- copilot'!O72</f>
        <v>Marma</v>
      </c>
      <c r="P206" s="858" t="str">
        <f>'Laminates- copilot'!N72</f>
        <v>Europe to Europe</v>
      </c>
      <c r="Q206" s="858">
        <f t="shared" si="48"/>
        <v>40000</v>
      </c>
      <c r="R206" s="858">
        <f t="shared" si="49"/>
        <v>40000</v>
      </c>
      <c r="S206" s="858">
        <f>IFERROR('Laminates- copilot'!Q72/'Laminates- copilot'!P72*Q206,"")</f>
        <v>2425.3200000000002</v>
      </c>
      <c r="T206" s="203">
        <f>IFERROR('Laminates- copilot'!R72/'Laminates- copilot'!P72*Q206,"")</f>
        <v>51728.132701225753</v>
      </c>
      <c r="U206" s="912">
        <f>IFERROR('Laminates- copilot'!S72/'Laminates- copilot'!P72*Q206,"")</f>
        <v>60004.633933421879</v>
      </c>
      <c r="V206" s="913">
        <f t="shared" si="50"/>
        <v>21.328374276889544</v>
      </c>
      <c r="W206" s="914">
        <f t="shared" si="51"/>
        <v>24.740914161191874</v>
      </c>
      <c r="X206" s="913">
        <f t="shared" si="52"/>
        <v>1.2932033175306439</v>
      </c>
      <c r="Y206" s="913">
        <f t="shared" si="53"/>
        <v>21.328374276889544</v>
      </c>
      <c r="Z206" s="95">
        <f t="shared" si="54"/>
        <v>41232</v>
      </c>
      <c r="AA206" s="50" t="str">
        <f t="shared" si="55"/>
        <v>MOQ OK</v>
      </c>
      <c r="AB206" s="923">
        <f t="shared" si="56"/>
        <v>0.39797745690588177</v>
      </c>
      <c r="AC206" s="924">
        <f t="shared" si="57"/>
        <v>0.46165385001082282</v>
      </c>
      <c r="AD206" s="203">
        <f t="shared" si="58"/>
        <v>79595.491381176354</v>
      </c>
      <c r="AE206" s="912">
        <f t="shared" si="59"/>
        <v>92330.770002164558</v>
      </c>
      <c r="AF206" s="923" cm="1">
        <f t="array" ref="AF206">IF(O206="Quantum",IFERROR(_xlfn.LET(_xlpm.b,_xlfn.SWITCH(LOWER(B206),"zipper bag","Zipper pouch","open bag","Open pouch","sup with zipper","Stand-up pouch","stand-up pouch","Stand-up pouch",B206),_xlpm.w,G206,_xlpm.q,K206,_xlpm.types,'Converting-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missing"),IFERROR(_xlfn.LET(_xlpm.s,O206,_xlpm.b,_xlfn.SWITCH(LOWER(B206),"zipper bag","Zipper pouch","open bag","Open pouch",B206),_xlpm.w,G206,_xlpm.q,K206,_xlpm.src,'Converting-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06" s="923">
        <f>IFERROR(IF(OR(B206="Zipper pouch",B206="SUP with zipper"),HELPER!$DE$2*(AH206+AI206)/K206,HELPER!$DE$2*AH206/K206),"Data is missing")</f>
        <v>3.8796099525919316E-3</v>
      </c>
      <c r="AH206" s="923">
        <f t="shared" si="60"/>
        <v>1.2932033175306439</v>
      </c>
      <c r="AI206" s="923" t="str">
        <f>IF(OR(B206="Zipper pouch",B206="SUP with zipper"),HELPER!$DC$2*G206/1000,"")</f>
        <v/>
      </c>
      <c r="AJ206" s="923" cm="1">
        <f t="array" ref="AJ206">IF(INDEX('Laminates- copilot'!$E$6:$E$257,ROUNDUP((ROW()-5)/3,0))+50&gt;IF(O206="Quantum",760,1220),"Width exceeds supplier maximum",IFERROR(AF206+AG206+N(AI206)+AH206*G206/1000/MAX(1,MIN(MAX(2,INT(900/INDEX('Laminates- copilot'!$E$6:$E$257,ROUNDUP((ROW()-5)/3,0)))),INT((IF(O206="Quantum",760,1220)-50)/INDEX('Laminates- copilot'!$E$6:$E$257,ROUNDUP((ROW()-5)/3,0))))),"Data is missing"))</f>
        <v>0.29848309267941131</v>
      </c>
      <c r="AK206" s="203">
        <f t="shared" si="61"/>
        <v>397.97745690588175</v>
      </c>
      <c r="AL206" t="str">
        <f t="shared" si="62"/>
        <v>PASS</v>
      </c>
      <c r="AM206" s="50" t="str">
        <f t="shared" si="63"/>
        <v/>
      </c>
    </row>
    <row r="207" spans="1:39" hidden="1">
      <c r="A207" t="s">
        <v>1835</v>
      </c>
      <c r="B207" t="s">
        <v>251</v>
      </c>
      <c r="C207" s="50" t="s">
        <v>2210</v>
      </c>
      <c r="D207" t="str">
        <f>'Laminates- copilot'!B73</f>
        <v>618 W</v>
      </c>
      <c r="E207" s="858">
        <f>'Laminates- copilot'!D73</f>
        <v>106</v>
      </c>
      <c r="F207" s="858">
        <v>700</v>
      </c>
      <c r="G207" s="858">
        <v>300</v>
      </c>
      <c r="H207" s="858">
        <v>75</v>
      </c>
      <c r="I207" s="858">
        <v>0</v>
      </c>
      <c r="J207" s="858">
        <v>1550</v>
      </c>
      <c r="K207" s="858">
        <v>200000</v>
      </c>
      <c r="L207" s="858" t="str">
        <f>'Laminates- copilot'!K73</f>
        <v>Not Printed</v>
      </c>
      <c r="M207" s="858" t="str">
        <f>'Laminates- copilot'!L73</f>
        <v>0</v>
      </c>
      <c r="N207" s="858">
        <f>'Laminates- copilot'!M73</f>
        <v>1</v>
      </c>
      <c r="O207" s="858" t="str">
        <f>'Laminates- copilot'!O73</f>
        <v>Bastin</v>
      </c>
      <c r="P207" s="858" t="str">
        <f>'Laminates- copilot'!N73</f>
        <v>Europe to US</v>
      </c>
      <c r="Q207" s="858">
        <f t="shared" si="48"/>
        <v>60000</v>
      </c>
      <c r="R207" s="858">
        <f t="shared" si="49"/>
        <v>60000</v>
      </c>
      <c r="S207" s="858">
        <f>IFERROR('Laminates- copilot'!Q73/'Laminates- copilot'!P73*Q207,"")</f>
        <v>2041.8000000000002</v>
      </c>
      <c r="T207" s="203">
        <f>IFERROR('Laminates- copilot'!R73/'Laminates- copilot'!P73*Q207,"")</f>
        <v>32320.238342618261</v>
      </c>
      <c r="U207" s="912">
        <f>IFERROR('Laminates- copilot'!S73/'Laminates- copilot'!P73*Q207,"")</f>
        <v>37491.47647743718</v>
      </c>
      <c r="V207" s="913">
        <f t="shared" si="50"/>
        <v>15.829287071514477</v>
      </c>
      <c r="W207" s="914">
        <f t="shared" si="51"/>
        <v>18.361973002956791</v>
      </c>
      <c r="X207" s="913">
        <f t="shared" si="52"/>
        <v>0.53867063904363766</v>
      </c>
      <c r="Y207" s="913">
        <f t="shared" si="53"/>
        <v>15.829287071514477</v>
      </c>
      <c r="Z207" s="95">
        <f t="shared" si="54"/>
        <v>48977</v>
      </c>
      <c r="AA207" s="50" t="str">
        <f t="shared" si="55"/>
        <v>MOQ OK</v>
      </c>
      <c r="AB207" s="923">
        <f t="shared" si="56"/>
        <v>0.22635094222397281</v>
      </c>
      <c r="AC207" s="924">
        <f t="shared" si="57"/>
        <v>0.26256709297980846</v>
      </c>
      <c r="AD207" s="203">
        <f t="shared" si="58"/>
        <v>45270.188444794563</v>
      </c>
      <c r="AE207" s="912">
        <f t="shared" si="59"/>
        <v>52513.418595961688</v>
      </c>
      <c r="AF207" s="923" cm="1">
        <f t="array" ref="AF207">IF(O207="Quantum",IFERROR(_xlfn.LET(_xlpm.b,_xlfn.SWITCH(LOWER(B207),"zipper bag","Zipper pouch","open bag","Open pouch","sup with zipper","Stand-up pouch","stand-up pouch","Stand-up pouch",B207),_xlpm.w,G207,_xlpm.q,K207,_xlpm.types,'Converting-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missing"),IFERROR(_xlfn.LET(_xlpm.s,O207,_xlpm.b,_xlfn.SWITCH(LOWER(B207),"zipper bag","Zipper pouch","open bag","Open pouch",B207),_xlpm.w,G207,_xlpm.q,K207,_xlpm.src,'Converting-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07" s="923">
        <f>IFERROR(IF(OR(B207="Zipper pouch",B207="SUP with zipper"),HELPER!$DE$2*(AH207+AI207)/K207,HELPER!$DE$2*AH207/K207),"Data is missing")</f>
        <v>1.7456119171309129E-3</v>
      </c>
      <c r="AH207" s="923">
        <f t="shared" si="60"/>
        <v>0.53867063904363766</v>
      </c>
      <c r="AI207" s="923">
        <f>IF(OR(B207="Zipper pouch",B207="SUP with zipper"),HELPER!$DC$2*G207/1000,"")</f>
        <v>4.3199999999999995E-2</v>
      </c>
      <c r="AJ207" s="923" cm="1">
        <f t="array" ref="AJ207">IF(INDEX('Laminates- copilot'!$E$6:$E$257,ROUNDUP((ROW()-5)/3,0))+50&gt;IF(O207="Quantum",760,1220),"Width exceeds supplier maximum",IFERROR(AF207+AG207+N(AI207)+AH207*G207/1000/MAX(1,MIN(MAX(2,INT(900/INDEX('Laminates- copilot'!$E$6:$E$257,ROUNDUP((ROW()-5)/3,0)))),INT((IF(O207="Quantum",760,1220)-50)/INDEX('Laminates- copilot'!$E$6:$E$257,ROUNDUP((ROW()-5)/3,0))))),"Data is missing"))</f>
        <v>0.16976320666797962</v>
      </c>
      <c r="AK207" s="203">
        <f t="shared" si="61"/>
        <v>226.35094222397282</v>
      </c>
      <c r="AL207" t="str">
        <f t="shared" si="62"/>
        <v>PASS</v>
      </c>
      <c r="AM207" s="50" t="str">
        <f t="shared" si="63"/>
        <v/>
      </c>
    </row>
    <row r="208" spans="1:39" hidden="1">
      <c r="A208" t="s">
        <v>1836</v>
      </c>
      <c r="B208" t="s">
        <v>261</v>
      </c>
      <c r="C208" s="50" t="s">
        <v>2210</v>
      </c>
      <c r="D208" t="str">
        <f>'Laminates- copilot'!B73</f>
        <v>618 W</v>
      </c>
      <c r="E208" s="858">
        <f>'Laminates- copilot'!D73</f>
        <v>106</v>
      </c>
      <c r="F208" s="858">
        <v>700</v>
      </c>
      <c r="G208" s="858">
        <v>300</v>
      </c>
      <c r="H208" s="858">
        <v>75</v>
      </c>
      <c r="I208" s="858">
        <v>0</v>
      </c>
      <c r="J208" s="858">
        <v>1550</v>
      </c>
      <c r="K208" s="858">
        <v>200000</v>
      </c>
      <c r="L208" s="858" t="str">
        <f>'Laminates- copilot'!K73</f>
        <v>Not Printed</v>
      </c>
      <c r="M208" s="858" t="str">
        <f>'Laminates- copilot'!L73</f>
        <v>0</v>
      </c>
      <c r="N208" s="858">
        <f>'Laminates- copilot'!M73</f>
        <v>1</v>
      </c>
      <c r="O208" s="858" t="str">
        <f>'Laminates- copilot'!O73</f>
        <v>Bastin</v>
      </c>
      <c r="P208" s="858" t="str">
        <f>'Laminates- copilot'!N73</f>
        <v>Europe to US</v>
      </c>
      <c r="Q208" s="858">
        <f t="shared" si="48"/>
        <v>60000</v>
      </c>
      <c r="R208" s="858">
        <f t="shared" si="49"/>
        <v>60000</v>
      </c>
      <c r="S208" s="858">
        <f>IFERROR('Laminates- copilot'!Q73/'Laminates- copilot'!P73*Q208,"")</f>
        <v>2041.8000000000002</v>
      </c>
      <c r="T208" s="203">
        <f>IFERROR('Laminates- copilot'!R73/'Laminates- copilot'!P73*Q208,"")</f>
        <v>32320.238342618261</v>
      </c>
      <c r="U208" s="912">
        <f>IFERROR('Laminates- copilot'!S73/'Laminates- copilot'!P73*Q208,"")</f>
        <v>37491.47647743718</v>
      </c>
      <c r="V208" s="913">
        <f t="shared" si="50"/>
        <v>15.829287071514477</v>
      </c>
      <c r="W208" s="914">
        <f t="shared" si="51"/>
        <v>18.361973002956791</v>
      </c>
      <c r="X208" s="913">
        <f t="shared" si="52"/>
        <v>0.53867063904363766</v>
      </c>
      <c r="Y208" s="913">
        <f t="shared" si="53"/>
        <v>15.829287071514477</v>
      </c>
      <c r="Z208" s="95">
        <f t="shared" si="54"/>
        <v>48977</v>
      </c>
      <c r="AA208" s="50" t="str">
        <f t="shared" si="55"/>
        <v>MOQ OK</v>
      </c>
      <c r="AB208" s="923">
        <f t="shared" si="56"/>
        <v>0.21875475075403675</v>
      </c>
      <c r="AC208" s="924">
        <f t="shared" si="57"/>
        <v>0.25375551087468262</v>
      </c>
      <c r="AD208" s="203">
        <f t="shared" si="58"/>
        <v>43750.950150807352</v>
      </c>
      <c r="AE208" s="912">
        <f t="shared" si="59"/>
        <v>50751.102174936525</v>
      </c>
      <c r="AF208" s="923" cm="1">
        <f t="array" ref="AF208">IF(O208="Quantum",IFERROR(_xlfn.LET(_xlpm.b,_xlfn.SWITCH(LOWER(B208),"zipper bag","Zipper pouch","open bag","Open pouch","sup with zipper","Stand-up pouch","stand-up pouch","Stand-up pouch",B208),_xlpm.w,G208,_xlpm.q,K208,_xlpm.types,'Converting-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missing"),IFERROR(_xlfn.LET(_xlpm.s,O208,_xlpm.b,_xlfn.SWITCH(LOWER(B208),"zipper bag","Zipper pouch","open bag","Open pouch",B208),_xlpm.w,G208,_xlpm.q,K208,_xlpm.src,'Converting-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08" s="923">
        <f>IFERROR(IF(OR(B208="Zipper pouch",B208="SUP with zipper"),HELPER!$DE$2*(AH208+AI208)/K208,HELPER!$DE$2*AH208/K208),"Data is missing")</f>
        <v>1.7456119171309129E-3</v>
      </c>
      <c r="AH208" s="923">
        <f t="shared" si="60"/>
        <v>0.53867063904363766</v>
      </c>
      <c r="AI208" s="923">
        <f>IF(OR(B208="Zipper pouch",B208="SUP with zipper"),HELPER!$DC$2*G208/1000,"")</f>
        <v>4.3199999999999995E-2</v>
      </c>
      <c r="AJ208" s="923" cm="1">
        <f t="array" ref="AJ208">IF(INDEX('Laminates- copilot'!$E$6:$E$257,ROUNDUP((ROW()-5)/3,0))+50&gt;IF(O208="Quantum",760,1220),"Width exceeds supplier maximum",IFERROR(AF208+AG208+N(AI208)+AH208*G208/1000/MAX(1,MIN(MAX(2,INT(900/INDEX('Laminates- copilot'!$E$6:$E$257,ROUNDUP((ROW()-5)/3,0)))),INT((IF(O208="Quantum",760,1220)-50)/INDEX('Laminates- copilot'!$E$6:$E$257,ROUNDUP((ROW()-5)/3,0))))),"Data is missing"))</f>
        <v>0.16406606306552757</v>
      </c>
      <c r="AK208" s="203">
        <f t="shared" si="61"/>
        <v>218.75475075403673</v>
      </c>
      <c r="AL208" t="str">
        <f t="shared" si="62"/>
        <v>PASS</v>
      </c>
      <c r="AM208" s="50" t="str">
        <f t="shared" si="63"/>
        <v/>
      </c>
    </row>
    <row r="209" spans="1:39" hidden="1">
      <c r="A209" t="s">
        <v>1837</v>
      </c>
      <c r="B209" t="s">
        <v>262</v>
      </c>
      <c r="C209" s="50" t="s">
        <v>2210</v>
      </c>
      <c r="D209" t="str">
        <f>'Laminates- copilot'!B73</f>
        <v>618 W</v>
      </c>
      <c r="E209" s="858">
        <f>'Laminates- copilot'!D73</f>
        <v>106</v>
      </c>
      <c r="F209" s="858">
        <v>700</v>
      </c>
      <c r="G209" s="858">
        <v>300</v>
      </c>
      <c r="H209" s="858">
        <v>0</v>
      </c>
      <c r="I209" s="858">
        <v>0</v>
      </c>
      <c r="J209" s="858">
        <v>1400</v>
      </c>
      <c r="K209" s="858">
        <v>200000</v>
      </c>
      <c r="L209" s="858" t="str">
        <f>'Laminates- copilot'!K73</f>
        <v>Not Printed</v>
      </c>
      <c r="M209" s="858" t="str">
        <f>'Laminates- copilot'!L73</f>
        <v>0</v>
      </c>
      <c r="N209" s="858">
        <f>'Laminates- copilot'!M73</f>
        <v>1</v>
      </c>
      <c r="O209" s="858" t="str">
        <f>'Laminates- copilot'!O73</f>
        <v>Bastin</v>
      </c>
      <c r="P209" s="858" t="str">
        <f>'Laminates- copilot'!N73</f>
        <v>Europe to US</v>
      </c>
      <c r="Q209" s="858">
        <f t="shared" si="48"/>
        <v>60000</v>
      </c>
      <c r="R209" s="858">
        <f t="shared" si="49"/>
        <v>60000</v>
      </c>
      <c r="S209" s="858">
        <f>IFERROR('Laminates- copilot'!Q73/'Laminates- copilot'!P73*Q209,"")</f>
        <v>2041.8000000000002</v>
      </c>
      <c r="T209" s="203">
        <f>IFERROR('Laminates- copilot'!R73/'Laminates- copilot'!P73*Q209,"")</f>
        <v>32320.238342618261</v>
      </c>
      <c r="U209" s="912">
        <f>IFERROR('Laminates- copilot'!S73/'Laminates- copilot'!P73*Q209,"")</f>
        <v>37491.47647743718</v>
      </c>
      <c r="V209" s="913">
        <f t="shared" si="50"/>
        <v>15.829287071514477</v>
      </c>
      <c r="W209" s="914">
        <f t="shared" si="51"/>
        <v>18.361973002956791</v>
      </c>
      <c r="X209" s="913">
        <f t="shared" si="52"/>
        <v>0.53867063904363766</v>
      </c>
      <c r="Y209" s="913">
        <f t="shared" si="53"/>
        <v>15.829287071514477</v>
      </c>
      <c r="Z209" s="95">
        <f t="shared" si="54"/>
        <v>48977</v>
      </c>
      <c r="AA209" s="50" t="str">
        <f t="shared" si="55"/>
        <v>MOQ OK</v>
      </c>
      <c r="AB209" s="923">
        <f t="shared" si="56"/>
        <v>0.15202754165719906</v>
      </c>
      <c r="AC209" s="924">
        <f t="shared" si="57"/>
        <v>0.1763519483223509</v>
      </c>
      <c r="AD209" s="203">
        <f t="shared" si="58"/>
        <v>30405.508331439811</v>
      </c>
      <c r="AE209" s="912">
        <f t="shared" si="59"/>
        <v>35270.389664470174</v>
      </c>
      <c r="AF209" s="923" cm="1">
        <f t="array" ref="AF209">IF(O209="Quantum",IFERROR(_xlfn.LET(_xlpm.b,_xlfn.SWITCH(LOWER(B209),"zipper bag","Zipper pouch","open bag","Open pouch","sup with zipper","Stand-up pouch","stand-up pouch","Stand-up pouch",B209),_xlpm.w,G209,_xlpm.q,K209,_xlpm.types,'Converting-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missing"),IFERROR(_xlfn.LET(_xlpm.s,O209,_xlpm.b,_xlfn.SWITCH(LOWER(B209),"zipper bag","Zipper pouch","open bag","Open pouch",B209),_xlpm.w,G209,_xlpm.q,K209,_xlpm.src,'Converting-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09" s="923">
        <f>IFERROR(IF(OR(B209="Zipper pouch",B209="SUP with zipper"),HELPER!$DE$2*(AH209+AI209)/K209,HELPER!$DE$2*AH209/K209),"Data is missing")</f>
        <v>1.6160119171309132E-3</v>
      </c>
      <c r="AH209" s="923">
        <f t="shared" si="60"/>
        <v>0.53867063904363766</v>
      </c>
      <c r="AI209" s="923" t="str">
        <f>IF(OR(B209="Zipper pouch",B209="SUP with zipper"),HELPER!$DC$2*G209/1000,"")</f>
        <v/>
      </c>
      <c r="AJ209" s="923" cm="1">
        <f t="array" ref="AJ209">IF(INDEX('Laminates- copilot'!$E$6:$E$257,ROUNDUP((ROW()-5)/3,0))+50&gt;IF(O209="Quantum",760,1220),"Width exceeds supplier maximum",IFERROR(AF209+AG209+N(AI209)+AH209*G209/1000/MAX(1,MIN(MAX(2,INT(900/INDEX('Laminates- copilot'!$E$6:$E$257,ROUNDUP((ROW()-5)/3,0)))),INT((IF(O209="Quantum",760,1220)-50)/INDEX('Laminates- copilot'!$E$6:$E$257,ROUNDUP((ROW()-5)/3,0))))),"Data is missing"))</f>
        <v>0.1140206562428993</v>
      </c>
      <c r="AK209" s="203">
        <f t="shared" si="61"/>
        <v>152.02754165719907</v>
      </c>
      <c r="AL209" t="str">
        <f t="shared" si="62"/>
        <v>PASS</v>
      </c>
      <c r="AM209" s="50" t="str">
        <f t="shared" si="63"/>
        <v/>
      </c>
    </row>
    <row r="210" spans="1:39" hidden="1">
      <c r="A210" t="s">
        <v>1838</v>
      </c>
      <c r="B210" t="s">
        <v>251</v>
      </c>
      <c r="C210" s="50" t="s">
        <v>1626</v>
      </c>
      <c r="D210" t="str">
        <f>'Laminates- copilot'!B74</f>
        <v>618 W</v>
      </c>
      <c r="E210" s="858">
        <f>'Laminates- copilot'!D74</f>
        <v>66</v>
      </c>
      <c r="F210" s="858">
        <v>250</v>
      </c>
      <c r="G210" s="858">
        <v>400</v>
      </c>
      <c r="H210" s="858">
        <v>50</v>
      </c>
      <c r="I210" s="858">
        <v>0</v>
      </c>
      <c r="J210" s="858">
        <v>600</v>
      </c>
      <c r="K210" s="858">
        <v>1000000</v>
      </c>
      <c r="L210" s="858" t="str">
        <f>'Laminates- copilot'!K74</f>
        <v>Printed</v>
      </c>
      <c r="M210" s="858" t="str">
        <f>'Laminates- copilot'!L74</f>
        <v>3-4</v>
      </c>
      <c r="N210" s="858">
        <f>'Laminates- copilot'!M74</f>
        <v>4</v>
      </c>
      <c r="O210" s="858" t="str">
        <f>'Laminates- copilot'!O74</f>
        <v>Marma</v>
      </c>
      <c r="P210" s="858" t="str">
        <f>'Laminates- copilot'!N74</f>
        <v>Europe to Europe</v>
      </c>
      <c r="Q210" s="858">
        <f t="shared" si="48"/>
        <v>400000</v>
      </c>
      <c r="R210" s="858">
        <f t="shared" si="49"/>
        <v>400000</v>
      </c>
      <c r="S210" s="858">
        <f>IFERROR('Laminates- copilot'!Q74/'Laminates- copilot'!P74*Q210,"")</f>
        <v>20668.799999999996</v>
      </c>
      <c r="T210" s="203">
        <f>IFERROR('Laminates- copilot'!R74/'Laminates- copilot'!P74*Q210,"")</f>
        <v>385346.11312999995</v>
      </c>
      <c r="U210" s="912">
        <f>IFERROR('Laminates- copilot'!S74/'Laminates- copilot'!P74*Q210,"")</f>
        <v>447001.49123079987</v>
      </c>
      <c r="V210" s="913">
        <f t="shared" si="50"/>
        <v>18.64385514059839</v>
      </c>
      <c r="W210" s="914">
        <f t="shared" si="51"/>
        <v>21.626871963094132</v>
      </c>
      <c r="X210" s="913">
        <f t="shared" si="52"/>
        <v>0.96336528282499989</v>
      </c>
      <c r="Y210" s="913">
        <f t="shared" si="53"/>
        <v>18.64385514059839</v>
      </c>
      <c r="Z210" s="95">
        <f t="shared" si="54"/>
        <v>24192</v>
      </c>
      <c r="AA210" s="50" t="str">
        <f t="shared" si="55"/>
        <v>MOQ OK</v>
      </c>
      <c r="AB210" s="923">
        <f t="shared" si="56"/>
        <v>0.68953891931391464</v>
      </c>
      <c r="AC210" s="924">
        <f t="shared" si="57"/>
        <v>0.79986514640414097</v>
      </c>
      <c r="AD210" s="203">
        <f t="shared" si="58"/>
        <v>689538.91931391461</v>
      </c>
      <c r="AE210" s="912">
        <f t="shared" si="59"/>
        <v>799865.14640414086</v>
      </c>
      <c r="AF210" s="923" cm="1">
        <f t="array" ref="AF210">IF(O210="Quantum",IFERROR(_xlfn.LET(_xlpm.b,_xlfn.SWITCH(LOWER(B210),"zipper bag","Zipper pouch","open bag","Open pouch","sup with zipper","Stand-up pouch","stand-up pouch","Stand-up pouch",B210),_xlpm.w,G210,_xlpm.q,K210,_xlpm.types,'Converting-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missing"),IFERROR(_xlfn.LET(_xlpm.s,O210,_xlpm.b,_xlfn.SWITCH(LOWER(B210),"zipper bag","Zipper pouch","open bag","Open pouch",B210),_xlpm.w,G210,_xlpm.q,K210,_xlpm.src,'Converting-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210" s="923">
        <f>IFERROR(IF(OR(B210="Zipper pouch",B210="SUP with zipper"),HELPER!$DE$2*(AH210+AI210)/K210,HELPER!$DE$2*AH210/K210),"Data is missing")</f>
        <v>6.1257916969500005E-4</v>
      </c>
      <c r="AH210" s="923">
        <f t="shared" si="60"/>
        <v>0.96336528282499989</v>
      </c>
      <c r="AI210" s="923">
        <f>IF(OR(B210="Zipper pouch",B210="SUP with zipper"),HELPER!$DC$2*G210/1000,"")</f>
        <v>5.7599999999999991E-2</v>
      </c>
      <c r="AJ210" s="923" cm="1">
        <f t="array" ref="AJ210">IF(INDEX('Laminates- copilot'!$E$6:$E$257,ROUNDUP((ROW()-5)/3,0))+50&gt;IF(O210="Quantum",760,1220),"Width exceeds supplier maximum",IFERROR(AF210+AG210+N(AI210)+AH210*G210/1000/MAX(1,MIN(MAX(2,INT(900/INDEX('Laminates- copilot'!$E$6:$E$257,ROUNDUP((ROW()-5)/3,0)))),INT((IF(O210="Quantum",760,1220)-50)/INDEX('Laminates- copilot'!$E$6:$E$257,ROUNDUP((ROW()-5)/3,0))))),"Data is missing"))</f>
        <v>0.51715418948543601</v>
      </c>
      <c r="AK210" s="203">
        <f t="shared" si="61"/>
        <v>689.53891931391468</v>
      </c>
      <c r="AL210" t="str">
        <f t="shared" si="62"/>
        <v>PASS</v>
      </c>
      <c r="AM210" s="50" t="str">
        <f t="shared" si="63"/>
        <v/>
      </c>
    </row>
    <row r="211" spans="1:39" hidden="1">
      <c r="A211" t="s">
        <v>1839</v>
      </c>
      <c r="B211" t="s">
        <v>261</v>
      </c>
      <c r="C211" s="50" t="s">
        <v>1626</v>
      </c>
      <c r="D211" t="str">
        <f>'Laminates- copilot'!B74</f>
        <v>618 W</v>
      </c>
      <c r="E211" s="858">
        <f>'Laminates- copilot'!D74</f>
        <v>66</v>
      </c>
      <c r="F211" s="858">
        <v>250</v>
      </c>
      <c r="G211" s="858">
        <v>400</v>
      </c>
      <c r="H211" s="858">
        <v>50</v>
      </c>
      <c r="I211" s="858">
        <v>0</v>
      </c>
      <c r="J211" s="858">
        <v>600</v>
      </c>
      <c r="K211" s="858">
        <v>1000000</v>
      </c>
      <c r="L211" s="858" t="str">
        <f>'Laminates- copilot'!K74</f>
        <v>Printed</v>
      </c>
      <c r="M211" s="858" t="str">
        <f>'Laminates- copilot'!L74</f>
        <v>3-4</v>
      </c>
      <c r="N211" s="858">
        <f>'Laminates- copilot'!M74</f>
        <v>4</v>
      </c>
      <c r="O211" s="858" t="str">
        <f>'Laminates- copilot'!O74</f>
        <v>Marma</v>
      </c>
      <c r="P211" s="858" t="str">
        <f>'Laminates- copilot'!N74</f>
        <v>Europe to Europe</v>
      </c>
      <c r="Q211" s="858">
        <f t="shared" si="48"/>
        <v>400000</v>
      </c>
      <c r="R211" s="858">
        <f t="shared" si="49"/>
        <v>400000</v>
      </c>
      <c r="S211" s="858">
        <f>IFERROR('Laminates- copilot'!Q74/'Laminates- copilot'!P74*Q211,"")</f>
        <v>20668.799999999996</v>
      </c>
      <c r="T211" s="203">
        <f>IFERROR('Laminates- copilot'!R74/'Laminates- copilot'!P74*Q211,"")</f>
        <v>385346.11312999995</v>
      </c>
      <c r="U211" s="912">
        <f>IFERROR('Laminates- copilot'!S74/'Laminates- copilot'!P74*Q211,"")</f>
        <v>447001.49123079987</v>
      </c>
      <c r="V211" s="913">
        <f t="shared" si="50"/>
        <v>18.64385514059839</v>
      </c>
      <c r="W211" s="914">
        <f t="shared" si="51"/>
        <v>21.626871963094132</v>
      </c>
      <c r="X211" s="913">
        <f t="shared" si="52"/>
        <v>0.96336528282499989</v>
      </c>
      <c r="Y211" s="913">
        <f t="shared" si="53"/>
        <v>18.64385514059839</v>
      </c>
      <c r="Z211" s="95">
        <f t="shared" si="54"/>
        <v>24192</v>
      </c>
      <c r="AA211" s="50" t="str">
        <f t="shared" si="55"/>
        <v>MOQ OK</v>
      </c>
      <c r="AB211" s="923">
        <f t="shared" si="56"/>
        <v>0.68189777996545831</v>
      </c>
      <c r="AC211" s="924">
        <f t="shared" si="57"/>
        <v>0.79100142475993163</v>
      </c>
      <c r="AD211" s="203">
        <f t="shared" si="58"/>
        <v>681897.77996545832</v>
      </c>
      <c r="AE211" s="912">
        <f t="shared" si="59"/>
        <v>791001.42475993163</v>
      </c>
      <c r="AF211" s="923" cm="1">
        <f t="array" ref="AF211">IF(O211="Quantum",IFERROR(_xlfn.LET(_xlpm.b,_xlfn.SWITCH(LOWER(B211),"zipper bag","Zipper pouch","open bag","Open pouch","sup with zipper","Stand-up pouch","stand-up pouch","Stand-up pouch",B211),_xlpm.w,G211,_xlpm.q,K211,_xlpm.types,'Converting-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missing"),IFERROR(_xlfn.LET(_xlpm.s,O211,_xlpm.b,_xlfn.SWITCH(LOWER(B211),"zipper bag","Zipper pouch","open bag","Open pouch",B211),_xlpm.w,G211,_xlpm.q,K211,_xlpm.src,'Converting-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211" s="923">
        <f>IFERROR(IF(OR(B211="Zipper pouch",B211="SUP with zipper"),HELPER!$DE$2*(AH211+AI211)/K211,HELPER!$DE$2*AH211/K211),"Data is missing")</f>
        <v>6.1257916969500005E-4</v>
      </c>
      <c r="AH211" s="923">
        <f t="shared" si="60"/>
        <v>0.96336528282499989</v>
      </c>
      <c r="AI211" s="923">
        <f>IF(OR(B211="Zipper pouch",B211="SUP with zipper"),HELPER!$DC$2*G211/1000,"")</f>
        <v>5.7599999999999991E-2</v>
      </c>
      <c r="AJ211" s="923" cm="1">
        <f t="array" ref="AJ211">IF(INDEX('Laminates- copilot'!$E$6:$E$257,ROUNDUP((ROW()-5)/3,0))+50&gt;IF(O211="Quantum",760,1220),"Width exceeds supplier maximum",IFERROR(AF211+AG211+N(AI211)+AH211*G211/1000/MAX(1,MIN(MAX(2,INT(900/INDEX('Laminates- copilot'!$E$6:$E$257,ROUNDUP((ROW()-5)/3,0)))),INT((IF(O211="Quantum",760,1220)-50)/INDEX('Laminates- copilot'!$E$6:$E$257,ROUNDUP((ROW()-5)/3,0))))),"Data is missing"))</f>
        <v>0.51142333497409376</v>
      </c>
      <c r="AK211" s="203">
        <f t="shared" si="61"/>
        <v>681.89777996545831</v>
      </c>
      <c r="AL211" t="str">
        <f t="shared" si="62"/>
        <v>PASS</v>
      </c>
      <c r="AM211" s="50" t="str">
        <f t="shared" si="63"/>
        <v/>
      </c>
    </row>
    <row r="212" spans="1:39" hidden="1">
      <c r="A212" t="s">
        <v>1840</v>
      </c>
      <c r="B212" t="s">
        <v>262</v>
      </c>
      <c r="C212" s="50" t="s">
        <v>1626</v>
      </c>
      <c r="D212" t="str">
        <f>'Laminates- copilot'!B74</f>
        <v>618 W</v>
      </c>
      <c r="E212" s="858">
        <f>'Laminates- copilot'!D74</f>
        <v>66</v>
      </c>
      <c r="F212" s="858">
        <v>250</v>
      </c>
      <c r="G212" s="858">
        <v>400</v>
      </c>
      <c r="H212" s="858">
        <v>0</v>
      </c>
      <c r="I212" s="858">
        <v>15</v>
      </c>
      <c r="J212" s="858">
        <v>515</v>
      </c>
      <c r="K212" s="858">
        <v>1000000</v>
      </c>
      <c r="L212" s="858" t="str">
        <f>'Laminates- copilot'!K74</f>
        <v>Printed</v>
      </c>
      <c r="M212" s="858" t="str">
        <f>'Laminates- copilot'!L74</f>
        <v>3-4</v>
      </c>
      <c r="N212" s="858">
        <f>'Laminates- copilot'!M74</f>
        <v>4</v>
      </c>
      <c r="O212" s="858" t="str">
        <f>'Laminates- copilot'!O74</f>
        <v>Marma</v>
      </c>
      <c r="P212" s="858" t="str">
        <f>'Laminates- copilot'!N74</f>
        <v>Europe to Europe</v>
      </c>
      <c r="Q212" s="858">
        <f t="shared" si="48"/>
        <v>400000</v>
      </c>
      <c r="R212" s="858">
        <f t="shared" si="49"/>
        <v>400000</v>
      </c>
      <c r="S212" s="858">
        <f>IFERROR('Laminates- copilot'!Q74/'Laminates- copilot'!P74*Q212,"")</f>
        <v>20668.799999999996</v>
      </c>
      <c r="T212" s="203">
        <f>IFERROR('Laminates- copilot'!R74/'Laminates- copilot'!P74*Q212,"")</f>
        <v>385346.11312999995</v>
      </c>
      <c r="U212" s="912">
        <f>IFERROR('Laminates- copilot'!S74/'Laminates- copilot'!P74*Q212,"")</f>
        <v>447001.49123079987</v>
      </c>
      <c r="V212" s="913">
        <f t="shared" si="50"/>
        <v>18.64385514059839</v>
      </c>
      <c r="W212" s="914">
        <f t="shared" si="51"/>
        <v>21.626871963094132</v>
      </c>
      <c r="X212" s="913">
        <f t="shared" si="52"/>
        <v>0.96336528282499989</v>
      </c>
      <c r="Y212" s="913">
        <f t="shared" si="53"/>
        <v>18.64385514059839</v>
      </c>
      <c r="Z212" s="95">
        <f t="shared" si="54"/>
        <v>24192</v>
      </c>
      <c r="AA212" s="50" t="str">
        <f t="shared" si="55"/>
        <v>MOQ OK</v>
      </c>
      <c r="AB212" s="923">
        <f t="shared" si="56"/>
        <v>0.5949532396674414</v>
      </c>
      <c r="AC212" s="924">
        <f t="shared" si="57"/>
        <v>0.69014575801423195</v>
      </c>
      <c r="AD212" s="203">
        <f t="shared" si="58"/>
        <v>594953.23966744135</v>
      </c>
      <c r="AE212" s="912">
        <f t="shared" si="59"/>
        <v>690145.75801423192</v>
      </c>
      <c r="AF212" s="923" cm="1">
        <f t="array" ref="AF212">IF(O212="Quantum",IFERROR(_xlfn.LET(_xlpm.b,_xlfn.SWITCH(LOWER(B212),"zipper bag","Zipper pouch","open bag","Open pouch","sup with zipper","Stand-up pouch","stand-up pouch","Stand-up pouch",B212),_xlpm.w,G212,_xlpm.q,K212,_xlpm.types,'Converting-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missing"),IFERROR(_xlfn.LET(_xlpm.s,O212,_xlpm.b,_xlfn.SWITCH(LOWER(B212),"zipper bag","Zipper pouch","open bag","Open pouch",B212),_xlpm.w,G212,_xlpm.q,K212,_xlpm.src,'Converting-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212" s="923">
        <f>IFERROR(IF(OR(B212="Zipper pouch",B212="SUP with zipper"),HELPER!$DE$2*(AH212+AI212)/K212,HELPER!$DE$2*AH212/K212),"Data is missing")</f>
        <v>5.7801916969499995E-4</v>
      </c>
      <c r="AH212" s="923">
        <f t="shared" si="60"/>
        <v>0.96336528282499989</v>
      </c>
      <c r="AI212" s="923" t="str">
        <f>IF(OR(B212="Zipper pouch",B212="SUP with zipper"),HELPER!$DC$2*G212/1000,"")</f>
        <v/>
      </c>
      <c r="AJ212" s="923" cm="1">
        <f t="array" ref="AJ212">IF(INDEX('Laminates- copilot'!$E$6:$E$257,ROUNDUP((ROW()-5)/3,0))+50&gt;IF(O212="Quantum",760,1220),"Width exceeds supplier maximum",IFERROR(AF212+AG212+N(AI212)+AH212*G212/1000/MAX(1,MIN(MAX(2,INT(900/INDEX('Laminates- copilot'!$E$6:$E$257,ROUNDUP((ROW()-5)/3,0)))),INT((IF(O212="Quantum",760,1220)-50)/INDEX('Laminates- copilot'!$E$6:$E$257,ROUNDUP((ROW()-5)/3,0))))),"Data is missing"))</f>
        <v>0.44621492975058108</v>
      </c>
      <c r="AK212" s="203">
        <f t="shared" si="61"/>
        <v>594.95323966744138</v>
      </c>
      <c r="AL212" t="str">
        <f t="shared" si="62"/>
        <v>PASS</v>
      </c>
      <c r="AM212" s="50" t="str">
        <f t="shared" si="63"/>
        <v/>
      </c>
    </row>
    <row r="213" spans="1:39" hidden="1">
      <c r="A213" t="s">
        <v>1841</v>
      </c>
      <c r="B213" t="s">
        <v>251</v>
      </c>
      <c r="C213" s="50" t="s">
        <v>1627</v>
      </c>
      <c r="D213" t="str">
        <f>'Laminates- copilot'!B75</f>
        <v>618 W</v>
      </c>
      <c r="E213" s="858">
        <f>'Laminates- copilot'!D75</f>
        <v>51</v>
      </c>
      <c r="F213" s="858">
        <v>350</v>
      </c>
      <c r="G213" s="858">
        <v>500</v>
      </c>
      <c r="H213" s="858">
        <v>100</v>
      </c>
      <c r="I213" s="858">
        <v>0</v>
      </c>
      <c r="J213" s="858">
        <v>900</v>
      </c>
      <c r="K213" s="858">
        <v>1600000</v>
      </c>
      <c r="L213" s="858" t="str">
        <f>'Laminates- copilot'!K75</f>
        <v>Printed</v>
      </c>
      <c r="M213" s="858" t="str">
        <f>'Laminates- copilot'!L75</f>
        <v>1-2</v>
      </c>
      <c r="N213" s="858">
        <f>'Laminates- copilot'!M75</f>
        <v>2</v>
      </c>
      <c r="O213" s="858" t="str">
        <f>'Laminates- copilot'!O75</f>
        <v>Quantum</v>
      </c>
      <c r="P213" s="858" t="str">
        <f>'Laminates- copilot'!N75</f>
        <v>Europe to Europe</v>
      </c>
      <c r="Q213" s="858">
        <f t="shared" si="48"/>
        <v>800000</v>
      </c>
      <c r="R213" s="858">
        <f t="shared" si="49"/>
        <v>800000</v>
      </c>
      <c r="S213" s="858">
        <f>IFERROR('Laminates- copilot'!Q75/'Laminates- copilot'!P75*Q213,"")</f>
        <v>24253.200000000001</v>
      </c>
      <c r="T213" s="203">
        <f>IFERROR('Laminates- copilot'!R75/'Laminates- copilot'!P75*Q213,"")</f>
        <v>918941.43426908331</v>
      </c>
      <c r="U213" s="912">
        <f>IFERROR('Laminates- copilot'!S75/'Laminates- copilot'!P75*Q213,"")</f>
        <v>1065972.0637521367</v>
      </c>
      <c r="V213" s="913">
        <f t="shared" si="50"/>
        <v>37.889492284279321</v>
      </c>
      <c r="W213" s="914">
        <f t="shared" si="51"/>
        <v>43.951811049764018</v>
      </c>
      <c r="X213" s="913">
        <f t="shared" si="52"/>
        <v>1.1486767928363542</v>
      </c>
      <c r="Y213" s="913">
        <f t="shared" si="53"/>
        <v>37.889492284279321</v>
      </c>
      <c r="Z213" s="95">
        <f t="shared" si="54"/>
        <v>32986</v>
      </c>
      <c r="AA213" s="50" t="str">
        <f t="shared" si="55"/>
        <v>MOQ OK</v>
      </c>
      <c r="AB213" s="923">
        <f t="shared" si="56"/>
        <v>1.2178454132857599</v>
      </c>
      <c r="AC213" s="924">
        <f t="shared" si="57"/>
        <v>1.4127006794114814</v>
      </c>
      <c r="AD213" s="203">
        <f t="shared" si="58"/>
        <v>1948552.6612572158</v>
      </c>
      <c r="AE213" s="912">
        <f t="shared" si="59"/>
        <v>2260321.08705837</v>
      </c>
      <c r="AF213" s="923" cm="1">
        <f t="array" ref="AF213">IF(O213="Quantum",IFERROR(_xlfn.LET(_xlpm.b,_xlfn.SWITCH(LOWER(B213),"zipper bag","Zipper pouch","open bag","Open pouch","sup with zipper","Stand-up pouch","stand-up pouch","Stand-up pouch",B213),_xlpm.w,G213,_xlpm.q,K213,_xlpm.types,'Converting-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missing"),IFERROR(_xlfn.LET(_xlpm.s,O213,_xlpm.b,_xlfn.SWITCH(LOWER(B213),"zipper bag","Zipper pouch","open bag","Open pouch",B213),_xlpm.w,G213,_xlpm.q,K213,_xlpm.src,'Converting-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213" s="923">
        <f>IFERROR(IF(OR(B213="Zipper pouch",B213="SUP with zipper"),HELPER!$DE$2*(AH213+AI213)/K213,HELPER!$DE$2*AH213/K213),"Data is missing")</f>
        <v>4.5775379731363279E-4</v>
      </c>
      <c r="AH213" s="923">
        <f t="shared" si="60"/>
        <v>1.1486767928363542</v>
      </c>
      <c r="AI213" s="923">
        <f>IF(OR(B213="Zipper pouch",B213="SUP with zipper"),HELPER!$DC$2*G213/1000,"")</f>
        <v>7.1999999999999995E-2</v>
      </c>
      <c r="AJ213" s="923" cm="1">
        <f t="array" ref="AJ213">IF(INDEX('Laminates- copilot'!$E$6:$E$257,ROUNDUP((ROW()-5)/3,0))+50&gt;IF(O213="Quantum",760,1220),"Width exceeds supplier maximum",IFERROR(AF213+AG213+N(AI213)+AH213*G213/1000/MAX(1,MIN(MAX(2,INT(900/INDEX('Laminates- copilot'!$E$6:$E$257,ROUNDUP((ROW()-5)/3,0)))),INT((IF(O213="Quantum",760,1220)-50)/INDEX('Laminates- copilot'!$E$6:$E$257,ROUNDUP((ROW()-5)/3,0))))),"Data is missing"))</f>
        <v>0.91338405996431993</v>
      </c>
      <c r="AK213" s="203">
        <f t="shared" si="61"/>
        <v>1217.8454132857598</v>
      </c>
      <c r="AL213" t="str">
        <f t="shared" si="62"/>
        <v>PASS</v>
      </c>
      <c r="AM213" s="50" t="str">
        <f t="shared" si="63"/>
        <v/>
      </c>
    </row>
    <row r="214" spans="1:39" hidden="1">
      <c r="A214" t="s">
        <v>1842</v>
      </c>
      <c r="B214" t="s">
        <v>261</v>
      </c>
      <c r="C214" s="50" t="s">
        <v>1627</v>
      </c>
      <c r="D214" t="str">
        <f>'Laminates- copilot'!B75</f>
        <v>618 W</v>
      </c>
      <c r="E214" s="858">
        <f>'Laminates- copilot'!D75</f>
        <v>51</v>
      </c>
      <c r="F214" s="858">
        <v>350</v>
      </c>
      <c r="G214" s="858">
        <v>500</v>
      </c>
      <c r="H214" s="858">
        <v>100</v>
      </c>
      <c r="I214" s="858">
        <v>0</v>
      </c>
      <c r="J214" s="858">
        <v>900</v>
      </c>
      <c r="K214" s="858">
        <v>1600000</v>
      </c>
      <c r="L214" s="858" t="str">
        <f>'Laminates- copilot'!K75</f>
        <v>Printed</v>
      </c>
      <c r="M214" s="858" t="str">
        <f>'Laminates- copilot'!L75</f>
        <v>1-2</v>
      </c>
      <c r="N214" s="858">
        <f>'Laminates- copilot'!M75</f>
        <v>2</v>
      </c>
      <c r="O214" s="858" t="str">
        <f>'Laminates- copilot'!O75</f>
        <v>Quantum</v>
      </c>
      <c r="P214" s="858" t="str">
        <f>'Laminates- copilot'!N75</f>
        <v>Europe to Europe</v>
      </c>
      <c r="Q214" s="858">
        <f t="shared" si="48"/>
        <v>800000</v>
      </c>
      <c r="R214" s="858">
        <f t="shared" si="49"/>
        <v>800000</v>
      </c>
      <c r="S214" s="858">
        <f>IFERROR('Laminates- copilot'!Q75/'Laminates- copilot'!P75*Q214,"")</f>
        <v>24253.200000000001</v>
      </c>
      <c r="T214" s="203">
        <f>IFERROR('Laminates- copilot'!R75/'Laminates- copilot'!P75*Q214,"")</f>
        <v>918941.43426908331</v>
      </c>
      <c r="U214" s="912">
        <f>IFERROR('Laminates- copilot'!S75/'Laminates- copilot'!P75*Q214,"")</f>
        <v>1065972.0637521367</v>
      </c>
      <c r="V214" s="913">
        <f t="shared" si="50"/>
        <v>37.889492284279321</v>
      </c>
      <c r="W214" s="914">
        <f t="shared" si="51"/>
        <v>43.951811049764018</v>
      </c>
      <c r="X214" s="913">
        <f t="shared" si="52"/>
        <v>1.1486767928363542</v>
      </c>
      <c r="Y214" s="913">
        <f t="shared" si="53"/>
        <v>37.889492284279321</v>
      </c>
      <c r="Z214" s="95">
        <f t="shared" si="54"/>
        <v>32986</v>
      </c>
      <c r="AA214" s="50" t="str">
        <f t="shared" si="55"/>
        <v>MOQ OK</v>
      </c>
      <c r="AB214" s="923">
        <f t="shared" si="56"/>
        <v>1.1784275364902757</v>
      </c>
      <c r="AC214" s="924">
        <f t="shared" si="57"/>
        <v>1.3669759423287196</v>
      </c>
      <c r="AD214" s="203">
        <f t="shared" si="58"/>
        <v>1885484.0583844411</v>
      </c>
      <c r="AE214" s="912">
        <f t="shared" si="59"/>
        <v>2187161.5077259513</v>
      </c>
      <c r="AF214" s="923" cm="1">
        <f t="array" ref="AF214">IF(O214="Quantum",IFERROR(_xlfn.LET(_xlpm.b,_xlfn.SWITCH(LOWER(B214),"zipper bag","Zipper pouch","open bag","Open pouch","sup with zipper","Stand-up pouch","stand-up pouch","Stand-up pouch",B214),_xlpm.w,G214,_xlpm.q,K214,_xlpm.types,'Converting-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missing"),IFERROR(_xlfn.LET(_xlpm.s,O214,_xlpm.b,_xlfn.SWITCH(LOWER(B214),"zipper bag","Zipper pouch","open bag","Open pouch",B214),_xlpm.w,G214,_xlpm.q,K214,_xlpm.src,'Converting-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214" s="923">
        <f>IFERROR(IF(OR(B214="Zipper pouch",B214="SUP with zipper"),HELPER!$DE$2*(AH214+AI214)/K214,HELPER!$DE$2*AH214/K214),"Data is missing")</f>
        <v>4.5775379731363279E-4</v>
      </c>
      <c r="AH214" s="923">
        <f t="shared" si="60"/>
        <v>1.1486767928363542</v>
      </c>
      <c r="AI214" s="923">
        <f>IF(OR(B214="Zipper pouch",B214="SUP with zipper"),HELPER!$DC$2*G214/1000,"")</f>
        <v>7.1999999999999995E-2</v>
      </c>
      <c r="AJ214" s="923" cm="1">
        <f t="array" ref="AJ214">IF(INDEX('Laminates- copilot'!$E$6:$E$257,ROUNDUP((ROW()-5)/3,0))+50&gt;IF(O214="Quantum",760,1220),"Width exceeds supplier maximum",IFERROR(AF214+AG214+N(AI214)+AH214*G214/1000/MAX(1,MIN(MAX(2,INT(900/INDEX('Laminates- copilot'!$E$6:$E$257,ROUNDUP((ROW()-5)/3,0)))),INT((IF(O214="Quantum",760,1220)-50)/INDEX('Laminates- copilot'!$E$6:$E$257,ROUNDUP((ROW()-5)/3,0))))),"Data is missing"))</f>
        <v>0.88382065236770679</v>
      </c>
      <c r="AK214" s="203">
        <f t="shared" si="61"/>
        <v>1178.4275364902755</v>
      </c>
      <c r="AL214" t="str">
        <f t="shared" si="62"/>
        <v>PASS</v>
      </c>
      <c r="AM214" s="50" t="str">
        <f t="shared" si="63"/>
        <v/>
      </c>
    </row>
    <row r="215" spans="1:39" hidden="1">
      <c r="A215" t="s">
        <v>1843</v>
      </c>
      <c r="B215" t="s">
        <v>262</v>
      </c>
      <c r="C215" s="50" t="s">
        <v>1627</v>
      </c>
      <c r="D215" t="str">
        <f>'Laminates- copilot'!B75</f>
        <v>618 W</v>
      </c>
      <c r="E215" s="858">
        <f>'Laminates- copilot'!D75</f>
        <v>51</v>
      </c>
      <c r="F215" s="858">
        <v>350</v>
      </c>
      <c r="G215" s="858">
        <v>500</v>
      </c>
      <c r="H215" s="858">
        <v>0</v>
      </c>
      <c r="I215" s="858">
        <v>25</v>
      </c>
      <c r="J215" s="858">
        <v>725</v>
      </c>
      <c r="K215" s="858">
        <v>1600000</v>
      </c>
      <c r="L215" s="858" t="str">
        <f>'Laminates- copilot'!K75</f>
        <v>Printed</v>
      </c>
      <c r="M215" s="858" t="str">
        <f>'Laminates- copilot'!L75</f>
        <v>1-2</v>
      </c>
      <c r="N215" s="858">
        <f>'Laminates- copilot'!M75</f>
        <v>2</v>
      </c>
      <c r="O215" s="858" t="str">
        <f>'Laminates- copilot'!O75</f>
        <v>Quantum</v>
      </c>
      <c r="P215" s="858" t="str">
        <f>'Laminates- copilot'!N75</f>
        <v>Europe to Europe</v>
      </c>
      <c r="Q215" s="858">
        <f t="shared" si="48"/>
        <v>800000</v>
      </c>
      <c r="R215" s="858">
        <f t="shared" si="49"/>
        <v>800000</v>
      </c>
      <c r="S215" s="858">
        <f>IFERROR('Laminates- copilot'!Q75/'Laminates- copilot'!P75*Q215,"")</f>
        <v>24253.200000000001</v>
      </c>
      <c r="T215" s="203">
        <f>IFERROR('Laminates- copilot'!R75/'Laminates- copilot'!P75*Q215,"")</f>
        <v>918941.43426908331</v>
      </c>
      <c r="U215" s="912">
        <f>IFERROR('Laminates- copilot'!S75/'Laminates- copilot'!P75*Q215,"")</f>
        <v>1065972.0637521367</v>
      </c>
      <c r="V215" s="913">
        <f t="shared" si="50"/>
        <v>37.889492284279321</v>
      </c>
      <c r="W215" s="914">
        <f t="shared" si="51"/>
        <v>43.951811049764018</v>
      </c>
      <c r="X215" s="913">
        <f t="shared" si="52"/>
        <v>1.1486767928363542</v>
      </c>
      <c r="Y215" s="913">
        <f t="shared" si="53"/>
        <v>37.889492284279321</v>
      </c>
      <c r="Z215" s="95">
        <f t="shared" si="54"/>
        <v>32986</v>
      </c>
      <c r="AA215" s="50" t="str">
        <f t="shared" si="55"/>
        <v>MOQ OK</v>
      </c>
      <c r="AB215" s="923">
        <f t="shared" si="56"/>
        <v>1.0506273499964169</v>
      </c>
      <c r="AC215" s="924">
        <f t="shared" si="57"/>
        <v>1.2187277259958436</v>
      </c>
      <c r="AD215" s="203">
        <f t="shared" si="58"/>
        <v>1681003.759994267</v>
      </c>
      <c r="AE215" s="912">
        <f t="shared" si="59"/>
        <v>1949964.3615933496</v>
      </c>
      <c r="AF215" s="923" cm="1">
        <f t="array" ref="AF215">IF(O215="Quantum",IFERROR(_xlfn.LET(_xlpm.b,_xlfn.SWITCH(LOWER(B215),"zipper bag","Zipper pouch","open bag","Open pouch","sup with zipper","Stand-up pouch","stand-up pouch","Stand-up pouch",B215),_xlpm.w,G215,_xlpm.q,K215,_xlpm.types,'Converting-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missing"),IFERROR(_xlfn.LET(_xlpm.s,O215,_xlpm.b,_xlfn.SWITCH(LOWER(B215),"zipper bag","Zipper pouch","open bag","Open pouch",B215),_xlpm.w,G215,_xlpm.q,K215,_xlpm.src,'Converting-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215" s="923">
        <f>IFERROR(IF(OR(B215="Zipper pouch",B215="SUP with zipper"),HELPER!$DE$2*(AH215+AI215)/K215,HELPER!$DE$2*AH215/K215),"Data is missing")</f>
        <v>4.3075379731363279E-4</v>
      </c>
      <c r="AH215" s="923">
        <f t="shared" si="60"/>
        <v>1.1486767928363542</v>
      </c>
      <c r="AI215" s="923" t="str">
        <f>IF(OR(B215="Zipper pouch",B215="SUP with zipper"),HELPER!$DC$2*G215/1000,"")</f>
        <v/>
      </c>
      <c r="AJ215" s="923" cm="1">
        <f t="array" ref="AJ215">IF(INDEX('Laminates- copilot'!$E$6:$E$257,ROUNDUP((ROW()-5)/3,0))+50&gt;IF(O215="Quantum",760,1220),"Width exceeds supplier maximum",IFERROR(AF215+AG215+N(AI215)+AH215*G215/1000/MAX(1,MIN(MAX(2,INT(900/INDEX('Laminates- copilot'!$E$6:$E$257,ROUNDUP((ROW()-5)/3,0)))),INT((IF(O215="Quantum",760,1220)-50)/INDEX('Laminates- copilot'!$E$6:$E$257,ROUNDUP((ROW()-5)/3,0))))),"Data is missing"))</f>
        <v>0.78797051249731276</v>
      </c>
      <c r="AK215" s="203">
        <f t="shared" si="61"/>
        <v>1050.627349996417</v>
      </c>
      <c r="AL215" t="str">
        <f t="shared" si="62"/>
        <v>PASS</v>
      </c>
      <c r="AM215" s="50" t="str">
        <f t="shared" si="63"/>
        <v/>
      </c>
    </row>
    <row r="216" spans="1:39" hidden="1">
      <c r="A216" t="s">
        <v>1844</v>
      </c>
      <c r="B216" t="s">
        <v>251</v>
      </c>
      <c r="C216" s="50" t="s">
        <v>2203</v>
      </c>
      <c r="D216">
        <f>'Laminates- copilot'!B76</f>
        <v>648</v>
      </c>
      <c r="E216" s="858">
        <f>'Laminates- copilot'!D76</f>
        <v>53</v>
      </c>
      <c r="F216" s="858">
        <v>100</v>
      </c>
      <c r="G216" s="858">
        <v>100</v>
      </c>
      <c r="H216" s="858">
        <v>20</v>
      </c>
      <c r="I216" s="858">
        <v>0</v>
      </c>
      <c r="J216" s="858">
        <v>240</v>
      </c>
      <c r="K216" s="858">
        <v>25000</v>
      </c>
      <c r="L216" s="858" t="str">
        <f>'Laminates- copilot'!K76</f>
        <v>Not Printed</v>
      </c>
      <c r="M216" s="858" t="str">
        <f>'Laminates- copilot'!L76</f>
        <v>0</v>
      </c>
      <c r="N216" s="858">
        <f>'Laminates- copilot'!M76</f>
        <v>1</v>
      </c>
      <c r="O216" s="858" t="str">
        <f>'Laminates- copilot'!O76</f>
        <v>Marma</v>
      </c>
      <c r="P216" s="858" t="str">
        <f>'Laminates- copilot'!N76</f>
        <v>Europe to Europe</v>
      </c>
      <c r="Q216" s="858">
        <f t="shared" si="48"/>
        <v>2500</v>
      </c>
      <c r="R216" s="858">
        <f t="shared" si="49"/>
        <v>2500</v>
      </c>
      <c r="S216" s="858">
        <f>IFERROR('Laminates- copilot'!Q76/'Laminates- copilot'!P76*Q216,"")</f>
        <v>20.988000000000007</v>
      </c>
      <c r="T216" s="203">
        <f>IFERROR('Laminates- copilot'!R76/'Laminates- copilot'!P76*Q216,"")</f>
        <v>208.59159797350097</v>
      </c>
      <c r="U216" s="912">
        <f>IFERROR('Laminates- copilot'!S76/'Laminates- copilot'!P76*Q216,"")</f>
        <v>241.96625364926109</v>
      </c>
      <c r="V216" s="913">
        <f t="shared" si="50"/>
        <v>9.9386124439442014</v>
      </c>
      <c r="W216" s="914">
        <f t="shared" si="51"/>
        <v>11.528790434975273</v>
      </c>
      <c r="X216" s="913">
        <f t="shared" si="52"/>
        <v>8.3436639189400391E-2</v>
      </c>
      <c r="Y216" s="913">
        <f t="shared" si="53"/>
        <v>9.9386124439442014</v>
      </c>
      <c r="Z216" s="95">
        <f t="shared" si="54"/>
        <v>595579</v>
      </c>
      <c r="AA216" s="50" t="str">
        <f t="shared" si="55"/>
        <v>Below MOQ by 570,579 bags</v>
      </c>
      <c r="AB216" s="923">
        <f t="shared" si="56"/>
        <v>7.4850795907081713E-2</v>
      </c>
      <c r="AC216" s="924">
        <f t="shared" si="57"/>
        <v>8.6826923252214777E-2</v>
      </c>
      <c r="AD216" s="203">
        <f t="shared" si="58"/>
        <v>1871.2698976770428</v>
      </c>
      <c r="AE216" s="912">
        <f t="shared" si="59"/>
        <v>2170.6730813053696</v>
      </c>
      <c r="AF216" s="923" cm="1">
        <f t="array" ref="AF216">IF(O216="Quantum",IFERROR(_xlfn.LET(_xlpm.b,_xlfn.SWITCH(LOWER(B216),"zipper bag","Zipper pouch","open bag","Open pouch","sup with zipper","Stand-up pouch","stand-up pouch","Stand-up pouch",B216),_xlpm.w,G216,_xlpm.q,K216,_xlpm.types,'Converting-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missing"),IFERROR(_xlfn.LET(_xlpm.s,O216,_xlpm.b,_xlfn.SWITCH(LOWER(B216),"zipper bag","Zipper pouch","open bag","Open pouch",B216),_xlpm.w,G216,_xlpm.q,K216,_xlpm.src,'Converting-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216" s="923">
        <f>IFERROR(IF(OR(B216="Zipper pouch",B216="SUP with zipper"),HELPER!$DE$2*(AH216+AI216)/K216,HELPER!$DE$2*AH216/K216),"Data is missing")</f>
        <v>2.3480793405456094E-3</v>
      </c>
      <c r="AH216" s="923">
        <f t="shared" si="60"/>
        <v>8.3436639189400391E-2</v>
      </c>
      <c r="AI216" s="923">
        <f>IF(OR(B216="Zipper pouch",B216="SUP with zipper"),HELPER!$DC$2*G216/1000,"")</f>
        <v>1.4399999999999998E-2</v>
      </c>
      <c r="AJ216" s="923" cm="1">
        <f t="array" ref="AJ216">IF(INDEX('Laminates- copilot'!$E$6:$E$257,ROUNDUP((ROW()-5)/3,0))+50&gt;IF(O216="Quantum",760,1220),"Width exceeds supplier maximum",IFERROR(AF216+AG216+N(AI216)+AH216*G216/1000/MAX(1,MIN(MAX(2,INT(900/INDEX('Laminates- copilot'!$E$6:$E$257,ROUNDUP((ROW()-5)/3,0)))),INT((IF(O216="Quantum",760,1220)-50)/INDEX('Laminates- copilot'!$E$6:$E$257,ROUNDUP((ROW()-5)/3,0))))),"Data is missing"))</f>
        <v>5.6138096930311285E-2</v>
      </c>
      <c r="AK216" s="203">
        <f t="shared" si="61"/>
        <v>74.850795907081718</v>
      </c>
      <c r="AL216" t="str">
        <f t="shared" si="62"/>
        <v>PASS</v>
      </c>
      <c r="AM216" s="50" t="str">
        <f t="shared" si="63"/>
        <v/>
      </c>
    </row>
    <row r="217" spans="1:39" hidden="1">
      <c r="A217" t="s">
        <v>1845</v>
      </c>
      <c r="B217" t="s">
        <v>261</v>
      </c>
      <c r="C217" s="50" t="s">
        <v>2203</v>
      </c>
      <c r="D217">
        <f>'Laminates- copilot'!B76</f>
        <v>648</v>
      </c>
      <c r="E217" s="858">
        <f>'Laminates- copilot'!D76</f>
        <v>53</v>
      </c>
      <c r="F217" s="858">
        <v>100</v>
      </c>
      <c r="G217" s="858">
        <v>100</v>
      </c>
      <c r="H217" s="858">
        <v>20</v>
      </c>
      <c r="I217" s="858">
        <v>0</v>
      </c>
      <c r="J217" s="858">
        <v>240</v>
      </c>
      <c r="K217" s="858">
        <v>25000</v>
      </c>
      <c r="L217" s="858" t="str">
        <f>'Laminates- copilot'!K76</f>
        <v>Not Printed</v>
      </c>
      <c r="M217" s="858" t="str">
        <f>'Laminates- copilot'!L76</f>
        <v>0</v>
      </c>
      <c r="N217" s="858">
        <f>'Laminates- copilot'!M76</f>
        <v>1</v>
      </c>
      <c r="O217" s="858" t="str">
        <f>'Laminates- copilot'!O76</f>
        <v>Marma</v>
      </c>
      <c r="P217" s="858" t="str">
        <f>'Laminates- copilot'!N76</f>
        <v>Europe to Europe</v>
      </c>
      <c r="Q217" s="858">
        <f t="shared" si="48"/>
        <v>2500</v>
      </c>
      <c r="R217" s="858">
        <f t="shared" si="49"/>
        <v>2500</v>
      </c>
      <c r="S217" s="858">
        <f>IFERROR('Laminates- copilot'!Q76/'Laminates- copilot'!P76*Q217,"")</f>
        <v>20.988000000000007</v>
      </c>
      <c r="T217" s="203">
        <f>IFERROR('Laminates- copilot'!R76/'Laminates- copilot'!P76*Q217,"")</f>
        <v>208.59159797350097</v>
      </c>
      <c r="U217" s="912">
        <f>IFERROR('Laminates- copilot'!S76/'Laminates- copilot'!P76*Q217,"")</f>
        <v>241.96625364926109</v>
      </c>
      <c r="V217" s="913">
        <f t="shared" si="50"/>
        <v>9.9386124439442014</v>
      </c>
      <c r="W217" s="914">
        <f t="shared" si="51"/>
        <v>11.528790434975273</v>
      </c>
      <c r="X217" s="913">
        <f t="shared" si="52"/>
        <v>8.3436639189400391E-2</v>
      </c>
      <c r="Y217" s="913">
        <f t="shared" si="53"/>
        <v>9.9386124439442014</v>
      </c>
      <c r="Z217" s="95">
        <f t="shared" si="54"/>
        <v>595579</v>
      </c>
      <c r="AA217" s="50" t="str">
        <f t="shared" si="55"/>
        <v>Below MOQ by 570,579 bags</v>
      </c>
      <c r="AB217" s="923">
        <f t="shared" si="56"/>
        <v>7.1425457578463317E-2</v>
      </c>
      <c r="AC217" s="924">
        <f t="shared" si="57"/>
        <v>8.2853530791017441E-2</v>
      </c>
      <c r="AD217" s="203">
        <f t="shared" si="58"/>
        <v>1785.636439461583</v>
      </c>
      <c r="AE217" s="912">
        <f t="shared" si="59"/>
        <v>2071.3382697754359</v>
      </c>
      <c r="AF217" s="923" cm="1">
        <f t="array" ref="AF217">IF(O217="Quantum",IFERROR(_xlfn.LET(_xlpm.b,_xlfn.SWITCH(LOWER(B217),"zipper bag","Zipper pouch","open bag","Open pouch","sup with zipper","Stand-up pouch","stand-up pouch","Stand-up pouch",B217),_xlpm.w,G217,_xlpm.q,K217,_xlpm.types,'Converting-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missing"),IFERROR(_xlfn.LET(_xlpm.s,O217,_xlpm.b,_xlfn.SWITCH(LOWER(B217),"zipper bag","Zipper pouch","open bag","Open pouch",B217),_xlpm.w,G217,_xlpm.q,K217,_xlpm.src,'Converting-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217" s="923">
        <f>IFERROR(IF(OR(B217="Zipper pouch",B217="SUP with zipper"),HELPER!$DE$2*(AH217+AI217)/K217,HELPER!$DE$2*AH217/K217),"Data is missing")</f>
        <v>2.3480793405456094E-3</v>
      </c>
      <c r="AH217" s="923">
        <f t="shared" si="60"/>
        <v>8.3436639189400391E-2</v>
      </c>
      <c r="AI217" s="923">
        <f>IF(OR(B217="Zipper pouch",B217="SUP with zipper"),HELPER!$DC$2*G217/1000,"")</f>
        <v>1.4399999999999998E-2</v>
      </c>
      <c r="AJ217" s="923" cm="1">
        <f t="array" ref="AJ217">IF(INDEX('Laminates- copilot'!$E$6:$E$257,ROUNDUP((ROW()-5)/3,0))+50&gt;IF(O217="Quantum",760,1220),"Width exceeds supplier maximum",IFERROR(AF217+AG217+N(AI217)+AH217*G217/1000/MAX(1,MIN(MAX(2,INT(900/INDEX('Laminates- copilot'!$E$6:$E$257,ROUNDUP((ROW()-5)/3,0)))),INT((IF(O217="Quantum",760,1220)-50)/INDEX('Laminates- copilot'!$E$6:$E$257,ROUNDUP((ROW()-5)/3,0))))),"Data is missing"))</f>
        <v>5.3569093183847491E-2</v>
      </c>
      <c r="AK217" s="203">
        <f t="shared" si="61"/>
        <v>71.425457578463323</v>
      </c>
      <c r="AL217" t="str">
        <f t="shared" si="62"/>
        <v>PASS</v>
      </c>
      <c r="AM217" s="50" t="str">
        <f t="shared" si="63"/>
        <v/>
      </c>
    </row>
    <row r="218" spans="1:39" hidden="1">
      <c r="A218" t="s">
        <v>1846</v>
      </c>
      <c r="B218" t="s">
        <v>262</v>
      </c>
      <c r="C218" s="50" t="s">
        <v>2203</v>
      </c>
      <c r="D218">
        <f>'Laminates- copilot'!B76</f>
        <v>648</v>
      </c>
      <c r="E218" s="858">
        <f>'Laminates- copilot'!D76</f>
        <v>53</v>
      </c>
      <c r="F218" s="858">
        <v>100</v>
      </c>
      <c r="G218" s="858">
        <v>100</v>
      </c>
      <c r="H218" s="858">
        <v>0</v>
      </c>
      <c r="I218" s="858">
        <v>0</v>
      </c>
      <c r="J218" s="858">
        <v>200</v>
      </c>
      <c r="K218" s="858">
        <v>25000</v>
      </c>
      <c r="L218" s="858" t="str">
        <f>'Laminates- copilot'!K76</f>
        <v>Not Printed</v>
      </c>
      <c r="M218" s="858" t="str">
        <f>'Laminates- copilot'!L76</f>
        <v>0</v>
      </c>
      <c r="N218" s="858">
        <f>'Laminates- copilot'!M76</f>
        <v>1</v>
      </c>
      <c r="O218" s="858" t="str">
        <f>'Laminates- copilot'!O76</f>
        <v>Marma</v>
      </c>
      <c r="P218" s="858" t="str">
        <f>'Laminates- copilot'!N76</f>
        <v>Europe to Europe</v>
      </c>
      <c r="Q218" s="858">
        <f t="shared" si="48"/>
        <v>2500</v>
      </c>
      <c r="R218" s="858">
        <f t="shared" si="49"/>
        <v>2500</v>
      </c>
      <c r="S218" s="858">
        <f>IFERROR('Laminates- copilot'!Q76/'Laminates- copilot'!P76*Q218,"")</f>
        <v>20.988000000000007</v>
      </c>
      <c r="T218" s="203">
        <f>IFERROR('Laminates- copilot'!R76/'Laminates- copilot'!P76*Q218,"")</f>
        <v>208.59159797350097</v>
      </c>
      <c r="U218" s="912">
        <f>IFERROR('Laminates- copilot'!S76/'Laminates- copilot'!P76*Q218,"")</f>
        <v>241.96625364926109</v>
      </c>
      <c r="V218" s="913">
        <f t="shared" si="50"/>
        <v>9.9386124439442014</v>
      </c>
      <c r="W218" s="914">
        <f t="shared" si="51"/>
        <v>11.528790434975273</v>
      </c>
      <c r="X218" s="913">
        <f t="shared" si="52"/>
        <v>8.3436639189400391E-2</v>
      </c>
      <c r="Y218" s="913">
        <f t="shared" si="53"/>
        <v>9.9386124439442014</v>
      </c>
      <c r="Z218" s="95">
        <f t="shared" si="54"/>
        <v>595579</v>
      </c>
      <c r="AA218" s="50" t="str">
        <f t="shared" si="55"/>
        <v>Below MOQ by 570,579 bags</v>
      </c>
      <c r="AB218" s="923">
        <f t="shared" si="56"/>
        <v>4.7994053230597709E-2</v>
      </c>
      <c r="AC218" s="924">
        <f t="shared" si="57"/>
        <v>5.5673101747493341E-2</v>
      </c>
      <c r="AD218" s="203">
        <f t="shared" si="58"/>
        <v>1199.8513307649428</v>
      </c>
      <c r="AE218" s="912">
        <f t="shared" si="59"/>
        <v>1391.8275436873334</v>
      </c>
      <c r="AF218" s="923" cm="1">
        <f t="array" ref="AF218">IF(O218="Quantum",IFERROR(_xlfn.LET(_xlpm.b,_xlfn.SWITCH(LOWER(B218),"zipper bag","Zipper pouch","open bag","Open pouch","sup with zipper","Stand-up pouch","stand-up pouch","Stand-up pouch",B218),_xlpm.w,G218,_xlpm.q,K218,_xlpm.types,'Converting-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missing"),IFERROR(_xlfn.LET(_xlpm.s,O218,_xlpm.b,_xlfn.SWITCH(LOWER(B218),"zipper bag","Zipper pouch","open bag","Open pouch",B218),_xlpm.w,G218,_xlpm.q,K218,_xlpm.src,'Converting-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218" s="923">
        <f>IFERROR(IF(OR(B218="Zipper pouch",B218="SUP with zipper"),HELPER!$DE$2*(AH218+AI218)/K218,HELPER!$DE$2*AH218/K218),"Data is missing")</f>
        <v>2.0024793405456092E-3</v>
      </c>
      <c r="AH218" s="923">
        <f t="shared" si="60"/>
        <v>8.3436639189400391E-2</v>
      </c>
      <c r="AI218" s="923" t="str">
        <f>IF(OR(B218="Zipper pouch",B218="SUP with zipper"),HELPER!$DC$2*G218/1000,"")</f>
        <v/>
      </c>
      <c r="AJ218" s="923" cm="1">
        <f t="array" ref="AJ218">IF(INDEX('Laminates- copilot'!$E$6:$E$257,ROUNDUP((ROW()-5)/3,0))+50&gt;IF(O218="Quantum",760,1220),"Width exceeds supplier maximum",IFERROR(AF218+AG218+N(AI218)+AH218*G218/1000/MAX(1,MIN(MAX(2,INT(900/INDEX('Laminates- copilot'!$E$6:$E$257,ROUNDUP((ROW()-5)/3,0)))),INT((IF(O218="Quantum",760,1220)-50)/INDEX('Laminates- copilot'!$E$6:$E$257,ROUNDUP((ROW()-5)/3,0))))),"Data is missing"))</f>
        <v>3.599553992294828E-2</v>
      </c>
      <c r="AK218" s="203">
        <f t="shared" si="61"/>
        <v>47.994053230597707</v>
      </c>
      <c r="AL218" t="str">
        <f t="shared" si="62"/>
        <v>PASS</v>
      </c>
      <c r="AM218" s="50" t="str">
        <f t="shared" si="63"/>
        <v/>
      </c>
    </row>
    <row r="219" spans="1:39" hidden="1">
      <c r="A219" t="s">
        <v>1847</v>
      </c>
      <c r="B219" t="s">
        <v>251</v>
      </c>
      <c r="C219" s="50" t="s">
        <v>2204</v>
      </c>
      <c r="D219">
        <f>'Laminates- copilot'!B77</f>
        <v>648</v>
      </c>
      <c r="E219" s="858">
        <f>'Laminates- copilot'!D77</f>
        <v>53</v>
      </c>
      <c r="F219" s="858">
        <v>150</v>
      </c>
      <c r="G219" s="858">
        <v>150</v>
      </c>
      <c r="H219" s="858">
        <v>25</v>
      </c>
      <c r="I219" s="858">
        <v>0</v>
      </c>
      <c r="J219" s="858">
        <v>350</v>
      </c>
      <c r="K219" s="858">
        <v>25000</v>
      </c>
      <c r="L219" s="858" t="str">
        <f>'Laminates- copilot'!K77</f>
        <v>Printed</v>
      </c>
      <c r="M219" s="858" t="str">
        <f>'Laminates- copilot'!L77</f>
        <v>1-2</v>
      </c>
      <c r="N219" s="858">
        <f>'Laminates- copilot'!M77</f>
        <v>1</v>
      </c>
      <c r="O219" s="858" t="str">
        <f>'Laminates- copilot'!O77</f>
        <v>Bastin</v>
      </c>
      <c r="P219" s="858" t="str">
        <f>'Laminates- copilot'!N77</f>
        <v>Europe to US</v>
      </c>
      <c r="Q219" s="858">
        <f t="shared" si="48"/>
        <v>3750</v>
      </c>
      <c r="R219" s="858">
        <f t="shared" si="49"/>
        <v>3750</v>
      </c>
      <c r="S219" s="858">
        <f>IFERROR('Laminates- copilot'!Q77/'Laminates- copilot'!P77*Q219,"")</f>
        <v>31.482000000000006</v>
      </c>
      <c r="T219" s="203">
        <f>IFERROR('Laminates- copilot'!R77/'Laminates- copilot'!P77*Q219,"")</f>
        <v>16148.991404939463</v>
      </c>
      <c r="U219" s="912">
        <f>IFERROR('Laminates- copilot'!S77/'Laminates- copilot'!P77*Q219,"")</f>
        <v>18732.830029729776</v>
      </c>
      <c r="V219" s="913">
        <f t="shared" si="50"/>
        <v>512.95951352961879</v>
      </c>
      <c r="W219" s="914">
        <f t="shared" si="51"/>
        <v>595.03303569435775</v>
      </c>
      <c r="X219" s="913">
        <f t="shared" si="52"/>
        <v>4.3063977079838569</v>
      </c>
      <c r="Y219" s="913">
        <f t="shared" si="53"/>
        <v>512.95951352961879</v>
      </c>
      <c r="Z219" s="95">
        <f t="shared" si="54"/>
        <v>397053</v>
      </c>
      <c r="AA219" s="50" t="str">
        <f t="shared" si="55"/>
        <v>Below MOQ by 372,053 bags</v>
      </c>
      <c r="AB219" s="923">
        <f t="shared" si="56"/>
        <v>0.36561607797147594</v>
      </c>
      <c r="AC219" s="924">
        <f t="shared" si="57"/>
        <v>0.42411465044691204</v>
      </c>
      <c r="AD219" s="203">
        <f t="shared" si="58"/>
        <v>9140.4019492868993</v>
      </c>
      <c r="AE219" s="912">
        <f t="shared" si="59"/>
        <v>10602.866261172803</v>
      </c>
      <c r="AF219" s="923" cm="1">
        <f t="array" ref="AF219">IF(O219="Quantum",IFERROR(_xlfn.LET(_xlpm.b,_xlfn.SWITCH(LOWER(B219),"zipper bag","Zipper pouch","open bag","Open pouch","sup with zipper","Stand-up pouch","stand-up pouch","Stand-up pouch",B219),_xlpm.w,G219,_xlpm.q,K219,_xlpm.types,'Converting-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missing"),IFERROR(_xlfn.LET(_xlpm.s,O219,_xlpm.b,_xlfn.SWITCH(LOWER(B219),"zipper bag","Zipper pouch","open bag","Open pouch",B219),_xlpm.w,G219,_xlpm.q,K219,_xlpm.src,'Converting-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219" s="923">
        <f>IFERROR(IF(OR(B219="Zipper pouch",B219="SUP with zipper"),HELPER!$DE$2*(AH219+AI219)/K219,HELPER!$DE$2*AH219/K219),"Data is missing")</f>
        <v>0.10387194499161258</v>
      </c>
      <c r="AH219" s="923">
        <f t="shared" si="60"/>
        <v>4.3063977079838569</v>
      </c>
      <c r="AI219" s="923">
        <f>IF(OR(B219="Zipper pouch",B219="SUP with zipper"),HELPER!$DC$2*G219/1000,"")</f>
        <v>2.1599999999999998E-2</v>
      </c>
      <c r="AJ219" s="923" cm="1">
        <f t="array" ref="AJ219">IF(INDEX('Laminates- copilot'!$E$6:$E$257,ROUNDUP((ROW()-5)/3,0))+50&gt;IF(O219="Quantum",760,1220),"Width exceeds supplier maximum",IFERROR(AF219+AG219+N(AI219)+AH219*G219/1000/MAX(1,MIN(MAX(2,INT(900/INDEX('Laminates- copilot'!$E$6:$E$257,ROUNDUP((ROW()-5)/3,0)))),INT((IF(O219="Quantum",760,1220)-50)/INDEX('Laminates- copilot'!$E$6:$E$257,ROUNDUP((ROW()-5)/3,0))))),"Data is missing"))</f>
        <v>0.27421205847860697</v>
      </c>
      <c r="AK219" s="203">
        <f t="shared" si="61"/>
        <v>365.61607797147593</v>
      </c>
      <c r="AL219" t="str">
        <f t="shared" si="62"/>
        <v>PASS</v>
      </c>
      <c r="AM219" s="50" t="str">
        <f t="shared" si="63"/>
        <v/>
      </c>
    </row>
    <row r="220" spans="1:39" hidden="1">
      <c r="A220" t="s">
        <v>1848</v>
      </c>
      <c r="B220" t="s">
        <v>261</v>
      </c>
      <c r="C220" s="50" t="s">
        <v>2204</v>
      </c>
      <c r="D220">
        <f>'Laminates- copilot'!B77</f>
        <v>648</v>
      </c>
      <c r="E220" s="858">
        <f>'Laminates- copilot'!D77</f>
        <v>53</v>
      </c>
      <c r="F220" s="858">
        <v>150</v>
      </c>
      <c r="G220" s="858">
        <v>150</v>
      </c>
      <c r="H220" s="858">
        <v>25</v>
      </c>
      <c r="I220" s="858">
        <v>0</v>
      </c>
      <c r="J220" s="858">
        <v>350</v>
      </c>
      <c r="K220" s="858">
        <v>25000</v>
      </c>
      <c r="L220" s="858" t="str">
        <f>'Laminates- copilot'!K77</f>
        <v>Printed</v>
      </c>
      <c r="M220" s="858" t="str">
        <f>'Laminates- copilot'!L77</f>
        <v>1-2</v>
      </c>
      <c r="N220" s="858">
        <f>'Laminates- copilot'!M77</f>
        <v>1</v>
      </c>
      <c r="O220" s="858" t="str">
        <f>'Laminates- copilot'!O77</f>
        <v>Bastin</v>
      </c>
      <c r="P220" s="858" t="str">
        <f>'Laminates- copilot'!N77</f>
        <v>Europe to US</v>
      </c>
      <c r="Q220" s="858">
        <f t="shared" si="48"/>
        <v>3750</v>
      </c>
      <c r="R220" s="858">
        <f t="shared" si="49"/>
        <v>3750</v>
      </c>
      <c r="S220" s="858">
        <f>IFERROR('Laminates- copilot'!Q77/'Laminates- copilot'!P77*Q220,"")</f>
        <v>31.482000000000006</v>
      </c>
      <c r="T220" s="203">
        <f>IFERROR('Laminates- copilot'!R77/'Laminates- copilot'!P77*Q220,"")</f>
        <v>16148.991404939463</v>
      </c>
      <c r="U220" s="912">
        <f>IFERROR('Laminates- copilot'!S77/'Laminates- copilot'!P77*Q220,"")</f>
        <v>18732.830029729776</v>
      </c>
      <c r="V220" s="913">
        <f t="shared" si="50"/>
        <v>512.95951352961879</v>
      </c>
      <c r="W220" s="914">
        <f t="shared" si="51"/>
        <v>595.03303569435775</v>
      </c>
      <c r="X220" s="913">
        <f t="shared" si="52"/>
        <v>4.3063977079838569</v>
      </c>
      <c r="Y220" s="913">
        <f t="shared" si="53"/>
        <v>512.95951352961879</v>
      </c>
      <c r="Z220" s="95">
        <f t="shared" si="54"/>
        <v>397053</v>
      </c>
      <c r="AA220" s="50" t="str">
        <f t="shared" si="55"/>
        <v>Below MOQ by 372,053 bags</v>
      </c>
      <c r="AB220" s="923">
        <f t="shared" si="56"/>
        <v>0.36045066777191942</v>
      </c>
      <c r="AC220" s="924">
        <f t="shared" si="57"/>
        <v>0.41812277461542652</v>
      </c>
      <c r="AD220" s="203">
        <f t="shared" si="58"/>
        <v>9011.2666942979849</v>
      </c>
      <c r="AE220" s="912">
        <f t="shared" si="59"/>
        <v>10453.069365385662</v>
      </c>
      <c r="AF220" s="923" cm="1">
        <f t="array" ref="AF220">IF(O220="Quantum",IFERROR(_xlfn.LET(_xlpm.b,_xlfn.SWITCH(LOWER(B220),"zipper bag","Zipper pouch","open bag","Open pouch","sup with zipper","Stand-up pouch","stand-up pouch","Stand-up pouch",B220),_xlpm.w,G220,_xlpm.q,K220,_xlpm.types,'Converting-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missing"),IFERROR(_xlfn.LET(_xlpm.s,O220,_xlpm.b,_xlfn.SWITCH(LOWER(B220),"zipper bag","Zipper pouch","open bag","Open pouch",B220),_xlpm.w,G220,_xlpm.q,K220,_xlpm.src,'Converting-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220" s="923">
        <f>IFERROR(IF(OR(B220="Zipper pouch",B220="SUP with zipper"),HELPER!$DE$2*(AH220+AI220)/K220,HELPER!$DE$2*AH220/K220),"Data is missing")</f>
        <v>0.10387194499161258</v>
      </c>
      <c r="AH220" s="923">
        <f t="shared" si="60"/>
        <v>4.3063977079838569</v>
      </c>
      <c r="AI220" s="923">
        <f>IF(OR(B220="Zipper pouch",B220="SUP with zipper"),HELPER!$DC$2*G220/1000,"")</f>
        <v>2.1599999999999998E-2</v>
      </c>
      <c r="AJ220" s="923" cm="1">
        <f t="array" ref="AJ220">IF(INDEX('Laminates- copilot'!$E$6:$E$257,ROUNDUP((ROW()-5)/3,0))+50&gt;IF(O220="Quantum",760,1220),"Width exceeds supplier maximum",IFERROR(AF220+AG220+N(AI220)+AH220*G220/1000/MAX(1,MIN(MAX(2,INT(900/INDEX('Laminates- copilot'!$E$6:$E$257,ROUNDUP((ROW()-5)/3,0)))),INT((IF(O220="Quantum",760,1220)-50)/INDEX('Laminates- copilot'!$E$6:$E$257,ROUNDUP((ROW()-5)/3,0))))),"Data is missing"))</f>
        <v>0.27033800082893955</v>
      </c>
      <c r="AK220" s="203">
        <f t="shared" si="61"/>
        <v>360.45066777191943</v>
      </c>
      <c r="AL220" t="str">
        <f t="shared" si="62"/>
        <v>PASS</v>
      </c>
      <c r="AM220" s="50" t="str">
        <f t="shared" si="63"/>
        <v/>
      </c>
    </row>
    <row r="221" spans="1:39" hidden="1">
      <c r="A221" t="s">
        <v>1849</v>
      </c>
      <c r="B221" t="s">
        <v>262</v>
      </c>
      <c r="C221" s="50" t="s">
        <v>2204</v>
      </c>
      <c r="D221">
        <f>'Laminates- copilot'!B77</f>
        <v>648</v>
      </c>
      <c r="E221" s="858">
        <f>'Laminates- copilot'!D77</f>
        <v>53</v>
      </c>
      <c r="F221" s="858">
        <v>150</v>
      </c>
      <c r="G221" s="858">
        <v>150</v>
      </c>
      <c r="H221" s="858">
        <v>0</v>
      </c>
      <c r="I221" s="858">
        <v>0</v>
      </c>
      <c r="J221" s="858">
        <v>300</v>
      </c>
      <c r="K221" s="858">
        <v>25000</v>
      </c>
      <c r="L221" s="858" t="str">
        <f>'Laminates- copilot'!K77</f>
        <v>Printed</v>
      </c>
      <c r="M221" s="858" t="str">
        <f>'Laminates- copilot'!L77</f>
        <v>1-2</v>
      </c>
      <c r="N221" s="858">
        <f>'Laminates- copilot'!M77</f>
        <v>1</v>
      </c>
      <c r="O221" s="858" t="str">
        <f>'Laminates- copilot'!O77</f>
        <v>Bastin</v>
      </c>
      <c r="P221" s="858" t="str">
        <f>'Laminates- copilot'!N77</f>
        <v>Europe to US</v>
      </c>
      <c r="Q221" s="858">
        <f t="shared" si="48"/>
        <v>3750</v>
      </c>
      <c r="R221" s="858">
        <f t="shared" si="49"/>
        <v>3750</v>
      </c>
      <c r="S221" s="858">
        <f>IFERROR('Laminates- copilot'!Q77/'Laminates- copilot'!P77*Q221,"")</f>
        <v>31.482000000000006</v>
      </c>
      <c r="T221" s="203">
        <f>IFERROR('Laminates- copilot'!R77/'Laminates- copilot'!P77*Q221,"")</f>
        <v>16148.991404939463</v>
      </c>
      <c r="U221" s="912">
        <f>IFERROR('Laminates- copilot'!S77/'Laminates- copilot'!P77*Q221,"")</f>
        <v>18732.830029729776</v>
      </c>
      <c r="V221" s="913">
        <f t="shared" si="50"/>
        <v>512.95951352961879</v>
      </c>
      <c r="W221" s="914">
        <f t="shared" si="51"/>
        <v>595.03303569435775</v>
      </c>
      <c r="X221" s="913">
        <f t="shared" si="52"/>
        <v>4.3063977079838569</v>
      </c>
      <c r="Y221" s="913">
        <f t="shared" si="53"/>
        <v>512.95951352961879</v>
      </c>
      <c r="Z221" s="95">
        <f t="shared" si="54"/>
        <v>397053</v>
      </c>
      <c r="AA221" s="50" t="str">
        <f t="shared" si="55"/>
        <v>Below MOQ by 372,053 bags</v>
      </c>
      <c r="AB221" s="923">
        <f t="shared" si="56"/>
        <v>0.32512542893566326</v>
      </c>
      <c r="AC221" s="924">
        <f t="shared" si="57"/>
        <v>0.37714549756536936</v>
      </c>
      <c r="AD221" s="203">
        <f t="shared" si="58"/>
        <v>8128.1357233915815</v>
      </c>
      <c r="AE221" s="912">
        <f t="shared" si="59"/>
        <v>9428.6374391342342</v>
      </c>
      <c r="AF221" s="923" cm="1">
        <f t="array" ref="AF221">IF(O221="Quantum",IFERROR(_xlfn.LET(_xlpm.b,_xlfn.SWITCH(LOWER(B221),"zipper bag","Zipper pouch","open bag","Open pouch","sup with zipper","Stand-up pouch","stand-up pouch","Stand-up pouch",B221),_xlpm.w,G221,_xlpm.q,K221,_xlpm.types,'Converting-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missing"),IFERROR(_xlfn.LET(_xlpm.s,O221,_xlpm.b,_xlfn.SWITCH(LOWER(B221),"zipper bag","Zipper pouch","open bag","Open pouch",B221),_xlpm.w,G221,_xlpm.q,K221,_xlpm.src,'Converting-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221" s="923">
        <f>IFERROR(IF(OR(B221="Zipper pouch",B221="SUP with zipper"),HELPER!$DE$2*(AH221+AI221)/K221,HELPER!$DE$2*AH221/K221),"Data is missing")</f>
        <v>0.10335354499161256</v>
      </c>
      <c r="AH221" s="923">
        <f t="shared" si="60"/>
        <v>4.3063977079838569</v>
      </c>
      <c r="AI221" s="923" t="str">
        <f>IF(OR(B221="Zipper pouch",B221="SUP with zipper"),HELPER!$DC$2*G221/1000,"")</f>
        <v/>
      </c>
      <c r="AJ221" s="923" cm="1">
        <f t="array" ref="AJ221">IF(INDEX('Laminates- copilot'!$E$6:$E$257,ROUNDUP((ROW()-5)/3,0))+50&gt;IF(O221="Quantum",760,1220),"Width exceeds supplier maximum",IFERROR(AF221+AG221+N(AI221)+AH221*G221/1000/MAX(1,MIN(MAX(2,INT(900/INDEX('Laminates- copilot'!$E$6:$E$257,ROUNDUP((ROW()-5)/3,0)))),INT((IF(O221="Quantum",760,1220)-50)/INDEX('Laminates- copilot'!$E$6:$E$257,ROUNDUP((ROW()-5)/3,0))))),"Data is missing"))</f>
        <v>0.24384407170174743</v>
      </c>
      <c r="AK221" s="203">
        <f t="shared" si="61"/>
        <v>325.12542893566325</v>
      </c>
      <c r="AL221" t="str">
        <f t="shared" si="62"/>
        <v>PASS</v>
      </c>
      <c r="AM221" s="50" t="str">
        <f t="shared" si="63"/>
        <v/>
      </c>
    </row>
    <row r="222" spans="1:39" hidden="1">
      <c r="A222" t="s">
        <v>1850</v>
      </c>
      <c r="B222" t="s">
        <v>251</v>
      </c>
      <c r="C222" s="50" t="s">
        <v>2205</v>
      </c>
      <c r="D222">
        <f>'Laminates- copilot'!B78</f>
        <v>648</v>
      </c>
      <c r="E222" s="858">
        <f>'Laminates- copilot'!D78</f>
        <v>63</v>
      </c>
      <c r="F222" s="858">
        <v>250</v>
      </c>
      <c r="G222" s="858">
        <v>200</v>
      </c>
      <c r="H222" s="858">
        <v>40</v>
      </c>
      <c r="I222" s="858">
        <v>0</v>
      </c>
      <c r="J222" s="858">
        <v>580</v>
      </c>
      <c r="K222" s="858">
        <v>50000</v>
      </c>
      <c r="L222" s="858" t="str">
        <f>'Laminates- copilot'!K78</f>
        <v>Printed</v>
      </c>
      <c r="M222" s="858" t="str">
        <f>'Laminates- copilot'!L78</f>
        <v>3-4</v>
      </c>
      <c r="N222" s="858">
        <f>'Laminates- copilot'!M78</f>
        <v>4</v>
      </c>
      <c r="O222" s="858" t="str">
        <f>'Laminates- copilot'!O78</f>
        <v>Quantum</v>
      </c>
      <c r="P222" s="858" t="str">
        <f>'Laminates- copilot'!N78</f>
        <v>Europe to Europe</v>
      </c>
      <c r="Q222" s="858">
        <f t="shared" si="48"/>
        <v>10000</v>
      </c>
      <c r="R222" s="858">
        <f t="shared" si="49"/>
        <v>10000</v>
      </c>
      <c r="S222" s="858">
        <f>IFERROR('Laminates- copilot'!Q78/'Laminates- copilot'!P78*Q222,"")</f>
        <v>286.86</v>
      </c>
      <c r="T222" s="203">
        <f>IFERROR('Laminates- copilot'!R78/'Laminates- copilot'!P78*Q222,"")</f>
        <v>6760.8876676541795</v>
      </c>
      <c r="U222" s="912">
        <f>IFERROR('Laminates- copilot'!S78/'Laminates- copilot'!P78*Q222,"")</f>
        <v>7842.6296944788473</v>
      </c>
      <c r="V222" s="913">
        <f t="shared" si="50"/>
        <v>23.568596763766923</v>
      </c>
      <c r="W222" s="914">
        <f t="shared" si="51"/>
        <v>27.339572245969627</v>
      </c>
      <c r="X222" s="913">
        <f t="shared" si="52"/>
        <v>0.67608876676541796</v>
      </c>
      <c r="Y222" s="913">
        <f t="shared" si="53"/>
        <v>23.568596763766923</v>
      </c>
      <c r="Z222" s="95">
        <f t="shared" si="54"/>
        <v>87151</v>
      </c>
      <c r="AA222" s="50" t="str">
        <f t="shared" si="55"/>
        <v>Below MOQ by 37,151 bags</v>
      </c>
      <c r="AB222" s="923">
        <f t="shared" si="56"/>
        <v>0.29552084908232162</v>
      </c>
      <c r="AC222" s="924">
        <f t="shared" si="57"/>
        <v>0.34280418493549308</v>
      </c>
      <c r="AD222" s="203">
        <f t="shared" si="58"/>
        <v>14776.042454116081</v>
      </c>
      <c r="AE222" s="912">
        <f t="shared" si="59"/>
        <v>17140.209246774652</v>
      </c>
      <c r="AF222" s="923" cm="1">
        <f t="array" ref="AF222">IF(O222="Quantum",IFERROR(_xlfn.LET(_xlpm.b,_xlfn.SWITCH(LOWER(B222),"zipper bag","Zipper pouch","open bag","Open pouch","sup with zipper","Stand-up pouch","stand-up pouch","Stand-up pouch",B222),_xlpm.w,G222,_xlpm.q,K222,_xlpm.types,'Converting-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missing"),IFERROR(_xlfn.LET(_xlpm.s,O222,_xlpm.b,_xlfn.SWITCH(LOWER(B222),"zipper bag","Zipper pouch","open bag","Open pouch",B222),_xlpm.w,G222,_xlpm.q,K222,_xlpm.src,'Converting-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222" s="923">
        <f>IFERROR(IF(OR(B222="Zipper pouch",B222="SUP with zipper"),HELPER!$DE$2*(AH222+AI222)/K222,HELPER!$DE$2*AH222/K222),"Data is missing")</f>
        <v>8.4586652011850155E-3</v>
      </c>
      <c r="AH222" s="923">
        <f t="shared" si="60"/>
        <v>0.67608876676541796</v>
      </c>
      <c r="AI222" s="923">
        <f>IF(OR(B222="Zipper pouch",B222="SUP with zipper"),HELPER!$DC$2*G222/1000,"")</f>
        <v>2.8799999999999996E-2</v>
      </c>
      <c r="AJ222" s="923" cm="1">
        <f t="array" ref="AJ222">IF(INDEX('Laminates- copilot'!$E$6:$E$257,ROUNDUP((ROW()-5)/3,0))+50&gt;IF(O222="Quantum",760,1220),"Width exceeds supplier maximum",IFERROR(AF222+AG222+N(AI222)+AH222*G222/1000/MAX(1,MIN(MAX(2,INT(900/INDEX('Laminates- copilot'!$E$6:$E$257,ROUNDUP((ROW()-5)/3,0)))),INT((IF(O222="Quantum",760,1220)-50)/INDEX('Laminates- copilot'!$E$6:$E$257,ROUNDUP((ROW()-5)/3,0))))),"Data is missing"))</f>
        <v>0.22164063681174123</v>
      </c>
      <c r="AK222" s="203">
        <f t="shared" si="61"/>
        <v>295.5208490823216</v>
      </c>
      <c r="AL222" t="str">
        <f t="shared" si="62"/>
        <v>PASS</v>
      </c>
      <c r="AM222" s="50" t="str">
        <f t="shared" si="63"/>
        <v/>
      </c>
    </row>
    <row r="223" spans="1:39" hidden="1">
      <c r="A223" t="s">
        <v>1851</v>
      </c>
      <c r="B223" t="s">
        <v>261</v>
      </c>
      <c r="C223" s="50" t="s">
        <v>2205</v>
      </c>
      <c r="D223">
        <f>'Laminates- copilot'!B78</f>
        <v>648</v>
      </c>
      <c r="E223" s="858">
        <f>'Laminates- copilot'!D78</f>
        <v>63</v>
      </c>
      <c r="F223" s="858">
        <v>250</v>
      </c>
      <c r="G223" s="858">
        <v>200</v>
      </c>
      <c r="H223" s="858">
        <v>40</v>
      </c>
      <c r="I223" s="858">
        <v>0</v>
      </c>
      <c r="J223" s="858">
        <v>580</v>
      </c>
      <c r="K223" s="858">
        <v>50000</v>
      </c>
      <c r="L223" s="858" t="str">
        <f>'Laminates- copilot'!K78</f>
        <v>Printed</v>
      </c>
      <c r="M223" s="858" t="str">
        <f>'Laminates- copilot'!L78</f>
        <v>3-4</v>
      </c>
      <c r="N223" s="858">
        <f>'Laminates- copilot'!M78</f>
        <v>4</v>
      </c>
      <c r="O223" s="858" t="str">
        <f>'Laminates- copilot'!O78</f>
        <v>Quantum</v>
      </c>
      <c r="P223" s="858" t="str">
        <f>'Laminates- copilot'!N78</f>
        <v>Europe to Europe</v>
      </c>
      <c r="Q223" s="858">
        <f t="shared" si="48"/>
        <v>10000</v>
      </c>
      <c r="R223" s="858">
        <f t="shared" si="49"/>
        <v>10000</v>
      </c>
      <c r="S223" s="858">
        <f>IFERROR('Laminates- copilot'!Q78/'Laminates- copilot'!P78*Q223,"")</f>
        <v>286.86</v>
      </c>
      <c r="T223" s="203">
        <f>IFERROR('Laminates- copilot'!R78/'Laminates- copilot'!P78*Q223,"")</f>
        <v>6760.8876676541795</v>
      </c>
      <c r="U223" s="912">
        <f>IFERROR('Laminates- copilot'!S78/'Laminates- copilot'!P78*Q223,"")</f>
        <v>7842.6296944788473</v>
      </c>
      <c r="V223" s="913">
        <f t="shared" si="50"/>
        <v>23.568596763766923</v>
      </c>
      <c r="W223" s="914">
        <f t="shared" si="51"/>
        <v>27.339572245969627</v>
      </c>
      <c r="X223" s="913">
        <f t="shared" si="52"/>
        <v>0.67608876676541796</v>
      </c>
      <c r="Y223" s="913">
        <f t="shared" si="53"/>
        <v>23.568596763766923</v>
      </c>
      <c r="Z223" s="95">
        <f t="shared" si="54"/>
        <v>87151</v>
      </c>
      <c r="AA223" s="50" t="str">
        <f t="shared" si="55"/>
        <v>Below MOQ by 37,151 bags</v>
      </c>
      <c r="AB223" s="923">
        <f t="shared" si="56"/>
        <v>0.279753698364128</v>
      </c>
      <c r="AC223" s="924">
        <f t="shared" si="57"/>
        <v>0.32451429010238847</v>
      </c>
      <c r="AD223" s="203">
        <f t="shared" si="58"/>
        <v>13987.6849182064</v>
      </c>
      <c r="AE223" s="912">
        <f t="shared" si="59"/>
        <v>16225.714505119422</v>
      </c>
      <c r="AF223" s="923" cm="1">
        <f t="array" ref="AF223">IF(O223="Quantum",IFERROR(_xlfn.LET(_xlpm.b,_xlfn.SWITCH(LOWER(B223),"zipper bag","Zipper pouch","open bag","Open pouch","sup with zipper","Stand-up pouch","stand-up pouch","Stand-up pouch",B223),_xlpm.w,G223,_xlpm.q,K223,_xlpm.types,'Converting-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missing"),IFERROR(_xlfn.LET(_xlpm.s,O223,_xlpm.b,_xlfn.SWITCH(LOWER(B223),"zipper bag","Zipper pouch","open bag","Open pouch",B223),_xlpm.w,G223,_xlpm.q,K223,_xlpm.src,'Converting-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223" s="923">
        <f>IFERROR(IF(OR(B223="Zipper pouch",B223="SUP with zipper"),HELPER!$DE$2*(AH223+AI223)/K223,HELPER!$DE$2*AH223/K223),"Data is missing")</f>
        <v>8.4586652011850155E-3</v>
      </c>
      <c r="AH223" s="923">
        <f t="shared" si="60"/>
        <v>0.67608876676541796</v>
      </c>
      <c r="AI223" s="923">
        <f>IF(OR(B223="Zipper pouch",B223="SUP with zipper"),HELPER!$DC$2*G223/1000,"")</f>
        <v>2.8799999999999996E-2</v>
      </c>
      <c r="AJ223" s="923" cm="1">
        <f t="array" ref="AJ223">IF(INDEX('Laminates- copilot'!$E$6:$E$257,ROUNDUP((ROW()-5)/3,0))+50&gt;IF(O223="Quantum",760,1220),"Width exceeds supplier maximum",IFERROR(AF223+AG223+N(AI223)+AH223*G223/1000/MAX(1,MIN(MAX(2,INT(900/INDEX('Laminates- copilot'!$E$6:$E$257,ROUNDUP((ROW()-5)/3,0)))),INT((IF(O223="Quantum",760,1220)-50)/INDEX('Laminates- copilot'!$E$6:$E$257,ROUNDUP((ROW()-5)/3,0))))),"Data is missing"))</f>
        <v>0.209815273773096</v>
      </c>
      <c r="AK223" s="203">
        <f t="shared" si="61"/>
        <v>279.75369836412801</v>
      </c>
      <c r="AL223" t="str">
        <f t="shared" si="62"/>
        <v>PASS</v>
      </c>
      <c r="AM223" s="50" t="str">
        <f t="shared" si="63"/>
        <v/>
      </c>
    </row>
    <row r="224" spans="1:39" hidden="1">
      <c r="A224" t="s">
        <v>1852</v>
      </c>
      <c r="B224" t="s">
        <v>262</v>
      </c>
      <c r="C224" s="50" t="s">
        <v>2205</v>
      </c>
      <c r="D224">
        <f>'Laminates- copilot'!B78</f>
        <v>648</v>
      </c>
      <c r="E224" s="858">
        <f>'Laminates- copilot'!D78</f>
        <v>63</v>
      </c>
      <c r="F224" s="858">
        <v>250</v>
      </c>
      <c r="G224" s="858">
        <v>200</v>
      </c>
      <c r="H224" s="858">
        <v>0</v>
      </c>
      <c r="I224" s="858">
        <v>0</v>
      </c>
      <c r="J224" s="858">
        <v>500</v>
      </c>
      <c r="K224" s="858">
        <v>50000</v>
      </c>
      <c r="L224" s="858" t="str">
        <f>'Laminates- copilot'!K78</f>
        <v>Printed</v>
      </c>
      <c r="M224" s="858" t="str">
        <f>'Laminates- copilot'!L78</f>
        <v>3-4</v>
      </c>
      <c r="N224" s="858">
        <f>'Laminates- copilot'!M78</f>
        <v>4</v>
      </c>
      <c r="O224" s="858" t="str">
        <f>'Laminates- copilot'!O78</f>
        <v>Quantum</v>
      </c>
      <c r="P224" s="858" t="str">
        <f>'Laminates- copilot'!N78</f>
        <v>Europe to Europe</v>
      </c>
      <c r="Q224" s="858">
        <f t="shared" si="48"/>
        <v>10000</v>
      </c>
      <c r="R224" s="858">
        <f t="shared" si="49"/>
        <v>10000</v>
      </c>
      <c r="S224" s="858">
        <f>IFERROR('Laminates- copilot'!Q78/'Laminates- copilot'!P78*Q224,"")</f>
        <v>286.86</v>
      </c>
      <c r="T224" s="203">
        <f>IFERROR('Laminates- copilot'!R78/'Laminates- copilot'!P78*Q224,"")</f>
        <v>6760.8876676541795</v>
      </c>
      <c r="U224" s="912">
        <f>IFERROR('Laminates- copilot'!S78/'Laminates- copilot'!P78*Q224,"")</f>
        <v>7842.6296944788473</v>
      </c>
      <c r="V224" s="913">
        <f t="shared" si="50"/>
        <v>23.568596763766923</v>
      </c>
      <c r="W224" s="914">
        <f t="shared" si="51"/>
        <v>27.339572245969627</v>
      </c>
      <c r="X224" s="913">
        <f t="shared" si="52"/>
        <v>0.67608876676541796</v>
      </c>
      <c r="Y224" s="913">
        <f t="shared" si="53"/>
        <v>23.568596763766923</v>
      </c>
      <c r="Z224" s="95">
        <f t="shared" si="54"/>
        <v>87151</v>
      </c>
      <c r="AA224" s="50" t="str">
        <f t="shared" si="55"/>
        <v>Below MOQ by 37,151 bags</v>
      </c>
      <c r="AB224" s="923">
        <f t="shared" si="56"/>
        <v>0.22368147664014773</v>
      </c>
      <c r="AC224" s="924">
        <f t="shared" si="57"/>
        <v>0.25947051290257134</v>
      </c>
      <c r="AD224" s="203">
        <f t="shared" si="58"/>
        <v>11184.073832007387</v>
      </c>
      <c r="AE224" s="912">
        <f t="shared" si="59"/>
        <v>12973.525645128568</v>
      </c>
      <c r="AF224" s="923" cm="1">
        <f t="array" ref="AF224">IF(O224="Quantum",IFERROR(_xlfn.LET(_xlpm.b,_xlfn.SWITCH(LOWER(B224),"zipper bag","Zipper pouch","open bag","Open pouch","sup with zipper","Stand-up pouch","stand-up pouch","Stand-up pouch",B224),_xlpm.w,G224,_xlpm.q,K224,_xlpm.types,'Converting-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missing"),IFERROR(_xlfn.LET(_xlpm.s,O224,_xlpm.b,_xlfn.SWITCH(LOWER(B224),"zipper bag","Zipper pouch","open bag","Open pouch",B224),_xlpm.w,G224,_xlpm.q,K224,_xlpm.src,'Converting-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224" s="923">
        <f>IFERROR(IF(OR(B224="Zipper pouch",B224="SUP with zipper"),HELPER!$DE$2*(AH224+AI224)/K224,HELPER!$DE$2*AH224/K224),"Data is missing")</f>
        <v>8.1130652011850157E-3</v>
      </c>
      <c r="AH224" s="923">
        <f t="shared" si="60"/>
        <v>0.67608876676541796</v>
      </c>
      <c r="AI224" s="923" t="str">
        <f>IF(OR(B224="Zipper pouch",B224="SUP with zipper"),HELPER!$DC$2*G224/1000,"")</f>
        <v/>
      </c>
      <c r="AJ224" s="923" cm="1">
        <f t="array" ref="AJ224">IF(INDEX('Laminates- copilot'!$E$6:$E$257,ROUNDUP((ROW()-5)/3,0))+50&gt;IF(O224="Quantum",760,1220),"Width exceeds supplier maximum",IFERROR(AF224+AG224+N(AI224)+AH224*G224/1000/MAX(1,MIN(MAX(2,INT(900/INDEX('Laminates- copilot'!$E$6:$E$257,ROUNDUP((ROW()-5)/3,0)))),INT((IF(O224="Quantum",760,1220)-50)/INDEX('Laminates- copilot'!$E$6:$E$257,ROUNDUP((ROW()-5)/3,0))))),"Data is missing"))</f>
        <v>0.1677611074801108</v>
      </c>
      <c r="AK224" s="203">
        <f t="shared" si="61"/>
        <v>223.68147664014774</v>
      </c>
      <c r="AL224" t="str">
        <f t="shared" si="62"/>
        <v>PASS</v>
      </c>
      <c r="AM224" s="50" t="str">
        <f t="shared" si="63"/>
        <v/>
      </c>
    </row>
    <row r="225" spans="1:39">
      <c r="A225" t="s">
        <v>1853</v>
      </c>
      <c r="B225" t="s">
        <v>251</v>
      </c>
      <c r="C225" s="50" t="s">
        <v>2206</v>
      </c>
      <c r="D225">
        <f>'Laminates- copilot'!B79</f>
        <v>648</v>
      </c>
      <c r="E225" s="858">
        <f>'Laminates- copilot'!D79</f>
        <v>100</v>
      </c>
      <c r="F225" s="858">
        <v>300</v>
      </c>
      <c r="G225" s="858">
        <v>300</v>
      </c>
      <c r="H225" s="858">
        <v>50</v>
      </c>
      <c r="I225" s="858">
        <v>0</v>
      </c>
      <c r="J225" s="858">
        <v>700</v>
      </c>
      <c r="K225" s="858">
        <v>50000</v>
      </c>
      <c r="L225" s="858" t="str">
        <f>'Laminates- copilot'!K79</f>
        <v>Printed</v>
      </c>
      <c r="M225" s="858" t="str">
        <f>'Laminates- copilot'!L79</f>
        <v>5-8</v>
      </c>
      <c r="N225" s="858">
        <f>'Laminates- copilot'!M79</f>
        <v>8</v>
      </c>
      <c r="O225" s="858" t="str">
        <f>'Laminates- copilot'!O79</f>
        <v>Marma</v>
      </c>
      <c r="P225" s="858" t="str">
        <f>'Laminates- copilot'!N79</f>
        <v>Europe to US</v>
      </c>
      <c r="Q225" s="858">
        <f t="shared" si="48"/>
        <v>15000</v>
      </c>
      <c r="R225" s="858">
        <f t="shared" si="49"/>
        <v>15000</v>
      </c>
      <c r="S225" s="858">
        <f>IFERROR('Laminates- copilot'!Q79/'Laminates- copilot'!P79*Q225,"")</f>
        <v>1734.21</v>
      </c>
      <c r="T225" s="203">
        <f>IFERROR('Laminates- copilot'!R79/'Laminates- copilot'!P79*Q225,"")</f>
        <v>26281.658616063389</v>
      </c>
      <c r="U225" s="912">
        <f>IFERROR('Laminates- copilot'!S79/'Laminates- copilot'!P79*Q225,"")</f>
        <v>30486.723994633532</v>
      </c>
      <c r="V225" s="913">
        <f t="shared" si="50"/>
        <v>15.154830508452488</v>
      </c>
      <c r="W225" s="914">
        <f t="shared" si="51"/>
        <v>17.579603389804888</v>
      </c>
      <c r="X225" s="913">
        <f t="shared" si="52"/>
        <v>1.752110574404226</v>
      </c>
      <c r="Y225" s="913">
        <f t="shared" si="53"/>
        <v>15.154830508452488</v>
      </c>
      <c r="Z225" s="95">
        <f t="shared" si="54"/>
        <v>14416</v>
      </c>
      <c r="AA225" s="50" t="str">
        <f t="shared" si="55"/>
        <v>MOQ OK</v>
      </c>
      <c r="AB225" s="923">
        <f t="shared" si="56"/>
        <v>0.86382406903027054</v>
      </c>
      <c r="AC225" s="924">
        <f t="shared" si="57"/>
        <v>1.0020359200751137</v>
      </c>
      <c r="AD225" s="203">
        <f t="shared" si="58"/>
        <v>43191.203451513524</v>
      </c>
      <c r="AE225" s="912">
        <f t="shared" si="59"/>
        <v>50101.796003755684</v>
      </c>
      <c r="AF225" s="923" cm="1">
        <f t="array" ref="AF225">IF(O225="Quantum",IFERROR(_xlfn.LET(_xlpm.b,_xlfn.SWITCH(LOWER(B225),"zipper bag","Zipper pouch","open bag","Open pouch","sup with zipper","Stand-up pouch","stand-up pouch","Stand-up pouch",B225),_xlpm.w,G225,_xlpm.q,K225,_xlpm.types,'Converting-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missing"),IFERROR(_xlfn.LET(_xlpm.s,O225,_xlpm.b,_xlfn.SWITCH(LOWER(B225),"zipper bag","Zipper pouch","open bag","Open pouch",B225),_xlpm.w,G225,_xlpm.q,K225,_xlpm.src,'Converting-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225" s="923">
        <f>IFERROR(IF(OR(B225="Zipper pouch",B225="SUP with zipper"),HELPER!$DE$2*(AH225+AI225)/K225,HELPER!$DE$2*AH225/K225),"Data is missing")</f>
        <v>2.1543726892850709E-2</v>
      </c>
      <c r="AH225" s="923">
        <f t="shared" si="60"/>
        <v>1.752110574404226</v>
      </c>
      <c r="AI225" s="923">
        <f>IF(OR(B225="Zipper pouch",B225="SUP with zipper"),HELPER!$DC$2*G225/1000,"")</f>
        <v>4.3199999999999995E-2</v>
      </c>
      <c r="AJ225" s="923" cm="1">
        <f t="array" ref="AJ225">IF(INDEX('Laminates- copilot'!$E$6:$E$257,ROUNDUP((ROW()-5)/3,0))+50&gt;IF(O225="Quantum",760,1220),"Width exceeds supplier maximum",IFERROR(AF225+AG225+N(AI225)+AH225*G225/1000/MAX(1,MIN(MAX(2,INT(900/INDEX('Laminates- copilot'!$E$6:$E$257,ROUNDUP((ROW()-5)/3,0)))),INT((IF(O225="Quantum",760,1220)-50)/INDEX('Laminates- copilot'!$E$6:$E$257,ROUNDUP((ROW()-5)/3,0))))),"Data is missing"))</f>
        <v>0.6478680517727029</v>
      </c>
      <c r="AK225" s="203">
        <f t="shared" si="61"/>
        <v>863.82406903027049</v>
      </c>
      <c r="AL225" t="str">
        <f t="shared" si="62"/>
        <v>PASS</v>
      </c>
      <c r="AM225" s="50" t="str">
        <f t="shared" si="63"/>
        <v/>
      </c>
    </row>
    <row r="226" spans="1:39">
      <c r="A226" t="s">
        <v>1854</v>
      </c>
      <c r="B226" t="s">
        <v>261</v>
      </c>
      <c r="C226" s="50" t="s">
        <v>2206</v>
      </c>
      <c r="D226">
        <f>'Laminates- copilot'!B79</f>
        <v>648</v>
      </c>
      <c r="E226" s="858">
        <f>'Laminates- copilot'!D79</f>
        <v>100</v>
      </c>
      <c r="F226" s="858">
        <v>300</v>
      </c>
      <c r="G226" s="858">
        <v>300</v>
      </c>
      <c r="H226" s="858">
        <v>50</v>
      </c>
      <c r="I226" s="858">
        <v>0</v>
      </c>
      <c r="J226" s="858">
        <v>700</v>
      </c>
      <c r="K226" s="858">
        <v>50000</v>
      </c>
      <c r="L226" s="858" t="str">
        <f>'Laminates- copilot'!K79</f>
        <v>Printed</v>
      </c>
      <c r="M226" s="858" t="str">
        <f>'Laminates- copilot'!L79</f>
        <v>5-8</v>
      </c>
      <c r="N226" s="858">
        <f>'Laminates- copilot'!M79</f>
        <v>8</v>
      </c>
      <c r="O226" s="858" t="str">
        <f>'Laminates- copilot'!O79</f>
        <v>Marma</v>
      </c>
      <c r="P226" s="858" t="str">
        <f>'Laminates- copilot'!N79</f>
        <v>Europe to US</v>
      </c>
      <c r="Q226" s="858">
        <f t="shared" si="48"/>
        <v>15000</v>
      </c>
      <c r="R226" s="858">
        <f t="shared" si="49"/>
        <v>15000</v>
      </c>
      <c r="S226" s="858">
        <f>IFERROR('Laminates- copilot'!Q79/'Laminates- copilot'!P79*Q226,"")</f>
        <v>1734.21</v>
      </c>
      <c r="T226" s="203">
        <f>IFERROR('Laminates- copilot'!R79/'Laminates- copilot'!P79*Q226,"")</f>
        <v>26281.658616063389</v>
      </c>
      <c r="U226" s="912">
        <f>IFERROR('Laminates- copilot'!S79/'Laminates- copilot'!P79*Q226,"")</f>
        <v>30486.723994633532</v>
      </c>
      <c r="V226" s="913">
        <f t="shared" si="50"/>
        <v>15.154830508452488</v>
      </c>
      <c r="W226" s="914">
        <f t="shared" si="51"/>
        <v>17.579603389804888</v>
      </c>
      <c r="X226" s="913">
        <f t="shared" si="52"/>
        <v>1.752110574404226</v>
      </c>
      <c r="Y226" s="913">
        <f t="shared" si="53"/>
        <v>15.154830508452488</v>
      </c>
      <c r="Z226" s="95">
        <f t="shared" si="54"/>
        <v>14416</v>
      </c>
      <c r="AA226" s="50" t="str">
        <f t="shared" si="55"/>
        <v>MOQ OK</v>
      </c>
      <c r="AB226" s="923">
        <f t="shared" si="56"/>
        <v>0.85798084482262738</v>
      </c>
      <c r="AC226" s="924">
        <f t="shared" si="57"/>
        <v>0.99525777999424769</v>
      </c>
      <c r="AD226" s="203">
        <f t="shared" si="58"/>
        <v>42899.04224113137</v>
      </c>
      <c r="AE226" s="912">
        <f t="shared" si="59"/>
        <v>49762.888999712384</v>
      </c>
      <c r="AF226" s="923" cm="1">
        <f t="array" ref="AF226">IF(O226="Quantum",IFERROR(_xlfn.LET(_xlpm.b,_xlfn.SWITCH(LOWER(B226),"zipper bag","Zipper pouch","open bag","Open pouch","sup with zipper","Stand-up pouch","stand-up pouch","Stand-up pouch",B226),_xlpm.w,G226,_xlpm.q,K226,_xlpm.types,'Converting-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missing"),IFERROR(_xlfn.LET(_xlpm.s,O226,_xlpm.b,_xlfn.SWITCH(LOWER(B226),"zipper bag","Zipper pouch","open bag","Open pouch",B226),_xlpm.w,G226,_xlpm.q,K226,_xlpm.src,'Converting-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226" s="923">
        <f>IFERROR(IF(OR(B226="Zipper pouch",B226="SUP with zipper"),HELPER!$DE$2*(AH226+AI226)/K226,HELPER!$DE$2*AH226/K226),"Data is missing")</f>
        <v>2.1543726892850709E-2</v>
      </c>
      <c r="AH226" s="923">
        <f t="shared" si="60"/>
        <v>1.752110574404226</v>
      </c>
      <c r="AI226" s="923">
        <f>IF(OR(B226="Zipper pouch",B226="SUP with zipper"),HELPER!$DC$2*G226/1000,"")</f>
        <v>4.3199999999999995E-2</v>
      </c>
      <c r="AJ226" s="923" cm="1">
        <f t="array" ref="AJ226">IF(INDEX('Laminates- copilot'!$E$6:$E$257,ROUNDUP((ROW()-5)/3,0))+50&gt;IF(O226="Quantum",760,1220),"Width exceeds supplier maximum",IFERROR(AF226+AG226+N(AI226)+AH226*G226/1000/MAX(1,MIN(MAX(2,INT(900/INDEX('Laminates- copilot'!$E$6:$E$257,ROUNDUP((ROW()-5)/3,0)))),INT((IF(O226="Quantum",760,1220)-50)/INDEX('Laminates- copilot'!$E$6:$E$257,ROUNDUP((ROW()-5)/3,0))))),"Data is missing"))</f>
        <v>0.64348563361697053</v>
      </c>
      <c r="AK226" s="203">
        <f t="shared" si="61"/>
        <v>857.98084482262743</v>
      </c>
      <c r="AL226" t="str">
        <f t="shared" si="62"/>
        <v>PASS</v>
      </c>
      <c r="AM226" s="50" t="str">
        <f t="shared" si="63"/>
        <v/>
      </c>
    </row>
    <row r="227" spans="1:39">
      <c r="A227" t="s">
        <v>1855</v>
      </c>
      <c r="B227" t="s">
        <v>262</v>
      </c>
      <c r="C227" s="50" t="s">
        <v>2206</v>
      </c>
      <c r="D227">
        <f>'Laminates- copilot'!B79</f>
        <v>648</v>
      </c>
      <c r="E227" s="858">
        <f>'Laminates- copilot'!D79</f>
        <v>100</v>
      </c>
      <c r="F227" s="858">
        <v>300</v>
      </c>
      <c r="G227" s="858">
        <v>300</v>
      </c>
      <c r="H227" s="858">
        <v>0</v>
      </c>
      <c r="I227" s="858">
        <v>10</v>
      </c>
      <c r="J227" s="858">
        <v>610</v>
      </c>
      <c r="K227" s="858">
        <v>50000</v>
      </c>
      <c r="L227" s="858" t="str">
        <f>'Laminates- copilot'!K79</f>
        <v>Printed</v>
      </c>
      <c r="M227" s="858" t="str">
        <f>'Laminates- copilot'!L79</f>
        <v>5-8</v>
      </c>
      <c r="N227" s="858">
        <f>'Laminates- copilot'!M79</f>
        <v>8</v>
      </c>
      <c r="O227" s="858" t="str">
        <f>'Laminates- copilot'!O79</f>
        <v>Marma</v>
      </c>
      <c r="P227" s="858" t="str">
        <f>'Laminates- copilot'!N79</f>
        <v>Europe to US</v>
      </c>
      <c r="Q227" s="858">
        <f t="shared" si="48"/>
        <v>15000</v>
      </c>
      <c r="R227" s="858">
        <f t="shared" si="49"/>
        <v>15000</v>
      </c>
      <c r="S227" s="858">
        <f>IFERROR('Laminates- copilot'!Q79/'Laminates- copilot'!P79*Q227,"")</f>
        <v>1734.21</v>
      </c>
      <c r="T227" s="203">
        <f>IFERROR('Laminates- copilot'!R79/'Laminates- copilot'!P79*Q227,"")</f>
        <v>26281.658616063389</v>
      </c>
      <c r="U227" s="912">
        <f>IFERROR('Laminates- copilot'!S79/'Laminates- copilot'!P79*Q227,"")</f>
        <v>30486.723994633532</v>
      </c>
      <c r="V227" s="913">
        <f t="shared" si="50"/>
        <v>15.154830508452488</v>
      </c>
      <c r="W227" s="914">
        <f t="shared" si="51"/>
        <v>17.579603389804888</v>
      </c>
      <c r="X227" s="913">
        <f t="shared" si="52"/>
        <v>1.752110574404226</v>
      </c>
      <c r="Y227" s="913">
        <f t="shared" si="53"/>
        <v>15.154830508452488</v>
      </c>
      <c r="Z227" s="95">
        <f t="shared" si="54"/>
        <v>14416</v>
      </c>
      <c r="AA227" s="50" t="str">
        <f t="shared" si="55"/>
        <v>MOQ OK</v>
      </c>
      <c r="AB227" s="923">
        <f t="shared" si="56"/>
        <v>0.79280163782506008</v>
      </c>
      <c r="AC227" s="924">
        <f t="shared" si="57"/>
        <v>0.91964989987706958</v>
      </c>
      <c r="AD227" s="203">
        <f t="shared" si="58"/>
        <v>39640.081891253001</v>
      </c>
      <c r="AE227" s="912">
        <f t="shared" si="59"/>
        <v>45982.494993853477</v>
      </c>
      <c r="AF227" s="923" cm="1">
        <f t="array" ref="AF227">IF(O227="Quantum",IFERROR(_xlfn.LET(_xlpm.b,_xlfn.SWITCH(LOWER(B227),"zipper bag","Zipper pouch","open bag","Open pouch","sup with zipper","Stand-up pouch","stand-up pouch","Stand-up pouch",B227),_xlpm.w,G227,_xlpm.q,K227,_xlpm.types,'Converting-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missing"),IFERROR(_xlfn.LET(_xlpm.s,O227,_xlpm.b,_xlfn.SWITCH(LOWER(B227),"zipper bag","Zipper pouch","open bag","Open pouch",B227),_xlpm.w,G227,_xlpm.q,K227,_xlpm.src,'Converting-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227" s="923">
        <f>IFERROR(IF(OR(B227="Zipper pouch",B227="SUP with zipper"),HELPER!$DE$2*(AH227+AI227)/K227,HELPER!$DE$2*AH227/K227),"Data is missing")</f>
        <v>2.1025326892850714E-2</v>
      </c>
      <c r="AH227" s="923">
        <f t="shared" si="60"/>
        <v>1.752110574404226</v>
      </c>
      <c r="AI227" s="923" t="str">
        <f>IF(OR(B227="Zipper pouch",B227="SUP with zipper"),HELPER!$DC$2*G227/1000,"")</f>
        <v/>
      </c>
      <c r="AJ227" s="923" cm="1">
        <f t="array" ref="AJ227">IF(INDEX('Laminates- copilot'!$E$6:$E$257,ROUNDUP((ROW()-5)/3,0))+50&gt;IF(O227="Quantum",760,1220),"Width exceeds supplier maximum",IFERROR(AF227+AG227+N(AI227)+AH227*G227/1000/MAX(1,MIN(MAX(2,INT(900/INDEX('Laminates- copilot'!$E$6:$E$257,ROUNDUP((ROW()-5)/3,0)))),INT((IF(O227="Quantum",760,1220)-50)/INDEX('Laminates- copilot'!$E$6:$E$257,ROUNDUP((ROW()-5)/3,0))))),"Data is missing"))</f>
        <v>0.59460122836879503</v>
      </c>
      <c r="AK227" s="203">
        <f t="shared" si="61"/>
        <v>792.80163782506008</v>
      </c>
      <c r="AL227" t="str">
        <f t="shared" si="62"/>
        <v>PASS</v>
      </c>
      <c r="AM227" s="50" t="str">
        <f t="shared" si="63"/>
        <v/>
      </c>
    </row>
    <row r="228" spans="1:39" hidden="1">
      <c r="A228" t="s">
        <v>1856</v>
      </c>
      <c r="B228" t="s">
        <v>251</v>
      </c>
      <c r="C228" s="50" t="s">
        <v>2207</v>
      </c>
      <c r="D228">
        <f>'Laminates- copilot'!B80</f>
        <v>648</v>
      </c>
      <c r="E228" s="858">
        <f>'Laminates- copilot'!D80</f>
        <v>63</v>
      </c>
      <c r="F228" s="858">
        <v>350</v>
      </c>
      <c r="G228" s="858">
        <v>400</v>
      </c>
      <c r="H228" s="858">
        <v>60</v>
      </c>
      <c r="I228" s="858">
        <v>0</v>
      </c>
      <c r="J228" s="858">
        <v>820</v>
      </c>
      <c r="K228" s="858">
        <v>100000</v>
      </c>
      <c r="L228" s="858" t="str">
        <f>'Laminates- copilot'!K80</f>
        <v>Not Printed</v>
      </c>
      <c r="M228" s="858" t="str">
        <f>'Laminates- copilot'!L80</f>
        <v>0</v>
      </c>
      <c r="N228" s="858">
        <f>'Laminates- copilot'!M80</f>
        <v>1</v>
      </c>
      <c r="O228" s="858" t="str">
        <f>'Laminates- copilot'!O80</f>
        <v>Bastin</v>
      </c>
      <c r="P228" s="858" t="str">
        <f>'Laminates- copilot'!N80</f>
        <v>Europe to Europe</v>
      </c>
      <c r="Q228" s="858">
        <f t="shared" si="48"/>
        <v>40000</v>
      </c>
      <c r="R228" s="858">
        <f t="shared" si="49"/>
        <v>40000</v>
      </c>
      <c r="S228" s="858">
        <f>IFERROR('Laminates- copilot'!Q80/'Laminates- copilot'!P80*Q228,"")</f>
        <v>1147.44</v>
      </c>
      <c r="T228" s="203">
        <f>IFERROR('Laminates- copilot'!R80/'Laminates- copilot'!P80*Q228,"")</f>
        <v>13768.255412250001</v>
      </c>
      <c r="U228" s="912">
        <f>IFERROR('Laminates- copilot'!S80/'Laminates- copilot'!P80*Q228,"")</f>
        <v>15971.17627821</v>
      </c>
      <c r="V228" s="913">
        <f t="shared" si="50"/>
        <v>11.999107066382555</v>
      </c>
      <c r="W228" s="914">
        <f t="shared" si="51"/>
        <v>13.918964197003763</v>
      </c>
      <c r="X228" s="913">
        <f t="shared" si="52"/>
        <v>0.34420638530625003</v>
      </c>
      <c r="Y228" s="913">
        <f t="shared" si="53"/>
        <v>11.999107066382555</v>
      </c>
      <c r="Z228" s="95">
        <f t="shared" si="54"/>
        <v>43576</v>
      </c>
      <c r="AA228" s="50" t="str">
        <f t="shared" si="55"/>
        <v>MOQ OK</v>
      </c>
      <c r="AB228" s="923">
        <f t="shared" si="56"/>
        <v>0.30243479881723317</v>
      </c>
      <c r="AC228" s="924">
        <f t="shared" si="57"/>
        <v>0.35082436662799044</v>
      </c>
      <c r="AD228" s="203">
        <f t="shared" si="58"/>
        <v>30243.479881723317</v>
      </c>
      <c r="AE228" s="912">
        <f t="shared" si="59"/>
        <v>35082.436662799046</v>
      </c>
      <c r="AF228" s="923" cm="1">
        <f t="array" ref="AF228">IF(O228="Quantum",IFERROR(_xlfn.LET(_xlpm.b,_xlfn.SWITCH(LOWER(B228),"zipper bag","Zipper pouch","open bag","Open pouch","sup with zipper","Stand-up pouch","stand-up pouch","Stand-up pouch",B228),_xlpm.w,G228,_xlpm.q,K228,_xlpm.types,'Converting-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missing"),IFERROR(_xlfn.LET(_xlpm.s,O228,_xlpm.b,_xlfn.SWITCH(LOWER(B228),"zipper bag","Zipper pouch","open bag","Open pouch",B228),_xlpm.w,G228,_xlpm.q,K228,_xlpm.src,'Converting-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228" s="923">
        <f>IFERROR(IF(OR(B228="Zipper pouch",B228="SUP with zipper"),HELPER!$DE$2*(AH228+AI228)/K228,HELPER!$DE$2*AH228/K228),"Data is missing")</f>
        <v>2.4108383118375E-3</v>
      </c>
      <c r="AH228" s="923">
        <f t="shared" si="60"/>
        <v>0.34420638530625003</v>
      </c>
      <c r="AI228" s="923">
        <f>IF(OR(B228="Zipper pouch",B228="SUP with zipper"),HELPER!$DC$2*G228/1000,"")</f>
        <v>5.7599999999999991E-2</v>
      </c>
      <c r="AJ228" s="923" cm="1">
        <f t="array" ref="AJ228">IF(INDEX('Laminates- copilot'!$E$6:$E$257,ROUNDUP((ROW()-5)/3,0))+50&gt;IF(O228="Quantum",760,1220),"Width exceeds supplier maximum",IFERROR(AF228+AG228+N(AI228)+AH228*G228/1000/MAX(1,MIN(MAX(2,INT(900/INDEX('Laminates- copilot'!$E$6:$E$257,ROUNDUP((ROW()-5)/3,0)))),INT((IF(O228="Quantum",760,1220)-50)/INDEX('Laminates- copilot'!$E$6:$E$257,ROUNDUP((ROW()-5)/3,0))))),"Data is missing"))</f>
        <v>0.22682609911292489</v>
      </c>
      <c r="AK228" s="203">
        <f t="shared" si="61"/>
        <v>302.43479881723317</v>
      </c>
      <c r="AL228" t="str">
        <f t="shared" si="62"/>
        <v>PASS</v>
      </c>
      <c r="AM228" s="50" t="str">
        <f t="shared" si="63"/>
        <v/>
      </c>
    </row>
    <row r="229" spans="1:39" hidden="1">
      <c r="A229" t="s">
        <v>1857</v>
      </c>
      <c r="B229" t="s">
        <v>261</v>
      </c>
      <c r="C229" s="50" t="s">
        <v>2207</v>
      </c>
      <c r="D229">
        <f>'Laminates- copilot'!B80</f>
        <v>648</v>
      </c>
      <c r="E229" s="858">
        <f>'Laminates- copilot'!D80</f>
        <v>63</v>
      </c>
      <c r="F229" s="858">
        <v>350</v>
      </c>
      <c r="G229" s="858">
        <v>400</v>
      </c>
      <c r="H229" s="858">
        <v>60</v>
      </c>
      <c r="I229" s="858">
        <v>0</v>
      </c>
      <c r="J229" s="858">
        <v>820</v>
      </c>
      <c r="K229" s="858">
        <v>100000</v>
      </c>
      <c r="L229" s="858" t="str">
        <f>'Laminates- copilot'!K80</f>
        <v>Not Printed</v>
      </c>
      <c r="M229" s="858" t="str">
        <f>'Laminates- copilot'!L80</f>
        <v>0</v>
      </c>
      <c r="N229" s="858">
        <f>'Laminates- copilot'!M80</f>
        <v>1</v>
      </c>
      <c r="O229" s="858" t="str">
        <f>'Laminates- copilot'!O80</f>
        <v>Bastin</v>
      </c>
      <c r="P229" s="858" t="str">
        <f>'Laminates- copilot'!N80</f>
        <v>Europe to Europe</v>
      </c>
      <c r="Q229" s="858">
        <f t="shared" si="48"/>
        <v>40000</v>
      </c>
      <c r="R229" s="858">
        <f t="shared" si="49"/>
        <v>40000</v>
      </c>
      <c r="S229" s="858">
        <f>IFERROR('Laminates- copilot'!Q80/'Laminates- copilot'!P80*Q229,"")</f>
        <v>1147.44</v>
      </c>
      <c r="T229" s="203">
        <f>IFERROR('Laminates- copilot'!R80/'Laminates- copilot'!P80*Q229,"")</f>
        <v>13768.255412250001</v>
      </c>
      <c r="U229" s="912">
        <f>IFERROR('Laminates- copilot'!S80/'Laminates- copilot'!P80*Q229,"")</f>
        <v>15971.17627821</v>
      </c>
      <c r="V229" s="913">
        <f t="shared" si="50"/>
        <v>11.999107066382555</v>
      </c>
      <c r="W229" s="914">
        <f t="shared" si="51"/>
        <v>13.918964197003763</v>
      </c>
      <c r="X229" s="913">
        <f t="shared" si="52"/>
        <v>0.34420638530625003</v>
      </c>
      <c r="Y229" s="913">
        <f t="shared" si="53"/>
        <v>11.999107066382555</v>
      </c>
      <c r="Z229" s="95">
        <f t="shared" si="54"/>
        <v>43576</v>
      </c>
      <c r="AA229" s="50" t="str">
        <f t="shared" si="55"/>
        <v>MOQ OK</v>
      </c>
      <c r="AB229" s="923">
        <f t="shared" si="56"/>
        <v>0.29250131766423987</v>
      </c>
      <c r="AC229" s="924">
        <f t="shared" si="57"/>
        <v>0.3393015284905182</v>
      </c>
      <c r="AD229" s="203">
        <f t="shared" si="58"/>
        <v>29250.131766423987</v>
      </c>
      <c r="AE229" s="912">
        <f t="shared" si="59"/>
        <v>33930.152849051825</v>
      </c>
      <c r="AF229" s="923" cm="1">
        <f t="array" ref="AF229">IF(O229="Quantum",IFERROR(_xlfn.LET(_xlpm.b,_xlfn.SWITCH(LOWER(B229),"zipper bag","Zipper pouch","open bag","Open pouch","sup with zipper","Stand-up pouch","stand-up pouch","Stand-up pouch",B229),_xlpm.w,G229,_xlpm.q,K229,_xlpm.types,'Converting-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missing"),IFERROR(_xlfn.LET(_xlpm.s,O229,_xlpm.b,_xlfn.SWITCH(LOWER(B229),"zipper bag","Zipper pouch","open bag","Open pouch",B229),_xlpm.w,G229,_xlpm.q,K229,_xlpm.src,'Converting-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229" s="923">
        <f>IFERROR(IF(OR(B229="Zipper pouch",B229="SUP with zipper"),HELPER!$DE$2*(AH229+AI229)/K229,HELPER!$DE$2*AH229/K229),"Data is missing")</f>
        <v>2.4108383118375E-3</v>
      </c>
      <c r="AH229" s="923">
        <f t="shared" si="60"/>
        <v>0.34420638530625003</v>
      </c>
      <c r="AI229" s="923">
        <f>IF(OR(B229="Zipper pouch",B229="SUP with zipper"),HELPER!$DC$2*G229/1000,"")</f>
        <v>5.7599999999999991E-2</v>
      </c>
      <c r="AJ229" s="923" cm="1">
        <f t="array" ref="AJ229">IF(INDEX('Laminates- copilot'!$E$6:$E$257,ROUNDUP((ROW()-5)/3,0))+50&gt;IF(O229="Quantum",760,1220),"Width exceeds supplier maximum",IFERROR(AF229+AG229+N(AI229)+AH229*G229/1000/MAX(1,MIN(MAX(2,INT(900/INDEX('Laminates- copilot'!$E$6:$E$257,ROUNDUP((ROW()-5)/3,0)))),INT((IF(O229="Quantum",760,1220)-50)/INDEX('Laminates- copilot'!$E$6:$E$257,ROUNDUP((ROW()-5)/3,0))))),"Data is missing"))</f>
        <v>0.21937598824817989</v>
      </c>
      <c r="AK229" s="203">
        <f t="shared" si="61"/>
        <v>292.50131766423988</v>
      </c>
      <c r="AL229" t="str">
        <f t="shared" si="62"/>
        <v>PASS</v>
      </c>
      <c r="AM229" s="50" t="str">
        <f t="shared" si="63"/>
        <v/>
      </c>
    </row>
    <row r="230" spans="1:39" hidden="1">
      <c r="A230" t="s">
        <v>1858</v>
      </c>
      <c r="B230" t="s">
        <v>262</v>
      </c>
      <c r="C230" s="50" t="s">
        <v>2207</v>
      </c>
      <c r="D230">
        <f>'Laminates- copilot'!B80</f>
        <v>648</v>
      </c>
      <c r="E230" s="858">
        <f>'Laminates- copilot'!D80</f>
        <v>63</v>
      </c>
      <c r="F230" s="858">
        <v>350</v>
      </c>
      <c r="G230" s="858">
        <v>400</v>
      </c>
      <c r="H230" s="858">
        <v>0</v>
      </c>
      <c r="I230" s="858">
        <v>0</v>
      </c>
      <c r="J230" s="858">
        <v>700</v>
      </c>
      <c r="K230" s="858">
        <v>100000</v>
      </c>
      <c r="L230" s="858" t="str">
        <f>'Laminates- copilot'!K80</f>
        <v>Not Printed</v>
      </c>
      <c r="M230" s="858" t="str">
        <f>'Laminates- copilot'!L80</f>
        <v>0</v>
      </c>
      <c r="N230" s="858">
        <f>'Laminates- copilot'!M80</f>
        <v>1</v>
      </c>
      <c r="O230" s="858" t="str">
        <f>'Laminates- copilot'!O80</f>
        <v>Bastin</v>
      </c>
      <c r="P230" s="858" t="str">
        <f>'Laminates- copilot'!N80</f>
        <v>Europe to Europe</v>
      </c>
      <c r="Q230" s="858">
        <f t="shared" si="48"/>
        <v>40000</v>
      </c>
      <c r="R230" s="858">
        <f t="shared" si="49"/>
        <v>40000</v>
      </c>
      <c r="S230" s="858">
        <f>IFERROR('Laminates- copilot'!Q80/'Laminates- copilot'!P80*Q230,"")</f>
        <v>1147.44</v>
      </c>
      <c r="T230" s="203">
        <f>IFERROR('Laminates- copilot'!R80/'Laminates- copilot'!P80*Q230,"")</f>
        <v>13768.255412250001</v>
      </c>
      <c r="U230" s="912">
        <f>IFERROR('Laminates- copilot'!S80/'Laminates- copilot'!P80*Q230,"")</f>
        <v>15971.17627821</v>
      </c>
      <c r="V230" s="913">
        <f t="shared" si="50"/>
        <v>11.999107066382555</v>
      </c>
      <c r="W230" s="914">
        <f t="shared" si="51"/>
        <v>13.918964197003763</v>
      </c>
      <c r="X230" s="913">
        <f t="shared" si="52"/>
        <v>0.34420638530625003</v>
      </c>
      <c r="Y230" s="913">
        <f t="shared" si="53"/>
        <v>11.999107066382555</v>
      </c>
      <c r="Z230" s="95">
        <f t="shared" si="54"/>
        <v>43576</v>
      </c>
      <c r="AA230" s="50" t="str">
        <f t="shared" si="55"/>
        <v>MOQ OK</v>
      </c>
      <c r="AB230" s="923">
        <f t="shared" si="56"/>
        <v>0.20211251927681798</v>
      </c>
      <c r="AC230" s="924">
        <f t="shared" si="57"/>
        <v>0.23445052236110883</v>
      </c>
      <c r="AD230" s="203">
        <f t="shared" si="58"/>
        <v>20211.251927681798</v>
      </c>
      <c r="AE230" s="912">
        <f t="shared" si="59"/>
        <v>23445.052236110885</v>
      </c>
      <c r="AF230" s="923" cm="1">
        <f t="array" ref="AF230">IF(O230="Quantum",IFERROR(_xlfn.LET(_xlpm.b,_xlfn.SWITCH(LOWER(B230),"zipper bag","Zipper pouch","open bag","Open pouch","sup with zipper","Stand-up pouch","stand-up pouch","Stand-up pouch",B230),_xlpm.w,G230,_xlpm.q,K230,_xlpm.types,'Converting-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missing"),IFERROR(_xlfn.LET(_xlpm.s,O230,_xlpm.b,_xlfn.SWITCH(LOWER(B230),"zipper bag","Zipper pouch","open bag","Open pouch",B230),_xlpm.w,G230,_xlpm.q,K230,_xlpm.src,'Converting-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30" s="923">
        <f>IFERROR(IF(OR(B230="Zipper pouch",B230="SUP with zipper"),HELPER!$DE$2*(AH230+AI230)/K230,HELPER!$DE$2*AH230/K230),"Data is missing")</f>
        <v>2.0652383118375003E-3</v>
      </c>
      <c r="AH230" s="923">
        <f t="shared" si="60"/>
        <v>0.34420638530625003</v>
      </c>
      <c r="AI230" s="923" t="str">
        <f>IF(OR(B230="Zipper pouch",B230="SUP with zipper"),HELPER!$DC$2*G230/1000,"")</f>
        <v/>
      </c>
      <c r="AJ230" s="923" cm="1">
        <f t="array" ref="AJ230">IF(INDEX('Laminates- copilot'!$E$6:$E$257,ROUNDUP((ROW()-5)/3,0))+50&gt;IF(O230="Quantum",760,1220),"Width exceeds supplier maximum",IFERROR(AF230+AG230+N(AI230)+AH230*G230/1000/MAX(1,MIN(MAX(2,INT(900/INDEX('Laminates- copilot'!$E$6:$E$257,ROUNDUP((ROW()-5)/3,0)))),INT((IF(O230="Quantum",760,1220)-50)/INDEX('Laminates- copilot'!$E$6:$E$257,ROUNDUP((ROW()-5)/3,0))))),"Data is missing"))</f>
        <v>0.15158438945761349</v>
      </c>
      <c r="AK230" s="203">
        <f t="shared" si="61"/>
        <v>202.11251927681798</v>
      </c>
      <c r="AL230" t="str">
        <f t="shared" si="62"/>
        <v>PASS</v>
      </c>
      <c r="AM230" s="50" t="str">
        <f t="shared" si="63"/>
        <v/>
      </c>
    </row>
    <row r="231" spans="1:39" hidden="1">
      <c r="A231" t="s">
        <v>1859</v>
      </c>
      <c r="B231" t="s">
        <v>251</v>
      </c>
      <c r="C231" s="50" t="s">
        <v>2208</v>
      </c>
      <c r="D231">
        <f>'Laminates- copilot'!B81</f>
        <v>648</v>
      </c>
      <c r="E231" s="858">
        <f>'Laminates- copilot'!D81</f>
        <v>100</v>
      </c>
      <c r="F231" s="858">
        <v>400</v>
      </c>
      <c r="G231" s="858">
        <v>500</v>
      </c>
      <c r="H231" s="858">
        <v>80</v>
      </c>
      <c r="I231" s="858">
        <v>0</v>
      </c>
      <c r="J231" s="858">
        <v>960</v>
      </c>
      <c r="K231" s="858">
        <v>100000</v>
      </c>
      <c r="L231" s="858" t="str">
        <f>'Laminates- copilot'!K81</f>
        <v>Printed</v>
      </c>
      <c r="M231" s="858" t="str">
        <f>'Laminates- copilot'!L81</f>
        <v>3-4</v>
      </c>
      <c r="N231" s="858">
        <f>'Laminates- copilot'!M81</f>
        <v>4</v>
      </c>
      <c r="O231" s="858" t="str">
        <f>'Laminates- copilot'!O81</f>
        <v>Quantum</v>
      </c>
      <c r="P231" s="858" t="str">
        <f>'Laminates- copilot'!N81</f>
        <v>Europe to US</v>
      </c>
      <c r="Q231" s="858">
        <f t="shared" si="48"/>
        <v>50000</v>
      </c>
      <c r="R231" s="858">
        <f t="shared" si="49"/>
        <v>50000</v>
      </c>
      <c r="S231" s="858">
        <f>IFERROR('Laminates- copilot'!Q81/'Laminates- copilot'!P81*Q231,"")</f>
        <v>3853.7999999999997</v>
      </c>
      <c r="T231" s="203">
        <f>IFERROR('Laminates- copilot'!R81/'Laminates- copilot'!P81*Q231,"")</f>
        <v>93572.979931063091</v>
      </c>
      <c r="U231" s="912">
        <f>IFERROR('Laminates- copilot'!S81/'Laminates- copilot'!P81*Q231,"")</f>
        <v>108544.65672003318</v>
      </c>
      <c r="V231" s="913">
        <f t="shared" si="50"/>
        <v>24.280704741051196</v>
      </c>
      <c r="W231" s="914">
        <f t="shared" si="51"/>
        <v>28.165617499619383</v>
      </c>
      <c r="X231" s="913">
        <f t="shared" si="52"/>
        <v>1.8714595986212619</v>
      </c>
      <c r="Y231" s="913">
        <f t="shared" si="53"/>
        <v>24.280704741051196</v>
      </c>
      <c r="Z231" s="95">
        <f t="shared" si="54"/>
        <v>12975</v>
      </c>
      <c r="AA231" s="50" t="str">
        <f t="shared" si="55"/>
        <v>MOQ OK</v>
      </c>
      <c r="AB231" s="923">
        <f t="shared" si="56"/>
        <v>1.7208448520866411</v>
      </c>
      <c r="AC231" s="924">
        <f t="shared" si="57"/>
        <v>1.9961800284205036</v>
      </c>
      <c r="AD231" s="203">
        <f t="shared" si="58"/>
        <v>172084.48520866412</v>
      </c>
      <c r="AE231" s="912">
        <f t="shared" si="59"/>
        <v>199618.00284205037</v>
      </c>
      <c r="AF231" s="923" cm="1">
        <f t="array" ref="AF231">IF(O231="Quantum",IFERROR(_xlfn.LET(_xlpm.b,_xlfn.SWITCH(LOWER(B231),"zipper bag","Zipper pouch","open bag","Open pouch","sup with zipper","Stand-up pouch","stand-up pouch","Stand-up pouch",B231),_xlpm.w,G231,_xlpm.q,K231,_xlpm.types,'Converting-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missing"),IFERROR(_xlfn.LET(_xlpm.s,O231,_xlpm.b,_xlfn.SWITCH(LOWER(B231),"zipper bag","Zipper pouch","open bag","Open pouch",B231),_xlpm.w,G231,_xlpm.q,K231,_xlpm.src,'Converting-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231" s="923">
        <f>IFERROR(IF(OR(B231="Zipper pouch",B231="SUP with zipper"),HELPER!$DE$2*(AH231+AI231)/K231,HELPER!$DE$2*AH231/K231),"Data is missing")</f>
        <v>1.1660757591727572E-2</v>
      </c>
      <c r="AH231" s="923">
        <f t="shared" si="60"/>
        <v>1.8714595986212619</v>
      </c>
      <c r="AI231" s="923">
        <f>IF(OR(B231="Zipper pouch",B231="SUP with zipper"),HELPER!$DC$2*G231/1000,"")</f>
        <v>7.1999999999999995E-2</v>
      </c>
      <c r="AJ231" s="923" cm="1">
        <f t="array" ref="AJ231">IF(INDEX('Laminates- copilot'!$E$6:$E$257,ROUNDUP((ROW()-5)/3,0))+50&gt;IF(O231="Quantum",760,1220),"Width exceeds supplier maximum",IFERROR(AF231+AG231+N(AI231)+AH231*G231/1000/MAX(1,MIN(MAX(2,INT(900/INDEX('Laminates- copilot'!$E$6:$E$257,ROUNDUP((ROW()-5)/3,0)))),INT((IF(O231="Quantum",760,1220)-50)/INDEX('Laminates- copilot'!$E$6:$E$257,ROUNDUP((ROW()-5)/3,0))))),"Data is missing"))</f>
        <v>1.2906336390649809</v>
      </c>
      <c r="AK231" s="203">
        <f t="shared" si="61"/>
        <v>1720.8448520866411</v>
      </c>
      <c r="AL231" t="str">
        <f t="shared" si="62"/>
        <v>PASS</v>
      </c>
      <c r="AM231" s="50" t="str">
        <f t="shared" si="63"/>
        <v/>
      </c>
    </row>
    <row r="232" spans="1:39" hidden="1">
      <c r="A232" t="s">
        <v>1860</v>
      </c>
      <c r="B232" t="s">
        <v>261</v>
      </c>
      <c r="C232" s="50" t="s">
        <v>2208</v>
      </c>
      <c r="D232">
        <f>'Laminates- copilot'!B81</f>
        <v>648</v>
      </c>
      <c r="E232" s="858">
        <f>'Laminates- copilot'!D81</f>
        <v>100</v>
      </c>
      <c r="F232" s="858">
        <v>400</v>
      </c>
      <c r="G232" s="858">
        <v>500</v>
      </c>
      <c r="H232" s="858">
        <v>80</v>
      </c>
      <c r="I232" s="858">
        <v>0</v>
      </c>
      <c r="J232" s="858">
        <v>960</v>
      </c>
      <c r="K232" s="858">
        <v>100000</v>
      </c>
      <c r="L232" s="858" t="str">
        <f>'Laminates- copilot'!K81</f>
        <v>Printed</v>
      </c>
      <c r="M232" s="858" t="str">
        <f>'Laminates- copilot'!L81</f>
        <v>3-4</v>
      </c>
      <c r="N232" s="858">
        <f>'Laminates- copilot'!M81</f>
        <v>4</v>
      </c>
      <c r="O232" s="858" t="str">
        <f>'Laminates- copilot'!O81</f>
        <v>Quantum</v>
      </c>
      <c r="P232" s="858" t="str">
        <f>'Laminates- copilot'!N81</f>
        <v>Europe to US</v>
      </c>
      <c r="Q232" s="858">
        <f t="shared" si="48"/>
        <v>50000</v>
      </c>
      <c r="R232" s="858">
        <f t="shared" si="49"/>
        <v>50000</v>
      </c>
      <c r="S232" s="858">
        <f>IFERROR('Laminates- copilot'!Q81/'Laminates- copilot'!P81*Q232,"")</f>
        <v>3853.7999999999997</v>
      </c>
      <c r="T232" s="203">
        <f>IFERROR('Laminates- copilot'!R81/'Laminates- copilot'!P81*Q232,"")</f>
        <v>93572.979931063091</v>
      </c>
      <c r="U232" s="912">
        <f>IFERROR('Laminates- copilot'!S81/'Laminates- copilot'!P81*Q232,"")</f>
        <v>108544.65672003318</v>
      </c>
      <c r="V232" s="913">
        <f t="shared" si="50"/>
        <v>24.280704741051196</v>
      </c>
      <c r="W232" s="914">
        <f t="shared" si="51"/>
        <v>28.165617499619383</v>
      </c>
      <c r="X232" s="913">
        <f t="shared" si="52"/>
        <v>1.8714595986212619</v>
      </c>
      <c r="Y232" s="913">
        <f t="shared" si="53"/>
        <v>24.280704741051196</v>
      </c>
      <c r="Z232" s="95">
        <f t="shared" si="54"/>
        <v>12975</v>
      </c>
      <c r="AA232" s="50" t="str">
        <f t="shared" si="55"/>
        <v>MOQ OK</v>
      </c>
      <c r="AB232" s="923">
        <f t="shared" si="56"/>
        <v>1.681426975291157</v>
      </c>
      <c r="AC232" s="924">
        <f t="shared" si="57"/>
        <v>1.950455291337742</v>
      </c>
      <c r="AD232" s="203">
        <f t="shared" si="58"/>
        <v>168142.69752911571</v>
      </c>
      <c r="AE232" s="912">
        <f t="shared" si="59"/>
        <v>195045.52913377422</v>
      </c>
      <c r="AF232" s="923" cm="1">
        <f t="array" ref="AF232">IF(O232="Quantum",IFERROR(_xlfn.LET(_xlpm.b,_xlfn.SWITCH(LOWER(B232),"zipper bag","Zipper pouch","open bag","Open pouch","sup with zipper","Stand-up pouch","stand-up pouch","Stand-up pouch",B232),_xlpm.w,G232,_xlpm.q,K232,_xlpm.types,'Converting-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missing"),IFERROR(_xlfn.LET(_xlpm.s,O232,_xlpm.b,_xlfn.SWITCH(LOWER(B232),"zipper bag","Zipper pouch","open bag","Open pouch",B232),_xlpm.w,G232,_xlpm.q,K232,_xlpm.src,'Converting-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232" s="923">
        <f>IFERROR(IF(OR(B232="Zipper pouch",B232="SUP with zipper"),HELPER!$DE$2*(AH232+AI232)/K232,HELPER!$DE$2*AH232/K232),"Data is missing")</f>
        <v>1.1660757591727572E-2</v>
      </c>
      <c r="AH232" s="923">
        <f t="shared" si="60"/>
        <v>1.8714595986212619</v>
      </c>
      <c r="AI232" s="923">
        <f>IF(OR(B232="Zipper pouch",B232="SUP with zipper"),HELPER!$DC$2*G232/1000,"")</f>
        <v>7.1999999999999995E-2</v>
      </c>
      <c r="AJ232" s="923" cm="1">
        <f t="array" ref="AJ232">IF(INDEX('Laminates- copilot'!$E$6:$E$257,ROUNDUP((ROW()-5)/3,0))+50&gt;IF(O232="Quantum",760,1220),"Width exceeds supplier maximum",IFERROR(AF232+AG232+N(AI232)+AH232*G232/1000/MAX(1,MIN(MAX(2,INT(900/INDEX('Laminates- copilot'!$E$6:$E$257,ROUNDUP((ROW()-5)/3,0)))),INT((IF(O232="Quantum",760,1220)-50)/INDEX('Laminates- copilot'!$E$6:$E$257,ROUNDUP((ROW()-5)/3,0))))),"Data is missing"))</f>
        <v>1.2610702314683677</v>
      </c>
      <c r="AK232" s="203">
        <f t="shared" si="61"/>
        <v>1681.4269752911571</v>
      </c>
      <c r="AL232" t="str">
        <f t="shared" si="62"/>
        <v>PASS</v>
      </c>
      <c r="AM232" s="50" t="str">
        <f t="shared" si="63"/>
        <v/>
      </c>
    </row>
    <row r="233" spans="1:39" hidden="1">
      <c r="A233" t="s">
        <v>1861</v>
      </c>
      <c r="B233" t="s">
        <v>262</v>
      </c>
      <c r="C233" s="50" t="s">
        <v>2208</v>
      </c>
      <c r="D233">
        <f>'Laminates- copilot'!B81</f>
        <v>648</v>
      </c>
      <c r="E233" s="858">
        <f>'Laminates- copilot'!D81</f>
        <v>100</v>
      </c>
      <c r="F233" s="858">
        <v>400</v>
      </c>
      <c r="G233" s="858">
        <v>500</v>
      </c>
      <c r="H233" s="858">
        <v>0</v>
      </c>
      <c r="I233" s="858">
        <v>20</v>
      </c>
      <c r="J233" s="858">
        <v>820</v>
      </c>
      <c r="K233" s="858">
        <v>100000</v>
      </c>
      <c r="L233" s="858" t="str">
        <f>'Laminates- copilot'!K81</f>
        <v>Printed</v>
      </c>
      <c r="M233" s="858" t="str">
        <f>'Laminates- copilot'!L81</f>
        <v>3-4</v>
      </c>
      <c r="N233" s="858">
        <f>'Laminates- copilot'!M81</f>
        <v>4</v>
      </c>
      <c r="O233" s="858" t="str">
        <f>'Laminates- copilot'!O81</f>
        <v>Quantum</v>
      </c>
      <c r="P233" s="858" t="str">
        <f>'Laminates- copilot'!N81</f>
        <v>Europe to US</v>
      </c>
      <c r="Q233" s="858">
        <f t="shared" si="48"/>
        <v>50000</v>
      </c>
      <c r="R233" s="858">
        <f t="shared" si="49"/>
        <v>50000</v>
      </c>
      <c r="S233" s="858">
        <f>IFERROR('Laminates- copilot'!Q81/'Laminates- copilot'!P81*Q233,"")</f>
        <v>3853.7999999999997</v>
      </c>
      <c r="T233" s="203">
        <f>IFERROR('Laminates- copilot'!R81/'Laminates- copilot'!P81*Q233,"")</f>
        <v>93572.979931063091</v>
      </c>
      <c r="U233" s="912">
        <f>IFERROR('Laminates- copilot'!S81/'Laminates- copilot'!P81*Q233,"")</f>
        <v>108544.65672003318</v>
      </c>
      <c r="V233" s="913">
        <f t="shared" si="50"/>
        <v>24.280704741051196</v>
      </c>
      <c r="W233" s="914">
        <f t="shared" si="51"/>
        <v>28.165617499619383</v>
      </c>
      <c r="X233" s="913">
        <f t="shared" si="52"/>
        <v>1.8714595986212619</v>
      </c>
      <c r="Y233" s="913">
        <f t="shared" si="53"/>
        <v>24.280704741051196</v>
      </c>
      <c r="Z233" s="95">
        <f t="shared" si="54"/>
        <v>12975</v>
      </c>
      <c r="AA233" s="50" t="str">
        <f t="shared" si="55"/>
        <v>MOQ OK</v>
      </c>
      <c r="AB233" s="923">
        <f t="shared" si="56"/>
        <v>1.5510178232800567</v>
      </c>
      <c r="AC233" s="924">
        <f t="shared" si="57"/>
        <v>1.7991806750048656</v>
      </c>
      <c r="AD233" s="203">
        <f t="shared" si="58"/>
        <v>155101.78232800568</v>
      </c>
      <c r="AE233" s="912">
        <f t="shared" si="59"/>
        <v>179918.06750048656</v>
      </c>
      <c r="AF233" s="923" cm="1">
        <f t="array" ref="AF233">IF(O233="Quantum",IFERROR(_xlfn.LET(_xlpm.b,_xlfn.SWITCH(LOWER(B233),"zipper bag","Zipper pouch","open bag","Open pouch","sup with zipper","Stand-up pouch","stand-up pouch","Stand-up pouch",B233),_xlpm.w,G233,_xlpm.q,K233,_xlpm.types,'Converting-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missing"),IFERROR(_xlfn.LET(_xlpm.s,O233,_xlpm.b,_xlfn.SWITCH(LOWER(B233),"zipper bag","Zipper pouch","open bag","Open pouch",B233),_xlpm.w,G233,_xlpm.q,K233,_xlpm.src,'Converting-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233" s="923">
        <f>IFERROR(IF(OR(B233="Zipper pouch",B233="SUP with zipper"),HELPER!$DE$2*(AH233+AI233)/K233,HELPER!$DE$2*AH233/K233),"Data is missing")</f>
        <v>1.1228757591727572E-2</v>
      </c>
      <c r="AH233" s="923">
        <f t="shared" si="60"/>
        <v>1.8714595986212619</v>
      </c>
      <c r="AI233" s="923" t="str">
        <f>IF(OR(B233="Zipper pouch",B233="SUP with zipper"),HELPER!$DC$2*G233/1000,"")</f>
        <v/>
      </c>
      <c r="AJ233" s="923" cm="1">
        <f t="array" ref="AJ233">IF(INDEX('Laminates- copilot'!$E$6:$E$257,ROUNDUP((ROW()-5)/3,0))+50&gt;IF(O233="Quantum",760,1220),"Width exceeds supplier maximum",IFERROR(AF233+AG233+N(AI233)+AH233*G233/1000/MAX(1,MIN(MAX(2,INT(900/INDEX('Laminates- copilot'!$E$6:$E$257,ROUNDUP((ROW()-5)/3,0)))),INT((IF(O233="Quantum",760,1220)-50)/INDEX('Laminates- copilot'!$E$6:$E$257,ROUNDUP((ROW()-5)/3,0))))),"Data is missing"))</f>
        <v>1.1632633674600426</v>
      </c>
      <c r="AK233" s="203">
        <f t="shared" si="61"/>
        <v>1551.0178232800567</v>
      </c>
      <c r="AL233" t="str">
        <f t="shared" si="62"/>
        <v>PASS</v>
      </c>
      <c r="AM233" s="50" t="str">
        <f t="shared" si="63"/>
        <v/>
      </c>
    </row>
    <row r="234" spans="1:39" hidden="1">
      <c r="A234" t="s">
        <v>1862</v>
      </c>
      <c r="B234" t="s">
        <v>251</v>
      </c>
      <c r="C234" s="50" t="s">
        <v>2209</v>
      </c>
      <c r="D234">
        <f>'Laminates- copilot'!B82</f>
        <v>648</v>
      </c>
      <c r="E234" s="858">
        <f>'Laminates- copilot'!D82</f>
        <v>53</v>
      </c>
      <c r="F234" s="858">
        <v>600</v>
      </c>
      <c r="G234" s="858">
        <v>200</v>
      </c>
      <c r="H234" s="858">
        <v>50</v>
      </c>
      <c r="I234" s="858">
        <v>0</v>
      </c>
      <c r="J234" s="858">
        <v>1300</v>
      </c>
      <c r="K234" s="858">
        <v>200000</v>
      </c>
      <c r="L234" s="858" t="str">
        <f>'Laminates- copilot'!K82</f>
        <v>Printed</v>
      </c>
      <c r="M234" s="858" t="str">
        <f>'Laminates- copilot'!L82</f>
        <v>5-8</v>
      </c>
      <c r="N234" s="858">
        <f>'Laminates- copilot'!M82</f>
        <v>8</v>
      </c>
      <c r="O234" s="858" t="str">
        <f>'Laminates- copilot'!O82</f>
        <v>Marma</v>
      </c>
      <c r="P234" s="858" t="str">
        <f>'Laminates- copilot'!N82</f>
        <v>Europe to Europe</v>
      </c>
      <c r="Q234" s="858">
        <f t="shared" si="48"/>
        <v>40000</v>
      </c>
      <c r="R234" s="858">
        <f t="shared" si="49"/>
        <v>40000</v>
      </c>
      <c r="S234" s="858">
        <f>IFERROR('Laminates- copilot'!Q82/'Laminates- copilot'!P82*Q234,"")</f>
        <v>2518.5600000000004</v>
      </c>
      <c r="T234" s="203">
        <f>IFERROR('Laminates- copilot'!R82/'Laminates- copilot'!P82*Q234,"")</f>
        <v>50173.512441066778</v>
      </c>
      <c r="U234" s="912">
        <f>IFERROR('Laminates- copilot'!S82/'Laminates- copilot'!P82*Q234,"")</f>
        <v>58201.274431637452</v>
      </c>
      <c r="V234" s="913">
        <f t="shared" si="50"/>
        <v>19.921507703237872</v>
      </c>
      <c r="W234" s="914">
        <f t="shared" si="51"/>
        <v>23.108948935755926</v>
      </c>
      <c r="X234" s="913">
        <f t="shared" si="52"/>
        <v>1.2543378110266694</v>
      </c>
      <c r="Y234" s="913">
        <f t="shared" si="53"/>
        <v>19.921507703237872</v>
      </c>
      <c r="Z234" s="95">
        <f t="shared" si="54"/>
        <v>39706</v>
      </c>
      <c r="AA234" s="50" t="str">
        <f t="shared" si="55"/>
        <v>MOQ OK</v>
      </c>
      <c r="AB234" s="923">
        <f t="shared" si="56"/>
        <v>0.43598848784308847</v>
      </c>
      <c r="AC234" s="924">
        <f t="shared" si="57"/>
        <v>0.50574664589798257</v>
      </c>
      <c r="AD234" s="203">
        <f t="shared" si="58"/>
        <v>87197.697568617688</v>
      </c>
      <c r="AE234" s="912">
        <f t="shared" si="59"/>
        <v>101149.32917959651</v>
      </c>
      <c r="AF234" s="923" cm="1">
        <f t="array" ref="AF234">IF(O234="Quantum",IFERROR(_xlfn.LET(_xlpm.b,_xlfn.SWITCH(LOWER(B234),"zipper bag","Zipper pouch","open bag","Open pouch","sup with zipper","Stand-up pouch","stand-up pouch","Stand-up pouch",B234),_xlpm.w,G234,_xlpm.q,K234,_xlpm.types,'Converting-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missing"),IFERROR(_xlfn.LET(_xlpm.s,O234,_xlpm.b,_xlfn.SWITCH(LOWER(B234),"zipper bag","Zipper pouch","open bag","Open pouch",B234),_xlpm.w,G234,_xlpm.q,K234,_xlpm.src,'Converting-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34" s="923">
        <f>IFERROR(IF(OR(B234="Zipper pouch",B234="SUP with zipper"),HELPER!$DE$2*(AH234+AI234)/K234,HELPER!$DE$2*AH234/K234),"Data is missing")</f>
        <v>3.8494134330800079E-3</v>
      </c>
      <c r="AH234" s="923">
        <f t="shared" si="60"/>
        <v>1.2543378110266694</v>
      </c>
      <c r="AI234" s="923">
        <f>IF(OR(B234="Zipper pouch",B234="SUP with zipper"),HELPER!$DC$2*G234/1000,"")</f>
        <v>2.8799999999999996E-2</v>
      </c>
      <c r="AJ234" s="923" cm="1">
        <f t="array" ref="AJ234">IF(INDEX('Laminates- copilot'!$E$6:$E$257,ROUNDUP((ROW()-5)/3,0))+50&gt;IF(O234="Quantum",760,1220),"Width exceeds supplier maximum",IFERROR(AF234+AG234+N(AI234)+AH234*G234/1000/MAX(1,MIN(MAX(2,INT(900/INDEX('Laminates- copilot'!$E$6:$E$257,ROUNDUP((ROW()-5)/3,0)))),INT((IF(O234="Quantum",760,1220)-50)/INDEX('Laminates- copilot'!$E$6:$E$257,ROUNDUP((ROW()-5)/3,0))))),"Data is missing"))</f>
        <v>0.32699136588231636</v>
      </c>
      <c r="AK234" s="203">
        <f t="shared" si="61"/>
        <v>435.98848784308848</v>
      </c>
      <c r="AL234" t="str">
        <f t="shared" si="62"/>
        <v>PASS</v>
      </c>
      <c r="AM234" s="50" t="str">
        <f t="shared" si="63"/>
        <v/>
      </c>
    </row>
    <row r="235" spans="1:39" hidden="1">
      <c r="A235" t="s">
        <v>1863</v>
      </c>
      <c r="B235" t="s">
        <v>261</v>
      </c>
      <c r="C235" s="50" t="s">
        <v>2209</v>
      </c>
      <c r="D235">
        <f>'Laminates- copilot'!B82</f>
        <v>648</v>
      </c>
      <c r="E235" s="858">
        <f>'Laminates- copilot'!D82</f>
        <v>53</v>
      </c>
      <c r="F235" s="858">
        <v>600</v>
      </c>
      <c r="G235" s="858">
        <v>200</v>
      </c>
      <c r="H235" s="858">
        <v>50</v>
      </c>
      <c r="I235" s="858">
        <v>0</v>
      </c>
      <c r="J235" s="858">
        <v>1300</v>
      </c>
      <c r="K235" s="858">
        <v>200000</v>
      </c>
      <c r="L235" s="858" t="str">
        <f>'Laminates- copilot'!K82</f>
        <v>Printed</v>
      </c>
      <c r="M235" s="858" t="str">
        <f>'Laminates- copilot'!L82</f>
        <v>5-8</v>
      </c>
      <c r="N235" s="858">
        <f>'Laminates- copilot'!M82</f>
        <v>8</v>
      </c>
      <c r="O235" s="858" t="str">
        <f>'Laminates- copilot'!O82</f>
        <v>Marma</v>
      </c>
      <c r="P235" s="858" t="str">
        <f>'Laminates- copilot'!N82</f>
        <v>Europe to Europe</v>
      </c>
      <c r="Q235" s="858">
        <f t="shared" si="48"/>
        <v>40000</v>
      </c>
      <c r="R235" s="858">
        <f t="shared" si="49"/>
        <v>40000</v>
      </c>
      <c r="S235" s="858">
        <f>IFERROR('Laminates- copilot'!Q82/'Laminates- copilot'!P82*Q235,"")</f>
        <v>2518.5600000000004</v>
      </c>
      <c r="T235" s="203">
        <f>IFERROR('Laminates- copilot'!R82/'Laminates- copilot'!P82*Q235,"")</f>
        <v>50173.512441066778</v>
      </c>
      <c r="U235" s="912">
        <f>IFERROR('Laminates- copilot'!S82/'Laminates- copilot'!P82*Q235,"")</f>
        <v>58201.274431637452</v>
      </c>
      <c r="V235" s="913">
        <f t="shared" si="50"/>
        <v>19.921507703237872</v>
      </c>
      <c r="W235" s="914">
        <f t="shared" si="51"/>
        <v>23.108948935755926</v>
      </c>
      <c r="X235" s="913">
        <f t="shared" si="52"/>
        <v>1.2543378110266694</v>
      </c>
      <c r="Y235" s="913">
        <f t="shared" si="53"/>
        <v>19.921507703237872</v>
      </c>
      <c r="Z235" s="95">
        <f t="shared" si="54"/>
        <v>39706</v>
      </c>
      <c r="AA235" s="50" t="str">
        <f t="shared" si="55"/>
        <v>MOQ OK</v>
      </c>
      <c r="AB235" s="923">
        <f t="shared" si="56"/>
        <v>0.43125825872261547</v>
      </c>
      <c r="AC235" s="924">
        <f t="shared" si="57"/>
        <v>0.5002595801182339</v>
      </c>
      <c r="AD235" s="203">
        <f t="shared" si="58"/>
        <v>86251.6517445231</v>
      </c>
      <c r="AE235" s="912">
        <f t="shared" si="59"/>
        <v>100051.91602364679</v>
      </c>
      <c r="AF235" s="923" cm="1">
        <f t="array" ref="AF235">IF(O235="Quantum",IFERROR(_xlfn.LET(_xlpm.b,_xlfn.SWITCH(LOWER(B235),"zipper bag","Zipper pouch","open bag","Open pouch","sup with zipper","Stand-up pouch","stand-up pouch","Stand-up pouch",B235),_xlpm.w,G235,_xlpm.q,K235,_xlpm.types,'Converting-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missing"),IFERROR(_xlfn.LET(_xlpm.s,O235,_xlpm.b,_xlfn.SWITCH(LOWER(B235),"zipper bag","Zipper pouch","open bag","Open pouch",B235),_xlpm.w,G235,_xlpm.q,K235,_xlpm.src,'Converting-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35" s="923">
        <f>IFERROR(IF(OR(B235="Zipper pouch",B235="SUP with zipper"),HELPER!$DE$2*(AH235+AI235)/K235,HELPER!$DE$2*AH235/K235),"Data is missing")</f>
        <v>3.8494134330800079E-3</v>
      </c>
      <c r="AH235" s="923">
        <f t="shared" si="60"/>
        <v>1.2543378110266694</v>
      </c>
      <c r="AI235" s="923">
        <f>IF(OR(B235="Zipper pouch",B235="SUP with zipper"),HELPER!$DC$2*G235/1000,"")</f>
        <v>2.8799999999999996E-2</v>
      </c>
      <c r="AJ235" s="923" cm="1">
        <f t="array" ref="AJ235">IF(INDEX('Laminates- copilot'!$E$6:$E$257,ROUNDUP((ROW()-5)/3,0))+50&gt;IF(O235="Quantum",760,1220),"Width exceeds supplier maximum",IFERROR(AF235+AG235+N(AI235)+AH235*G235/1000/MAX(1,MIN(MAX(2,INT(900/INDEX('Laminates- copilot'!$E$6:$E$257,ROUNDUP((ROW()-5)/3,0)))),INT((IF(O235="Quantum",760,1220)-50)/INDEX('Laminates- copilot'!$E$6:$E$257,ROUNDUP((ROW()-5)/3,0))))),"Data is missing"))</f>
        <v>0.3234436940419616</v>
      </c>
      <c r="AK235" s="203">
        <f t="shared" si="61"/>
        <v>431.25825872261549</v>
      </c>
      <c r="AL235" t="str">
        <f t="shared" si="62"/>
        <v>PASS</v>
      </c>
      <c r="AM235" s="50" t="str">
        <f t="shared" si="63"/>
        <v/>
      </c>
    </row>
    <row r="236" spans="1:39" hidden="1">
      <c r="A236" t="s">
        <v>1864</v>
      </c>
      <c r="B236" t="s">
        <v>262</v>
      </c>
      <c r="C236" s="50" t="s">
        <v>2209</v>
      </c>
      <c r="D236">
        <f>'Laminates- copilot'!B82</f>
        <v>648</v>
      </c>
      <c r="E236" s="858">
        <f>'Laminates- copilot'!D82</f>
        <v>53</v>
      </c>
      <c r="F236" s="858">
        <v>600</v>
      </c>
      <c r="G236" s="858">
        <v>200</v>
      </c>
      <c r="H236" s="858">
        <v>0</v>
      </c>
      <c r="I236" s="858">
        <v>0</v>
      </c>
      <c r="J236" s="858">
        <v>1200</v>
      </c>
      <c r="K236" s="858">
        <v>200000</v>
      </c>
      <c r="L236" s="858" t="str">
        <f>'Laminates- copilot'!K82</f>
        <v>Printed</v>
      </c>
      <c r="M236" s="858" t="str">
        <f>'Laminates- copilot'!L82</f>
        <v>5-8</v>
      </c>
      <c r="N236" s="858">
        <f>'Laminates- copilot'!M82</f>
        <v>8</v>
      </c>
      <c r="O236" s="858" t="str">
        <f>'Laminates- copilot'!O82</f>
        <v>Marma</v>
      </c>
      <c r="P236" s="858" t="str">
        <f>'Laminates- copilot'!N82</f>
        <v>Europe to Europe</v>
      </c>
      <c r="Q236" s="858">
        <f t="shared" si="48"/>
        <v>40000</v>
      </c>
      <c r="R236" s="858">
        <f t="shared" si="49"/>
        <v>40000</v>
      </c>
      <c r="S236" s="858">
        <f>IFERROR('Laminates- copilot'!Q82/'Laminates- copilot'!P82*Q236,"")</f>
        <v>2518.5600000000004</v>
      </c>
      <c r="T236" s="203">
        <f>IFERROR('Laminates- copilot'!R82/'Laminates- copilot'!P82*Q236,"")</f>
        <v>50173.512441066778</v>
      </c>
      <c r="U236" s="912">
        <f>IFERROR('Laminates- copilot'!S82/'Laminates- copilot'!P82*Q236,"")</f>
        <v>58201.274431637452</v>
      </c>
      <c r="V236" s="913">
        <f t="shared" si="50"/>
        <v>19.921507703237872</v>
      </c>
      <c r="W236" s="914">
        <f t="shared" si="51"/>
        <v>23.108948935755926</v>
      </c>
      <c r="X236" s="913">
        <f t="shared" si="52"/>
        <v>1.2543378110266694</v>
      </c>
      <c r="Y236" s="913">
        <f t="shared" si="53"/>
        <v>19.921507703237872</v>
      </c>
      <c r="Z236" s="95">
        <f t="shared" si="54"/>
        <v>39706</v>
      </c>
      <c r="AA236" s="50" t="str">
        <f t="shared" si="55"/>
        <v>MOQ OK</v>
      </c>
      <c r="AB236" s="923">
        <f t="shared" si="56"/>
        <v>0.38745785981213937</v>
      </c>
      <c r="AC236" s="924">
        <f t="shared" si="57"/>
        <v>0.44945111738208166</v>
      </c>
      <c r="AD236" s="203">
        <f t="shared" si="58"/>
        <v>77491.571962427872</v>
      </c>
      <c r="AE236" s="912">
        <f t="shared" si="59"/>
        <v>89890.22347641633</v>
      </c>
      <c r="AF236" s="923" cm="1">
        <f t="array" ref="AF236">IF(O236="Quantum",IFERROR(_xlfn.LET(_xlpm.b,_xlfn.SWITCH(LOWER(B236),"zipper bag","Zipper pouch","open bag","Open pouch","sup with zipper","Stand-up pouch","stand-up pouch","Stand-up pouch",B236),_xlpm.w,G236,_xlpm.q,K236,_xlpm.types,'Converting-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missing"),IFERROR(_xlfn.LET(_xlpm.s,O236,_xlpm.b,_xlfn.SWITCH(LOWER(B236),"zipper bag","Zipper pouch","open bag","Open pouch",B236),_xlpm.w,G236,_xlpm.q,K236,_xlpm.src,'Converting-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36" s="923">
        <f>IFERROR(IF(OR(B236="Zipper pouch",B236="SUP with zipper"),HELPER!$DE$2*(AH236+AI236)/K236,HELPER!$DE$2*AH236/K236),"Data is missing")</f>
        <v>3.763013433080008E-3</v>
      </c>
      <c r="AH236" s="923">
        <f t="shared" si="60"/>
        <v>1.2543378110266694</v>
      </c>
      <c r="AI236" s="923" t="str">
        <f>IF(OR(B236="Zipper pouch",B236="SUP with zipper"),HELPER!$DC$2*G236/1000,"")</f>
        <v/>
      </c>
      <c r="AJ236" s="923" cm="1">
        <f t="array" ref="AJ236">IF(INDEX('Laminates- copilot'!$E$6:$E$257,ROUNDUP((ROW()-5)/3,0))+50&gt;IF(O236="Quantum",760,1220),"Width exceeds supplier maximum",IFERROR(AF236+AG236+N(AI236)+AH236*G236/1000/MAX(1,MIN(MAX(2,INT(900/INDEX('Laminates- copilot'!$E$6:$E$257,ROUNDUP((ROW()-5)/3,0)))),INT((IF(O236="Quantum",760,1220)-50)/INDEX('Laminates- copilot'!$E$6:$E$257,ROUNDUP((ROW()-5)/3,0))))),"Data is missing"))</f>
        <v>0.29059339485910451</v>
      </c>
      <c r="AK236" s="203">
        <f t="shared" si="61"/>
        <v>387.45785981213936</v>
      </c>
      <c r="AL236" t="str">
        <f t="shared" si="62"/>
        <v>PASS</v>
      </c>
      <c r="AM236" s="50" t="str">
        <f t="shared" si="63"/>
        <v/>
      </c>
    </row>
    <row r="237" spans="1:39" hidden="1">
      <c r="A237" t="s">
        <v>1865</v>
      </c>
      <c r="B237" t="s">
        <v>251</v>
      </c>
      <c r="C237" s="50" t="s">
        <v>2210</v>
      </c>
      <c r="D237">
        <f>'Laminates- copilot'!B83</f>
        <v>648</v>
      </c>
      <c r="E237" s="858">
        <f>'Laminates- copilot'!D83</f>
        <v>100</v>
      </c>
      <c r="F237" s="858">
        <v>700</v>
      </c>
      <c r="G237" s="858">
        <v>300</v>
      </c>
      <c r="H237" s="858">
        <v>75</v>
      </c>
      <c r="I237" s="858">
        <v>0</v>
      </c>
      <c r="J237" s="858">
        <v>1550</v>
      </c>
      <c r="K237" s="858">
        <v>200000</v>
      </c>
      <c r="L237" s="858" t="str">
        <f>'Laminates- copilot'!K83</f>
        <v>Not Printed</v>
      </c>
      <c r="M237" s="858" t="str">
        <f>'Laminates- copilot'!L83</f>
        <v>0</v>
      </c>
      <c r="N237" s="858">
        <f>'Laminates- copilot'!M83</f>
        <v>1</v>
      </c>
      <c r="O237" s="858" t="str">
        <f>'Laminates- copilot'!O83</f>
        <v>Bastin</v>
      </c>
      <c r="P237" s="858" t="str">
        <f>'Laminates- copilot'!N83</f>
        <v>Europe to US</v>
      </c>
      <c r="Q237" s="858">
        <f t="shared" si="48"/>
        <v>60000</v>
      </c>
      <c r="R237" s="858">
        <f t="shared" si="49"/>
        <v>60000</v>
      </c>
      <c r="S237" s="858">
        <f>IFERROR('Laminates- copilot'!Q83/'Laminates- copilot'!P83*Q237,"")</f>
        <v>1926.9000000000003</v>
      </c>
      <c r="T237" s="203">
        <f>IFERROR('Laminates- copilot'!R83/'Laminates- copilot'!P83*Q237,"")</f>
        <v>27751.22445703714</v>
      </c>
      <c r="U237" s="912">
        <f>IFERROR('Laminates- copilot'!S83/'Laminates- copilot'!P83*Q237,"")</f>
        <v>32191.420370163083</v>
      </c>
      <c r="V237" s="913">
        <f t="shared" si="50"/>
        <v>14.402005530664351</v>
      </c>
      <c r="W237" s="914">
        <f t="shared" si="51"/>
        <v>16.706326415570647</v>
      </c>
      <c r="X237" s="913">
        <f t="shared" si="52"/>
        <v>0.46252040761728569</v>
      </c>
      <c r="Y237" s="913">
        <f t="shared" si="53"/>
        <v>14.402005530664351</v>
      </c>
      <c r="Z237" s="95">
        <f t="shared" si="54"/>
        <v>51897</v>
      </c>
      <c r="AA237" s="50" t="str">
        <f t="shared" si="55"/>
        <v>MOQ OK</v>
      </c>
      <c r="AB237" s="923">
        <f t="shared" si="56"/>
        <v>0.21589297710808711</v>
      </c>
      <c r="AC237" s="924">
        <f t="shared" si="57"/>
        <v>0.25043585344538105</v>
      </c>
      <c r="AD237" s="203">
        <f t="shared" si="58"/>
        <v>43178.595421617421</v>
      </c>
      <c r="AE237" s="912">
        <f t="shared" si="59"/>
        <v>50087.170689076207</v>
      </c>
      <c r="AF237" s="923" cm="1">
        <f t="array" ref="AF237">IF(O237="Quantum",IFERROR(_xlfn.LET(_xlpm.b,_xlfn.SWITCH(LOWER(B237),"zipper bag","Zipper pouch","open bag","Open pouch","sup with zipper","Stand-up pouch","stand-up pouch","Stand-up pouch",B237),_xlpm.w,G237,_xlpm.q,K237,_xlpm.types,'Converting-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missing"),IFERROR(_xlfn.LET(_xlpm.s,O237,_xlpm.b,_xlfn.SWITCH(LOWER(B237),"zipper bag","Zipper pouch","open bag","Open pouch",B237),_xlpm.w,G237,_xlpm.q,K237,_xlpm.src,'Converting-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37" s="923">
        <f>IFERROR(IF(OR(B237="Zipper pouch",B237="SUP with zipper"),HELPER!$DE$2*(AH237+AI237)/K237,HELPER!$DE$2*AH237/K237),"Data is missing")</f>
        <v>1.5171612228518569E-3</v>
      </c>
      <c r="AH237" s="923">
        <f t="shared" si="60"/>
        <v>0.46252040761728569</v>
      </c>
      <c r="AI237" s="923">
        <f>IF(OR(B237="Zipper pouch",B237="SUP with zipper"),HELPER!$DC$2*G237/1000,"")</f>
        <v>4.3199999999999995E-2</v>
      </c>
      <c r="AJ237" s="923" cm="1">
        <f t="array" ref="AJ237">IF(INDEX('Laminates- copilot'!$E$6:$E$257,ROUNDUP((ROW()-5)/3,0))+50&gt;IF(O237="Quantum",760,1220),"Width exceeds supplier maximum",IFERROR(AF237+AG237+N(AI237)+AH237*G237/1000/MAX(1,MIN(MAX(2,INT(900/INDEX('Laminates- copilot'!$E$6:$E$257,ROUNDUP((ROW()-5)/3,0)))),INT((IF(O237="Quantum",760,1220)-50)/INDEX('Laminates- copilot'!$E$6:$E$257,ROUNDUP((ROW()-5)/3,0))))),"Data is missing"))</f>
        <v>0.16191973283106534</v>
      </c>
      <c r="AK237" s="203">
        <f t="shared" si="61"/>
        <v>215.89297710808711</v>
      </c>
      <c r="AL237" t="str">
        <f t="shared" si="62"/>
        <v>PASS</v>
      </c>
      <c r="AM237" s="50" t="str">
        <f t="shared" si="63"/>
        <v/>
      </c>
    </row>
    <row r="238" spans="1:39" hidden="1">
      <c r="A238" t="s">
        <v>1866</v>
      </c>
      <c r="B238" t="s">
        <v>261</v>
      </c>
      <c r="C238" s="50" t="s">
        <v>2210</v>
      </c>
      <c r="D238">
        <f>'Laminates- copilot'!B83</f>
        <v>648</v>
      </c>
      <c r="E238" s="858">
        <f>'Laminates- copilot'!D83</f>
        <v>100</v>
      </c>
      <c r="F238" s="858">
        <v>700</v>
      </c>
      <c r="G238" s="858">
        <v>300</v>
      </c>
      <c r="H238" s="858">
        <v>75</v>
      </c>
      <c r="I238" s="858">
        <v>0</v>
      </c>
      <c r="J238" s="858">
        <v>1550</v>
      </c>
      <c r="K238" s="858">
        <v>200000</v>
      </c>
      <c r="L238" s="858" t="str">
        <f>'Laminates- copilot'!K83</f>
        <v>Not Printed</v>
      </c>
      <c r="M238" s="858" t="str">
        <f>'Laminates- copilot'!L83</f>
        <v>0</v>
      </c>
      <c r="N238" s="858">
        <f>'Laminates- copilot'!M83</f>
        <v>1</v>
      </c>
      <c r="O238" s="858" t="str">
        <f>'Laminates- copilot'!O83</f>
        <v>Bastin</v>
      </c>
      <c r="P238" s="858" t="str">
        <f>'Laminates- copilot'!N83</f>
        <v>Europe to US</v>
      </c>
      <c r="Q238" s="858">
        <f t="shared" si="48"/>
        <v>60000</v>
      </c>
      <c r="R238" s="858">
        <f t="shared" si="49"/>
        <v>60000</v>
      </c>
      <c r="S238" s="858">
        <f>IFERROR('Laminates- copilot'!Q83/'Laminates- copilot'!P83*Q238,"")</f>
        <v>1926.9000000000003</v>
      </c>
      <c r="T238" s="203">
        <f>IFERROR('Laminates- copilot'!R83/'Laminates- copilot'!P83*Q238,"")</f>
        <v>27751.22445703714</v>
      </c>
      <c r="U238" s="912">
        <f>IFERROR('Laminates- copilot'!S83/'Laminates- copilot'!P83*Q238,"")</f>
        <v>32191.420370163083</v>
      </c>
      <c r="V238" s="913">
        <f t="shared" si="50"/>
        <v>14.402005530664351</v>
      </c>
      <c r="W238" s="914">
        <f t="shared" si="51"/>
        <v>16.706326415570647</v>
      </c>
      <c r="X238" s="913">
        <f t="shared" si="52"/>
        <v>0.46252040761728569</v>
      </c>
      <c r="Y238" s="913">
        <f t="shared" si="53"/>
        <v>14.402005530664351</v>
      </c>
      <c r="Z238" s="95">
        <f t="shared" si="54"/>
        <v>51897</v>
      </c>
      <c r="AA238" s="50" t="str">
        <f t="shared" si="55"/>
        <v>MOQ OK</v>
      </c>
      <c r="AB238" s="923">
        <f t="shared" si="56"/>
        <v>0.20829678563815104</v>
      </c>
      <c r="AC238" s="924">
        <f t="shared" si="57"/>
        <v>0.24162427134025519</v>
      </c>
      <c r="AD238" s="203">
        <f t="shared" si="58"/>
        <v>41659.35712763021</v>
      </c>
      <c r="AE238" s="912">
        <f t="shared" si="59"/>
        <v>48324.854268051044</v>
      </c>
      <c r="AF238" s="923" cm="1">
        <f t="array" ref="AF238">IF(O238="Quantum",IFERROR(_xlfn.LET(_xlpm.b,_xlfn.SWITCH(LOWER(B238),"zipper bag","Zipper pouch","open bag","Open pouch","sup with zipper","Stand-up pouch","stand-up pouch","Stand-up pouch",B238),_xlpm.w,G238,_xlpm.q,K238,_xlpm.types,'Converting-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missing"),IFERROR(_xlfn.LET(_xlpm.s,O238,_xlpm.b,_xlfn.SWITCH(LOWER(B238),"zipper bag","Zipper pouch","open bag","Open pouch",B238),_xlpm.w,G238,_xlpm.q,K238,_xlpm.src,'Converting-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38" s="923">
        <f>IFERROR(IF(OR(B238="Zipper pouch",B238="SUP with zipper"),HELPER!$DE$2*(AH238+AI238)/K238,HELPER!$DE$2*AH238/K238),"Data is missing")</f>
        <v>1.5171612228518569E-3</v>
      </c>
      <c r="AH238" s="923">
        <f t="shared" si="60"/>
        <v>0.46252040761728569</v>
      </c>
      <c r="AI238" s="923">
        <f>IF(OR(B238="Zipper pouch",B238="SUP with zipper"),HELPER!$DC$2*G238/1000,"")</f>
        <v>4.3199999999999995E-2</v>
      </c>
      <c r="AJ238" s="923" cm="1">
        <f t="array" ref="AJ238">IF(INDEX('Laminates- copilot'!$E$6:$E$257,ROUNDUP((ROW()-5)/3,0))+50&gt;IF(O238="Quantum",760,1220),"Width exceeds supplier maximum",IFERROR(AF238+AG238+N(AI238)+AH238*G238/1000/MAX(1,MIN(MAX(2,INT(900/INDEX('Laminates- copilot'!$E$6:$E$257,ROUNDUP((ROW()-5)/3,0)))),INT((IF(O238="Quantum",760,1220)-50)/INDEX('Laminates- copilot'!$E$6:$E$257,ROUNDUP((ROW()-5)/3,0))))),"Data is missing"))</f>
        <v>0.15622258922861329</v>
      </c>
      <c r="AK238" s="203">
        <f t="shared" si="61"/>
        <v>208.29678563815105</v>
      </c>
      <c r="AL238" t="str">
        <f t="shared" si="62"/>
        <v>PASS</v>
      </c>
      <c r="AM238" s="50" t="str">
        <f t="shared" si="63"/>
        <v/>
      </c>
    </row>
    <row r="239" spans="1:39" hidden="1">
      <c r="A239" t="s">
        <v>1867</v>
      </c>
      <c r="B239" t="s">
        <v>262</v>
      </c>
      <c r="C239" s="50" t="s">
        <v>2210</v>
      </c>
      <c r="D239">
        <f>'Laminates- copilot'!B83</f>
        <v>648</v>
      </c>
      <c r="E239" s="858">
        <f>'Laminates- copilot'!D83</f>
        <v>100</v>
      </c>
      <c r="F239" s="858">
        <v>700</v>
      </c>
      <c r="G239" s="858">
        <v>300</v>
      </c>
      <c r="H239" s="858">
        <v>0</v>
      </c>
      <c r="I239" s="858">
        <v>0</v>
      </c>
      <c r="J239" s="858">
        <v>1400</v>
      </c>
      <c r="K239" s="858">
        <v>200000</v>
      </c>
      <c r="L239" s="858" t="str">
        <f>'Laminates- copilot'!K83</f>
        <v>Not Printed</v>
      </c>
      <c r="M239" s="858" t="str">
        <f>'Laminates- copilot'!L83</f>
        <v>0</v>
      </c>
      <c r="N239" s="858">
        <f>'Laminates- copilot'!M83</f>
        <v>1</v>
      </c>
      <c r="O239" s="858" t="str">
        <f>'Laminates- copilot'!O83</f>
        <v>Bastin</v>
      </c>
      <c r="P239" s="858" t="str">
        <f>'Laminates- copilot'!N83</f>
        <v>Europe to US</v>
      </c>
      <c r="Q239" s="858">
        <f t="shared" si="48"/>
        <v>60000</v>
      </c>
      <c r="R239" s="858">
        <f t="shared" si="49"/>
        <v>60000</v>
      </c>
      <c r="S239" s="858">
        <f>IFERROR('Laminates- copilot'!Q83/'Laminates- copilot'!P83*Q239,"")</f>
        <v>1926.9000000000003</v>
      </c>
      <c r="T239" s="203">
        <f>IFERROR('Laminates- copilot'!R83/'Laminates- copilot'!P83*Q239,"")</f>
        <v>27751.22445703714</v>
      </c>
      <c r="U239" s="912">
        <f>IFERROR('Laminates- copilot'!S83/'Laminates- copilot'!P83*Q239,"")</f>
        <v>32191.420370163083</v>
      </c>
      <c r="V239" s="913">
        <f t="shared" si="50"/>
        <v>14.402005530664351</v>
      </c>
      <c r="W239" s="914">
        <f t="shared" si="51"/>
        <v>16.706326415570647</v>
      </c>
      <c r="X239" s="913">
        <f t="shared" si="52"/>
        <v>0.46252040761728569</v>
      </c>
      <c r="Y239" s="913">
        <f t="shared" si="53"/>
        <v>14.402005530664351</v>
      </c>
      <c r="Z239" s="95">
        <f t="shared" si="54"/>
        <v>51897</v>
      </c>
      <c r="AA239" s="50" t="str">
        <f t="shared" si="55"/>
        <v>MOQ OK</v>
      </c>
      <c r="AB239" s="923">
        <f t="shared" si="56"/>
        <v>0.14156957654131339</v>
      </c>
      <c r="AC239" s="924">
        <f t="shared" si="57"/>
        <v>0.16422070878792352</v>
      </c>
      <c r="AD239" s="203">
        <f t="shared" si="58"/>
        <v>28313.915308262676</v>
      </c>
      <c r="AE239" s="912">
        <f t="shared" si="59"/>
        <v>32844.141757584701</v>
      </c>
      <c r="AF239" s="923" cm="1">
        <f t="array" ref="AF239">IF(O239="Quantum",IFERROR(_xlfn.LET(_xlpm.b,_xlfn.SWITCH(LOWER(B239),"zipper bag","Zipper pouch","open bag","Open pouch","sup with zipper","Stand-up pouch","stand-up pouch","Stand-up pouch",B239),_xlpm.w,G239,_xlpm.q,K239,_xlpm.types,'Converting-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missing"),IFERROR(_xlfn.LET(_xlpm.s,O239,_xlpm.b,_xlfn.SWITCH(LOWER(B239),"zipper bag","Zipper pouch","open bag","Open pouch",B239),_xlpm.w,G239,_xlpm.q,K239,_xlpm.src,'Converting-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39" s="923">
        <f>IFERROR(IF(OR(B239="Zipper pouch",B239="SUP with zipper"),HELPER!$DE$2*(AH239+AI239)/K239,HELPER!$DE$2*AH239/K239),"Data is missing")</f>
        <v>1.387561222851857E-3</v>
      </c>
      <c r="AH239" s="923">
        <f t="shared" si="60"/>
        <v>0.46252040761728569</v>
      </c>
      <c r="AI239" s="923" t="str">
        <f>IF(OR(B239="Zipper pouch",B239="SUP with zipper"),HELPER!$DC$2*G239/1000,"")</f>
        <v/>
      </c>
      <c r="AJ239" s="923" cm="1">
        <f t="array" ref="AJ239">IF(INDEX('Laminates- copilot'!$E$6:$E$257,ROUNDUP((ROW()-5)/3,0))+50&gt;IF(O239="Quantum",760,1220),"Width exceeds supplier maximum",IFERROR(AF239+AG239+N(AI239)+AH239*G239/1000/MAX(1,MIN(MAX(2,INT(900/INDEX('Laminates- copilot'!$E$6:$E$257,ROUNDUP((ROW()-5)/3,0)))),INT((IF(O239="Quantum",760,1220)-50)/INDEX('Laminates- copilot'!$E$6:$E$257,ROUNDUP((ROW()-5)/3,0))))),"Data is missing"))</f>
        <v>0.10617718240598503</v>
      </c>
      <c r="AK239" s="203">
        <f t="shared" si="61"/>
        <v>141.56957654131338</v>
      </c>
      <c r="AL239" t="str">
        <f t="shared" si="62"/>
        <v>PASS</v>
      </c>
      <c r="AM239" s="50" t="str">
        <f t="shared" si="63"/>
        <v/>
      </c>
    </row>
    <row r="240" spans="1:39" hidden="1">
      <c r="A240" t="s">
        <v>1868</v>
      </c>
      <c r="B240" t="s">
        <v>251</v>
      </c>
      <c r="C240" s="50" t="s">
        <v>1626</v>
      </c>
      <c r="D240">
        <f>'Laminates- copilot'!B84</f>
        <v>648</v>
      </c>
      <c r="E240" s="858">
        <f>'Laminates- copilot'!D84</f>
        <v>63</v>
      </c>
      <c r="F240" s="858">
        <v>250</v>
      </c>
      <c r="G240" s="858">
        <v>400</v>
      </c>
      <c r="H240" s="858">
        <v>50</v>
      </c>
      <c r="I240" s="858">
        <v>0</v>
      </c>
      <c r="J240" s="858">
        <v>600</v>
      </c>
      <c r="K240" s="858">
        <v>1000000</v>
      </c>
      <c r="L240" s="858" t="str">
        <f>'Laminates- copilot'!K84</f>
        <v>Printed</v>
      </c>
      <c r="M240" s="858" t="str">
        <f>'Laminates- copilot'!L84</f>
        <v>3-4</v>
      </c>
      <c r="N240" s="858">
        <f>'Laminates- copilot'!M84</f>
        <v>4</v>
      </c>
      <c r="O240" s="858" t="str">
        <f>'Laminates- copilot'!O84</f>
        <v>Marma</v>
      </c>
      <c r="P240" s="858" t="str">
        <f>'Laminates- copilot'!N84</f>
        <v>Europe to Europe</v>
      </c>
      <c r="Q240" s="858">
        <f t="shared" si="48"/>
        <v>400000</v>
      </c>
      <c r="R240" s="858">
        <f t="shared" si="49"/>
        <v>400000</v>
      </c>
      <c r="S240" s="858">
        <f>IFERROR('Laminates- copilot'!Q84/'Laminates- copilot'!P84*Q240,"")</f>
        <v>19670.399999999998</v>
      </c>
      <c r="T240" s="203">
        <f>IFERROR('Laminates- copilot'!R84/'Laminates- copilot'!P84*Q240,"")</f>
        <v>352862.61448999995</v>
      </c>
      <c r="U240" s="912">
        <f>IFERROR('Laminates- copilot'!S84/'Laminates- copilot'!P84*Q240,"")</f>
        <v>409320.63280839997</v>
      </c>
      <c r="V240" s="913">
        <f t="shared" si="50"/>
        <v>17.938761514254921</v>
      </c>
      <c r="W240" s="914">
        <f t="shared" si="51"/>
        <v>20.80896335653571</v>
      </c>
      <c r="X240" s="913">
        <f t="shared" si="52"/>
        <v>0.8821565362249999</v>
      </c>
      <c r="Y240" s="913">
        <f t="shared" si="53"/>
        <v>17.938761514254921</v>
      </c>
      <c r="Z240" s="95">
        <f t="shared" si="54"/>
        <v>25419</v>
      </c>
      <c r="AA240" s="50" t="str">
        <f t="shared" si="55"/>
        <v>MOQ OK</v>
      </c>
      <c r="AB240" s="923">
        <f t="shared" si="56"/>
        <v>0.64616262079663478</v>
      </c>
      <c r="AC240" s="924">
        <f t="shared" si="57"/>
        <v>0.74954864012409628</v>
      </c>
      <c r="AD240" s="203">
        <f t="shared" si="58"/>
        <v>646162.62079663482</v>
      </c>
      <c r="AE240" s="912">
        <f t="shared" si="59"/>
        <v>749548.6401240963</v>
      </c>
      <c r="AF240" s="923" cm="1">
        <f t="array" ref="AF240">IF(O240="Quantum",IFERROR(_xlfn.LET(_xlpm.b,_xlfn.SWITCH(LOWER(B240),"zipper bag","Zipper pouch","open bag","Open pouch","sup with zipper","Stand-up pouch","stand-up pouch","Stand-up pouch",B240),_xlpm.w,G240,_xlpm.q,K240,_xlpm.types,'Converting-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missing"),IFERROR(_xlfn.LET(_xlpm.s,O240,_xlpm.b,_xlfn.SWITCH(LOWER(B240),"zipper bag","Zipper pouch","open bag","Open pouch",B240),_xlpm.w,G240,_xlpm.q,K240,_xlpm.src,'Converting-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240" s="923">
        <f>IFERROR(IF(OR(B240="Zipper pouch",B240="SUP with zipper"),HELPER!$DE$2*(AH240+AI240)/K240,HELPER!$DE$2*AH240/K240),"Data is missing")</f>
        <v>5.6385392173499997E-4</v>
      </c>
      <c r="AH240" s="923">
        <f t="shared" si="60"/>
        <v>0.8821565362249999</v>
      </c>
      <c r="AI240" s="923">
        <f>IF(OR(B240="Zipper pouch",B240="SUP with zipper"),HELPER!$DC$2*G240/1000,"")</f>
        <v>5.7599999999999991E-2</v>
      </c>
      <c r="AJ240" s="923" cm="1">
        <f t="array" ref="AJ240">IF(INDEX('Laminates- copilot'!$E$6:$E$257,ROUNDUP((ROW()-5)/3,0))+50&gt;IF(O240="Quantum",760,1220),"Width exceeds supplier maximum",IFERROR(AF240+AG240+N(AI240)+AH240*G240/1000/MAX(1,MIN(MAX(2,INT(900/INDEX('Laminates- copilot'!$E$6:$E$257,ROUNDUP((ROW()-5)/3,0)))),INT((IF(O240="Quantum",760,1220)-50)/INDEX('Laminates- copilot'!$E$6:$E$257,ROUNDUP((ROW()-5)/3,0))))),"Data is missing"))</f>
        <v>0.48462196559747606</v>
      </c>
      <c r="AK240" s="203">
        <f t="shared" si="61"/>
        <v>646.16262079663477</v>
      </c>
      <c r="AL240" t="str">
        <f t="shared" si="62"/>
        <v>PASS</v>
      </c>
      <c r="AM240" s="50" t="str">
        <f t="shared" si="63"/>
        <v/>
      </c>
    </row>
    <row r="241" spans="1:39" hidden="1">
      <c r="A241" t="s">
        <v>1869</v>
      </c>
      <c r="B241" t="s">
        <v>261</v>
      </c>
      <c r="C241" s="50" t="s">
        <v>1626</v>
      </c>
      <c r="D241">
        <f>'Laminates- copilot'!B84</f>
        <v>648</v>
      </c>
      <c r="E241" s="858">
        <f>'Laminates- copilot'!D84</f>
        <v>63</v>
      </c>
      <c r="F241" s="858">
        <v>250</v>
      </c>
      <c r="G241" s="858">
        <v>400</v>
      </c>
      <c r="H241" s="858">
        <v>50</v>
      </c>
      <c r="I241" s="858">
        <v>0</v>
      </c>
      <c r="J241" s="858">
        <v>600</v>
      </c>
      <c r="K241" s="858">
        <v>1000000</v>
      </c>
      <c r="L241" s="858" t="str">
        <f>'Laminates- copilot'!K84</f>
        <v>Printed</v>
      </c>
      <c r="M241" s="858" t="str">
        <f>'Laminates- copilot'!L84</f>
        <v>3-4</v>
      </c>
      <c r="N241" s="858">
        <f>'Laminates- copilot'!M84</f>
        <v>4</v>
      </c>
      <c r="O241" s="858" t="str">
        <f>'Laminates- copilot'!O84</f>
        <v>Marma</v>
      </c>
      <c r="P241" s="858" t="str">
        <f>'Laminates- copilot'!N84</f>
        <v>Europe to Europe</v>
      </c>
      <c r="Q241" s="858">
        <f t="shared" si="48"/>
        <v>400000</v>
      </c>
      <c r="R241" s="858">
        <f t="shared" si="49"/>
        <v>400000</v>
      </c>
      <c r="S241" s="858">
        <f>IFERROR('Laminates- copilot'!Q84/'Laminates- copilot'!P84*Q241,"")</f>
        <v>19670.399999999998</v>
      </c>
      <c r="T241" s="203">
        <f>IFERROR('Laminates- copilot'!R84/'Laminates- copilot'!P84*Q241,"")</f>
        <v>352862.61448999995</v>
      </c>
      <c r="U241" s="912">
        <f>IFERROR('Laminates- copilot'!S84/'Laminates- copilot'!P84*Q241,"")</f>
        <v>409320.63280839997</v>
      </c>
      <c r="V241" s="913">
        <f t="shared" si="50"/>
        <v>17.938761514254921</v>
      </c>
      <c r="W241" s="914">
        <f t="shared" si="51"/>
        <v>20.80896335653571</v>
      </c>
      <c r="X241" s="913">
        <f t="shared" si="52"/>
        <v>0.8821565362249999</v>
      </c>
      <c r="Y241" s="913">
        <f t="shared" si="53"/>
        <v>17.938761514254921</v>
      </c>
      <c r="Z241" s="95">
        <f t="shared" si="54"/>
        <v>25419</v>
      </c>
      <c r="AA241" s="50" t="str">
        <f t="shared" si="55"/>
        <v>MOQ OK</v>
      </c>
      <c r="AB241" s="923">
        <f t="shared" si="56"/>
        <v>0.63852148144817822</v>
      </c>
      <c r="AC241" s="924">
        <f t="shared" si="57"/>
        <v>0.74068491847988671</v>
      </c>
      <c r="AD241" s="203">
        <f t="shared" si="58"/>
        <v>638521.48144817818</v>
      </c>
      <c r="AE241" s="912">
        <f t="shared" si="59"/>
        <v>740684.9184798866</v>
      </c>
      <c r="AF241" s="923" cm="1">
        <f t="array" ref="AF241">IF(O241="Quantum",IFERROR(_xlfn.LET(_xlpm.b,_xlfn.SWITCH(LOWER(B241),"zipper bag","Zipper pouch","open bag","Open pouch","sup with zipper","Stand-up pouch","stand-up pouch","Stand-up pouch",B241),_xlpm.w,G241,_xlpm.q,K241,_xlpm.types,'Converting-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missing"),IFERROR(_xlfn.LET(_xlpm.s,O241,_xlpm.b,_xlfn.SWITCH(LOWER(B241),"zipper bag","Zipper pouch","open bag","Open pouch",B241),_xlpm.w,G241,_xlpm.q,K241,_xlpm.src,'Converting-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241" s="923">
        <f>IFERROR(IF(OR(B241="Zipper pouch",B241="SUP with zipper"),HELPER!$DE$2*(AH241+AI241)/K241,HELPER!$DE$2*AH241/K241),"Data is missing")</f>
        <v>5.6385392173499997E-4</v>
      </c>
      <c r="AH241" s="923">
        <f t="shared" si="60"/>
        <v>0.8821565362249999</v>
      </c>
      <c r="AI241" s="923">
        <f>IF(OR(B241="Zipper pouch",B241="SUP with zipper"),HELPER!$DC$2*G241/1000,"")</f>
        <v>5.7599999999999991E-2</v>
      </c>
      <c r="AJ241" s="923" cm="1">
        <f t="array" ref="AJ241">IF(INDEX('Laminates- copilot'!$E$6:$E$257,ROUNDUP((ROW()-5)/3,0))+50&gt;IF(O241="Quantum",760,1220),"Width exceeds supplier maximum",IFERROR(AF241+AG241+N(AI241)+AH241*G241/1000/MAX(1,MIN(MAX(2,INT(900/INDEX('Laminates- copilot'!$E$6:$E$257,ROUNDUP((ROW()-5)/3,0)))),INT((IF(O241="Quantum",760,1220)-50)/INDEX('Laminates- copilot'!$E$6:$E$257,ROUNDUP((ROW()-5)/3,0))))),"Data is missing"))</f>
        <v>0.47889111108613369</v>
      </c>
      <c r="AK241" s="203">
        <f t="shared" si="61"/>
        <v>638.52148144817818</v>
      </c>
      <c r="AL241" t="str">
        <f t="shared" si="62"/>
        <v>PASS</v>
      </c>
      <c r="AM241" s="50" t="str">
        <f t="shared" si="63"/>
        <v/>
      </c>
    </row>
    <row r="242" spans="1:39" hidden="1">
      <c r="A242" t="s">
        <v>1870</v>
      </c>
      <c r="B242" t="s">
        <v>262</v>
      </c>
      <c r="C242" s="50" t="s">
        <v>1626</v>
      </c>
      <c r="D242">
        <f>'Laminates- copilot'!B84</f>
        <v>648</v>
      </c>
      <c r="E242" s="858">
        <f>'Laminates- copilot'!D84</f>
        <v>63</v>
      </c>
      <c r="F242" s="858">
        <v>250</v>
      </c>
      <c r="G242" s="858">
        <v>400</v>
      </c>
      <c r="H242" s="858">
        <v>0</v>
      </c>
      <c r="I242" s="858">
        <v>15</v>
      </c>
      <c r="J242" s="858">
        <v>515</v>
      </c>
      <c r="K242" s="858">
        <v>1000000</v>
      </c>
      <c r="L242" s="858" t="str">
        <f>'Laminates- copilot'!K84</f>
        <v>Printed</v>
      </c>
      <c r="M242" s="858" t="str">
        <f>'Laminates- copilot'!L84</f>
        <v>3-4</v>
      </c>
      <c r="N242" s="858">
        <f>'Laminates- copilot'!M84</f>
        <v>4</v>
      </c>
      <c r="O242" s="858" t="str">
        <f>'Laminates- copilot'!O84</f>
        <v>Marma</v>
      </c>
      <c r="P242" s="858" t="str">
        <f>'Laminates- copilot'!N84</f>
        <v>Europe to Europe</v>
      </c>
      <c r="Q242" s="858">
        <f t="shared" si="48"/>
        <v>400000</v>
      </c>
      <c r="R242" s="858">
        <f t="shared" si="49"/>
        <v>400000</v>
      </c>
      <c r="S242" s="858">
        <f>IFERROR('Laminates- copilot'!Q84/'Laminates- copilot'!P84*Q242,"")</f>
        <v>19670.399999999998</v>
      </c>
      <c r="T242" s="203">
        <f>IFERROR('Laminates- copilot'!R84/'Laminates- copilot'!P84*Q242,"")</f>
        <v>352862.61448999995</v>
      </c>
      <c r="U242" s="912">
        <f>IFERROR('Laminates- copilot'!S84/'Laminates- copilot'!P84*Q242,"")</f>
        <v>409320.63280839997</v>
      </c>
      <c r="V242" s="913">
        <f t="shared" si="50"/>
        <v>17.938761514254921</v>
      </c>
      <c r="W242" s="914">
        <f t="shared" si="51"/>
        <v>20.80896335653571</v>
      </c>
      <c r="X242" s="913">
        <f t="shared" si="52"/>
        <v>0.8821565362249999</v>
      </c>
      <c r="Y242" s="913">
        <f t="shared" si="53"/>
        <v>17.938761514254921</v>
      </c>
      <c r="Z242" s="95">
        <f t="shared" si="54"/>
        <v>25419</v>
      </c>
      <c r="AA242" s="50" t="str">
        <f t="shared" si="55"/>
        <v>MOQ OK</v>
      </c>
      <c r="AB242" s="923">
        <f t="shared" si="56"/>
        <v>0.55157694115016143</v>
      </c>
      <c r="AC242" s="924">
        <f t="shared" si="57"/>
        <v>0.63982925173418725</v>
      </c>
      <c r="AD242" s="203">
        <f t="shared" si="58"/>
        <v>551576.94115016144</v>
      </c>
      <c r="AE242" s="912">
        <f t="shared" si="59"/>
        <v>639829.25173418724</v>
      </c>
      <c r="AF242" s="923" cm="1">
        <f t="array" ref="AF242">IF(O242="Quantum",IFERROR(_xlfn.LET(_xlpm.b,_xlfn.SWITCH(LOWER(B242),"zipper bag","Zipper pouch","open bag","Open pouch","sup with zipper","Stand-up pouch","stand-up pouch","Stand-up pouch",B242),_xlpm.w,G242,_xlpm.q,K242,_xlpm.types,'Converting-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missing"),IFERROR(_xlfn.LET(_xlpm.s,O242,_xlpm.b,_xlfn.SWITCH(LOWER(B242),"zipper bag","Zipper pouch","open bag","Open pouch",B242),_xlpm.w,G242,_xlpm.q,K242,_xlpm.src,'Converting-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242" s="923">
        <f>IFERROR(IF(OR(B242="Zipper pouch",B242="SUP with zipper"),HELPER!$DE$2*(AH242+AI242)/K242,HELPER!$DE$2*AH242/K242),"Data is missing")</f>
        <v>5.2929392173499987E-4</v>
      </c>
      <c r="AH242" s="923">
        <f t="shared" si="60"/>
        <v>0.8821565362249999</v>
      </c>
      <c r="AI242" s="923" t="str">
        <f>IF(OR(B242="Zipper pouch",B242="SUP with zipper"),HELPER!$DC$2*G242/1000,"")</f>
        <v/>
      </c>
      <c r="AJ242" s="923" cm="1">
        <f t="array" ref="AJ242">IF(INDEX('Laminates- copilot'!$E$6:$E$257,ROUNDUP((ROW()-5)/3,0))+50&gt;IF(O242="Quantum",760,1220),"Width exceeds supplier maximum",IFERROR(AF242+AG242+N(AI242)+AH242*G242/1000/MAX(1,MIN(MAX(2,INT(900/INDEX('Laminates- copilot'!$E$6:$E$257,ROUNDUP((ROW()-5)/3,0)))),INT((IF(O242="Quantum",760,1220)-50)/INDEX('Laminates- copilot'!$E$6:$E$257,ROUNDUP((ROW()-5)/3,0))))),"Data is missing"))</f>
        <v>0.41368270586262107</v>
      </c>
      <c r="AK242" s="203">
        <f t="shared" si="61"/>
        <v>551.57694115016147</v>
      </c>
      <c r="AL242" t="str">
        <f t="shared" si="62"/>
        <v>PASS</v>
      </c>
      <c r="AM242" s="50" t="str">
        <f t="shared" si="63"/>
        <v/>
      </c>
    </row>
    <row r="243" spans="1:39" hidden="1">
      <c r="A243" t="s">
        <v>1871</v>
      </c>
      <c r="B243" t="s">
        <v>251</v>
      </c>
      <c r="C243" s="50" t="s">
        <v>1627</v>
      </c>
      <c r="D243">
        <f>'Laminates- copilot'!B85</f>
        <v>648</v>
      </c>
      <c r="E243" s="858">
        <f>'Laminates- copilot'!D85</f>
        <v>53</v>
      </c>
      <c r="F243" s="858">
        <v>350</v>
      </c>
      <c r="G243" s="858">
        <v>500</v>
      </c>
      <c r="H243" s="858">
        <v>100</v>
      </c>
      <c r="I243" s="858">
        <v>0</v>
      </c>
      <c r="J243" s="858">
        <v>900</v>
      </c>
      <c r="K243" s="858">
        <v>1600000</v>
      </c>
      <c r="L243" s="858" t="str">
        <f>'Laminates- copilot'!K85</f>
        <v>Printed</v>
      </c>
      <c r="M243" s="858" t="str">
        <f>'Laminates- copilot'!L85</f>
        <v>1-2</v>
      </c>
      <c r="N243" s="858">
        <f>'Laminates- copilot'!M85</f>
        <v>2</v>
      </c>
      <c r="O243" s="858" t="str">
        <f>'Laminates- copilot'!O85</f>
        <v>Quantum</v>
      </c>
      <c r="P243" s="858" t="str">
        <f>'Laminates- copilot'!N85</f>
        <v>Europe to Europe</v>
      </c>
      <c r="Q243" s="858">
        <f t="shared" si="48"/>
        <v>800000</v>
      </c>
      <c r="R243" s="858">
        <f t="shared" si="49"/>
        <v>800000</v>
      </c>
      <c r="S243" s="858">
        <f>IFERROR('Laminates- copilot'!Q85/'Laminates- copilot'!P85*Q243,"")</f>
        <v>25185.600000000002</v>
      </c>
      <c r="T243" s="203">
        <f>IFERROR('Laminates- copilot'!R85/'Laminates- copilot'!P85*Q243,"")</f>
        <v>904625.15861739998</v>
      </c>
      <c r="U243" s="912">
        <f>IFERROR('Laminates- copilot'!S85/'Laminates- copilot'!P85*Q243,"")</f>
        <v>1049365.1839961838</v>
      </c>
      <c r="V243" s="913">
        <f t="shared" si="50"/>
        <v>35.918348525244582</v>
      </c>
      <c r="W243" s="914">
        <f t="shared" si="51"/>
        <v>41.665284289283704</v>
      </c>
      <c r="X243" s="913">
        <f t="shared" si="52"/>
        <v>1.13078144827175</v>
      </c>
      <c r="Y243" s="913">
        <f t="shared" si="53"/>
        <v>35.918348525244582</v>
      </c>
      <c r="Z243" s="95">
        <f t="shared" si="54"/>
        <v>31765</v>
      </c>
      <c r="AA243" s="50" t="str">
        <f t="shared" si="55"/>
        <v>MOQ OK</v>
      </c>
      <c r="AB243" s="923">
        <f t="shared" si="56"/>
        <v>1.2059062359037416</v>
      </c>
      <c r="AC243" s="924">
        <f t="shared" si="57"/>
        <v>1.3988512336483401</v>
      </c>
      <c r="AD243" s="203">
        <f t="shared" si="58"/>
        <v>1929449.9774459866</v>
      </c>
      <c r="AE243" s="912">
        <f t="shared" si="59"/>
        <v>2238161.9738373444</v>
      </c>
      <c r="AF243" s="923" cm="1">
        <f t="array" ref="AF243">IF(O243="Quantum",IFERROR(_xlfn.LET(_xlpm.b,_xlfn.SWITCH(LOWER(B243),"zipper bag","Zipper pouch","open bag","Open pouch","sup with zipper","Stand-up pouch","stand-up pouch","Stand-up pouch",B243),_xlpm.w,G243,_xlpm.q,K243,_xlpm.types,'Converting-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missing"),IFERROR(_xlfn.LET(_xlpm.s,O243,_xlpm.b,_xlfn.SWITCH(LOWER(B243),"zipper bag","Zipper pouch","open bag","Open pouch",B243),_xlpm.w,G243,_xlpm.q,K243,_xlpm.src,'Converting-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243" s="923">
        <f>IFERROR(IF(OR(B243="Zipper pouch",B243="SUP with zipper"),HELPER!$DE$2*(AH243+AI243)/K243,HELPER!$DE$2*AH243/K243),"Data is missing")</f>
        <v>4.5104304310190625E-4</v>
      </c>
      <c r="AH243" s="923">
        <f t="shared" si="60"/>
        <v>1.13078144827175</v>
      </c>
      <c r="AI243" s="923">
        <f>IF(OR(B243="Zipper pouch",B243="SUP with zipper"),HELPER!$DC$2*G243/1000,"")</f>
        <v>7.1999999999999995E-2</v>
      </c>
      <c r="AJ243" s="923" cm="1">
        <f t="array" ref="AJ243">IF(INDEX('Laminates- copilot'!$E$6:$E$257,ROUNDUP((ROW()-5)/3,0))+50&gt;IF(O243="Quantum",760,1220),"Width exceeds supplier maximum",IFERROR(AF243+AG243+N(AI243)+AH243*G243/1000/MAX(1,MIN(MAX(2,INT(900/INDEX('Laminates- copilot'!$E$6:$E$257,ROUNDUP((ROW()-5)/3,0)))),INT((IF(O243="Quantum",760,1220)-50)/INDEX('Laminates- copilot'!$E$6:$E$257,ROUNDUP((ROW()-5)/3,0))))),"Data is missing"))</f>
        <v>0.90442967692780618</v>
      </c>
      <c r="AK243" s="203">
        <f t="shared" si="61"/>
        <v>1205.9062359037416</v>
      </c>
      <c r="AL243" t="str">
        <f t="shared" si="62"/>
        <v>PASS</v>
      </c>
      <c r="AM243" s="50" t="str">
        <f t="shared" si="63"/>
        <v/>
      </c>
    </row>
    <row r="244" spans="1:39" hidden="1">
      <c r="A244" t="s">
        <v>1872</v>
      </c>
      <c r="B244" t="s">
        <v>261</v>
      </c>
      <c r="C244" s="50" t="s">
        <v>1627</v>
      </c>
      <c r="D244">
        <f>'Laminates- copilot'!B85</f>
        <v>648</v>
      </c>
      <c r="E244" s="858">
        <f>'Laminates- copilot'!D85</f>
        <v>53</v>
      </c>
      <c r="F244" s="858">
        <v>350</v>
      </c>
      <c r="G244" s="858">
        <v>500</v>
      </c>
      <c r="H244" s="858">
        <v>100</v>
      </c>
      <c r="I244" s="858">
        <v>0</v>
      </c>
      <c r="J244" s="858">
        <v>900</v>
      </c>
      <c r="K244" s="858">
        <v>1600000</v>
      </c>
      <c r="L244" s="858" t="str">
        <f>'Laminates- copilot'!K85</f>
        <v>Printed</v>
      </c>
      <c r="M244" s="858" t="str">
        <f>'Laminates- copilot'!L85</f>
        <v>1-2</v>
      </c>
      <c r="N244" s="858">
        <f>'Laminates- copilot'!M85</f>
        <v>2</v>
      </c>
      <c r="O244" s="858" t="str">
        <f>'Laminates- copilot'!O85</f>
        <v>Quantum</v>
      </c>
      <c r="P244" s="858" t="str">
        <f>'Laminates- copilot'!N85</f>
        <v>Europe to Europe</v>
      </c>
      <c r="Q244" s="858">
        <f t="shared" si="48"/>
        <v>800000</v>
      </c>
      <c r="R244" s="858">
        <f t="shared" si="49"/>
        <v>800000</v>
      </c>
      <c r="S244" s="858">
        <f>IFERROR('Laminates- copilot'!Q85/'Laminates- copilot'!P85*Q244,"")</f>
        <v>25185.600000000002</v>
      </c>
      <c r="T244" s="203">
        <f>IFERROR('Laminates- copilot'!R85/'Laminates- copilot'!P85*Q244,"")</f>
        <v>904625.15861739998</v>
      </c>
      <c r="U244" s="912">
        <f>IFERROR('Laminates- copilot'!S85/'Laminates- copilot'!P85*Q244,"")</f>
        <v>1049365.1839961838</v>
      </c>
      <c r="V244" s="913">
        <f t="shared" si="50"/>
        <v>35.918348525244582</v>
      </c>
      <c r="W244" s="914">
        <f t="shared" si="51"/>
        <v>41.665284289283704</v>
      </c>
      <c r="X244" s="913">
        <f t="shared" si="52"/>
        <v>1.13078144827175</v>
      </c>
      <c r="Y244" s="913">
        <f t="shared" si="53"/>
        <v>35.918348525244582</v>
      </c>
      <c r="Z244" s="95">
        <f t="shared" si="54"/>
        <v>31765</v>
      </c>
      <c r="AA244" s="50" t="str">
        <f t="shared" si="55"/>
        <v>MOQ OK</v>
      </c>
      <c r="AB244" s="923">
        <f t="shared" si="56"/>
        <v>1.1664883591082573</v>
      </c>
      <c r="AC244" s="924">
        <f t="shared" si="57"/>
        <v>1.3531264965655785</v>
      </c>
      <c r="AD244" s="203">
        <f t="shared" si="58"/>
        <v>1866381.3745732117</v>
      </c>
      <c r="AE244" s="912">
        <f t="shared" si="59"/>
        <v>2165002.3945049252</v>
      </c>
      <c r="AF244" s="923" cm="1">
        <f t="array" ref="AF244">IF(O244="Quantum",IFERROR(_xlfn.LET(_xlpm.b,_xlfn.SWITCH(LOWER(B244),"zipper bag","Zipper pouch","open bag","Open pouch","sup with zipper","Stand-up pouch","stand-up pouch","Stand-up pouch",B244),_xlpm.w,G244,_xlpm.q,K244,_xlpm.types,'Converting-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missing"),IFERROR(_xlfn.LET(_xlpm.s,O244,_xlpm.b,_xlfn.SWITCH(LOWER(B244),"zipper bag","Zipper pouch","open bag","Open pouch",B244),_xlpm.w,G244,_xlpm.q,K244,_xlpm.src,'Converting-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244" s="923">
        <f>IFERROR(IF(OR(B244="Zipper pouch",B244="SUP with zipper"),HELPER!$DE$2*(AH244+AI244)/K244,HELPER!$DE$2*AH244/K244),"Data is missing")</f>
        <v>4.5104304310190625E-4</v>
      </c>
      <c r="AH244" s="923">
        <f t="shared" si="60"/>
        <v>1.13078144827175</v>
      </c>
      <c r="AI244" s="923">
        <f>IF(OR(B244="Zipper pouch",B244="SUP with zipper"),HELPER!$DC$2*G244/1000,"")</f>
        <v>7.1999999999999995E-2</v>
      </c>
      <c r="AJ244" s="923" cm="1">
        <f t="array" ref="AJ244">IF(INDEX('Laminates- copilot'!$E$6:$E$257,ROUNDUP((ROW()-5)/3,0))+50&gt;IF(O244="Quantum",760,1220),"Width exceeds supplier maximum",IFERROR(AF244+AG244+N(AI244)+AH244*G244/1000/MAX(1,MIN(MAX(2,INT(900/INDEX('Laminates- copilot'!$E$6:$E$257,ROUNDUP((ROW()-5)/3,0)))),INT((IF(O244="Quantum",760,1220)-50)/INDEX('Laminates- copilot'!$E$6:$E$257,ROUNDUP((ROW()-5)/3,0))))),"Data is missing"))</f>
        <v>0.87486626933119305</v>
      </c>
      <c r="AK244" s="203">
        <f t="shared" si="61"/>
        <v>1166.4883591082573</v>
      </c>
      <c r="AL244" t="str">
        <f t="shared" si="62"/>
        <v>PASS</v>
      </c>
      <c r="AM244" s="50" t="str">
        <f t="shared" si="63"/>
        <v/>
      </c>
    </row>
    <row r="245" spans="1:39" hidden="1">
      <c r="A245" t="s">
        <v>1873</v>
      </c>
      <c r="B245" t="s">
        <v>262</v>
      </c>
      <c r="C245" s="50" t="s">
        <v>1627</v>
      </c>
      <c r="D245">
        <f>'Laminates- copilot'!B85</f>
        <v>648</v>
      </c>
      <c r="E245" s="858">
        <f>'Laminates- copilot'!D85</f>
        <v>53</v>
      </c>
      <c r="F245" s="858">
        <v>350</v>
      </c>
      <c r="G245" s="858">
        <v>500</v>
      </c>
      <c r="H245" s="858">
        <v>0</v>
      </c>
      <c r="I245" s="858">
        <v>25</v>
      </c>
      <c r="J245" s="858">
        <v>725</v>
      </c>
      <c r="K245" s="858">
        <v>1600000</v>
      </c>
      <c r="L245" s="858" t="str">
        <f>'Laminates- copilot'!K85</f>
        <v>Printed</v>
      </c>
      <c r="M245" s="858" t="str">
        <f>'Laminates- copilot'!L85</f>
        <v>1-2</v>
      </c>
      <c r="N245" s="858">
        <f>'Laminates- copilot'!M85</f>
        <v>2</v>
      </c>
      <c r="O245" s="858" t="str">
        <f>'Laminates- copilot'!O85</f>
        <v>Quantum</v>
      </c>
      <c r="P245" s="858" t="str">
        <f>'Laminates- copilot'!N85</f>
        <v>Europe to Europe</v>
      </c>
      <c r="Q245" s="858">
        <f t="shared" si="48"/>
        <v>800000</v>
      </c>
      <c r="R245" s="858">
        <f t="shared" si="49"/>
        <v>800000</v>
      </c>
      <c r="S245" s="858">
        <f>IFERROR('Laminates- copilot'!Q85/'Laminates- copilot'!P85*Q245,"")</f>
        <v>25185.600000000002</v>
      </c>
      <c r="T245" s="203">
        <f>IFERROR('Laminates- copilot'!R85/'Laminates- copilot'!P85*Q245,"")</f>
        <v>904625.15861739998</v>
      </c>
      <c r="U245" s="912">
        <f>IFERROR('Laminates- copilot'!S85/'Laminates- copilot'!P85*Q245,"")</f>
        <v>1049365.1839961838</v>
      </c>
      <c r="V245" s="913">
        <f t="shared" si="50"/>
        <v>35.918348525244582</v>
      </c>
      <c r="W245" s="914">
        <f t="shared" si="51"/>
        <v>41.665284289283704</v>
      </c>
      <c r="X245" s="913">
        <f t="shared" si="52"/>
        <v>1.13078144827175</v>
      </c>
      <c r="Y245" s="913">
        <f t="shared" si="53"/>
        <v>35.918348525244582</v>
      </c>
      <c r="Z245" s="95">
        <f t="shared" si="54"/>
        <v>31765</v>
      </c>
      <c r="AA245" s="50" t="str">
        <f t="shared" si="55"/>
        <v>MOQ OK</v>
      </c>
      <c r="AB245" s="923">
        <f t="shared" si="56"/>
        <v>1.0386881726143986</v>
      </c>
      <c r="AC245" s="924">
        <f t="shared" si="57"/>
        <v>1.2048782802327023</v>
      </c>
      <c r="AD245" s="203">
        <f t="shared" si="58"/>
        <v>1661901.0761830378</v>
      </c>
      <c r="AE245" s="912">
        <f t="shared" si="59"/>
        <v>1927805.2483723238</v>
      </c>
      <c r="AF245" s="923" cm="1">
        <f t="array" ref="AF245">IF(O245="Quantum",IFERROR(_xlfn.LET(_xlpm.b,_xlfn.SWITCH(LOWER(B245),"zipper bag","Zipper pouch","open bag","Open pouch","sup with zipper","Stand-up pouch","stand-up pouch","Stand-up pouch",B245),_xlpm.w,G245,_xlpm.q,K245,_xlpm.types,'Converting-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missing"),IFERROR(_xlfn.LET(_xlpm.s,O245,_xlpm.b,_xlfn.SWITCH(LOWER(B245),"zipper bag","Zipper pouch","open bag","Open pouch",B245),_xlpm.w,G245,_xlpm.q,K245,_xlpm.src,'Converting-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245" s="923">
        <f>IFERROR(IF(OR(B245="Zipper pouch",B245="SUP with zipper"),HELPER!$DE$2*(AH245+AI245)/K245,HELPER!$DE$2*AH245/K245),"Data is missing")</f>
        <v>4.2404304310190625E-4</v>
      </c>
      <c r="AH245" s="923">
        <f t="shared" si="60"/>
        <v>1.13078144827175</v>
      </c>
      <c r="AI245" s="923" t="str">
        <f>IF(OR(B245="Zipper pouch",B245="SUP with zipper"),HELPER!$DC$2*G245/1000,"")</f>
        <v/>
      </c>
      <c r="AJ245" s="923" cm="1">
        <f t="array" ref="AJ245">IF(INDEX('Laminates- copilot'!$E$6:$E$257,ROUNDUP((ROW()-5)/3,0))+50&gt;IF(O245="Quantum",760,1220),"Width exceeds supplier maximum",IFERROR(AF245+AG245+N(AI245)+AH245*G245/1000/MAX(1,MIN(MAX(2,INT(900/INDEX('Laminates- copilot'!$E$6:$E$257,ROUNDUP((ROW()-5)/3,0)))),INT((IF(O245="Quantum",760,1220)-50)/INDEX('Laminates- copilot'!$E$6:$E$257,ROUNDUP((ROW()-5)/3,0))))),"Data is missing"))</f>
        <v>0.7790161294607989</v>
      </c>
      <c r="AK245" s="203">
        <f t="shared" si="61"/>
        <v>1038.6881726143986</v>
      </c>
      <c r="AL245" t="str">
        <f t="shared" si="62"/>
        <v>PASS</v>
      </c>
      <c r="AM245" s="50" t="str">
        <f t="shared" si="63"/>
        <v/>
      </c>
    </row>
    <row r="246" spans="1:39" hidden="1">
      <c r="A246" t="s">
        <v>1874</v>
      </c>
      <c r="B246" t="s">
        <v>251</v>
      </c>
      <c r="C246" s="50" t="s">
        <v>2203</v>
      </c>
      <c r="D246" t="str">
        <f>'Laminates- copilot'!B86</f>
        <v>648W</v>
      </c>
      <c r="E246" s="858">
        <f>'Laminates- copilot'!D86</f>
        <v>63</v>
      </c>
      <c r="F246" s="858">
        <v>100</v>
      </c>
      <c r="G246" s="858">
        <v>100</v>
      </c>
      <c r="H246" s="858">
        <v>20</v>
      </c>
      <c r="I246" s="858">
        <v>0</v>
      </c>
      <c r="J246" s="858">
        <v>240</v>
      </c>
      <c r="K246" s="858">
        <v>25000</v>
      </c>
      <c r="L246" s="858" t="str">
        <f>'Laminates- copilot'!K86</f>
        <v>Not Printed</v>
      </c>
      <c r="M246" s="858" t="str">
        <f>'Laminates- copilot'!L86</f>
        <v>0</v>
      </c>
      <c r="N246" s="858">
        <f>'Laminates- copilot'!M86</f>
        <v>1</v>
      </c>
      <c r="O246" s="858" t="str">
        <f>'Laminates- copilot'!O86</f>
        <v>Marma</v>
      </c>
      <c r="P246" s="858" t="str">
        <f>'Laminates- copilot'!N86</f>
        <v>Europe to Europe</v>
      </c>
      <c r="Q246" s="858">
        <f t="shared" si="48"/>
        <v>2500</v>
      </c>
      <c r="R246" s="858">
        <f t="shared" si="49"/>
        <v>2500</v>
      </c>
      <c r="S246" s="858">
        <f>IFERROR('Laminates- copilot'!Q86/'Laminates- copilot'!P86*Q246,"")</f>
        <v>24.588000000000001</v>
      </c>
      <c r="T246" s="203">
        <f>IFERROR('Laminates- copilot'!R86/'Laminates- copilot'!P86*Q246,"")</f>
        <v>262.71289588191331</v>
      </c>
      <c r="U246" s="912">
        <f>IFERROR('Laminates- copilot'!S86/'Laminates- copilot'!P86*Q246,"")</f>
        <v>304.74695922301942</v>
      </c>
      <c r="V246" s="913">
        <f t="shared" si="50"/>
        <v>10.684598010489397</v>
      </c>
      <c r="W246" s="914">
        <f t="shared" si="51"/>
        <v>12.394133692167699</v>
      </c>
      <c r="X246" s="913">
        <f t="shared" si="52"/>
        <v>0.10508515835276533</v>
      </c>
      <c r="Y246" s="913">
        <f t="shared" si="53"/>
        <v>10.684598010489397</v>
      </c>
      <c r="Z246" s="95">
        <f t="shared" si="54"/>
        <v>508379</v>
      </c>
      <c r="AA246" s="50" t="str">
        <f t="shared" si="55"/>
        <v>Below MOQ by 483,379 bags</v>
      </c>
      <c r="AB246" s="923">
        <f t="shared" si="56"/>
        <v>7.5955901266278256E-2</v>
      </c>
      <c r="AC246" s="924">
        <f t="shared" si="57"/>
        <v>8.8108845468882771E-2</v>
      </c>
      <c r="AD246" s="203">
        <f t="shared" si="58"/>
        <v>1898.8975316569563</v>
      </c>
      <c r="AE246" s="912">
        <f t="shared" si="59"/>
        <v>2202.7211367220693</v>
      </c>
      <c r="AF246" s="923" cm="1">
        <f t="array" ref="AF246">IF(O246="Quantum",IFERROR(_xlfn.LET(_xlpm.b,_xlfn.SWITCH(LOWER(B246),"zipper bag","Zipper pouch","open bag","Open pouch","sup with zipper","Stand-up pouch","stand-up pouch","Stand-up pouch",B246),_xlpm.w,G246,_xlpm.q,K246,_xlpm.types,'Converting-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missing"),IFERROR(_xlfn.LET(_xlpm.s,O246,_xlpm.b,_xlfn.SWITCH(LOWER(B246),"zipper bag","Zipper pouch","open bag","Open pouch",B246),_xlpm.w,G246,_xlpm.q,K246,_xlpm.src,'Converting-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246" s="923">
        <f>IFERROR(IF(OR(B246="Zipper pouch",B246="SUP with zipper"),HELPER!$DE$2*(AH246+AI246)/K246,HELPER!$DE$2*AH246/K246),"Data is missing")</f>
        <v>2.8676438004663681E-3</v>
      </c>
      <c r="AH246" s="923">
        <f t="shared" si="60"/>
        <v>0.10508515835276533</v>
      </c>
      <c r="AI246" s="923">
        <f>IF(OR(B246="Zipper pouch",B246="SUP with zipper"),HELPER!$DC$2*G246/1000,"")</f>
        <v>1.4399999999999998E-2</v>
      </c>
      <c r="AJ246" s="923" cm="1">
        <f t="array" ref="AJ246">IF(INDEX('Laminates- copilot'!$E$6:$E$257,ROUNDUP((ROW()-5)/3,0))+50&gt;IF(O246="Quantum",760,1220),"Width exceeds supplier maximum",IFERROR(AF246+AG246+N(AI246)+AH246*G246/1000/MAX(1,MIN(MAX(2,INT(900/INDEX('Laminates- copilot'!$E$6:$E$257,ROUNDUP((ROW()-5)/3,0)))),INT((IF(O246="Quantum",760,1220)-50)/INDEX('Laminates- copilot'!$E$6:$E$257,ROUNDUP((ROW()-5)/3,0))))),"Data is missing"))</f>
        <v>5.6966925949708688E-2</v>
      </c>
      <c r="AK246" s="203">
        <f t="shared" si="61"/>
        <v>75.955901266278261</v>
      </c>
      <c r="AL246" t="str">
        <f t="shared" si="62"/>
        <v>PASS</v>
      </c>
      <c r="AM246" s="50" t="str">
        <f t="shared" si="63"/>
        <v/>
      </c>
    </row>
    <row r="247" spans="1:39" hidden="1">
      <c r="A247" t="s">
        <v>1875</v>
      </c>
      <c r="B247" t="s">
        <v>261</v>
      </c>
      <c r="C247" s="50" t="s">
        <v>2203</v>
      </c>
      <c r="D247" t="str">
        <f>'Laminates- copilot'!B86</f>
        <v>648W</v>
      </c>
      <c r="E247" s="858">
        <f>'Laminates- copilot'!D86</f>
        <v>63</v>
      </c>
      <c r="F247" s="858">
        <v>100</v>
      </c>
      <c r="G247" s="858">
        <v>100</v>
      </c>
      <c r="H247" s="858">
        <v>20</v>
      </c>
      <c r="I247" s="858">
        <v>0</v>
      </c>
      <c r="J247" s="858">
        <v>240</v>
      </c>
      <c r="K247" s="858">
        <v>25000</v>
      </c>
      <c r="L247" s="858" t="str">
        <f>'Laminates- copilot'!K86</f>
        <v>Not Printed</v>
      </c>
      <c r="M247" s="858" t="str">
        <f>'Laminates- copilot'!L86</f>
        <v>0</v>
      </c>
      <c r="N247" s="858">
        <f>'Laminates- copilot'!M86</f>
        <v>1</v>
      </c>
      <c r="O247" s="858" t="str">
        <f>'Laminates- copilot'!O86</f>
        <v>Marma</v>
      </c>
      <c r="P247" s="858" t="str">
        <f>'Laminates- copilot'!N86</f>
        <v>Europe to Europe</v>
      </c>
      <c r="Q247" s="858">
        <f t="shared" si="48"/>
        <v>2500</v>
      </c>
      <c r="R247" s="858">
        <f t="shared" si="49"/>
        <v>2500</v>
      </c>
      <c r="S247" s="858">
        <f>IFERROR('Laminates- copilot'!Q86/'Laminates- copilot'!P86*Q247,"")</f>
        <v>24.588000000000001</v>
      </c>
      <c r="T247" s="203">
        <f>IFERROR('Laminates- copilot'!R86/'Laminates- copilot'!P86*Q247,"")</f>
        <v>262.71289588191331</v>
      </c>
      <c r="U247" s="912">
        <f>IFERROR('Laminates- copilot'!S86/'Laminates- copilot'!P86*Q247,"")</f>
        <v>304.74695922301942</v>
      </c>
      <c r="V247" s="913">
        <f t="shared" si="50"/>
        <v>10.684598010489397</v>
      </c>
      <c r="W247" s="914">
        <f t="shared" si="51"/>
        <v>12.394133692167699</v>
      </c>
      <c r="X247" s="913">
        <f t="shared" si="52"/>
        <v>0.10508515835276533</v>
      </c>
      <c r="Y247" s="913">
        <f t="shared" si="53"/>
        <v>10.684598010489397</v>
      </c>
      <c r="Z247" s="95">
        <f t="shared" si="54"/>
        <v>508379</v>
      </c>
      <c r="AA247" s="50" t="str">
        <f t="shared" si="55"/>
        <v>Below MOQ by 483,379 bags</v>
      </c>
      <c r="AB247" s="923">
        <f t="shared" si="56"/>
        <v>7.2530562937659845E-2</v>
      </c>
      <c r="AC247" s="924">
        <f t="shared" si="57"/>
        <v>8.4135453007685421E-2</v>
      </c>
      <c r="AD247" s="203">
        <f t="shared" si="58"/>
        <v>1813.2640734414961</v>
      </c>
      <c r="AE247" s="912">
        <f t="shared" si="59"/>
        <v>2103.3863251921352</v>
      </c>
      <c r="AF247" s="923" cm="1">
        <f t="array" ref="AF247">IF(O247="Quantum",IFERROR(_xlfn.LET(_xlpm.b,_xlfn.SWITCH(LOWER(B247),"zipper bag","Zipper pouch","open bag","Open pouch","sup with zipper","Stand-up pouch","stand-up pouch","Stand-up pouch",B247),_xlpm.w,G247,_xlpm.q,K247,_xlpm.types,'Converting-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missing"),IFERROR(_xlfn.LET(_xlpm.s,O247,_xlpm.b,_xlfn.SWITCH(LOWER(B247),"zipper bag","Zipper pouch","open bag","Open pouch",B247),_xlpm.w,G247,_xlpm.q,K247,_xlpm.src,'Converting-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247" s="923">
        <f>IFERROR(IF(OR(B247="Zipper pouch",B247="SUP with zipper"),HELPER!$DE$2*(AH247+AI247)/K247,HELPER!$DE$2*AH247/K247),"Data is missing")</f>
        <v>2.8676438004663681E-3</v>
      </c>
      <c r="AH247" s="923">
        <f t="shared" si="60"/>
        <v>0.10508515835276533</v>
      </c>
      <c r="AI247" s="923">
        <f>IF(OR(B247="Zipper pouch",B247="SUP with zipper"),HELPER!$DC$2*G247/1000,"")</f>
        <v>1.4399999999999998E-2</v>
      </c>
      <c r="AJ247" s="923" cm="1">
        <f t="array" ref="AJ247">IF(INDEX('Laminates- copilot'!$E$6:$E$257,ROUNDUP((ROW()-5)/3,0))+50&gt;IF(O247="Quantum",760,1220),"Width exceeds supplier maximum",IFERROR(AF247+AG247+N(AI247)+AH247*G247/1000/MAX(1,MIN(MAX(2,INT(900/INDEX('Laminates- copilot'!$E$6:$E$257,ROUNDUP((ROW()-5)/3,0)))),INT((IF(O247="Quantum",760,1220)-50)/INDEX('Laminates- copilot'!$E$6:$E$257,ROUNDUP((ROW()-5)/3,0))))),"Data is missing"))</f>
        <v>5.4397922203244888E-2</v>
      </c>
      <c r="AK247" s="203">
        <f t="shared" si="61"/>
        <v>72.530562937659852</v>
      </c>
      <c r="AL247" t="str">
        <f t="shared" si="62"/>
        <v>PASS</v>
      </c>
      <c r="AM247" s="50" t="str">
        <f t="shared" si="63"/>
        <v/>
      </c>
    </row>
    <row r="248" spans="1:39" hidden="1">
      <c r="A248" t="s">
        <v>1876</v>
      </c>
      <c r="B248" t="s">
        <v>262</v>
      </c>
      <c r="C248" s="50" t="s">
        <v>2203</v>
      </c>
      <c r="D248" t="str">
        <f>'Laminates- copilot'!B86</f>
        <v>648W</v>
      </c>
      <c r="E248" s="858">
        <f>'Laminates- copilot'!D86</f>
        <v>63</v>
      </c>
      <c r="F248" s="858">
        <v>100</v>
      </c>
      <c r="G248" s="858">
        <v>100</v>
      </c>
      <c r="H248" s="858">
        <v>0</v>
      </c>
      <c r="I248" s="858">
        <v>0</v>
      </c>
      <c r="J248" s="858">
        <v>200</v>
      </c>
      <c r="K248" s="858">
        <v>25000</v>
      </c>
      <c r="L248" s="858" t="str">
        <f>'Laminates- copilot'!K86</f>
        <v>Not Printed</v>
      </c>
      <c r="M248" s="858" t="str">
        <f>'Laminates- copilot'!L86</f>
        <v>0</v>
      </c>
      <c r="N248" s="858">
        <f>'Laminates- copilot'!M86</f>
        <v>1</v>
      </c>
      <c r="O248" s="858" t="str">
        <f>'Laminates- copilot'!O86</f>
        <v>Marma</v>
      </c>
      <c r="P248" s="858" t="str">
        <f>'Laminates- copilot'!N86</f>
        <v>Europe to Europe</v>
      </c>
      <c r="Q248" s="858">
        <f t="shared" si="48"/>
        <v>2500</v>
      </c>
      <c r="R248" s="858">
        <f t="shared" si="49"/>
        <v>2500</v>
      </c>
      <c r="S248" s="858">
        <f>IFERROR('Laminates- copilot'!Q86/'Laminates- copilot'!P86*Q248,"")</f>
        <v>24.588000000000001</v>
      </c>
      <c r="T248" s="203">
        <f>IFERROR('Laminates- copilot'!R86/'Laminates- copilot'!P86*Q248,"")</f>
        <v>262.71289588191331</v>
      </c>
      <c r="U248" s="912">
        <f>IFERROR('Laminates- copilot'!S86/'Laminates- copilot'!P86*Q248,"")</f>
        <v>304.74695922301942</v>
      </c>
      <c r="V248" s="913">
        <f t="shared" si="50"/>
        <v>10.684598010489397</v>
      </c>
      <c r="W248" s="914">
        <f t="shared" si="51"/>
        <v>12.394133692167699</v>
      </c>
      <c r="X248" s="913">
        <f t="shared" si="52"/>
        <v>0.10508515835276533</v>
      </c>
      <c r="Y248" s="913">
        <f t="shared" si="53"/>
        <v>10.684598010489397</v>
      </c>
      <c r="Z248" s="95">
        <f t="shared" si="54"/>
        <v>508379</v>
      </c>
      <c r="AA248" s="50" t="str">
        <f t="shared" si="55"/>
        <v>Below MOQ by 483,379 bags</v>
      </c>
      <c r="AB248" s="923">
        <f t="shared" si="56"/>
        <v>4.9099158589794238E-2</v>
      </c>
      <c r="AC248" s="924">
        <f t="shared" si="57"/>
        <v>5.6955023964161314E-2</v>
      </c>
      <c r="AD248" s="203">
        <f t="shared" si="58"/>
        <v>1227.4789647448561</v>
      </c>
      <c r="AE248" s="912">
        <f t="shared" si="59"/>
        <v>1423.875599104033</v>
      </c>
      <c r="AF248" s="923" cm="1">
        <f t="array" ref="AF248">IF(O248="Quantum",IFERROR(_xlfn.LET(_xlpm.b,_xlfn.SWITCH(LOWER(B248),"zipper bag","Zipper pouch","open bag","Open pouch","sup with zipper","Stand-up pouch","stand-up pouch","Stand-up pouch",B248),_xlpm.w,G248,_xlpm.q,K248,_xlpm.types,'Converting-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missing"),IFERROR(_xlfn.LET(_xlpm.s,O248,_xlpm.b,_xlfn.SWITCH(LOWER(B248),"zipper bag","Zipper pouch","open bag","Open pouch",B248),_xlpm.w,G248,_xlpm.q,K248,_xlpm.src,'Converting-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248" s="923">
        <f>IFERROR(IF(OR(B248="Zipper pouch",B248="SUP with zipper"),HELPER!$DE$2*(AH248+AI248)/K248,HELPER!$DE$2*AH248/K248),"Data is missing")</f>
        <v>2.522043800466368E-3</v>
      </c>
      <c r="AH248" s="923">
        <f t="shared" si="60"/>
        <v>0.10508515835276533</v>
      </c>
      <c r="AI248" s="923" t="str">
        <f>IF(OR(B248="Zipper pouch",B248="SUP with zipper"),HELPER!$DC$2*G248/1000,"")</f>
        <v/>
      </c>
      <c r="AJ248" s="923" cm="1">
        <f t="array" ref="AJ248">IF(INDEX('Laminates- copilot'!$E$6:$E$257,ROUNDUP((ROW()-5)/3,0))+50&gt;IF(O248="Quantum",760,1220),"Width exceeds supplier maximum",IFERROR(AF248+AG248+N(AI248)+AH248*G248/1000/MAX(1,MIN(MAX(2,INT(900/INDEX('Laminates- copilot'!$E$6:$E$257,ROUNDUP((ROW()-5)/3,0)))),INT((IF(O248="Quantum",760,1220)-50)/INDEX('Laminates- copilot'!$E$6:$E$257,ROUNDUP((ROW()-5)/3,0))))),"Data is missing"))</f>
        <v>3.6824368942345677E-2</v>
      </c>
      <c r="AK248" s="203">
        <f t="shared" si="61"/>
        <v>49.099158589794236</v>
      </c>
      <c r="AL248" t="str">
        <f t="shared" si="62"/>
        <v>PASS</v>
      </c>
      <c r="AM248" s="50" t="str">
        <f t="shared" si="63"/>
        <v/>
      </c>
    </row>
    <row r="249" spans="1:39" hidden="1">
      <c r="A249" t="s">
        <v>1877</v>
      </c>
      <c r="B249" t="s">
        <v>251</v>
      </c>
      <c r="C249" s="50" t="s">
        <v>2204</v>
      </c>
      <c r="D249" t="str">
        <f>'Laminates- copilot'!B87</f>
        <v>648W</v>
      </c>
      <c r="E249" s="858">
        <f>'Laminates- copilot'!D87</f>
        <v>63</v>
      </c>
      <c r="F249" s="858">
        <v>150</v>
      </c>
      <c r="G249" s="858">
        <v>150</v>
      </c>
      <c r="H249" s="858">
        <v>25</v>
      </c>
      <c r="I249" s="858">
        <v>0</v>
      </c>
      <c r="J249" s="858">
        <v>350</v>
      </c>
      <c r="K249" s="858">
        <v>25000</v>
      </c>
      <c r="L249" s="858" t="str">
        <f>'Laminates- copilot'!K87</f>
        <v>Printed</v>
      </c>
      <c r="M249" s="858" t="str">
        <f>'Laminates- copilot'!L87</f>
        <v>1-2</v>
      </c>
      <c r="N249" s="858">
        <f>'Laminates- copilot'!M87</f>
        <v>1</v>
      </c>
      <c r="O249" s="858" t="str">
        <f>'Laminates- copilot'!O87</f>
        <v>Bastin</v>
      </c>
      <c r="P249" s="858" t="str">
        <f>'Laminates- copilot'!N87</f>
        <v>Europe to US</v>
      </c>
      <c r="Q249" s="858">
        <f t="shared" si="48"/>
        <v>3750</v>
      </c>
      <c r="R249" s="858">
        <f t="shared" si="49"/>
        <v>3750</v>
      </c>
      <c r="S249" s="858">
        <f>IFERROR('Laminates- copilot'!Q87/'Laminates- copilot'!P87*Q249,"")</f>
        <v>36.882000000000005</v>
      </c>
      <c r="T249" s="203">
        <f>IFERROR('Laminates- copilot'!R87/'Laminates- copilot'!P87*Q249,"")</f>
        <v>16486.182017830244</v>
      </c>
      <c r="U249" s="912">
        <f>IFERROR('Laminates- copilot'!S87/'Laminates- copilot'!P87*Q249,"")</f>
        <v>19123.971140683083</v>
      </c>
      <c r="V249" s="913">
        <f t="shared" si="50"/>
        <v>446.99804831164909</v>
      </c>
      <c r="W249" s="914">
        <f t="shared" si="51"/>
        <v>518.51773604151299</v>
      </c>
      <c r="X249" s="913">
        <f t="shared" si="52"/>
        <v>4.3963152047547318</v>
      </c>
      <c r="Y249" s="913">
        <f t="shared" si="53"/>
        <v>446.99804831164909</v>
      </c>
      <c r="Z249" s="95">
        <f t="shared" si="54"/>
        <v>338919</v>
      </c>
      <c r="AA249" s="50" t="str">
        <f t="shared" si="55"/>
        <v>Below MOQ by 313,919 bags</v>
      </c>
      <c r="AB249" s="923">
        <f t="shared" si="56"/>
        <v>0.37106250920445466</v>
      </c>
      <c r="AC249" s="924">
        <f t="shared" si="57"/>
        <v>0.43043251067716737</v>
      </c>
      <c r="AD249" s="203">
        <f t="shared" si="58"/>
        <v>9276.5627301113673</v>
      </c>
      <c r="AE249" s="912">
        <f t="shared" si="59"/>
        <v>10760.812766929186</v>
      </c>
      <c r="AF249" s="923" cm="1">
        <f t="array" ref="AF249">IF(O249="Quantum",IFERROR(_xlfn.LET(_xlpm.b,_xlfn.SWITCH(LOWER(B249),"zipper bag","Zipper pouch","open bag","Open pouch","sup with zipper","Stand-up pouch","stand-up pouch","Stand-up pouch",B249),_xlpm.w,G249,_xlpm.q,K249,_xlpm.types,'Converting-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missing"),IFERROR(_xlfn.LET(_xlpm.s,O249,_xlpm.b,_xlfn.SWITCH(LOWER(B249),"zipper bag","Zipper pouch","open bag","Open pouch",B249),_xlpm.w,G249,_xlpm.q,K249,_xlpm.src,'Converting-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249" s="923">
        <f>IFERROR(IF(OR(B249="Zipper pouch",B249="SUP with zipper"),HELPER!$DE$2*(AH249+AI249)/K249,HELPER!$DE$2*AH249/K249),"Data is missing")</f>
        <v>0.10602996491411357</v>
      </c>
      <c r="AH249" s="923">
        <f t="shared" si="60"/>
        <v>4.3963152047547318</v>
      </c>
      <c r="AI249" s="923">
        <f>IF(OR(B249="Zipper pouch",B249="SUP with zipper"),HELPER!$DC$2*G249/1000,"")</f>
        <v>2.1599999999999998E-2</v>
      </c>
      <c r="AJ249" s="923" cm="1">
        <f t="array" ref="AJ249">IF(INDEX('Laminates- copilot'!$E$6:$E$257,ROUNDUP((ROW()-5)/3,0))+50&gt;IF(O249="Quantum",760,1220),"Width exceeds supplier maximum",IFERROR(AF249+AG249+N(AI249)+AH249*G249/1000/MAX(1,MIN(MAX(2,INT(900/INDEX('Laminates- copilot'!$E$6:$E$257,ROUNDUP((ROW()-5)/3,0)))),INT((IF(O249="Quantum",760,1220)-50)/INDEX('Laminates- copilot'!$E$6:$E$257,ROUNDUP((ROW()-5)/3,0))))),"Data is missing"))</f>
        <v>0.27829688190334101</v>
      </c>
      <c r="AK249" s="203">
        <f t="shared" si="61"/>
        <v>371.06250920445467</v>
      </c>
      <c r="AL249" t="str">
        <f t="shared" si="62"/>
        <v>PASS</v>
      </c>
      <c r="AM249" s="50" t="str">
        <f t="shared" si="63"/>
        <v/>
      </c>
    </row>
    <row r="250" spans="1:39" hidden="1">
      <c r="A250" t="s">
        <v>1878</v>
      </c>
      <c r="B250" t="s">
        <v>261</v>
      </c>
      <c r="C250" s="50" t="s">
        <v>2204</v>
      </c>
      <c r="D250" t="str">
        <f>'Laminates- copilot'!B87</f>
        <v>648W</v>
      </c>
      <c r="E250" s="858">
        <f>'Laminates- copilot'!D87</f>
        <v>63</v>
      </c>
      <c r="F250" s="858">
        <v>150</v>
      </c>
      <c r="G250" s="858">
        <v>150</v>
      </c>
      <c r="H250" s="858">
        <v>25</v>
      </c>
      <c r="I250" s="858">
        <v>0</v>
      </c>
      <c r="J250" s="858">
        <v>350</v>
      </c>
      <c r="K250" s="858">
        <v>25000</v>
      </c>
      <c r="L250" s="858" t="str">
        <f>'Laminates- copilot'!K87</f>
        <v>Printed</v>
      </c>
      <c r="M250" s="858" t="str">
        <f>'Laminates- copilot'!L87</f>
        <v>1-2</v>
      </c>
      <c r="N250" s="858">
        <f>'Laminates- copilot'!M87</f>
        <v>1</v>
      </c>
      <c r="O250" s="858" t="str">
        <f>'Laminates- copilot'!O87</f>
        <v>Bastin</v>
      </c>
      <c r="P250" s="858" t="str">
        <f>'Laminates- copilot'!N87</f>
        <v>Europe to US</v>
      </c>
      <c r="Q250" s="858">
        <f t="shared" si="48"/>
        <v>3750</v>
      </c>
      <c r="R250" s="858">
        <f t="shared" si="49"/>
        <v>3750</v>
      </c>
      <c r="S250" s="858">
        <f>IFERROR('Laminates- copilot'!Q87/'Laminates- copilot'!P87*Q250,"")</f>
        <v>36.882000000000005</v>
      </c>
      <c r="T250" s="203">
        <f>IFERROR('Laminates- copilot'!R87/'Laminates- copilot'!P87*Q250,"")</f>
        <v>16486.182017830244</v>
      </c>
      <c r="U250" s="912">
        <f>IFERROR('Laminates- copilot'!S87/'Laminates- copilot'!P87*Q250,"")</f>
        <v>19123.971140683083</v>
      </c>
      <c r="V250" s="913">
        <f t="shared" si="50"/>
        <v>446.99804831164909</v>
      </c>
      <c r="W250" s="914">
        <f t="shared" si="51"/>
        <v>518.51773604151299</v>
      </c>
      <c r="X250" s="913">
        <f t="shared" si="52"/>
        <v>4.3963152047547318</v>
      </c>
      <c r="Y250" s="913">
        <f t="shared" si="53"/>
        <v>446.99804831164909</v>
      </c>
      <c r="Z250" s="95">
        <f t="shared" si="54"/>
        <v>338919</v>
      </c>
      <c r="AA250" s="50" t="str">
        <f t="shared" si="55"/>
        <v>Below MOQ by 313,919 bags</v>
      </c>
      <c r="AB250" s="923">
        <f t="shared" si="56"/>
        <v>0.36589709900489814</v>
      </c>
      <c r="AC250" s="924">
        <f t="shared" si="57"/>
        <v>0.42444063484568184</v>
      </c>
      <c r="AD250" s="203">
        <f t="shared" si="58"/>
        <v>9147.427475122453</v>
      </c>
      <c r="AE250" s="912">
        <f t="shared" si="59"/>
        <v>10611.015871142044</v>
      </c>
      <c r="AF250" s="923" cm="1">
        <f t="array" ref="AF250">IF(O250="Quantum",IFERROR(_xlfn.LET(_xlpm.b,_xlfn.SWITCH(LOWER(B250),"zipper bag","Zipper pouch","open bag","Open pouch","sup with zipper","Stand-up pouch","stand-up pouch","Stand-up pouch",B250),_xlpm.w,G250,_xlpm.q,K250,_xlpm.types,'Converting-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missing"),IFERROR(_xlfn.LET(_xlpm.s,O250,_xlpm.b,_xlfn.SWITCH(LOWER(B250),"zipper bag","Zipper pouch","open bag","Open pouch",B250),_xlpm.w,G250,_xlpm.q,K250,_xlpm.src,'Converting-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250" s="923">
        <f>IFERROR(IF(OR(B250="Zipper pouch",B250="SUP with zipper"),HELPER!$DE$2*(AH250+AI250)/K250,HELPER!$DE$2*AH250/K250),"Data is missing")</f>
        <v>0.10602996491411357</v>
      </c>
      <c r="AH250" s="923">
        <f t="shared" si="60"/>
        <v>4.3963152047547318</v>
      </c>
      <c r="AI250" s="923">
        <f>IF(OR(B250="Zipper pouch",B250="SUP with zipper"),HELPER!$DC$2*G250/1000,"")</f>
        <v>2.1599999999999998E-2</v>
      </c>
      <c r="AJ250" s="923" cm="1">
        <f t="array" ref="AJ250">IF(INDEX('Laminates- copilot'!$E$6:$E$257,ROUNDUP((ROW()-5)/3,0))+50&gt;IF(O250="Quantum",760,1220),"Width exceeds supplier maximum",IFERROR(AF250+AG250+N(AI250)+AH250*G250/1000/MAX(1,MIN(MAX(2,INT(900/INDEX('Laminates- copilot'!$E$6:$E$257,ROUNDUP((ROW()-5)/3,0)))),INT((IF(O250="Quantum",760,1220)-50)/INDEX('Laminates- copilot'!$E$6:$E$257,ROUNDUP((ROW()-5)/3,0))))),"Data is missing"))</f>
        <v>0.27442282425367359</v>
      </c>
      <c r="AK250" s="203">
        <f t="shared" si="61"/>
        <v>365.89709900489817</v>
      </c>
      <c r="AL250" t="str">
        <f t="shared" si="62"/>
        <v>PASS</v>
      </c>
      <c r="AM250" s="50" t="str">
        <f t="shared" si="63"/>
        <v/>
      </c>
    </row>
    <row r="251" spans="1:39" hidden="1">
      <c r="A251" t="s">
        <v>1879</v>
      </c>
      <c r="B251" t="s">
        <v>262</v>
      </c>
      <c r="C251" s="50" t="s">
        <v>2204</v>
      </c>
      <c r="D251" t="str">
        <f>'Laminates- copilot'!B87</f>
        <v>648W</v>
      </c>
      <c r="E251" s="858">
        <f>'Laminates- copilot'!D87</f>
        <v>63</v>
      </c>
      <c r="F251" s="858">
        <v>150</v>
      </c>
      <c r="G251" s="858">
        <v>150</v>
      </c>
      <c r="H251" s="858">
        <v>0</v>
      </c>
      <c r="I251" s="858">
        <v>0</v>
      </c>
      <c r="J251" s="858">
        <v>300</v>
      </c>
      <c r="K251" s="858">
        <v>25000</v>
      </c>
      <c r="L251" s="858" t="str">
        <f>'Laminates- copilot'!K87</f>
        <v>Printed</v>
      </c>
      <c r="M251" s="858" t="str">
        <f>'Laminates- copilot'!L87</f>
        <v>1-2</v>
      </c>
      <c r="N251" s="858">
        <f>'Laminates- copilot'!M87</f>
        <v>1</v>
      </c>
      <c r="O251" s="858" t="str">
        <f>'Laminates- copilot'!O87</f>
        <v>Bastin</v>
      </c>
      <c r="P251" s="858" t="str">
        <f>'Laminates- copilot'!N87</f>
        <v>Europe to US</v>
      </c>
      <c r="Q251" s="858">
        <f t="shared" si="48"/>
        <v>3750</v>
      </c>
      <c r="R251" s="858">
        <f t="shared" si="49"/>
        <v>3750</v>
      </c>
      <c r="S251" s="858">
        <f>IFERROR('Laminates- copilot'!Q87/'Laminates- copilot'!P87*Q251,"")</f>
        <v>36.882000000000005</v>
      </c>
      <c r="T251" s="203">
        <f>IFERROR('Laminates- copilot'!R87/'Laminates- copilot'!P87*Q251,"")</f>
        <v>16486.182017830244</v>
      </c>
      <c r="U251" s="912">
        <f>IFERROR('Laminates- copilot'!S87/'Laminates- copilot'!P87*Q251,"")</f>
        <v>19123.971140683083</v>
      </c>
      <c r="V251" s="913">
        <f t="shared" si="50"/>
        <v>446.99804831164909</v>
      </c>
      <c r="W251" s="914">
        <f t="shared" si="51"/>
        <v>518.51773604151299</v>
      </c>
      <c r="X251" s="913">
        <f t="shared" si="52"/>
        <v>4.3963152047547318</v>
      </c>
      <c r="Y251" s="913">
        <f t="shared" si="53"/>
        <v>446.99804831164909</v>
      </c>
      <c r="Z251" s="95">
        <f t="shared" si="54"/>
        <v>338919</v>
      </c>
      <c r="AA251" s="50" t="str">
        <f t="shared" si="55"/>
        <v>Below MOQ by 313,919 bags</v>
      </c>
      <c r="AB251" s="923">
        <f t="shared" si="56"/>
        <v>0.33057186016864198</v>
      </c>
      <c r="AC251" s="924">
        <f t="shared" si="57"/>
        <v>0.38346335779562468</v>
      </c>
      <c r="AD251" s="203">
        <f t="shared" si="58"/>
        <v>8264.2965042160504</v>
      </c>
      <c r="AE251" s="912">
        <f t="shared" si="59"/>
        <v>9586.5839448906172</v>
      </c>
      <c r="AF251" s="923" cm="1">
        <f t="array" ref="AF251">IF(O251="Quantum",IFERROR(_xlfn.LET(_xlpm.b,_xlfn.SWITCH(LOWER(B251),"zipper bag","Zipper pouch","open bag","Open pouch","sup with zipper","Stand-up pouch","stand-up pouch","Stand-up pouch",B251),_xlpm.w,G251,_xlpm.q,K251,_xlpm.types,'Converting-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missing"),IFERROR(_xlfn.LET(_xlpm.s,O251,_xlpm.b,_xlfn.SWITCH(LOWER(B251),"zipper bag","Zipper pouch","open bag","Open pouch",B251),_xlpm.w,G251,_xlpm.q,K251,_xlpm.src,'Converting-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251" s="923">
        <f>IFERROR(IF(OR(B251="Zipper pouch",B251="SUP with zipper"),HELPER!$DE$2*(AH251+AI251)/K251,HELPER!$DE$2*AH251/K251),"Data is missing")</f>
        <v>0.10551156491411356</v>
      </c>
      <c r="AH251" s="923">
        <f t="shared" si="60"/>
        <v>4.3963152047547318</v>
      </c>
      <c r="AI251" s="923" t="str">
        <f>IF(OR(B251="Zipper pouch",B251="SUP with zipper"),HELPER!$DC$2*G251/1000,"")</f>
        <v/>
      </c>
      <c r="AJ251" s="923" cm="1">
        <f t="array" ref="AJ251">IF(INDEX('Laminates- copilot'!$E$6:$E$257,ROUNDUP((ROW()-5)/3,0))+50&gt;IF(O251="Quantum",760,1220),"Width exceeds supplier maximum",IFERROR(AF251+AG251+N(AI251)+AH251*G251/1000/MAX(1,MIN(MAX(2,INT(900/INDEX('Laminates- copilot'!$E$6:$E$257,ROUNDUP((ROW()-5)/3,0)))),INT((IF(O251="Quantum",760,1220)-50)/INDEX('Laminates- copilot'!$E$6:$E$257,ROUNDUP((ROW()-5)/3,0))))),"Data is missing"))</f>
        <v>0.24792889512648147</v>
      </c>
      <c r="AK251" s="203">
        <f t="shared" si="61"/>
        <v>330.57186016864199</v>
      </c>
      <c r="AL251" t="str">
        <f t="shared" si="62"/>
        <v>PASS</v>
      </c>
      <c r="AM251" s="50" t="str">
        <f t="shared" si="63"/>
        <v/>
      </c>
    </row>
    <row r="252" spans="1:39" hidden="1">
      <c r="A252" t="s">
        <v>1880</v>
      </c>
      <c r="B252" t="s">
        <v>251</v>
      </c>
      <c r="C252" s="50" t="s">
        <v>2205</v>
      </c>
      <c r="D252" t="str">
        <f>'Laminates- copilot'!B88</f>
        <v>648W</v>
      </c>
      <c r="E252" s="858">
        <f>'Laminates- copilot'!D88</f>
        <v>63</v>
      </c>
      <c r="F252" s="858">
        <v>250</v>
      </c>
      <c r="G252" s="858">
        <v>200</v>
      </c>
      <c r="H252" s="858">
        <v>40</v>
      </c>
      <c r="I252" s="858">
        <v>0</v>
      </c>
      <c r="J252" s="858">
        <v>580</v>
      </c>
      <c r="K252" s="858">
        <v>50000</v>
      </c>
      <c r="L252" s="858" t="str">
        <f>'Laminates- copilot'!K88</f>
        <v>Printed</v>
      </c>
      <c r="M252" s="858" t="str">
        <f>'Laminates- copilot'!L88</f>
        <v>3-4</v>
      </c>
      <c r="N252" s="858">
        <f>'Laminates- copilot'!M88</f>
        <v>4</v>
      </c>
      <c r="O252" s="858" t="str">
        <f>'Laminates- copilot'!O88</f>
        <v>Quantum</v>
      </c>
      <c r="P252" s="858" t="str">
        <f>'Laminates- copilot'!N88</f>
        <v>Europe to Europe</v>
      </c>
      <c r="Q252" s="858">
        <f t="shared" si="48"/>
        <v>10000</v>
      </c>
      <c r="R252" s="858">
        <f t="shared" si="49"/>
        <v>10000</v>
      </c>
      <c r="S252" s="858">
        <f>IFERROR('Laminates- copilot'!Q88/'Laminates- copilot'!P88*Q252,"")</f>
        <v>286.86</v>
      </c>
      <c r="T252" s="203">
        <f>IFERROR('Laminates- copilot'!R88/'Laminates- copilot'!P88*Q252,"")</f>
        <v>7078.1790676655673</v>
      </c>
      <c r="U252" s="912">
        <f>IFERROR('Laminates- copilot'!S88/'Laminates- copilot'!P88*Q252,"")</f>
        <v>8210.6877184920577</v>
      </c>
      <c r="V252" s="913">
        <f t="shared" si="50"/>
        <v>24.674681264957005</v>
      </c>
      <c r="W252" s="914">
        <f t="shared" si="51"/>
        <v>28.622630267350125</v>
      </c>
      <c r="X252" s="913">
        <f t="shared" si="52"/>
        <v>0.70781790676655676</v>
      </c>
      <c r="Y252" s="913">
        <f t="shared" si="53"/>
        <v>24.674681264957005</v>
      </c>
      <c r="Z252" s="95">
        <f t="shared" si="54"/>
        <v>87151</v>
      </c>
      <c r="AA252" s="50" t="str">
        <f t="shared" si="55"/>
        <v>Below MOQ by 37,151 bags</v>
      </c>
      <c r="AB252" s="923">
        <f t="shared" si="56"/>
        <v>0.30025906732249169</v>
      </c>
      <c r="AC252" s="924">
        <f t="shared" si="57"/>
        <v>0.34830051809409035</v>
      </c>
      <c r="AD252" s="203">
        <f t="shared" si="58"/>
        <v>15012.953366124584</v>
      </c>
      <c r="AE252" s="912">
        <f t="shared" si="59"/>
        <v>17415.025904704515</v>
      </c>
      <c r="AF252" s="923" cm="1">
        <f t="array" ref="AF252">IF(O252="Quantum",IFERROR(_xlfn.LET(_xlpm.b,_xlfn.SWITCH(LOWER(B252),"zipper bag","Zipper pouch","open bag","Open pouch","sup with zipper","Stand-up pouch","stand-up pouch","Stand-up pouch",B252),_xlpm.w,G252,_xlpm.q,K252,_xlpm.types,'Converting-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missing"),IFERROR(_xlfn.LET(_xlpm.s,O252,_xlpm.b,_xlfn.SWITCH(LOWER(B252),"zipper bag","Zipper pouch","open bag","Open pouch",B252),_xlpm.w,G252,_xlpm.q,K252,_xlpm.src,'Converting-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252" s="923">
        <f>IFERROR(IF(OR(B252="Zipper pouch",B252="SUP with zipper"),HELPER!$DE$2*(AH252+AI252)/K252,HELPER!$DE$2*AH252/K252),"Data is missing")</f>
        <v>8.839414881198682E-3</v>
      </c>
      <c r="AH252" s="923">
        <f t="shared" si="60"/>
        <v>0.70781790676655676</v>
      </c>
      <c r="AI252" s="923">
        <f>IF(OR(B252="Zipper pouch",B252="SUP with zipper"),HELPER!$DC$2*G252/1000,"")</f>
        <v>2.8799999999999996E-2</v>
      </c>
      <c r="AJ252" s="923" cm="1">
        <f t="array" ref="AJ252">IF(INDEX('Laminates- copilot'!$E$6:$E$257,ROUNDUP((ROW()-5)/3,0))+50&gt;IF(O252="Quantum",760,1220),"Width exceeds supplier maximum",IFERROR(AF252+AG252+N(AI252)+AH252*G252/1000/MAX(1,MIN(MAX(2,INT(900/INDEX('Laminates- copilot'!$E$6:$E$257,ROUNDUP((ROW()-5)/3,0)))),INT((IF(O252="Quantum",760,1220)-50)/INDEX('Laminates- copilot'!$E$6:$E$257,ROUNDUP((ROW()-5)/3,0))))),"Data is missing"))</f>
        <v>0.22519430049186878</v>
      </c>
      <c r="AK252" s="203">
        <f t="shared" si="61"/>
        <v>300.25906732249172</v>
      </c>
      <c r="AL252" t="str">
        <f t="shared" si="62"/>
        <v>PASS</v>
      </c>
      <c r="AM252" s="50" t="str">
        <f t="shared" si="63"/>
        <v/>
      </c>
    </row>
    <row r="253" spans="1:39" hidden="1">
      <c r="A253" t="s">
        <v>1881</v>
      </c>
      <c r="B253" t="s">
        <v>261</v>
      </c>
      <c r="C253" s="50" t="s">
        <v>2205</v>
      </c>
      <c r="D253" t="str">
        <f>'Laminates- copilot'!B88</f>
        <v>648W</v>
      </c>
      <c r="E253" s="858">
        <f>'Laminates- copilot'!D88</f>
        <v>63</v>
      </c>
      <c r="F253" s="858">
        <v>250</v>
      </c>
      <c r="G253" s="858">
        <v>200</v>
      </c>
      <c r="H253" s="858">
        <v>40</v>
      </c>
      <c r="I253" s="858">
        <v>0</v>
      </c>
      <c r="J253" s="858">
        <v>580</v>
      </c>
      <c r="K253" s="858">
        <v>50000</v>
      </c>
      <c r="L253" s="858" t="str">
        <f>'Laminates- copilot'!K88</f>
        <v>Printed</v>
      </c>
      <c r="M253" s="858" t="str">
        <f>'Laminates- copilot'!L88</f>
        <v>3-4</v>
      </c>
      <c r="N253" s="858">
        <f>'Laminates- copilot'!M88</f>
        <v>4</v>
      </c>
      <c r="O253" s="858" t="str">
        <f>'Laminates- copilot'!O88</f>
        <v>Quantum</v>
      </c>
      <c r="P253" s="858" t="str">
        <f>'Laminates- copilot'!N88</f>
        <v>Europe to Europe</v>
      </c>
      <c r="Q253" s="858">
        <f t="shared" si="48"/>
        <v>10000</v>
      </c>
      <c r="R253" s="858">
        <f t="shared" si="49"/>
        <v>10000</v>
      </c>
      <c r="S253" s="858">
        <f>IFERROR('Laminates- copilot'!Q88/'Laminates- copilot'!P88*Q253,"")</f>
        <v>286.86</v>
      </c>
      <c r="T253" s="203">
        <f>IFERROR('Laminates- copilot'!R88/'Laminates- copilot'!P88*Q253,"")</f>
        <v>7078.1790676655673</v>
      </c>
      <c r="U253" s="912">
        <f>IFERROR('Laminates- copilot'!S88/'Laminates- copilot'!P88*Q253,"")</f>
        <v>8210.6877184920577</v>
      </c>
      <c r="V253" s="913">
        <f t="shared" si="50"/>
        <v>24.674681264957005</v>
      </c>
      <c r="W253" s="914">
        <f t="shared" si="51"/>
        <v>28.622630267350125</v>
      </c>
      <c r="X253" s="913">
        <f t="shared" si="52"/>
        <v>0.70781790676655676</v>
      </c>
      <c r="Y253" s="913">
        <f t="shared" si="53"/>
        <v>24.674681264957005</v>
      </c>
      <c r="Z253" s="95">
        <f t="shared" si="54"/>
        <v>87151</v>
      </c>
      <c r="AA253" s="50" t="str">
        <f t="shared" si="55"/>
        <v>Below MOQ by 37,151 bags</v>
      </c>
      <c r="AB253" s="923">
        <f t="shared" si="56"/>
        <v>0.28449191660429807</v>
      </c>
      <c r="AC253" s="924">
        <f t="shared" si="57"/>
        <v>0.33001062326098574</v>
      </c>
      <c r="AD253" s="203">
        <f t="shared" si="58"/>
        <v>14224.595830214903</v>
      </c>
      <c r="AE253" s="912">
        <f t="shared" si="59"/>
        <v>16500.531163049287</v>
      </c>
      <c r="AF253" s="923" cm="1">
        <f t="array" ref="AF253">IF(O253="Quantum",IFERROR(_xlfn.LET(_xlpm.b,_xlfn.SWITCH(LOWER(B253),"zipper bag","Zipper pouch","open bag","Open pouch","sup with zipper","Stand-up pouch","stand-up pouch","Stand-up pouch",B253),_xlpm.w,G253,_xlpm.q,K253,_xlpm.types,'Converting-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missing"),IFERROR(_xlfn.LET(_xlpm.s,O253,_xlpm.b,_xlfn.SWITCH(LOWER(B253),"zipper bag","Zipper pouch","open bag","Open pouch",B253),_xlpm.w,G253,_xlpm.q,K253,_xlpm.src,'Converting-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253" s="923">
        <f>IFERROR(IF(OR(B253="Zipper pouch",B253="SUP with zipper"),HELPER!$DE$2*(AH253+AI253)/K253,HELPER!$DE$2*AH253/K253),"Data is missing")</f>
        <v>8.839414881198682E-3</v>
      </c>
      <c r="AH253" s="923">
        <f t="shared" si="60"/>
        <v>0.70781790676655676</v>
      </c>
      <c r="AI253" s="923">
        <f>IF(OR(B253="Zipper pouch",B253="SUP with zipper"),HELPER!$DC$2*G253/1000,"")</f>
        <v>2.8799999999999996E-2</v>
      </c>
      <c r="AJ253" s="923" cm="1">
        <f t="array" ref="AJ253">IF(INDEX('Laminates- copilot'!$E$6:$E$257,ROUNDUP((ROW()-5)/3,0))+50&gt;IF(O253="Quantum",760,1220),"Width exceeds supplier maximum",IFERROR(AF253+AG253+N(AI253)+AH253*G253/1000/MAX(1,MIN(MAX(2,INT(900/INDEX('Laminates- copilot'!$E$6:$E$257,ROUNDUP((ROW()-5)/3,0)))),INT((IF(O253="Quantum",760,1220)-50)/INDEX('Laminates- copilot'!$E$6:$E$257,ROUNDUP((ROW()-5)/3,0))))),"Data is missing"))</f>
        <v>0.21336893745322355</v>
      </c>
      <c r="AK253" s="203">
        <f t="shared" si="61"/>
        <v>284.49191660429807</v>
      </c>
      <c r="AL253" t="str">
        <f t="shared" si="62"/>
        <v>PASS</v>
      </c>
      <c r="AM253" s="50" t="str">
        <f t="shared" si="63"/>
        <v/>
      </c>
    </row>
    <row r="254" spans="1:39" hidden="1">
      <c r="A254" t="s">
        <v>1882</v>
      </c>
      <c r="B254" t="s">
        <v>262</v>
      </c>
      <c r="C254" s="50" t="s">
        <v>2205</v>
      </c>
      <c r="D254" t="str">
        <f>'Laminates- copilot'!B88</f>
        <v>648W</v>
      </c>
      <c r="E254" s="858">
        <f>'Laminates- copilot'!D88</f>
        <v>63</v>
      </c>
      <c r="F254" s="858">
        <v>250</v>
      </c>
      <c r="G254" s="858">
        <v>200</v>
      </c>
      <c r="H254" s="858">
        <v>0</v>
      </c>
      <c r="I254" s="858">
        <v>0</v>
      </c>
      <c r="J254" s="858">
        <v>500</v>
      </c>
      <c r="K254" s="858">
        <v>50000</v>
      </c>
      <c r="L254" s="858" t="str">
        <f>'Laminates- copilot'!K88</f>
        <v>Printed</v>
      </c>
      <c r="M254" s="858" t="str">
        <f>'Laminates- copilot'!L88</f>
        <v>3-4</v>
      </c>
      <c r="N254" s="858">
        <f>'Laminates- copilot'!M88</f>
        <v>4</v>
      </c>
      <c r="O254" s="858" t="str">
        <f>'Laminates- copilot'!O88</f>
        <v>Quantum</v>
      </c>
      <c r="P254" s="858" t="str">
        <f>'Laminates- copilot'!N88</f>
        <v>Europe to Europe</v>
      </c>
      <c r="Q254" s="858">
        <f t="shared" si="48"/>
        <v>10000</v>
      </c>
      <c r="R254" s="858">
        <f t="shared" si="49"/>
        <v>10000</v>
      </c>
      <c r="S254" s="858">
        <f>IFERROR('Laminates- copilot'!Q88/'Laminates- copilot'!P88*Q254,"")</f>
        <v>286.86</v>
      </c>
      <c r="T254" s="203">
        <f>IFERROR('Laminates- copilot'!R88/'Laminates- copilot'!P88*Q254,"")</f>
        <v>7078.1790676655673</v>
      </c>
      <c r="U254" s="912">
        <f>IFERROR('Laminates- copilot'!S88/'Laminates- copilot'!P88*Q254,"")</f>
        <v>8210.6877184920577</v>
      </c>
      <c r="V254" s="913">
        <f t="shared" si="50"/>
        <v>24.674681264957005</v>
      </c>
      <c r="W254" s="914">
        <f t="shared" si="51"/>
        <v>28.622630267350125</v>
      </c>
      <c r="X254" s="913">
        <f t="shared" si="52"/>
        <v>0.70781790676655676</v>
      </c>
      <c r="Y254" s="913">
        <f t="shared" si="53"/>
        <v>24.674681264957005</v>
      </c>
      <c r="Z254" s="95">
        <f t="shared" si="54"/>
        <v>87151</v>
      </c>
      <c r="AA254" s="50" t="str">
        <f t="shared" si="55"/>
        <v>Below MOQ by 37,151 bags</v>
      </c>
      <c r="AB254" s="923">
        <f t="shared" si="56"/>
        <v>0.2284196948803178</v>
      </c>
      <c r="AC254" s="924">
        <f t="shared" si="57"/>
        <v>0.2649668460611686</v>
      </c>
      <c r="AD254" s="203">
        <f t="shared" si="58"/>
        <v>11420.98474401589</v>
      </c>
      <c r="AE254" s="912">
        <f t="shared" si="59"/>
        <v>13248.342303058431</v>
      </c>
      <c r="AF254" s="923" cm="1">
        <f t="array" ref="AF254">IF(O254="Quantum",IFERROR(_xlfn.LET(_xlpm.b,_xlfn.SWITCH(LOWER(B254),"zipper bag","Zipper pouch","open bag","Open pouch","sup with zipper","Stand-up pouch","stand-up pouch","Stand-up pouch",B254),_xlpm.w,G254,_xlpm.q,K254,_xlpm.types,'Converting-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missing"),IFERROR(_xlfn.LET(_xlpm.s,O254,_xlpm.b,_xlfn.SWITCH(LOWER(B254),"zipper bag","Zipper pouch","open bag","Open pouch",B254),_xlpm.w,G254,_xlpm.q,K254,_xlpm.src,'Converting-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254" s="923">
        <f>IFERROR(IF(OR(B254="Zipper pouch",B254="SUP with zipper"),HELPER!$DE$2*(AH254+AI254)/K254,HELPER!$DE$2*AH254/K254),"Data is missing")</f>
        <v>8.4938148811986806E-3</v>
      </c>
      <c r="AH254" s="923">
        <f t="shared" si="60"/>
        <v>0.70781790676655676</v>
      </c>
      <c r="AI254" s="923" t="str">
        <f>IF(OR(B254="Zipper pouch",B254="SUP with zipper"),HELPER!$DC$2*G254/1000,"")</f>
        <v/>
      </c>
      <c r="AJ254" s="923" cm="1">
        <f t="array" ref="AJ254">IF(INDEX('Laminates- copilot'!$E$6:$E$257,ROUNDUP((ROW()-5)/3,0))+50&gt;IF(O254="Quantum",760,1220),"Width exceeds supplier maximum",IFERROR(AF254+AG254+N(AI254)+AH254*G254/1000/MAX(1,MIN(MAX(2,INT(900/INDEX('Laminates- copilot'!$E$6:$E$257,ROUNDUP((ROW()-5)/3,0)))),INT((IF(O254="Quantum",760,1220)-50)/INDEX('Laminates- copilot'!$E$6:$E$257,ROUNDUP((ROW()-5)/3,0))))),"Data is missing"))</f>
        <v>0.17131477116023835</v>
      </c>
      <c r="AK254" s="203">
        <f t="shared" si="61"/>
        <v>228.41969488031779</v>
      </c>
      <c r="AL254" t="str">
        <f t="shared" si="62"/>
        <v>PASS</v>
      </c>
      <c r="AM254" s="50" t="str">
        <f t="shared" si="63"/>
        <v/>
      </c>
    </row>
    <row r="255" spans="1:39">
      <c r="A255" t="s">
        <v>1883</v>
      </c>
      <c r="B255" t="s">
        <v>251</v>
      </c>
      <c r="C255" s="50" t="s">
        <v>2206</v>
      </c>
      <c r="D255" t="str">
        <f>'Laminates- copilot'!B89</f>
        <v>648W</v>
      </c>
      <c r="E255" s="858">
        <f>'Laminates- copilot'!D89</f>
        <v>106</v>
      </c>
      <c r="F255" s="858">
        <v>300</v>
      </c>
      <c r="G255" s="858">
        <v>300</v>
      </c>
      <c r="H255" s="858">
        <v>50</v>
      </c>
      <c r="I255" s="858">
        <v>0</v>
      </c>
      <c r="J255" s="858">
        <v>700</v>
      </c>
      <c r="K255" s="858">
        <v>50000</v>
      </c>
      <c r="L255" s="858" t="str">
        <f>'Laminates- copilot'!K89</f>
        <v>Printed</v>
      </c>
      <c r="M255" s="858" t="str">
        <f>'Laminates- copilot'!L89</f>
        <v>5-8</v>
      </c>
      <c r="N255" s="858">
        <f>'Laminates- copilot'!M89</f>
        <v>8</v>
      </c>
      <c r="O255" s="858" t="str">
        <f>'Laminates- copilot'!O89</f>
        <v>Marma</v>
      </c>
      <c r="P255" s="858" t="str">
        <f>'Laminates- copilot'!N89</f>
        <v>Europe to US</v>
      </c>
      <c r="Q255" s="858">
        <f t="shared" si="48"/>
        <v>15000</v>
      </c>
      <c r="R255" s="858">
        <f t="shared" si="49"/>
        <v>15000</v>
      </c>
      <c r="S255" s="858">
        <f>IFERROR('Laminates- copilot'!Q89/'Laminates- copilot'!P89*Q255,"")</f>
        <v>1837.6200000000001</v>
      </c>
      <c r="T255" s="203">
        <f>IFERROR('Laminates- copilot'!R89/'Laminates- copilot'!P89*Q255,"")</f>
        <v>30418.967724890608</v>
      </c>
      <c r="U255" s="912">
        <f>IFERROR('Laminates- copilot'!S89/'Laminates- copilot'!P89*Q255,"")</f>
        <v>35286.002560873101</v>
      </c>
      <c r="V255" s="913">
        <f t="shared" si="50"/>
        <v>16.55345921620934</v>
      </c>
      <c r="W255" s="914">
        <f t="shared" si="51"/>
        <v>19.202012690802832</v>
      </c>
      <c r="X255" s="913">
        <f t="shared" si="52"/>
        <v>2.0279311816593739</v>
      </c>
      <c r="Y255" s="913">
        <f t="shared" si="53"/>
        <v>16.55345921620934</v>
      </c>
      <c r="Z255" s="95">
        <f t="shared" si="54"/>
        <v>13605</v>
      </c>
      <c r="AA255" s="50" t="str">
        <f t="shared" si="55"/>
        <v>MOQ OK</v>
      </c>
      <c r="AB255" s="923">
        <f t="shared" si="56"/>
        <v>0.97856544164841219</v>
      </c>
      <c r="AC255" s="924">
        <f t="shared" si="57"/>
        <v>1.135135912312158</v>
      </c>
      <c r="AD255" s="203">
        <f t="shared" si="58"/>
        <v>48928.272082420612</v>
      </c>
      <c r="AE255" s="912">
        <f t="shared" si="59"/>
        <v>56756.795615607909</v>
      </c>
      <c r="AF255" s="923" cm="1">
        <f t="array" ref="AF255">IF(O255="Quantum",IFERROR(_xlfn.LET(_xlpm.b,_xlfn.SWITCH(LOWER(B255),"zipper bag","Zipper pouch","open bag","Open pouch","sup with zipper","Stand-up pouch","stand-up pouch","Stand-up pouch",B255),_xlpm.w,G255,_xlpm.q,K255,_xlpm.types,'Converting-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missing"),IFERROR(_xlfn.LET(_xlpm.s,O255,_xlpm.b,_xlfn.SWITCH(LOWER(B255),"zipper bag","Zipper pouch","open bag","Open pouch",B255),_xlpm.w,G255,_xlpm.q,K255,_xlpm.src,'Converting-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255" s="923">
        <f>IFERROR(IF(OR(B255="Zipper pouch",B255="SUP with zipper"),HELPER!$DE$2*(AH255+AI255)/K255,HELPER!$DE$2*AH255/K255),"Data is missing")</f>
        <v>2.4853574179912487E-2</v>
      </c>
      <c r="AH255" s="923">
        <f t="shared" si="60"/>
        <v>2.0279311816593739</v>
      </c>
      <c r="AI255" s="923">
        <f>IF(OR(B255="Zipper pouch",B255="SUP with zipper"),HELPER!$DC$2*G255/1000,"")</f>
        <v>4.3199999999999995E-2</v>
      </c>
      <c r="AJ255" s="923" cm="1">
        <f t="array" ref="AJ255">IF(INDEX('Laminates- copilot'!$E$6:$E$257,ROUNDUP((ROW()-5)/3,0))+50&gt;IF(O255="Quantum",760,1220),"Width exceeds supplier maximum",IFERROR(AF255+AG255+N(AI255)+AH255*G255/1000/MAX(1,MIN(MAX(2,INT(900/INDEX('Laminates- copilot'!$E$6:$E$257,ROUNDUP((ROW()-5)/3,0)))),INT((IF(O255="Quantum",760,1220)-50)/INDEX('Laminates- copilot'!$E$6:$E$257,ROUNDUP((ROW()-5)/3,0))))),"Data is missing"))</f>
        <v>0.73392408123630914</v>
      </c>
      <c r="AK255" s="203">
        <f t="shared" si="61"/>
        <v>978.56544164841216</v>
      </c>
      <c r="AL255" t="str">
        <f t="shared" si="62"/>
        <v>PASS</v>
      </c>
      <c r="AM255" s="50" t="str">
        <f t="shared" si="63"/>
        <v/>
      </c>
    </row>
    <row r="256" spans="1:39">
      <c r="A256" t="s">
        <v>1884</v>
      </c>
      <c r="B256" t="s">
        <v>261</v>
      </c>
      <c r="C256" s="50" t="s">
        <v>2206</v>
      </c>
      <c r="D256" t="str">
        <f>'Laminates- copilot'!B89</f>
        <v>648W</v>
      </c>
      <c r="E256" s="858">
        <f>'Laminates- copilot'!D89</f>
        <v>106</v>
      </c>
      <c r="F256" s="858">
        <v>300</v>
      </c>
      <c r="G256" s="858">
        <v>300</v>
      </c>
      <c r="H256" s="858">
        <v>50</v>
      </c>
      <c r="I256" s="858">
        <v>0</v>
      </c>
      <c r="J256" s="858">
        <v>700</v>
      </c>
      <c r="K256" s="858">
        <v>50000</v>
      </c>
      <c r="L256" s="858" t="str">
        <f>'Laminates- copilot'!K89</f>
        <v>Printed</v>
      </c>
      <c r="M256" s="858" t="str">
        <f>'Laminates- copilot'!L89</f>
        <v>5-8</v>
      </c>
      <c r="N256" s="858">
        <f>'Laminates- copilot'!M89</f>
        <v>8</v>
      </c>
      <c r="O256" s="858" t="str">
        <f>'Laminates- copilot'!O89</f>
        <v>Marma</v>
      </c>
      <c r="P256" s="858" t="str">
        <f>'Laminates- copilot'!N89</f>
        <v>Europe to US</v>
      </c>
      <c r="Q256" s="858">
        <f t="shared" si="48"/>
        <v>15000</v>
      </c>
      <c r="R256" s="858">
        <f t="shared" si="49"/>
        <v>15000</v>
      </c>
      <c r="S256" s="858">
        <f>IFERROR('Laminates- copilot'!Q89/'Laminates- copilot'!P89*Q256,"")</f>
        <v>1837.6200000000001</v>
      </c>
      <c r="T256" s="203">
        <f>IFERROR('Laminates- copilot'!R89/'Laminates- copilot'!P89*Q256,"")</f>
        <v>30418.967724890608</v>
      </c>
      <c r="U256" s="912">
        <f>IFERROR('Laminates- copilot'!S89/'Laminates- copilot'!P89*Q256,"")</f>
        <v>35286.002560873101</v>
      </c>
      <c r="V256" s="913">
        <f t="shared" si="50"/>
        <v>16.55345921620934</v>
      </c>
      <c r="W256" s="914">
        <f t="shared" si="51"/>
        <v>19.202012690802832</v>
      </c>
      <c r="X256" s="913">
        <f t="shared" si="52"/>
        <v>2.0279311816593739</v>
      </c>
      <c r="Y256" s="913">
        <f t="shared" si="53"/>
        <v>16.55345921620934</v>
      </c>
      <c r="Z256" s="95">
        <f t="shared" si="54"/>
        <v>13605</v>
      </c>
      <c r="AA256" s="50" t="str">
        <f t="shared" si="55"/>
        <v>MOQ OK</v>
      </c>
      <c r="AB256" s="923">
        <f t="shared" si="56"/>
        <v>0.97272221744076903</v>
      </c>
      <c r="AC256" s="924">
        <f t="shared" si="57"/>
        <v>1.1283577722312921</v>
      </c>
      <c r="AD256" s="203">
        <f t="shared" si="58"/>
        <v>48636.110872038451</v>
      </c>
      <c r="AE256" s="912">
        <f t="shared" si="59"/>
        <v>56417.888611564602</v>
      </c>
      <c r="AF256" s="923" cm="1">
        <f t="array" ref="AF256">IF(O256="Quantum",IFERROR(_xlfn.LET(_xlpm.b,_xlfn.SWITCH(LOWER(B256),"zipper bag","Zipper pouch","open bag","Open pouch","sup with zipper","Stand-up pouch","stand-up pouch","Stand-up pouch",B256),_xlpm.w,G256,_xlpm.q,K256,_xlpm.types,'Converting-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missing"),IFERROR(_xlfn.LET(_xlpm.s,O256,_xlpm.b,_xlfn.SWITCH(LOWER(B256),"zipper bag","Zipper pouch","open bag","Open pouch",B256),_xlpm.w,G256,_xlpm.q,K256,_xlpm.src,'Converting-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256" s="923">
        <f>IFERROR(IF(OR(B256="Zipper pouch",B256="SUP with zipper"),HELPER!$DE$2*(AH256+AI256)/K256,HELPER!$DE$2*AH256/K256),"Data is missing")</f>
        <v>2.4853574179912487E-2</v>
      </c>
      <c r="AH256" s="923">
        <f t="shared" si="60"/>
        <v>2.0279311816593739</v>
      </c>
      <c r="AI256" s="923">
        <f>IF(OR(B256="Zipper pouch",B256="SUP with zipper"),HELPER!$DC$2*G256/1000,"")</f>
        <v>4.3199999999999995E-2</v>
      </c>
      <c r="AJ256" s="923" cm="1">
        <f t="array" ref="AJ256">IF(INDEX('Laminates- copilot'!$E$6:$E$257,ROUNDUP((ROW()-5)/3,0))+50&gt;IF(O256="Quantum",760,1220),"Width exceeds supplier maximum",IFERROR(AF256+AG256+N(AI256)+AH256*G256/1000/MAX(1,MIN(MAX(2,INT(900/INDEX('Laminates- copilot'!$E$6:$E$257,ROUNDUP((ROW()-5)/3,0)))),INT((IF(O256="Quantum",760,1220)-50)/INDEX('Laminates- copilot'!$E$6:$E$257,ROUNDUP((ROW()-5)/3,0))))),"Data is missing"))</f>
        <v>0.72954166308057677</v>
      </c>
      <c r="AK256" s="203">
        <f t="shared" si="61"/>
        <v>972.72221744076899</v>
      </c>
      <c r="AL256" t="str">
        <f t="shared" si="62"/>
        <v>PASS</v>
      </c>
      <c r="AM256" s="50" t="str">
        <f t="shared" si="63"/>
        <v/>
      </c>
    </row>
    <row r="257" spans="1:39">
      <c r="A257" t="s">
        <v>1885</v>
      </c>
      <c r="B257" t="s">
        <v>262</v>
      </c>
      <c r="C257" s="50" t="s">
        <v>2206</v>
      </c>
      <c r="D257" t="str">
        <f>'Laminates- copilot'!B89</f>
        <v>648W</v>
      </c>
      <c r="E257" s="858">
        <f>'Laminates- copilot'!D89</f>
        <v>106</v>
      </c>
      <c r="F257" s="858">
        <v>300</v>
      </c>
      <c r="G257" s="858">
        <v>300</v>
      </c>
      <c r="H257" s="858">
        <v>0</v>
      </c>
      <c r="I257" s="858">
        <v>10</v>
      </c>
      <c r="J257" s="858">
        <v>610</v>
      </c>
      <c r="K257" s="858">
        <v>50000</v>
      </c>
      <c r="L257" s="858" t="str">
        <f>'Laminates- copilot'!K89</f>
        <v>Printed</v>
      </c>
      <c r="M257" s="858" t="str">
        <f>'Laminates- copilot'!L89</f>
        <v>5-8</v>
      </c>
      <c r="N257" s="858">
        <f>'Laminates- copilot'!M89</f>
        <v>8</v>
      </c>
      <c r="O257" s="858" t="str">
        <f>'Laminates- copilot'!O89</f>
        <v>Marma</v>
      </c>
      <c r="P257" s="858" t="str">
        <f>'Laminates- copilot'!N89</f>
        <v>Europe to US</v>
      </c>
      <c r="Q257" s="858">
        <f t="shared" si="48"/>
        <v>15000</v>
      </c>
      <c r="R257" s="858">
        <f t="shared" si="49"/>
        <v>15000</v>
      </c>
      <c r="S257" s="858">
        <f>IFERROR('Laminates- copilot'!Q89/'Laminates- copilot'!P89*Q257,"")</f>
        <v>1837.6200000000001</v>
      </c>
      <c r="T257" s="203">
        <f>IFERROR('Laminates- copilot'!R89/'Laminates- copilot'!P89*Q257,"")</f>
        <v>30418.967724890608</v>
      </c>
      <c r="U257" s="912">
        <f>IFERROR('Laminates- copilot'!S89/'Laminates- copilot'!P89*Q257,"")</f>
        <v>35286.002560873101</v>
      </c>
      <c r="V257" s="913">
        <f t="shared" si="50"/>
        <v>16.55345921620934</v>
      </c>
      <c r="W257" s="914">
        <f t="shared" si="51"/>
        <v>19.202012690802832</v>
      </c>
      <c r="X257" s="913">
        <f t="shared" si="52"/>
        <v>2.0279311816593739</v>
      </c>
      <c r="Y257" s="913">
        <f t="shared" si="53"/>
        <v>16.55345921620934</v>
      </c>
      <c r="Z257" s="95">
        <f t="shared" si="54"/>
        <v>13605</v>
      </c>
      <c r="AA257" s="50" t="str">
        <f t="shared" si="55"/>
        <v>MOQ OK</v>
      </c>
      <c r="AB257" s="923">
        <f t="shared" si="56"/>
        <v>0.90754301044320151</v>
      </c>
      <c r="AC257" s="924">
        <f t="shared" si="57"/>
        <v>1.0527498921141136</v>
      </c>
      <c r="AD257" s="203">
        <f t="shared" si="58"/>
        <v>45377.150522160075</v>
      </c>
      <c r="AE257" s="912">
        <f t="shared" si="59"/>
        <v>52637.49460570568</v>
      </c>
      <c r="AF257" s="923" cm="1">
        <f t="array" ref="AF257">IF(O257="Quantum",IFERROR(_xlfn.LET(_xlpm.b,_xlfn.SWITCH(LOWER(B257),"zipper bag","Zipper pouch","open bag","Open pouch","sup with zipper","Stand-up pouch","stand-up pouch","Stand-up pouch",B257),_xlpm.w,G257,_xlpm.q,K257,_xlpm.types,'Converting-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missing"),IFERROR(_xlfn.LET(_xlpm.s,O257,_xlpm.b,_xlfn.SWITCH(LOWER(B257),"zipper bag","Zipper pouch","open bag","Open pouch",B257),_xlpm.w,G257,_xlpm.q,K257,_xlpm.src,'Converting-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257" s="923">
        <f>IFERROR(IF(OR(B257="Zipper pouch",B257="SUP with zipper"),HELPER!$DE$2*(AH257+AI257)/K257,HELPER!$DE$2*AH257/K257),"Data is missing")</f>
        <v>2.4335174179912489E-2</v>
      </c>
      <c r="AH257" s="923">
        <f t="shared" si="60"/>
        <v>2.0279311816593739</v>
      </c>
      <c r="AI257" s="923" t="str">
        <f>IF(OR(B257="Zipper pouch",B257="SUP with zipper"),HELPER!$DC$2*G257/1000,"")</f>
        <v/>
      </c>
      <c r="AJ257" s="923" cm="1">
        <f t="array" ref="AJ257">IF(INDEX('Laminates- copilot'!$E$6:$E$257,ROUNDUP((ROW()-5)/3,0))+50&gt;IF(O257="Quantum",760,1220),"Width exceeds supplier maximum",IFERROR(AF257+AG257+N(AI257)+AH257*G257/1000/MAX(1,MIN(MAX(2,INT(900/INDEX('Laminates- copilot'!$E$6:$E$257,ROUNDUP((ROW()-5)/3,0)))),INT((IF(O257="Quantum",760,1220)-50)/INDEX('Laminates- copilot'!$E$6:$E$257,ROUNDUP((ROW()-5)/3,0))))),"Data is missing"))</f>
        <v>0.68065725783240116</v>
      </c>
      <c r="AK257" s="203">
        <f t="shared" si="61"/>
        <v>907.54301044320152</v>
      </c>
      <c r="AL257" t="str">
        <f t="shared" si="62"/>
        <v>PASS</v>
      </c>
      <c r="AM257" s="50" t="str">
        <f t="shared" si="63"/>
        <v/>
      </c>
    </row>
    <row r="258" spans="1:39" hidden="1">
      <c r="A258" t="s">
        <v>1886</v>
      </c>
      <c r="B258" t="s">
        <v>251</v>
      </c>
      <c r="C258" s="50" t="s">
        <v>2207</v>
      </c>
      <c r="D258" t="str">
        <f>'Laminates- copilot'!B90</f>
        <v>648W</v>
      </c>
      <c r="E258" s="858">
        <f>'Laminates- copilot'!D90</f>
        <v>63</v>
      </c>
      <c r="F258" s="858">
        <v>350</v>
      </c>
      <c r="G258" s="858">
        <v>400</v>
      </c>
      <c r="H258" s="858">
        <v>60</v>
      </c>
      <c r="I258" s="858">
        <v>0</v>
      </c>
      <c r="J258" s="858">
        <v>820</v>
      </c>
      <c r="K258" s="858">
        <v>100000</v>
      </c>
      <c r="L258" s="858" t="str">
        <f>'Laminates- copilot'!K90</f>
        <v>Not Printed</v>
      </c>
      <c r="M258" s="858" t="str">
        <f>'Laminates- copilot'!L90</f>
        <v>0</v>
      </c>
      <c r="N258" s="858">
        <f>'Laminates- copilot'!M90</f>
        <v>1</v>
      </c>
      <c r="O258" s="858" t="str">
        <f>'Laminates- copilot'!O90</f>
        <v>Bastin</v>
      </c>
      <c r="P258" s="858" t="str">
        <f>'Laminates- copilot'!N90</f>
        <v>Europe to Europe</v>
      </c>
      <c r="Q258" s="858">
        <f t="shared" si="48"/>
        <v>40000</v>
      </c>
      <c r="R258" s="858">
        <f t="shared" si="49"/>
        <v>40000</v>
      </c>
      <c r="S258" s="858">
        <f>IFERROR('Laminates- copilot'!Q90/'Laminates- copilot'!P90*Q258,"")</f>
        <v>1147.44</v>
      </c>
      <c r="T258" s="203">
        <f>IFERROR('Laminates- copilot'!R90/'Laminates- copilot'!P90*Q258,"")</f>
        <v>15186.574730968749</v>
      </c>
      <c r="U258" s="912">
        <f>IFERROR('Laminates- copilot'!S90/'Laminates- copilot'!P90*Q258,"")</f>
        <v>17616.426687923751</v>
      </c>
      <c r="V258" s="913">
        <f t="shared" si="50"/>
        <v>13.235179818525367</v>
      </c>
      <c r="W258" s="914">
        <f t="shared" si="51"/>
        <v>15.352808589489429</v>
      </c>
      <c r="X258" s="913">
        <f t="shared" si="52"/>
        <v>0.37966436827421873</v>
      </c>
      <c r="Y258" s="913">
        <f t="shared" si="53"/>
        <v>13.235179818525367</v>
      </c>
      <c r="Z258" s="95">
        <f t="shared" si="54"/>
        <v>43576</v>
      </c>
      <c r="AA258" s="50" t="str">
        <f t="shared" si="55"/>
        <v>MOQ OK</v>
      </c>
      <c r="AB258" s="923">
        <f t="shared" si="56"/>
        <v>0.31217392480576861</v>
      </c>
      <c r="AC258" s="924">
        <f t="shared" si="57"/>
        <v>0.36212175277469155</v>
      </c>
      <c r="AD258" s="203">
        <f t="shared" si="58"/>
        <v>31217.392480576862</v>
      </c>
      <c r="AE258" s="912">
        <f t="shared" si="59"/>
        <v>36212.175277469156</v>
      </c>
      <c r="AF258" s="923" cm="1">
        <f t="array" ref="AF258">IF(O258="Quantum",IFERROR(_xlfn.LET(_xlpm.b,_xlfn.SWITCH(LOWER(B258),"zipper bag","Zipper pouch","open bag","Open pouch","sup with zipper","Stand-up pouch","stand-up pouch","Stand-up pouch",B258),_xlpm.w,G258,_xlpm.q,K258,_xlpm.types,'Converting-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missing"),IFERROR(_xlfn.LET(_xlpm.s,O258,_xlpm.b,_xlfn.SWITCH(LOWER(B258),"zipper bag","Zipper pouch","open bag","Open pouch",B258),_xlpm.w,G258,_xlpm.q,K258,_xlpm.src,'Converting-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258" s="923">
        <f>IFERROR(IF(OR(B258="Zipper pouch",B258="SUP with zipper"),HELPER!$DE$2*(AH258+AI258)/K258,HELPER!$DE$2*AH258/K258),"Data is missing")</f>
        <v>2.6235862096453122E-3</v>
      </c>
      <c r="AH258" s="923">
        <f t="shared" si="60"/>
        <v>0.37966436827421873</v>
      </c>
      <c r="AI258" s="923">
        <f>IF(OR(B258="Zipper pouch",B258="SUP with zipper"),HELPER!$DC$2*G258/1000,"")</f>
        <v>5.7599999999999991E-2</v>
      </c>
      <c r="AJ258" s="923" cm="1">
        <f t="array" ref="AJ258">IF(INDEX('Laminates- copilot'!$E$6:$E$257,ROUNDUP((ROW()-5)/3,0))+50&gt;IF(O258="Quantum",760,1220),"Width exceeds supplier maximum",IFERROR(AF258+AG258+N(AI258)+AH258*G258/1000/MAX(1,MIN(MAX(2,INT(900/INDEX('Laminates- copilot'!$E$6:$E$257,ROUNDUP((ROW()-5)/3,0)))),INT((IF(O258="Quantum",760,1220)-50)/INDEX('Laminates- copilot'!$E$6:$E$257,ROUNDUP((ROW()-5)/3,0))))),"Data is missing"))</f>
        <v>0.23413044360432644</v>
      </c>
      <c r="AK258" s="203">
        <f t="shared" si="61"/>
        <v>312.17392480576859</v>
      </c>
      <c r="AL258" t="str">
        <f t="shared" si="62"/>
        <v>PASS</v>
      </c>
      <c r="AM258" s="50" t="str">
        <f t="shared" si="63"/>
        <v/>
      </c>
    </row>
    <row r="259" spans="1:39" hidden="1">
      <c r="A259" t="s">
        <v>1887</v>
      </c>
      <c r="B259" t="s">
        <v>261</v>
      </c>
      <c r="C259" s="50" t="s">
        <v>2207</v>
      </c>
      <c r="D259" t="str">
        <f>'Laminates- copilot'!B90</f>
        <v>648W</v>
      </c>
      <c r="E259" s="858">
        <f>'Laminates- copilot'!D90</f>
        <v>63</v>
      </c>
      <c r="F259" s="858">
        <v>350</v>
      </c>
      <c r="G259" s="858">
        <v>400</v>
      </c>
      <c r="H259" s="858">
        <v>60</v>
      </c>
      <c r="I259" s="858">
        <v>0</v>
      </c>
      <c r="J259" s="858">
        <v>820</v>
      </c>
      <c r="K259" s="858">
        <v>100000</v>
      </c>
      <c r="L259" s="858" t="str">
        <f>'Laminates- copilot'!K90</f>
        <v>Not Printed</v>
      </c>
      <c r="M259" s="858" t="str">
        <f>'Laminates- copilot'!L90</f>
        <v>0</v>
      </c>
      <c r="N259" s="858">
        <f>'Laminates- copilot'!M90</f>
        <v>1</v>
      </c>
      <c r="O259" s="858" t="str">
        <f>'Laminates- copilot'!O90</f>
        <v>Bastin</v>
      </c>
      <c r="P259" s="858" t="str">
        <f>'Laminates- copilot'!N90</f>
        <v>Europe to Europe</v>
      </c>
      <c r="Q259" s="858">
        <f t="shared" si="48"/>
        <v>40000</v>
      </c>
      <c r="R259" s="858">
        <f t="shared" si="49"/>
        <v>40000</v>
      </c>
      <c r="S259" s="858">
        <f>IFERROR('Laminates- copilot'!Q90/'Laminates- copilot'!P90*Q259,"")</f>
        <v>1147.44</v>
      </c>
      <c r="T259" s="203">
        <f>IFERROR('Laminates- copilot'!R90/'Laminates- copilot'!P90*Q259,"")</f>
        <v>15186.574730968749</v>
      </c>
      <c r="U259" s="912">
        <f>IFERROR('Laminates- copilot'!S90/'Laminates- copilot'!P90*Q259,"")</f>
        <v>17616.426687923751</v>
      </c>
      <c r="V259" s="913">
        <f t="shared" si="50"/>
        <v>13.235179818525367</v>
      </c>
      <c r="W259" s="914">
        <f t="shared" si="51"/>
        <v>15.352808589489429</v>
      </c>
      <c r="X259" s="913">
        <f t="shared" si="52"/>
        <v>0.37966436827421873</v>
      </c>
      <c r="Y259" s="913">
        <f t="shared" si="53"/>
        <v>13.235179818525367</v>
      </c>
      <c r="Z259" s="95">
        <f t="shared" si="54"/>
        <v>43576</v>
      </c>
      <c r="AA259" s="50" t="str">
        <f t="shared" si="55"/>
        <v>MOQ OK</v>
      </c>
      <c r="AB259" s="923">
        <f t="shared" si="56"/>
        <v>0.30224044365277525</v>
      </c>
      <c r="AC259" s="924">
        <f t="shared" si="57"/>
        <v>0.35059891463721926</v>
      </c>
      <c r="AD259" s="203">
        <f t="shared" si="58"/>
        <v>30224.044365277525</v>
      </c>
      <c r="AE259" s="912">
        <f t="shared" si="59"/>
        <v>35059.891463721928</v>
      </c>
      <c r="AF259" s="923" cm="1">
        <f t="array" ref="AF259">IF(O259="Quantum",IFERROR(_xlfn.LET(_xlpm.b,_xlfn.SWITCH(LOWER(B259),"zipper bag","Zipper pouch","open bag","Open pouch","sup with zipper","Stand-up pouch","stand-up pouch","Stand-up pouch",B259),_xlpm.w,G259,_xlpm.q,K259,_xlpm.types,'Converting-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missing"),IFERROR(_xlfn.LET(_xlpm.s,O259,_xlpm.b,_xlfn.SWITCH(LOWER(B259),"zipper bag","Zipper pouch","open bag","Open pouch",B259),_xlpm.w,G259,_xlpm.q,K259,_xlpm.src,'Converting-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259" s="923">
        <f>IFERROR(IF(OR(B259="Zipper pouch",B259="SUP with zipper"),HELPER!$DE$2*(AH259+AI259)/K259,HELPER!$DE$2*AH259/K259),"Data is missing")</f>
        <v>2.6235862096453122E-3</v>
      </c>
      <c r="AH259" s="923">
        <f t="shared" si="60"/>
        <v>0.37966436827421873</v>
      </c>
      <c r="AI259" s="923">
        <f>IF(OR(B259="Zipper pouch",B259="SUP with zipper"),HELPER!$DC$2*G259/1000,"")</f>
        <v>5.7599999999999991E-2</v>
      </c>
      <c r="AJ259" s="923" cm="1">
        <f t="array" ref="AJ259">IF(INDEX('Laminates- copilot'!$E$6:$E$257,ROUNDUP((ROW()-5)/3,0))+50&gt;IF(O259="Quantum",760,1220),"Width exceeds supplier maximum",IFERROR(AF259+AG259+N(AI259)+AH259*G259/1000/MAX(1,MIN(MAX(2,INT(900/INDEX('Laminates- copilot'!$E$6:$E$257,ROUNDUP((ROW()-5)/3,0)))),INT((IF(O259="Quantum",760,1220)-50)/INDEX('Laminates- copilot'!$E$6:$E$257,ROUNDUP((ROW()-5)/3,0))))),"Data is missing"))</f>
        <v>0.22668033273958144</v>
      </c>
      <c r="AK259" s="203">
        <f t="shared" si="61"/>
        <v>302.24044365277524</v>
      </c>
      <c r="AL259" t="str">
        <f t="shared" si="62"/>
        <v>PASS</v>
      </c>
      <c r="AM259" s="50" t="str">
        <f t="shared" si="63"/>
        <v/>
      </c>
    </row>
    <row r="260" spans="1:39" hidden="1">
      <c r="A260" t="s">
        <v>1888</v>
      </c>
      <c r="B260" t="s">
        <v>262</v>
      </c>
      <c r="C260" s="50" t="s">
        <v>2207</v>
      </c>
      <c r="D260" t="str">
        <f>'Laminates- copilot'!B90</f>
        <v>648W</v>
      </c>
      <c r="E260" s="858">
        <f>'Laminates- copilot'!D90</f>
        <v>63</v>
      </c>
      <c r="F260" s="858">
        <v>350</v>
      </c>
      <c r="G260" s="858">
        <v>400</v>
      </c>
      <c r="H260" s="858">
        <v>0</v>
      </c>
      <c r="I260" s="858">
        <v>0</v>
      </c>
      <c r="J260" s="858">
        <v>700</v>
      </c>
      <c r="K260" s="858">
        <v>100000</v>
      </c>
      <c r="L260" s="858" t="str">
        <f>'Laminates- copilot'!K90</f>
        <v>Not Printed</v>
      </c>
      <c r="M260" s="858" t="str">
        <f>'Laminates- copilot'!L90</f>
        <v>0</v>
      </c>
      <c r="N260" s="858">
        <f>'Laminates- copilot'!M90</f>
        <v>1</v>
      </c>
      <c r="O260" s="858" t="str">
        <f>'Laminates- copilot'!O90</f>
        <v>Bastin</v>
      </c>
      <c r="P260" s="858" t="str">
        <f>'Laminates- copilot'!N90</f>
        <v>Europe to Europe</v>
      </c>
      <c r="Q260" s="858">
        <f t="shared" si="48"/>
        <v>40000</v>
      </c>
      <c r="R260" s="858">
        <f t="shared" si="49"/>
        <v>40000</v>
      </c>
      <c r="S260" s="858">
        <f>IFERROR('Laminates- copilot'!Q90/'Laminates- copilot'!P90*Q260,"")</f>
        <v>1147.44</v>
      </c>
      <c r="T260" s="203">
        <f>IFERROR('Laminates- copilot'!R90/'Laminates- copilot'!P90*Q260,"")</f>
        <v>15186.574730968749</v>
      </c>
      <c r="U260" s="912">
        <f>IFERROR('Laminates- copilot'!S90/'Laminates- copilot'!P90*Q260,"")</f>
        <v>17616.426687923751</v>
      </c>
      <c r="V260" s="913">
        <f t="shared" si="50"/>
        <v>13.235179818525367</v>
      </c>
      <c r="W260" s="914">
        <f t="shared" si="51"/>
        <v>15.352808589489429</v>
      </c>
      <c r="X260" s="913">
        <f t="shared" si="52"/>
        <v>0.37966436827421873</v>
      </c>
      <c r="Y260" s="913">
        <f t="shared" si="53"/>
        <v>13.235179818525367</v>
      </c>
      <c r="Z260" s="95">
        <f t="shared" si="54"/>
        <v>43576</v>
      </c>
      <c r="AA260" s="50" t="str">
        <f t="shared" si="55"/>
        <v>MOQ OK</v>
      </c>
      <c r="AB260" s="923">
        <f t="shared" si="56"/>
        <v>0.21185164526535338</v>
      </c>
      <c r="AC260" s="924">
        <f t="shared" si="57"/>
        <v>0.24574790850780992</v>
      </c>
      <c r="AD260" s="203">
        <f t="shared" si="58"/>
        <v>21185.16452653534</v>
      </c>
      <c r="AE260" s="912">
        <f t="shared" si="59"/>
        <v>24574.790850780992</v>
      </c>
      <c r="AF260" s="923" cm="1">
        <f t="array" ref="AF260">IF(O260="Quantum",IFERROR(_xlfn.LET(_xlpm.b,_xlfn.SWITCH(LOWER(B260),"zipper bag","Zipper pouch","open bag","Open pouch","sup with zipper","Stand-up pouch","stand-up pouch","Stand-up pouch",B260),_xlpm.w,G260,_xlpm.q,K260,_xlpm.types,'Converting-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missing"),IFERROR(_xlfn.LET(_xlpm.s,O260,_xlpm.b,_xlfn.SWITCH(LOWER(B260),"zipper bag","Zipper pouch","open bag","Open pouch",B260),_xlpm.w,G260,_xlpm.q,K260,_xlpm.src,'Converting-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60" s="923">
        <f>IFERROR(IF(OR(B260="Zipper pouch",B260="SUP with zipper"),HELPER!$DE$2*(AH260+AI260)/K260,HELPER!$DE$2*AH260/K260),"Data is missing")</f>
        <v>2.2779862096453125E-3</v>
      </c>
      <c r="AH260" s="923">
        <f t="shared" si="60"/>
        <v>0.37966436827421873</v>
      </c>
      <c r="AI260" s="923" t="str">
        <f>IF(OR(B260="Zipper pouch",B260="SUP with zipper"),HELPER!$DC$2*G260/1000,"")</f>
        <v/>
      </c>
      <c r="AJ260" s="923" cm="1">
        <f t="array" ref="AJ260">IF(INDEX('Laminates- copilot'!$E$6:$E$257,ROUNDUP((ROW()-5)/3,0))+50&gt;IF(O260="Quantum",760,1220),"Width exceeds supplier maximum",IFERROR(AF260+AG260+N(AI260)+AH260*G260/1000/MAX(1,MIN(MAX(2,INT(900/INDEX('Laminates- copilot'!$E$6:$E$257,ROUNDUP((ROW()-5)/3,0)))),INT((IF(O260="Quantum",760,1220)-50)/INDEX('Laminates- copilot'!$E$6:$E$257,ROUNDUP((ROW()-5)/3,0))))),"Data is missing"))</f>
        <v>0.15888873394901504</v>
      </c>
      <c r="AK260" s="203">
        <f t="shared" si="61"/>
        <v>211.8516452653534</v>
      </c>
      <c r="AL260" t="str">
        <f t="shared" si="62"/>
        <v>PASS</v>
      </c>
      <c r="AM260" s="50" t="str">
        <f t="shared" si="63"/>
        <v/>
      </c>
    </row>
    <row r="261" spans="1:39" hidden="1">
      <c r="A261" t="s">
        <v>1889</v>
      </c>
      <c r="B261" t="s">
        <v>251</v>
      </c>
      <c r="C261" s="50" t="s">
        <v>2208</v>
      </c>
      <c r="D261" t="str">
        <f>'Laminates- copilot'!B91</f>
        <v>648W</v>
      </c>
      <c r="E261" s="858">
        <f>'Laminates- copilot'!D91</f>
        <v>106</v>
      </c>
      <c r="F261" s="858">
        <v>400</v>
      </c>
      <c r="G261" s="858">
        <v>500</v>
      </c>
      <c r="H261" s="858">
        <v>80</v>
      </c>
      <c r="I261" s="858">
        <v>0</v>
      </c>
      <c r="J261" s="858">
        <v>960</v>
      </c>
      <c r="K261" s="858">
        <v>100000</v>
      </c>
      <c r="L261" s="858" t="str">
        <f>'Laminates- copilot'!K91</f>
        <v>Printed</v>
      </c>
      <c r="M261" s="858" t="str">
        <f>'Laminates- copilot'!L91</f>
        <v>3-4</v>
      </c>
      <c r="N261" s="858">
        <f>'Laminates- copilot'!M91</f>
        <v>4</v>
      </c>
      <c r="O261" s="858" t="str">
        <f>'Laminates- copilot'!O91</f>
        <v>Quantum</v>
      </c>
      <c r="P261" s="858" t="str">
        <f>'Laminates- copilot'!N91</f>
        <v>Europe to US</v>
      </c>
      <c r="Q261" s="858">
        <f t="shared" si="48"/>
        <v>50000</v>
      </c>
      <c r="R261" s="858">
        <f t="shared" si="49"/>
        <v>50000</v>
      </c>
      <c r="S261" s="858">
        <f>IFERROR('Laminates- copilot'!Q91/'Laminates- copilot'!P91*Q261,"")</f>
        <v>4083.6</v>
      </c>
      <c r="T261" s="203">
        <f>IFERROR('Laminates- copilot'!R91/'Laminates- copilot'!P91*Q261,"")</f>
        <v>102670.81368289313</v>
      </c>
      <c r="U261" s="912">
        <f>IFERROR('Laminates- copilot'!S91/'Laminates- copilot'!P91*Q261,"")</f>
        <v>119098.14387215603</v>
      </c>
      <c r="V261" s="913">
        <f t="shared" si="50"/>
        <v>25.142230797064631</v>
      </c>
      <c r="W261" s="914">
        <f t="shared" si="51"/>
        <v>29.164987724594972</v>
      </c>
      <c r="X261" s="913">
        <f t="shared" si="52"/>
        <v>2.0534162736578625</v>
      </c>
      <c r="Y261" s="913">
        <f t="shared" si="53"/>
        <v>25.142230797064631</v>
      </c>
      <c r="Z261" s="95">
        <f t="shared" si="54"/>
        <v>12245</v>
      </c>
      <c r="AA261" s="50" t="str">
        <f t="shared" si="55"/>
        <v>MOQ OK</v>
      </c>
      <c r="AB261" s="923">
        <f t="shared" si="56"/>
        <v>1.8436049555113343</v>
      </c>
      <c r="AC261" s="924">
        <f t="shared" si="57"/>
        <v>2.1385817483931477</v>
      </c>
      <c r="AD261" s="203">
        <f t="shared" si="58"/>
        <v>184360.49555113344</v>
      </c>
      <c r="AE261" s="912">
        <f t="shared" si="59"/>
        <v>213858.17483931477</v>
      </c>
      <c r="AF261" s="923" cm="1">
        <f t="array" ref="AF261">IF(O261="Quantum",IFERROR(_xlfn.LET(_xlpm.b,_xlfn.SWITCH(LOWER(B261),"zipper bag","Zipper pouch","open bag","Open pouch","sup with zipper","Stand-up pouch","stand-up pouch","Stand-up pouch",B261),_xlpm.w,G261,_xlpm.q,K261,_xlpm.types,'Converting-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missing"),IFERROR(_xlfn.LET(_xlpm.s,O261,_xlpm.b,_xlfn.SWITCH(LOWER(B261),"zipper bag","Zipper pouch","open bag","Open pouch",B261),_xlpm.w,G261,_xlpm.q,K261,_xlpm.src,'Converting-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261" s="923">
        <f>IFERROR(IF(OR(B261="Zipper pouch",B261="SUP with zipper"),HELPER!$DE$2*(AH261+AI261)/K261,HELPER!$DE$2*AH261/K261),"Data is missing")</f>
        <v>1.2752497641947176E-2</v>
      </c>
      <c r="AH261" s="923">
        <f t="shared" si="60"/>
        <v>2.0534162736578625</v>
      </c>
      <c r="AI261" s="923">
        <f>IF(OR(B261="Zipper pouch",B261="SUP with zipper"),HELPER!$DC$2*G261/1000,"")</f>
        <v>7.1999999999999995E-2</v>
      </c>
      <c r="AJ261" s="923" cm="1">
        <f t="array" ref="AJ261">IF(INDEX('Laminates- copilot'!$E$6:$E$257,ROUNDUP((ROW()-5)/3,0))+50&gt;IF(O261="Quantum",760,1220),"Width exceeds supplier maximum",IFERROR(AF261+AG261+N(AI261)+AH261*G261/1000/MAX(1,MIN(MAX(2,INT(900/INDEX('Laminates- copilot'!$E$6:$E$257,ROUNDUP((ROW()-5)/3,0)))),INT((IF(O261="Quantum",760,1220)-50)/INDEX('Laminates- copilot'!$E$6:$E$257,ROUNDUP((ROW()-5)/3,0))))),"Data is missing"))</f>
        <v>1.3827037166335008</v>
      </c>
      <c r="AK261" s="203">
        <f t="shared" si="61"/>
        <v>1843.6049555113343</v>
      </c>
      <c r="AL261" t="str">
        <f t="shared" si="62"/>
        <v>PASS</v>
      </c>
      <c r="AM261" s="50" t="str">
        <f t="shared" si="63"/>
        <v/>
      </c>
    </row>
    <row r="262" spans="1:39" hidden="1">
      <c r="A262" t="s">
        <v>1890</v>
      </c>
      <c r="B262" t="s">
        <v>261</v>
      </c>
      <c r="C262" s="50" t="s">
        <v>2208</v>
      </c>
      <c r="D262" t="str">
        <f>'Laminates- copilot'!B91</f>
        <v>648W</v>
      </c>
      <c r="E262" s="858">
        <f>'Laminates- copilot'!D91</f>
        <v>106</v>
      </c>
      <c r="F262" s="858">
        <v>400</v>
      </c>
      <c r="G262" s="858">
        <v>500</v>
      </c>
      <c r="H262" s="858">
        <v>80</v>
      </c>
      <c r="I262" s="858">
        <v>0</v>
      </c>
      <c r="J262" s="858">
        <v>960</v>
      </c>
      <c r="K262" s="858">
        <v>100000</v>
      </c>
      <c r="L262" s="858" t="str">
        <f>'Laminates- copilot'!K91</f>
        <v>Printed</v>
      </c>
      <c r="M262" s="858" t="str">
        <f>'Laminates- copilot'!L91</f>
        <v>3-4</v>
      </c>
      <c r="N262" s="858">
        <f>'Laminates- copilot'!M91</f>
        <v>4</v>
      </c>
      <c r="O262" s="858" t="str">
        <f>'Laminates- copilot'!O91</f>
        <v>Quantum</v>
      </c>
      <c r="P262" s="858" t="str">
        <f>'Laminates- copilot'!N91</f>
        <v>Europe to US</v>
      </c>
      <c r="Q262" s="858">
        <f t="shared" ref="Q262:Q325" si="64">K262*G262/1000</f>
        <v>50000</v>
      </c>
      <c r="R262" s="858">
        <f t="shared" ref="R262:R325" si="65">Q262</f>
        <v>50000</v>
      </c>
      <c r="S262" s="858">
        <f>IFERROR('Laminates- copilot'!Q91/'Laminates- copilot'!P91*Q262,"")</f>
        <v>4083.6</v>
      </c>
      <c r="T262" s="203">
        <f>IFERROR('Laminates- copilot'!R91/'Laminates- copilot'!P91*Q262,"")</f>
        <v>102670.81368289313</v>
      </c>
      <c r="U262" s="912">
        <f>IFERROR('Laminates- copilot'!S91/'Laminates- copilot'!P91*Q262,"")</f>
        <v>119098.14387215603</v>
      </c>
      <c r="V262" s="913">
        <f t="shared" ref="V262:V325" si="66">IFERROR(T262/S262,"")</f>
        <v>25.142230797064631</v>
      </c>
      <c r="W262" s="914">
        <f t="shared" ref="W262:W325" si="67">IFERROR(U262/S262,"")</f>
        <v>29.164987724594972</v>
      </c>
      <c r="X262" s="913">
        <f t="shared" ref="X262:X325" si="68">IFERROR(T262/Q262,"")</f>
        <v>2.0534162736578625</v>
      </c>
      <c r="Y262" s="913">
        <f t="shared" ref="Y262:Y325" si="69">V262</f>
        <v>25.142230797064631</v>
      </c>
      <c r="Z262" s="95">
        <f t="shared" ref="Z262:Z325" si="70">IFERROR(ROUNDUP((500*Q262/S262)*1000/G262,0),"")</f>
        <v>12245</v>
      </c>
      <c r="AA262" s="50" t="str">
        <f t="shared" ref="AA262:AA325" si="71">IF(OR(K262="",Z262=""),"MOQ data missing",IF(K262&gt;=Z262,"MOQ OK","Below MOQ by "&amp;TEXT(Z262-K262,"#,##0")&amp;" bags"))</f>
        <v>MOQ OK</v>
      </c>
      <c r="AB262" s="923">
        <f t="shared" ref="AB262:AB325" si="72">IFERROR(AJ262/(1-25%),"Data is missing")</f>
        <v>1.8041870787158503</v>
      </c>
      <c r="AC262" s="924">
        <f t="shared" ref="AC262:AC325" si="73">IFERROR(AB262*1.16,"Data is missing")</f>
        <v>2.0928570113103864</v>
      </c>
      <c r="AD262" s="203">
        <f t="shared" ref="AD262:AD325" si="74">IFERROR(AB262*K262,"Data is missing")</f>
        <v>180418.70787158504</v>
      </c>
      <c r="AE262" s="912">
        <f t="shared" ref="AE262:AE325" si="75">IFERROR(AD262*1.16,"Data is missing")</f>
        <v>209285.70113103863</v>
      </c>
      <c r="AF262" s="923" cm="1">
        <f t="array" ref="AF262">IF(O262="Quantum",IFERROR(_xlfn.LET(_xlpm.b,_xlfn.SWITCH(LOWER(B262),"zipper bag","Zipper pouch","open bag","Open pouch","sup with zipper","Stand-up pouch","stand-up pouch","Stand-up pouch",B262),_xlpm.w,G262,_xlpm.q,K262,_xlpm.types,'Converting-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missing"),IFERROR(_xlfn.LET(_xlpm.s,O262,_xlpm.b,_xlfn.SWITCH(LOWER(B262),"zipper bag","Zipper pouch","open bag","Open pouch",B262),_xlpm.w,G262,_xlpm.q,K262,_xlpm.src,'Converting-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262" s="923">
        <f>IFERROR(IF(OR(B262="Zipper pouch",B262="SUP with zipper"),HELPER!$DE$2*(AH262+AI262)/K262,HELPER!$DE$2*AH262/K262),"Data is missing")</f>
        <v>1.2752497641947176E-2</v>
      </c>
      <c r="AH262" s="923">
        <f t="shared" ref="AH262:AH325" si="76">X262</f>
        <v>2.0534162736578625</v>
      </c>
      <c r="AI262" s="923">
        <f>IF(OR(B262="Zipper pouch",B262="SUP with zipper"),HELPER!$DC$2*G262/1000,"")</f>
        <v>7.1999999999999995E-2</v>
      </c>
      <c r="AJ262" s="923" cm="1">
        <f t="array" ref="AJ262">IF(INDEX('Laminates- copilot'!$E$6:$E$257,ROUNDUP((ROW()-5)/3,0))+50&gt;IF(O262="Quantum",760,1220),"Width exceeds supplier maximum",IFERROR(AF262+AG262+N(AI262)+AH262*G262/1000/MAX(1,MIN(MAX(2,INT(900/INDEX('Laminates- copilot'!$E$6:$E$257,ROUNDUP((ROW()-5)/3,0)))),INT((IF(O262="Quantum",760,1220)-50)/INDEX('Laminates- copilot'!$E$6:$E$257,ROUNDUP((ROW()-5)/3,0))))),"Data is missing"))</f>
        <v>1.3531403090368876</v>
      </c>
      <c r="AK262" s="203">
        <f t="shared" ref="AK262:AK325" si="77">IFERROR(AB262*1000,"Data is missing")</f>
        <v>1804.1870787158502</v>
      </c>
      <c r="AL262" t="str">
        <f t="shared" ref="AL262:AL325" si="78">IF(AND(ISNUMBER(AB262),ISNUMBER(AD262),K262&gt;0,ISNUMBER(AJ262),AM262=""),IF(AND(ABS(AD262-AB262*K262)&lt;0.05,ABS(AB262-AJ262/(1-25%))&lt;0.0001),"PASS","CHECK"),"CHECK")</f>
        <v>PASS</v>
      </c>
      <c r="AM262" s="50" t="str">
        <f t="shared" ref="AM262:AM325" si="79">_xlfn.TEXTJOIN("; ",TRUE,IF(OR(AF262="Data is missing",AG262="Data is missing",AJ262="Data is missing"),"Missing conversion data",""),IF(NOT(ISNUMBER(S262)),"Missing laminate weight",""),IF(NOT(ISNUMBER(T262)),"Missing laminate cost",""))</f>
        <v/>
      </c>
    </row>
    <row r="263" spans="1:39" hidden="1">
      <c r="A263" t="s">
        <v>1891</v>
      </c>
      <c r="B263" t="s">
        <v>262</v>
      </c>
      <c r="C263" s="50" t="s">
        <v>2208</v>
      </c>
      <c r="D263" t="str">
        <f>'Laminates- copilot'!B91</f>
        <v>648W</v>
      </c>
      <c r="E263" s="858">
        <f>'Laminates- copilot'!D91</f>
        <v>106</v>
      </c>
      <c r="F263" s="858">
        <v>400</v>
      </c>
      <c r="G263" s="858">
        <v>500</v>
      </c>
      <c r="H263" s="858">
        <v>0</v>
      </c>
      <c r="I263" s="858">
        <v>20</v>
      </c>
      <c r="J263" s="858">
        <v>820</v>
      </c>
      <c r="K263" s="858">
        <v>100000</v>
      </c>
      <c r="L263" s="858" t="str">
        <f>'Laminates- copilot'!K91</f>
        <v>Printed</v>
      </c>
      <c r="M263" s="858" t="str">
        <f>'Laminates- copilot'!L91</f>
        <v>3-4</v>
      </c>
      <c r="N263" s="858">
        <f>'Laminates- copilot'!M91</f>
        <v>4</v>
      </c>
      <c r="O263" s="858" t="str">
        <f>'Laminates- copilot'!O91</f>
        <v>Quantum</v>
      </c>
      <c r="P263" s="858" t="str">
        <f>'Laminates- copilot'!N91</f>
        <v>Europe to US</v>
      </c>
      <c r="Q263" s="858">
        <f t="shared" si="64"/>
        <v>50000</v>
      </c>
      <c r="R263" s="858">
        <f t="shared" si="65"/>
        <v>50000</v>
      </c>
      <c r="S263" s="858">
        <f>IFERROR('Laminates- copilot'!Q91/'Laminates- copilot'!P91*Q263,"")</f>
        <v>4083.6</v>
      </c>
      <c r="T263" s="203">
        <f>IFERROR('Laminates- copilot'!R91/'Laminates- copilot'!P91*Q263,"")</f>
        <v>102670.81368289313</v>
      </c>
      <c r="U263" s="912">
        <f>IFERROR('Laminates- copilot'!S91/'Laminates- copilot'!P91*Q263,"")</f>
        <v>119098.14387215603</v>
      </c>
      <c r="V263" s="913">
        <f t="shared" si="66"/>
        <v>25.142230797064631</v>
      </c>
      <c r="W263" s="914">
        <f t="shared" si="67"/>
        <v>29.164987724594972</v>
      </c>
      <c r="X263" s="913">
        <f t="shared" si="68"/>
        <v>2.0534162736578625</v>
      </c>
      <c r="Y263" s="913">
        <f t="shared" si="69"/>
        <v>25.142230797064631</v>
      </c>
      <c r="Z263" s="95">
        <f t="shared" si="70"/>
        <v>12245</v>
      </c>
      <c r="AA263" s="50" t="str">
        <f t="shared" si="71"/>
        <v>MOQ OK</v>
      </c>
      <c r="AB263" s="923">
        <f t="shared" si="72"/>
        <v>1.6737779267047499</v>
      </c>
      <c r="AC263" s="924">
        <f t="shared" si="73"/>
        <v>1.9415823949775097</v>
      </c>
      <c r="AD263" s="203">
        <f t="shared" si="74"/>
        <v>167377.792670475</v>
      </c>
      <c r="AE263" s="912">
        <f t="shared" si="75"/>
        <v>194158.239497751</v>
      </c>
      <c r="AF263" s="923" cm="1">
        <f t="array" ref="AF263">IF(O263="Quantum",IFERROR(_xlfn.LET(_xlpm.b,_xlfn.SWITCH(LOWER(B263),"zipper bag","Zipper pouch","open bag","Open pouch","sup with zipper","Stand-up pouch","stand-up pouch","Stand-up pouch",B263),_xlpm.w,G263,_xlpm.q,K263,_xlpm.types,'Converting-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missing"),IFERROR(_xlfn.LET(_xlpm.s,O263,_xlpm.b,_xlfn.SWITCH(LOWER(B263),"zipper bag","Zipper pouch","open bag","Open pouch",B263),_xlpm.w,G263,_xlpm.q,K263,_xlpm.src,'Converting-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263" s="923">
        <f>IFERROR(IF(OR(B263="Zipper pouch",B263="SUP with zipper"),HELPER!$DE$2*(AH263+AI263)/K263,HELPER!$DE$2*AH263/K263),"Data is missing")</f>
        <v>1.2320497641947174E-2</v>
      </c>
      <c r="AH263" s="923">
        <f t="shared" si="76"/>
        <v>2.0534162736578625</v>
      </c>
      <c r="AI263" s="923" t="str">
        <f>IF(OR(B263="Zipper pouch",B263="SUP with zipper"),HELPER!$DC$2*G263/1000,"")</f>
        <v/>
      </c>
      <c r="AJ263" s="923" cm="1">
        <f t="array" ref="AJ263">IF(INDEX('Laminates- copilot'!$E$6:$E$257,ROUNDUP((ROW()-5)/3,0))+50&gt;IF(O263="Quantum",760,1220),"Width exceeds supplier maximum",IFERROR(AF263+AG263+N(AI263)+AH263*G263/1000/MAX(1,MIN(MAX(2,INT(900/INDEX('Laminates- copilot'!$E$6:$E$257,ROUNDUP((ROW()-5)/3,0)))),INT((IF(O263="Quantum",760,1220)-50)/INDEX('Laminates- copilot'!$E$6:$E$257,ROUNDUP((ROW()-5)/3,0))))),"Data is missing"))</f>
        <v>1.2553334450285625</v>
      </c>
      <c r="AK263" s="203">
        <f t="shared" si="77"/>
        <v>1673.7779267047499</v>
      </c>
      <c r="AL263" t="str">
        <f t="shared" si="78"/>
        <v>PASS</v>
      </c>
      <c r="AM263" s="50" t="str">
        <f t="shared" si="79"/>
        <v/>
      </c>
    </row>
    <row r="264" spans="1:39" hidden="1">
      <c r="A264" t="s">
        <v>1892</v>
      </c>
      <c r="B264" t="s">
        <v>251</v>
      </c>
      <c r="C264" s="50" t="s">
        <v>2209</v>
      </c>
      <c r="D264" t="str">
        <f>'Laminates- copilot'!B92</f>
        <v>648W</v>
      </c>
      <c r="E264" s="858">
        <f>'Laminates- copilot'!D92</f>
        <v>63</v>
      </c>
      <c r="F264" s="858">
        <v>600</v>
      </c>
      <c r="G264" s="858">
        <v>200</v>
      </c>
      <c r="H264" s="858">
        <v>50</v>
      </c>
      <c r="I264" s="858">
        <v>0</v>
      </c>
      <c r="J264" s="858">
        <v>1300</v>
      </c>
      <c r="K264" s="858">
        <v>200000</v>
      </c>
      <c r="L264" s="858" t="str">
        <f>'Laminates- copilot'!K92</f>
        <v>Printed</v>
      </c>
      <c r="M264" s="858" t="str">
        <f>'Laminates- copilot'!L92</f>
        <v>5-8</v>
      </c>
      <c r="N264" s="858">
        <f>'Laminates- copilot'!M92</f>
        <v>8</v>
      </c>
      <c r="O264" s="858" t="str">
        <f>'Laminates- copilot'!O92</f>
        <v>Marma</v>
      </c>
      <c r="P264" s="858" t="str">
        <f>'Laminates- copilot'!N92</f>
        <v>Europe to Europe</v>
      </c>
      <c r="Q264" s="858">
        <f t="shared" si="64"/>
        <v>40000</v>
      </c>
      <c r="R264" s="858">
        <f t="shared" si="65"/>
        <v>40000</v>
      </c>
      <c r="S264" s="858">
        <f>IFERROR('Laminates- copilot'!Q92/'Laminates- copilot'!P92*Q264,"")</f>
        <v>2950.5600000000004</v>
      </c>
      <c r="T264" s="203">
        <f>IFERROR('Laminates- copilot'!R92/'Laminates- copilot'!P92*Q264,"")</f>
        <v>56526.583143440606</v>
      </c>
      <c r="U264" s="912">
        <f>IFERROR('Laminates- copilot'!S92/'Laminates- copilot'!P92*Q264,"")</f>
        <v>65570.836446391098</v>
      </c>
      <c r="V264" s="913">
        <f t="shared" si="66"/>
        <v>19.157916850848856</v>
      </c>
      <c r="W264" s="914">
        <f t="shared" si="67"/>
        <v>22.223183546984671</v>
      </c>
      <c r="X264" s="913">
        <f t="shared" si="68"/>
        <v>1.4131645785860152</v>
      </c>
      <c r="Y264" s="913">
        <f t="shared" si="69"/>
        <v>19.157916850848856</v>
      </c>
      <c r="Z264" s="95">
        <f t="shared" si="70"/>
        <v>33892</v>
      </c>
      <c r="AA264" s="50" t="str">
        <f t="shared" si="71"/>
        <v>MOQ OK</v>
      </c>
      <c r="AB264" s="923">
        <f t="shared" si="72"/>
        <v>0.47897759959581804</v>
      </c>
      <c r="AC264" s="924">
        <f t="shared" si="73"/>
        <v>0.55561401553114886</v>
      </c>
      <c r="AD264" s="203">
        <f t="shared" si="74"/>
        <v>95795.519919163606</v>
      </c>
      <c r="AE264" s="912">
        <f t="shared" si="75"/>
        <v>111122.80310622978</v>
      </c>
      <c r="AF264" s="923" cm="1">
        <f t="array" ref="AF264">IF(O264="Quantum",IFERROR(_xlfn.LET(_xlpm.b,_xlfn.SWITCH(LOWER(B264),"zipper bag","Zipper pouch","open bag","Open pouch","sup with zipper","Stand-up pouch","stand-up pouch","Stand-up pouch",B264),_xlpm.w,G264,_xlpm.q,K264,_xlpm.types,'Converting-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missing"),IFERROR(_xlfn.LET(_xlpm.s,O264,_xlpm.b,_xlfn.SWITCH(LOWER(B264),"zipper bag","Zipper pouch","open bag","Open pouch",B264),_xlpm.w,G264,_xlpm.q,K264,_xlpm.src,'Converting-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64" s="923">
        <f>IFERROR(IF(OR(B264="Zipper pouch",B264="SUP with zipper"),HELPER!$DE$2*(AH264+AI264)/K264,HELPER!$DE$2*AH264/K264),"Data is missing")</f>
        <v>4.3258937357580456E-3</v>
      </c>
      <c r="AH264" s="923">
        <f t="shared" si="76"/>
        <v>1.4131645785860152</v>
      </c>
      <c r="AI264" s="923">
        <f>IF(OR(B264="Zipper pouch",B264="SUP with zipper"),HELPER!$DC$2*G264/1000,"")</f>
        <v>2.8799999999999996E-2</v>
      </c>
      <c r="AJ264" s="923" cm="1">
        <f t="array" ref="AJ264">IF(INDEX('Laminates- copilot'!$E$6:$E$257,ROUNDUP((ROW()-5)/3,0))+50&gt;IF(O264="Quantum",760,1220),"Width exceeds supplier maximum",IFERROR(AF264+AG264+N(AI264)+AH264*G264/1000/MAX(1,MIN(MAX(2,INT(900/INDEX('Laminates- copilot'!$E$6:$E$257,ROUNDUP((ROW()-5)/3,0)))),INT((IF(O264="Quantum",760,1220)-50)/INDEX('Laminates- copilot'!$E$6:$E$257,ROUNDUP((ROW()-5)/3,0))))),"Data is missing"))</f>
        <v>0.35923319969686351</v>
      </c>
      <c r="AK264" s="203">
        <f t="shared" si="77"/>
        <v>478.97759959581805</v>
      </c>
      <c r="AL264" t="str">
        <f t="shared" si="78"/>
        <v>PASS</v>
      </c>
      <c r="AM264" s="50" t="str">
        <f t="shared" si="79"/>
        <v/>
      </c>
    </row>
    <row r="265" spans="1:39" hidden="1">
      <c r="A265" t="s">
        <v>1893</v>
      </c>
      <c r="B265" t="s">
        <v>261</v>
      </c>
      <c r="C265" s="50" t="s">
        <v>2209</v>
      </c>
      <c r="D265" t="str">
        <f>'Laminates- copilot'!B92</f>
        <v>648W</v>
      </c>
      <c r="E265" s="858">
        <f>'Laminates- copilot'!D92</f>
        <v>63</v>
      </c>
      <c r="F265" s="858">
        <v>600</v>
      </c>
      <c r="G265" s="858">
        <v>200</v>
      </c>
      <c r="H265" s="858">
        <v>50</v>
      </c>
      <c r="I265" s="858">
        <v>0</v>
      </c>
      <c r="J265" s="858">
        <v>1300</v>
      </c>
      <c r="K265" s="858">
        <v>200000</v>
      </c>
      <c r="L265" s="858" t="str">
        <f>'Laminates- copilot'!K92</f>
        <v>Printed</v>
      </c>
      <c r="M265" s="858" t="str">
        <f>'Laminates- copilot'!L92</f>
        <v>5-8</v>
      </c>
      <c r="N265" s="858">
        <f>'Laminates- copilot'!M92</f>
        <v>8</v>
      </c>
      <c r="O265" s="858" t="str">
        <f>'Laminates- copilot'!O92</f>
        <v>Marma</v>
      </c>
      <c r="P265" s="858" t="str">
        <f>'Laminates- copilot'!N92</f>
        <v>Europe to Europe</v>
      </c>
      <c r="Q265" s="858">
        <f t="shared" si="64"/>
        <v>40000</v>
      </c>
      <c r="R265" s="858">
        <f t="shared" si="65"/>
        <v>40000</v>
      </c>
      <c r="S265" s="858">
        <f>IFERROR('Laminates- copilot'!Q92/'Laminates- copilot'!P92*Q265,"")</f>
        <v>2950.5600000000004</v>
      </c>
      <c r="T265" s="203">
        <f>IFERROR('Laminates- copilot'!R92/'Laminates- copilot'!P92*Q265,"")</f>
        <v>56526.583143440606</v>
      </c>
      <c r="U265" s="912">
        <f>IFERROR('Laminates- copilot'!S92/'Laminates- copilot'!P92*Q265,"")</f>
        <v>65570.836446391098</v>
      </c>
      <c r="V265" s="913">
        <f t="shared" si="66"/>
        <v>19.157916850848856</v>
      </c>
      <c r="W265" s="914">
        <f t="shared" si="67"/>
        <v>22.223183546984671</v>
      </c>
      <c r="X265" s="913">
        <f t="shared" si="68"/>
        <v>1.4131645785860152</v>
      </c>
      <c r="Y265" s="913">
        <f t="shared" si="69"/>
        <v>19.157916850848856</v>
      </c>
      <c r="Z265" s="95">
        <f t="shared" si="70"/>
        <v>33892</v>
      </c>
      <c r="AA265" s="50" t="str">
        <f t="shared" si="71"/>
        <v>MOQ OK</v>
      </c>
      <c r="AB265" s="923">
        <f t="shared" si="72"/>
        <v>0.47424737047534499</v>
      </c>
      <c r="AC265" s="924">
        <f t="shared" si="73"/>
        <v>0.5501269497514002</v>
      </c>
      <c r="AD265" s="203">
        <f t="shared" si="74"/>
        <v>94849.474095069003</v>
      </c>
      <c r="AE265" s="912">
        <f t="shared" si="75"/>
        <v>110025.38995028003</v>
      </c>
      <c r="AF265" s="923" cm="1">
        <f t="array" ref="AF265">IF(O265="Quantum",IFERROR(_xlfn.LET(_xlpm.b,_xlfn.SWITCH(LOWER(B265),"zipper bag","Zipper pouch","open bag","Open pouch","sup with zipper","Stand-up pouch","stand-up pouch","Stand-up pouch",B265),_xlpm.w,G265,_xlpm.q,K265,_xlpm.types,'Converting-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missing"),IFERROR(_xlfn.LET(_xlpm.s,O265,_xlpm.b,_xlfn.SWITCH(LOWER(B265),"zipper bag","Zipper pouch","open bag","Open pouch",B265),_xlpm.w,G265,_xlpm.q,K265,_xlpm.src,'Converting-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65" s="923">
        <f>IFERROR(IF(OR(B265="Zipper pouch",B265="SUP with zipper"),HELPER!$DE$2*(AH265+AI265)/K265,HELPER!$DE$2*AH265/K265),"Data is missing")</f>
        <v>4.3258937357580456E-3</v>
      </c>
      <c r="AH265" s="923">
        <f t="shared" si="76"/>
        <v>1.4131645785860152</v>
      </c>
      <c r="AI265" s="923">
        <f>IF(OR(B265="Zipper pouch",B265="SUP with zipper"),HELPER!$DC$2*G265/1000,"")</f>
        <v>2.8799999999999996E-2</v>
      </c>
      <c r="AJ265" s="923" cm="1">
        <f t="array" ref="AJ265">IF(INDEX('Laminates- copilot'!$E$6:$E$257,ROUNDUP((ROW()-5)/3,0))+50&gt;IF(O265="Quantum",760,1220),"Width exceeds supplier maximum",IFERROR(AF265+AG265+N(AI265)+AH265*G265/1000/MAX(1,MIN(MAX(2,INT(900/INDEX('Laminates- copilot'!$E$6:$E$257,ROUNDUP((ROW()-5)/3,0)))),INT((IF(O265="Quantum",760,1220)-50)/INDEX('Laminates- copilot'!$E$6:$E$257,ROUNDUP((ROW()-5)/3,0))))),"Data is missing"))</f>
        <v>0.35568552785650875</v>
      </c>
      <c r="AK265" s="203">
        <f t="shared" si="77"/>
        <v>474.24737047534501</v>
      </c>
      <c r="AL265" t="str">
        <f t="shared" si="78"/>
        <v>PASS</v>
      </c>
      <c r="AM265" s="50" t="str">
        <f t="shared" si="79"/>
        <v/>
      </c>
    </row>
    <row r="266" spans="1:39" hidden="1">
      <c r="A266" t="s">
        <v>1894</v>
      </c>
      <c r="B266" t="s">
        <v>262</v>
      </c>
      <c r="C266" s="50" t="s">
        <v>2209</v>
      </c>
      <c r="D266" t="str">
        <f>'Laminates- copilot'!B92</f>
        <v>648W</v>
      </c>
      <c r="E266" s="858">
        <f>'Laminates- copilot'!D92</f>
        <v>63</v>
      </c>
      <c r="F266" s="858">
        <v>600</v>
      </c>
      <c r="G266" s="858">
        <v>200</v>
      </c>
      <c r="H266" s="858">
        <v>0</v>
      </c>
      <c r="I266" s="858">
        <v>0</v>
      </c>
      <c r="J266" s="858">
        <v>1200</v>
      </c>
      <c r="K266" s="858">
        <v>200000</v>
      </c>
      <c r="L266" s="858" t="str">
        <f>'Laminates- copilot'!K92</f>
        <v>Printed</v>
      </c>
      <c r="M266" s="858" t="str">
        <f>'Laminates- copilot'!L92</f>
        <v>5-8</v>
      </c>
      <c r="N266" s="858">
        <f>'Laminates- copilot'!M92</f>
        <v>8</v>
      </c>
      <c r="O266" s="858" t="str">
        <f>'Laminates- copilot'!O92</f>
        <v>Marma</v>
      </c>
      <c r="P266" s="858" t="str">
        <f>'Laminates- copilot'!N92</f>
        <v>Europe to Europe</v>
      </c>
      <c r="Q266" s="858">
        <f t="shared" si="64"/>
        <v>40000</v>
      </c>
      <c r="R266" s="858">
        <f t="shared" si="65"/>
        <v>40000</v>
      </c>
      <c r="S266" s="858">
        <f>IFERROR('Laminates- copilot'!Q92/'Laminates- copilot'!P92*Q266,"")</f>
        <v>2950.5600000000004</v>
      </c>
      <c r="T266" s="203">
        <f>IFERROR('Laminates- copilot'!R92/'Laminates- copilot'!P92*Q266,"")</f>
        <v>56526.583143440606</v>
      </c>
      <c r="U266" s="912">
        <f>IFERROR('Laminates- copilot'!S92/'Laminates- copilot'!P92*Q266,"")</f>
        <v>65570.836446391098</v>
      </c>
      <c r="V266" s="913">
        <f t="shared" si="66"/>
        <v>19.157916850848856</v>
      </c>
      <c r="W266" s="914">
        <f t="shared" si="67"/>
        <v>22.223183546984671</v>
      </c>
      <c r="X266" s="913">
        <f t="shared" si="68"/>
        <v>1.4131645785860152</v>
      </c>
      <c r="Y266" s="913">
        <f t="shared" si="69"/>
        <v>19.157916850848856</v>
      </c>
      <c r="Z266" s="95">
        <f t="shared" si="70"/>
        <v>33892</v>
      </c>
      <c r="AA266" s="50" t="str">
        <f t="shared" si="71"/>
        <v>MOQ OK</v>
      </c>
      <c r="AB266" s="923">
        <f t="shared" si="72"/>
        <v>0.43044697156486894</v>
      </c>
      <c r="AC266" s="924">
        <f t="shared" si="73"/>
        <v>0.49931848701524795</v>
      </c>
      <c r="AD266" s="203">
        <f t="shared" si="74"/>
        <v>86089.394312973789</v>
      </c>
      <c r="AE266" s="912">
        <f t="shared" si="75"/>
        <v>99863.697403049591</v>
      </c>
      <c r="AF266" s="923" cm="1">
        <f t="array" ref="AF266">IF(O266="Quantum",IFERROR(_xlfn.LET(_xlpm.b,_xlfn.SWITCH(LOWER(B266),"zipper bag","Zipper pouch","open bag","Open pouch","sup with zipper","Stand-up pouch","stand-up pouch","Stand-up pouch",B266),_xlpm.w,G266,_xlpm.q,K266,_xlpm.types,'Converting-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missing"),IFERROR(_xlfn.LET(_xlpm.s,O266,_xlpm.b,_xlfn.SWITCH(LOWER(B266),"zipper bag","Zipper pouch","open bag","Open pouch",B266),_xlpm.w,G266,_xlpm.q,K266,_xlpm.src,'Converting-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66" s="923">
        <f>IFERROR(IF(OR(B266="Zipper pouch",B266="SUP with zipper"),HELPER!$DE$2*(AH266+AI266)/K266,HELPER!$DE$2*AH266/K266),"Data is missing")</f>
        <v>4.2394937357580452E-3</v>
      </c>
      <c r="AH266" s="923">
        <f t="shared" si="76"/>
        <v>1.4131645785860152</v>
      </c>
      <c r="AI266" s="923" t="str">
        <f>IF(OR(B266="Zipper pouch",B266="SUP with zipper"),HELPER!$DC$2*G266/1000,"")</f>
        <v/>
      </c>
      <c r="AJ266" s="923" cm="1">
        <f t="array" ref="AJ266">IF(INDEX('Laminates- copilot'!$E$6:$E$257,ROUNDUP((ROW()-5)/3,0))+50&gt;IF(O266="Quantum",760,1220),"Width exceeds supplier maximum",IFERROR(AF266+AG266+N(AI266)+AH266*G266/1000/MAX(1,MIN(MAX(2,INT(900/INDEX('Laminates- copilot'!$E$6:$E$257,ROUNDUP((ROW()-5)/3,0)))),INT((IF(O266="Quantum",760,1220)-50)/INDEX('Laminates- copilot'!$E$6:$E$257,ROUNDUP((ROW()-5)/3,0))))),"Data is missing"))</f>
        <v>0.32283522867365172</v>
      </c>
      <c r="AK266" s="203">
        <f t="shared" si="77"/>
        <v>430.44697156486893</v>
      </c>
      <c r="AL266" t="str">
        <f t="shared" si="78"/>
        <v>PASS</v>
      </c>
      <c r="AM266" s="50" t="str">
        <f t="shared" si="79"/>
        <v/>
      </c>
    </row>
    <row r="267" spans="1:39" hidden="1">
      <c r="A267" t="s">
        <v>1895</v>
      </c>
      <c r="B267" t="s">
        <v>251</v>
      </c>
      <c r="C267" s="50" t="s">
        <v>2210</v>
      </c>
      <c r="D267" t="str">
        <f>'Laminates- copilot'!B93</f>
        <v>648W</v>
      </c>
      <c r="E267" s="858">
        <f>'Laminates- copilot'!D93</f>
        <v>106</v>
      </c>
      <c r="F267" s="858">
        <v>700</v>
      </c>
      <c r="G267" s="858">
        <v>300</v>
      </c>
      <c r="H267" s="858">
        <v>75</v>
      </c>
      <c r="I267" s="858">
        <v>0</v>
      </c>
      <c r="J267" s="858">
        <v>1550</v>
      </c>
      <c r="K267" s="858">
        <v>200000</v>
      </c>
      <c r="L267" s="858" t="str">
        <f>'Laminates- copilot'!K93</f>
        <v>Not Printed</v>
      </c>
      <c r="M267" s="858" t="str">
        <f>'Laminates- copilot'!L93</f>
        <v>0</v>
      </c>
      <c r="N267" s="858">
        <f>'Laminates- copilot'!M93</f>
        <v>1</v>
      </c>
      <c r="O267" s="858" t="str">
        <f>'Laminates- copilot'!O93</f>
        <v>Bastin</v>
      </c>
      <c r="P267" s="858" t="str">
        <f>'Laminates- copilot'!N93</f>
        <v>Europe to US</v>
      </c>
      <c r="Q267" s="858">
        <f t="shared" si="64"/>
        <v>60000</v>
      </c>
      <c r="R267" s="858">
        <f t="shared" si="65"/>
        <v>60000</v>
      </c>
      <c r="S267" s="858">
        <f>IFERROR('Laminates- copilot'!Q93/'Laminates- copilot'!P93*Q267,"")</f>
        <v>2041.8000000000002</v>
      </c>
      <c r="T267" s="203">
        <f>IFERROR('Laminates- copilot'!R93/'Laminates- copilot'!P93*Q267,"")</f>
        <v>32372.839514580752</v>
      </c>
      <c r="U267" s="912">
        <f>IFERROR('Laminates- copilot'!S93/'Laminates- copilot'!P93*Q267,"")</f>
        <v>37552.493836913673</v>
      </c>
      <c r="V267" s="913">
        <f t="shared" si="66"/>
        <v>15.855049228416471</v>
      </c>
      <c r="W267" s="914">
        <f t="shared" si="67"/>
        <v>18.391857104963105</v>
      </c>
      <c r="X267" s="913">
        <f t="shared" si="68"/>
        <v>0.53954732524301252</v>
      </c>
      <c r="Y267" s="913">
        <f t="shared" si="69"/>
        <v>15.855049228416471</v>
      </c>
      <c r="Z267" s="95">
        <f t="shared" si="70"/>
        <v>48977</v>
      </c>
      <c r="AA267" s="50" t="str">
        <f t="shared" si="71"/>
        <v>MOQ OK</v>
      </c>
      <c r="AB267" s="923">
        <f t="shared" si="72"/>
        <v>0.2264713404620203</v>
      </c>
      <c r="AC267" s="924">
        <f t="shared" si="73"/>
        <v>0.26270675493594353</v>
      </c>
      <c r="AD267" s="203">
        <f t="shared" si="74"/>
        <v>45294.268092404061</v>
      </c>
      <c r="AE267" s="912">
        <f t="shared" si="75"/>
        <v>52541.350987188707</v>
      </c>
      <c r="AF267" s="923" cm="1">
        <f t="array" ref="AF267">IF(O267="Quantum",IFERROR(_xlfn.LET(_xlpm.b,_xlfn.SWITCH(LOWER(B267),"zipper bag","Zipper pouch","open bag","Open pouch","sup with zipper","Stand-up pouch","stand-up pouch","Stand-up pouch",B267),_xlpm.w,G267,_xlpm.q,K267,_xlpm.types,'Converting-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missing"),IFERROR(_xlfn.LET(_xlpm.s,O267,_xlpm.b,_xlfn.SWITCH(LOWER(B267),"zipper bag","Zipper pouch","open bag","Open pouch",B267),_xlpm.w,G267,_xlpm.q,K267,_xlpm.src,'Converting-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67" s="923">
        <f>IFERROR(IF(OR(B267="Zipper pouch",B267="SUP with zipper"),HELPER!$DE$2*(AH267+AI267)/K267,HELPER!$DE$2*AH267/K267),"Data is missing")</f>
        <v>1.7482419757290375E-3</v>
      </c>
      <c r="AH267" s="923">
        <f t="shared" si="76"/>
        <v>0.53954732524301252</v>
      </c>
      <c r="AI267" s="923">
        <f>IF(OR(B267="Zipper pouch",B267="SUP with zipper"),HELPER!$DC$2*G267/1000,"")</f>
        <v>4.3199999999999995E-2</v>
      </c>
      <c r="AJ267" s="923" cm="1">
        <f t="array" ref="AJ267">IF(INDEX('Laminates- copilot'!$E$6:$E$257,ROUNDUP((ROW()-5)/3,0))+50&gt;IF(O267="Quantum",760,1220),"Width exceeds supplier maximum",IFERROR(AF267+AG267+N(AI267)+AH267*G267/1000/MAX(1,MIN(MAX(2,INT(900/INDEX('Laminates- copilot'!$E$6:$E$257,ROUNDUP((ROW()-5)/3,0)))),INT((IF(O267="Quantum",760,1220)-50)/INDEX('Laminates- copilot'!$E$6:$E$257,ROUNDUP((ROW()-5)/3,0))))),"Data is missing"))</f>
        <v>0.16985350534651522</v>
      </c>
      <c r="AK267" s="203">
        <f t="shared" si="77"/>
        <v>226.47134046202029</v>
      </c>
      <c r="AL267" t="str">
        <f t="shared" si="78"/>
        <v>PASS</v>
      </c>
      <c r="AM267" s="50" t="str">
        <f t="shared" si="79"/>
        <v/>
      </c>
    </row>
    <row r="268" spans="1:39" hidden="1">
      <c r="A268" t="s">
        <v>1896</v>
      </c>
      <c r="B268" t="s">
        <v>261</v>
      </c>
      <c r="C268" s="50" t="s">
        <v>2210</v>
      </c>
      <c r="D268" t="str">
        <f>'Laminates- copilot'!B93</f>
        <v>648W</v>
      </c>
      <c r="E268" s="858">
        <f>'Laminates- copilot'!D93</f>
        <v>106</v>
      </c>
      <c r="F268" s="858">
        <v>700</v>
      </c>
      <c r="G268" s="858">
        <v>300</v>
      </c>
      <c r="H268" s="858">
        <v>75</v>
      </c>
      <c r="I268" s="858">
        <v>0</v>
      </c>
      <c r="J268" s="858">
        <v>1550</v>
      </c>
      <c r="K268" s="858">
        <v>200000</v>
      </c>
      <c r="L268" s="858" t="str">
        <f>'Laminates- copilot'!K93</f>
        <v>Not Printed</v>
      </c>
      <c r="M268" s="858" t="str">
        <f>'Laminates- copilot'!L93</f>
        <v>0</v>
      </c>
      <c r="N268" s="858">
        <f>'Laminates- copilot'!M93</f>
        <v>1</v>
      </c>
      <c r="O268" s="858" t="str">
        <f>'Laminates- copilot'!O93</f>
        <v>Bastin</v>
      </c>
      <c r="P268" s="858" t="str">
        <f>'Laminates- copilot'!N93</f>
        <v>Europe to US</v>
      </c>
      <c r="Q268" s="858">
        <f t="shared" si="64"/>
        <v>60000</v>
      </c>
      <c r="R268" s="858">
        <f t="shared" si="65"/>
        <v>60000</v>
      </c>
      <c r="S268" s="858">
        <f>IFERROR('Laminates- copilot'!Q93/'Laminates- copilot'!P93*Q268,"")</f>
        <v>2041.8000000000002</v>
      </c>
      <c r="T268" s="203">
        <f>IFERROR('Laminates- copilot'!R93/'Laminates- copilot'!P93*Q268,"")</f>
        <v>32372.839514580752</v>
      </c>
      <c r="U268" s="912">
        <f>IFERROR('Laminates- copilot'!S93/'Laminates- copilot'!P93*Q268,"")</f>
        <v>37552.493836913673</v>
      </c>
      <c r="V268" s="913">
        <f t="shared" si="66"/>
        <v>15.855049228416471</v>
      </c>
      <c r="W268" s="914">
        <f t="shared" si="67"/>
        <v>18.391857104963105</v>
      </c>
      <c r="X268" s="913">
        <f t="shared" si="68"/>
        <v>0.53954732524301252</v>
      </c>
      <c r="Y268" s="913">
        <f t="shared" si="69"/>
        <v>15.855049228416471</v>
      </c>
      <c r="Z268" s="95">
        <f t="shared" si="70"/>
        <v>48977</v>
      </c>
      <c r="AA268" s="50" t="str">
        <f t="shared" si="71"/>
        <v>MOQ OK</v>
      </c>
      <c r="AB268" s="923">
        <f t="shared" si="72"/>
        <v>0.21887514899208424</v>
      </c>
      <c r="AC268" s="924">
        <f t="shared" si="73"/>
        <v>0.25389517283081769</v>
      </c>
      <c r="AD268" s="203">
        <f t="shared" si="74"/>
        <v>43775.02979841685</v>
      </c>
      <c r="AE268" s="912">
        <f t="shared" si="75"/>
        <v>50779.034566163544</v>
      </c>
      <c r="AF268" s="923" cm="1">
        <f t="array" ref="AF268">IF(O268="Quantum",IFERROR(_xlfn.LET(_xlpm.b,_xlfn.SWITCH(LOWER(B268),"zipper bag","Zipper pouch","open bag","Open pouch","sup with zipper","Stand-up pouch","stand-up pouch","Stand-up pouch",B268),_xlpm.w,G268,_xlpm.q,K268,_xlpm.types,'Converting-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missing"),IFERROR(_xlfn.LET(_xlpm.s,O268,_xlpm.b,_xlfn.SWITCH(LOWER(B268),"zipper bag","Zipper pouch","open bag","Open pouch",B268),_xlpm.w,G268,_xlpm.q,K268,_xlpm.src,'Converting-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68" s="923">
        <f>IFERROR(IF(OR(B268="Zipper pouch",B268="SUP with zipper"),HELPER!$DE$2*(AH268+AI268)/K268,HELPER!$DE$2*AH268/K268),"Data is missing")</f>
        <v>1.7482419757290375E-3</v>
      </c>
      <c r="AH268" s="923">
        <f t="shared" si="76"/>
        <v>0.53954732524301252</v>
      </c>
      <c r="AI268" s="923">
        <f>IF(OR(B268="Zipper pouch",B268="SUP with zipper"),HELPER!$DC$2*G268/1000,"")</f>
        <v>4.3199999999999995E-2</v>
      </c>
      <c r="AJ268" s="923" cm="1">
        <f t="array" ref="AJ268">IF(INDEX('Laminates- copilot'!$E$6:$E$257,ROUNDUP((ROW()-5)/3,0))+50&gt;IF(O268="Quantum",760,1220),"Width exceeds supplier maximum",IFERROR(AF268+AG268+N(AI268)+AH268*G268/1000/MAX(1,MIN(MAX(2,INT(900/INDEX('Laminates- copilot'!$E$6:$E$257,ROUNDUP((ROW()-5)/3,0)))),INT((IF(O268="Quantum",760,1220)-50)/INDEX('Laminates- copilot'!$E$6:$E$257,ROUNDUP((ROW()-5)/3,0))))),"Data is missing"))</f>
        <v>0.16415636174406317</v>
      </c>
      <c r="AK268" s="203">
        <f t="shared" si="77"/>
        <v>218.87514899208423</v>
      </c>
      <c r="AL268" t="str">
        <f t="shared" si="78"/>
        <v>PASS</v>
      </c>
      <c r="AM268" s="50" t="str">
        <f t="shared" si="79"/>
        <v/>
      </c>
    </row>
    <row r="269" spans="1:39" hidden="1">
      <c r="A269" t="s">
        <v>1897</v>
      </c>
      <c r="B269" t="s">
        <v>262</v>
      </c>
      <c r="C269" s="50" t="s">
        <v>2210</v>
      </c>
      <c r="D269" t="str">
        <f>'Laminates- copilot'!B93</f>
        <v>648W</v>
      </c>
      <c r="E269" s="858">
        <f>'Laminates- copilot'!D93</f>
        <v>106</v>
      </c>
      <c r="F269" s="858">
        <v>700</v>
      </c>
      <c r="G269" s="858">
        <v>300</v>
      </c>
      <c r="H269" s="858">
        <v>0</v>
      </c>
      <c r="I269" s="858">
        <v>0</v>
      </c>
      <c r="J269" s="858">
        <v>1400</v>
      </c>
      <c r="K269" s="858">
        <v>200000</v>
      </c>
      <c r="L269" s="858" t="str">
        <f>'Laminates- copilot'!K93</f>
        <v>Not Printed</v>
      </c>
      <c r="M269" s="858" t="str">
        <f>'Laminates- copilot'!L93</f>
        <v>0</v>
      </c>
      <c r="N269" s="858">
        <f>'Laminates- copilot'!M93</f>
        <v>1</v>
      </c>
      <c r="O269" s="858" t="str">
        <f>'Laminates- copilot'!O93</f>
        <v>Bastin</v>
      </c>
      <c r="P269" s="858" t="str">
        <f>'Laminates- copilot'!N93</f>
        <v>Europe to US</v>
      </c>
      <c r="Q269" s="858">
        <f t="shared" si="64"/>
        <v>60000</v>
      </c>
      <c r="R269" s="858">
        <f t="shared" si="65"/>
        <v>60000</v>
      </c>
      <c r="S269" s="858">
        <f>IFERROR('Laminates- copilot'!Q93/'Laminates- copilot'!P93*Q269,"")</f>
        <v>2041.8000000000002</v>
      </c>
      <c r="T269" s="203">
        <f>IFERROR('Laminates- copilot'!R93/'Laminates- copilot'!P93*Q269,"")</f>
        <v>32372.839514580752</v>
      </c>
      <c r="U269" s="912">
        <f>IFERROR('Laminates- copilot'!S93/'Laminates- copilot'!P93*Q269,"")</f>
        <v>37552.493836913673</v>
      </c>
      <c r="V269" s="913">
        <f t="shared" si="66"/>
        <v>15.855049228416471</v>
      </c>
      <c r="W269" s="914">
        <f t="shared" si="67"/>
        <v>18.391857104963105</v>
      </c>
      <c r="X269" s="913">
        <f t="shared" si="68"/>
        <v>0.53954732524301252</v>
      </c>
      <c r="Y269" s="913">
        <f t="shared" si="69"/>
        <v>15.855049228416471</v>
      </c>
      <c r="Z269" s="95">
        <f t="shared" si="70"/>
        <v>48977</v>
      </c>
      <c r="AA269" s="50" t="str">
        <f t="shared" si="71"/>
        <v>MOQ OK</v>
      </c>
      <c r="AB269" s="923">
        <f t="shared" si="72"/>
        <v>0.15214793989524653</v>
      </c>
      <c r="AC269" s="924">
        <f t="shared" si="73"/>
        <v>0.17649161027848595</v>
      </c>
      <c r="AD269" s="203">
        <f t="shared" si="74"/>
        <v>30429.587979049305</v>
      </c>
      <c r="AE269" s="912">
        <f t="shared" si="75"/>
        <v>35298.322055697194</v>
      </c>
      <c r="AF269" s="923" cm="1">
        <f t="array" ref="AF269">IF(O269="Quantum",IFERROR(_xlfn.LET(_xlpm.b,_xlfn.SWITCH(LOWER(B269),"zipper bag","Zipper pouch","open bag","Open pouch","sup with zipper","Stand-up pouch","stand-up pouch","Stand-up pouch",B269),_xlpm.w,G269,_xlpm.q,K269,_xlpm.types,'Converting-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missing"),IFERROR(_xlfn.LET(_xlpm.s,O269,_xlpm.b,_xlfn.SWITCH(LOWER(B269),"zipper bag","Zipper pouch","open bag","Open pouch",B269),_xlpm.w,G269,_xlpm.q,K269,_xlpm.src,'Converting-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69" s="923">
        <f>IFERROR(IF(OR(B269="Zipper pouch",B269="SUP with zipper"),HELPER!$DE$2*(AH269+AI269)/K269,HELPER!$DE$2*AH269/K269),"Data is missing")</f>
        <v>1.6186419757290376E-3</v>
      </c>
      <c r="AH269" s="923">
        <f t="shared" si="76"/>
        <v>0.53954732524301252</v>
      </c>
      <c r="AI269" s="923" t="str">
        <f>IF(OR(B269="Zipper pouch",B269="SUP with zipper"),HELPER!$DC$2*G269/1000,"")</f>
        <v/>
      </c>
      <c r="AJ269" s="923" cm="1">
        <f t="array" ref="AJ269">IF(INDEX('Laminates- copilot'!$E$6:$E$257,ROUNDUP((ROW()-5)/3,0))+50&gt;IF(O269="Quantum",760,1220),"Width exceeds supplier maximum",IFERROR(AF269+AG269+N(AI269)+AH269*G269/1000/MAX(1,MIN(MAX(2,INT(900/INDEX('Laminates- copilot'!$E$6:$E$257,ROUNDUP((ROW()-5)/3,0)))),INT((IF(O269="Quantum",760,1220)-50)/INDEX('Laminates- copilot'!$E$6:$E$257,ROUNDUP((ROW()-5)/3,0))))),"Data is missing"))</f>
        <v>0.11411095492143489</v>
      </c>
      <c r="AK269" s="203">
        <f t="shared" si="77"/>
        <v>152.14793989524654</v>
      </c>
      <c r="AL269" t="str">
        <f t="shared" si="78"/>
        <v>PASS</v>
      </c>
      <c r="AM269" s="50" t="str">
        <f t="shared" si="79"/>
        <v/>
      </c>
    </row>
    <row r="270" spans="1:39" hidden="1">
      <c r="A270" t="s">
        <v>1898</v>
      </c>
      <c r="B270" t="s">
        <v>251</v>
      </c>
      <c r="C270" s="50" t="s">
        <v>1626</v>
      </c>
      <c r="D270" t="str">
        <f>'Laminates- copilot'!B94</f>
        <v>648W</v>
      </c>
      <c r="E270" s="858">
        <f>'Laminates- copilot'!D94</f>
        <v>63</v>
      </c>
      <c r="F270" s="858">
        <v>250</v>
      </c>
      <c r="G270" s="858">
        <v>400</v>
      </c>
      <c r="H270" s="858">
        <v>50</v>
      </c>
      <c r="I270" s="858">
        <v>0</v>
      </c>
      <c r="J270" s="858">
        <v>600</v>
      </c>
      <c r="K270" s="858">
        <v>1000000</v>
      </c>
      <c r="L270" s="858" t="str">
        <f>'Laminates- copilot'!K94</f>
        <v>Printed</v>
      </c>
      <c r="M270" s="858" t="str">
        <f>'Laminates- copilot'!L94</f>
        <v>3-4</v>
      </c>
      <c r="N270" s="858">
        <f>'Laminates- copilot'!M94</f>
        <v>4</v>
      </c>
      <c r="O270" s="858" t="str">
        <f>'Laminates- copilot'!O94</f>
        <v>Marma</v>
      </c>
      <c r="P270" s="858" t="str">
        <f>'Laminates- copilot'!N94</f>
        <v>Europe to Europe</v>
      </c>
      <c r="Q270" s="858">
        <f t="shared" si="64"/>
        <v>400000</v>
      </c>
      <c r="R270" s="858">
        <f t="shared" si="65"/>
        <v>400000</v>
      </c>
      <c r="S270" s="858">
        <f>IFERROR('Laminates- copilot'!Q94/'Laminates- copilot'!P94*Q270,"")</f>
        <v>19670.399999999998</v>
      </c>
      <c r="T270" s="203">
        <f>IFERROR('Laminates- copilot'!R94/'Laminates- copilot'!P94*Q270,"")</f>
        <v>375107.37948875001</v>
      </c>
      <c r="U270" s="912">
        <f>IFERROR('Laminates- copilot'!S94/'Laminates- copilot'!P94*Q270,"")</f>
        <v>435124.56020694994</v>
      </c>
      <c r="V270" s="913">
        <f t="shared" si="66"/>
        <v>19.069636585364307</v>
      </c>
      <c r="W270" s="914">
        <f t="shared" si="67"/>
        <v>22.12077843902259</v>
      </c>
      <c r="X270" s="913">
        <f t="shared" si="68"/>
        <v>0.93776844872187504</v>
      </c>
      <c r="Y270" s="913">
        <f t="shared" si="69"/>
        <v>19.069636585364307</v>
      </c>
      <c r="Z270" s="95">
        <f t="shared" si="70"/>
        <v>25419</v>
      </c>
      <c r="AA270" s="50" t="str">
        <f t="shared" si="71"/>
        <v>MOQ OK</v>
      </c>
      <c r="AB270" s="923">
        <f t="shared" si="72"/>
        <v>0.67586679699163232</v>
      </c>
      <c r="AC270" s="924">
        <f t="shared" si="73"/>
        <v>0.78400548451029339</v>
      </c>
      <c r="AD270" s="203">
        <f t="shared" si="74"/>
        <v>675866.79699163232</v>
      </c>
      <c r="AE270" s="912">
        <f t="shared" si="75"/>
        <v>784005.48451029346</v>
      </c>
      <c r="AF270" s="923" cm="1">
        <f t="array" ref="AF270">IF(O270="Quantum",IFERROR(_xlfn.LET(_xlpm.b,_xlfn.SWITCH(LOWER(B270),"zipper bag","Zipper pouch","open bag","Open pouch","sup with zipper","Stand-up pouch","stand-up pouch","Stand-up pouch",B270),_xlpm.w,G270,_xlpm.q,K270,_xlpm.types,'Converting-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missing"),IFERROR(_xlfn.LET(_xlpm.s,O270,_xlpm.b,_xlfn.SWITCH(LOWER(B270),"zipper bag","Zipper pouch","open bag","Open pouch",B270),_xlpm.w,G270,_xlpm.q,K270,_xlpm.src,'Converting-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270" s="923">
        <f>IFERROR(IF(OR(B270="Zipper pouch",B270="SUP with zipper"),HELPER!$DE$2*(AH270+AI270)/K270,HELPER!$DE$2*AH270/K270),"Data is missing")</f>
        <v>5.9722106923312509E-4</v>
      </c>
      <c r="AH270" s="923">
        <f t="shared" si="76"/>
        <v>0.93776844872187504</v>
      </c>
      <c r="AI270" s="923">
        <f>IF(OR(B270="Zipper pouch",B270="SUP with zipper"),HELPER!$DC$2*G270/1000,"")</f>
        <v>5.7599999999999991E-2</v>
      </c>
      <c r="AJ270" s="923" cm="1">
        <f t="array" ref="AJ270">IF(INDEX('Laminates- copilot'!$E$6:$E$257,ROUNDUP((ROW()-5)/3,0))+50&gt;IF(O270="Quantum",760,1220),"Width exceeds supplier maximum",IFERROR(AF270+AG270+N(AI270)+AH270*G270/1000/MAX(1,MIN(MAX(2,INT(900/INDEX('Laminates- copilot'!$E$6:$E$257,ROUNDUP((ROW()-5)/3,0)))),INT((IF(O270="Quantum",760,1220)-50)/INDEX('Laminates- copilot'!$E$6:$E$257,ROUNDUP((ROW()-5)/3,0))))),"Data is missing"))</f>
        <v>0.50690009774372424</v>
      </c>
      <c r="AK270" s="203">
        <f t="shared" si="77"/>
        <v>675.86679699163233</v>
      </c>
      <c r="AL270" t="str">
        <f t="shared" si="78"/>
        <v>PASS</v>
      </c>
      <c r="AM270" s="50" t="str">
        <f t="shared" si="79"/>
        <v/>
      </c>
    </row>
    <row r="271" spans="1:39" hidden="1">
      <c r="A271" t="s">
        <v>1899</v>
      </c>
      <c r="B271" t="s">
        <v>261</v>
      </c>
      <c r="C271" s="50" t="s">
        <v>1626</v>
      </c>
      <c r="D271" t="str">
        <f>'Laminates- copilot'!B94</f>
        <v>648W</v>
      </c>
      <c r="E271" s="858">
        <f>'Laminates- copilot'!D94</f>
        <v>63</v>
      </c>
      <c r="F271" s="858">
        <v>250</v>
      </c>
      <c r="G271" s="858">
        <v>400</v>
      </c>
      <c r="H271" s="858">
        <v>50</v>
      </c>
      <c r="I271" s="858">
        <v>0</v>
      </c>
      <c r="J271" s="858">
        <v>600</v>
      </c>
      <c r="K271" s="858">
        <v>1000000</v>
      </c>
      <c r="L271" s="858" t="str">
        <f>'Laminates- copilot'!K94</f>
        <v>Printed</v>
      </c>
      <c r="M271" s="858" t="str">
        <f>'Laminates- copilot'!L94</f>
        <v>3-4</v>
      </c>
      <c r="N271" s="858">
        <f>'Laminates- copilot'!M94</f>
        <v>4</v>
      </c>
      <c r="O271" s="858" t="str">
        <f>'Laminates- copilot'!O94</f>
        <v>Marma</v>
      </c>
      <c r="P271" s="858" t="str">
        <f>'Laminates- copilot'!N94</f>
        <v>Europe to Europe</v>
      </c>
      <c r="Q271" s="858">
        <f t="shared" si="64"/>
        <v>400000</v>
      </c>
      <c r="R271" s="858">
        <f t="shared" si="65"/>
        <v>400000</v>
      </c>
      <c r="S271" s="858">
        <f>IFERROR('Laminates- copilot'!Q94/'Laminates- copilot'!P94*Q271,"")</f>
        <v>19670.399999999998</v>
      </c>
      <c r="T271" s="203">
        <f>IFERROR('Laminates- copilot'!R94/'Laminates- copilot'!P94*Q271,"")</f>
        <v>375107.37948875001</v>
      </c>
      <c r="U271" s="912">
        <f>IFERROR('Laminates- copilot'!S94/'Laminates- copilot'!P94*Q271,"")</f>
        <v>435124.56020694994</v>
      </c>
      <c r="V271" s="913">
        <f t="shared" si="66"/>
        <v>19.069636585364307</v>
      </c>
      <c r="W271" s="914">
        <f t="shared" si="67"/>
        <v>22.12077843902259</v>
      </c>
      <c r="X271" s="913">
        <f t="shared" si="68"/>
        <v>0.93776844872187504</v>
      </c>
      <c r="Y271" s="913">
        <f t="shared" si="69"/>
        <v>19.069636585364307</v>
      </c>
      <c r="Z271" s="95">
        <f t="shared" si="70"/>
        <v>25419</v>
      </c>
      <c r="AA271" s="50" t="str">
        <f t="shared" si="71"/>
        <v>MOQ OK</v>
      </c>
      <c r="AB271" s="923">
        <f t="shared" si="72"/>
        <v>0.66822565764317599</v>
      </c>
      <c r="AC271" s="924">
        <f t="shared" si="73"/>
        <v>0.77514176286608405</v>
      </c>
      <c r="AD271" s="203">
        <f t="shared" si="74"/>
        <v>668225.65764317603</v>
      </c>
      <c r="AE271" s="912">
        <f t="shared" si="75"/>
        <v>775141.76286608411</v>
      </c>
      <c r="AF271" s="923" cm="1">
        <f t="array" ref="AF271">IF(O271="Quantum",IFERROR(_xlfn.LET(_xlpm.b,_xlfn.SWITCH(LOWER(B271),"zipper bag","Zipper pouch","open bag","Open pouch","sup with zipper","Stand-up pouch","stand-up pouch","Stand-up pouch",B271),_xlpm.w,G271,_xlpm.q,K271,_xlpm.types,'Converting-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missing"),IFERROR(_xlfn.LET(_xlpm.s,O271,_xlpm.b,_xlfn.SWITCH(LOWER(B271),"zipper bag","Zipper pouch","open bag","Open pouch",B271),_xlpm.w,G271,_xlpm.q,K271,_xlpm.src,'Converting-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271" s="923">
        <f>IFERROR(IF(OR(B271="Zipper pouch",B271="SUP with zipper"),HELPER!$DE$2*(AH271+AI271)/K271,HELPER!$DE$2*AH271/K271),"Data is missing")</f>
        <v>5.9722106923312509E-4</v>
      </c>
      <c r="AH271" s="923">
        <f t="shared" si="76"/>
        <v>0.93776844872187504</v>
      </c>
      <c r="AI271" s="923">
        <f>IF(OR(B271="Zipper pouch",B271="SUP with zipper"),HELPER!$DC$2*G271/1000,"")</f>
        <v>5.7599999999999991E-2</v>
      </c>
      <c r="AJ271" s="923" cm="1">
        <f t="array" ref="AJ271">IF(INDEX('Laminates- copilot'!$E$6:$E$257,ROUNDUP((ROW()-5)/3,0))+50&gt;IF(O271="Quantum",760,1220),"Width exceeds supplier maximum",IFERROR(AF271+AG271+N(AI271)+AH271*G271/1000/MAX(1,MIN(MAX(2,INT(900/INDEX('Laminates- copilot'!$E$6:$E$257,ROUNDUP((ROW()-5)/3,0)))),INT((IF(O271="Quantum",760,1220)-50)/INDEX('Laminates- copilot'!$E$6:$E$257,ROUNDUP((ROW()-5)/3,0))))),"Data is missing"))</f>
        <v>0.50116924323238199</v>
      </c>
      <c r="AK271" s="203">
        <f t="shared" si="77"/>
        <v>668.22565764317596</v>
      </c>
      <c r="AL271" t="str">
        <f t="shared" si="78"/>
        <v>PASS</v>
      </c>
      <c r="AM271" s="50" t="str">
        <f t="shared" si="79"/>
        <v/>
      </c>
    </row>
    <row r="272" spans="1:39" hidden="1">
      <c r="A272" t="s">
        <v>1900</v>
      </c>
      <c r="B272" t="s">
        <v>262</v>
      </c>
      <c r="C272" s="50" t="s">
        <v>1626</v>
      </c>
      <c r="D272" t="str">
        <f>'Laminates- copilot'!B94</f>
        <v>648W</v>
      </c>
      <c r="E272" s="858">
        <f>'Laminates- copilot'!D94</f>
        <v>63</v>
      </c>
      <c r="F272" s="858">
        <v>250</v>
      </c>
      <c r="G272" s="858">
        <v>400</v>
      </c>
      <c r="H272" s="858">
        <v>0</v>
      </c>
      <c r="I272" s="858">
        <v>15</v>
      </c>
      <c r="J272" s="858">
        <v>515</v>
      </c>
      <c r="K272" s="858">
        <v>1000000</v>
      </c>
      <c r="L272" s="858" t="str">
        <f>'Laminates- copilot'!K94</f>
        <v>Printed</v>
      </c>
      <c r="M272" s="858" t="str">
        <f>'Laminates- copilot'!L94</f>
        <v>3-4</v>
      </c>
      <c r="N272" s="858">
        <f>'Laminates- copilot'!M94</f>
        <v>4</v>
      </c>
      <c r="O272" s="858" t="str">
        <f>'Laminates- copilot'!O94</f>
        <v>Marma</v>
      </c>
      <c r="P272" s="858" t="str">
        <f>'Laminates- copilot'!N94</f>
        <v>Europe to Europe</v>
      </c>
      <c r="Q272" s="858">
        <f t="shared" si="64"/>
        <v>400000</v>
      </c>
      <c r="R272" s="858">
        <f t="shared" si="65"/>
        <v>400000</v>
      </c>
      <c r="S272" s="858">
        <f>IFERROR('Laminates- copilot'!Q94/'Laminates- copilot'!P94*Q272,"")</f>
        <v>19670.399999999998</v>
      </c>
      <c r="T272" s="203">
        <f>IFERROR('Laminates- copilot'!R94/'Laminates- copilot'!P94*Q272,"")</f>
        <v>375107.37948875001</v>
      </c>
      <c r="U272" s="912">
        <f>IFERROR('Laminates- copilot'!S94/'Laminates- copilot'!P94*Q272,"")</f>
        <v>435124.56020694994</v>
      </c>
      <c r="V272" s="913">
        <f t="shared" si="66"/>
        <v>19.069636585364307</v>
      </c>
      <c r="W272" s="914">
        <f t="shared" si="67"/>
        <v>22.12077843902259</v>
      </c>
      <c r="X272" s="913">
        <f t="shared" si="68"/>
        <v>0.93776844872187504</v>
      </c>
      <c r="Y272" s="913">
        <f t="shared" si="69"/>
        <v>19.069636585364307</v>
      </c>
      <c r="Z272" s="95">
        <f t="shared" si="70"/>
        <v>25419</v>
      </c>
      <c r="AA272" s="50" t="str">
        <f t="shared" si="71"/>
        <v>MOQ OK</v>
      </c>
      <c r="AB272" s="923">
        <f t="shared" si="72"/>
        <v>0.58128111734515908</v>
      </c>
      <c r="AC272" s="924">
        <f t="shared" si="73"/>
        <v>0.67428609612038448</v>
      </c>
      <c r="AD272" s="203">
        <f t="shared" si="74"/>
        <v>581281.11734515906</v>
      </c>
      <c r="AE272" s="912">
        <f t="shared" si="75"/>
        <v>674286.09612038441</v>
      </c>
      <c r="AF272" s="923" cm="1">
        <f t="array" ref="AF272">IF(O272="Quantum",IFERROR(_xlfn.LET(_xlpm.b,_xlfn.SWITCH(LOWER(B272),"zipper bag","Zipper pouch","open bag","Open pouch","sup with zipper","Stand-up pouch","stand-up pouch","Stand-up pouch",B272),_xlpm.w,G272,_xlpm.q,K272,_xlpm.types,'Converting-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missing"),IFERROR(_xlfn.LET(_xlpm.s,O272,_xlpm.b,_xlfn.SWITCH(LOWER(B272),"zipper bag","Zipper pouch","open bag","Open pouch",B272),_xlpm.w,G272,_xlpm.q,K272,_xlpm.src,'Converting-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272" s="923">
        <f>IFERROR(IF(OR(B272="Zipper pouch",B272="SUP with zipper"),HELPER!$DE$2*(AH272+AI272)/K272,HELPER!$DE$2*AH272/K272),"Data is missing")</f>
        <v>5.6266106923312498E-4</v>
      </c>
      <c r="AH272" s="923">
        <f t="shared" si="76"/>
        <v>0.93776844872187504</v>
      </c>
      <c r="AI272" s="923" t="str">
        <f>IF(OR(B272="Zipper pouch",B272="SUP with zipper"),HELPER!$DC$2*G272/1000,"")</f>
        <v/>
      </c>
      <c r="AJ272" s="923" cm="1">
        <f t="array" ref="AJ272">IF(INDEX('Laminates- copilot'!$E$6:$E$257,ROUNDUP((ROW()-5)/3,0))+50&gt;IF(O272="Quantum",760,1220),"Width exceeds supplier maximum",IFERROR(AF272+AG272+N(AI272)+AH272*G272/1000/MAX(1,MIN(MAX(2,INT(900/INDEX('Laminates- copilot'!$E$6:$E$257,ROUNDUP((ROW()-5)/3,0)))),INT((IF(O272="Quantum",760,1220)-50)/INDEX('Laminates- copilot'!$E$6:$E$257,ROUNDUP((ROW()-5)/3,0))))),"Data is missing"))</f>
        <v>0.43596083800886931</v>
      </c>
      <c r="AK272" s="203">
        <f t="shared" si="77"/>
        <v>581.28111734515903</v>
      </c>
      <c r="AL272" t="str">
        <f t="shared" si="78"/>
        <v>PASS</v>
      </c>
      <c r="AM272" s="50" t="str">
        <f t="shared" si="79"/>
        <v/>
      </c>
    </row>
    <row r="273" spans="1:39" hidden="1">
      <c r="A273" t="s">
        <v>1901</v>
      </c>
      <c r="B273" t="s">
        <v>251</v>
      </c>
      <c r="C273" s="50" t="s">
        <v>1627</v>
      </c>
      <c r="D273" t="str">
        <f>'Laminates- copilot'!B95</f>
        <v>648W</v>
      </c>
      <c r="E273" s="858">
        <f>'Laminates- copilot'!D95</f>
        <v>63</v>
      </c>
      <c r="F273" s="858">
        <v>350</v>
      </c>
      <c r="G273" s="858">
        <v>500</v>
      </c>
      <c r="H273" s="858">
        <v>100</v>
      </c>
      <c r="I273" s="858">
        <v>0</v>
      </c>
      <c r="J273" s="858">
        <v>900</v>
      </c>
      <c r="K273" s="858">
        <v>1600000</v>
      </c>
      <c r="L273" s="858" t="str">
        <f>'Laminates- copilot'!K95</f>
        <v>Printed</v>
      </c>
      <c r="M273" s="858" t="str">
        <f>'Laminates- copilot'!L95</f>
        <v>1-2</v>
      </c>
      <c r="N273" s="858">
        <f>'Laminates- copilot'!M95</f>
        <v>2</v>
      </c>
      <c r="O273" s="858" t="str">
        <f>'Laminates- copilot'!O95</f>
        <v>Quantum</v>
      </c>
      <c r="P273" s="858" t="str">
        <f>'Laminates- copilot'!N95</f>
        <v>Europe to Europe</v>
      </c>
      <c r="Q273" s="858">
        <f t="shared" si="64"/>
        <v>800000</v>
      </c>
      <c r="R273" s="858">
        <f t="shared" si="65"/>
        <v>800000</v>
      </c>
      <c r="S273" s="858">
        <f>IFERROR('Laminates- copilot'!Q95/'Laminates- copilot'!P95*Q273,"")</f>
        <v>29505.600000000006</v>
      </c>
      <c r="T273" s="203">
        <f>IFERROR('Laminates- copilot'!R95/'Laminates- copilot'!P95*Q273,"")</f>
        <v>974487.28211390844</v>
      </c>
      <c r="U273" s="912">
        <f>IFERROR('Laminates- copilot'!S95/'Laminates- copilot'!P95*Q273,"")</f>
        <v>1130405.2472521337</v>
      </c>
      <c r="V273" s="913">
        <f t="shared" si="66"/>
        <v>33.027197620584168</v>
      </c>
      <c r="W273" s="914">
        <f t="shared" si="67"/>
        <v>38.311549239877628</v>
      </c>
      <c r="X273" s="913">
        <f t="shared" si="68"/>
        <v>1.2181091026423856</v>
      </c>
      <c r="Y273" s="913">
        <f t="shared" si="69"/>
        <v>33.027197620584168</v>
      </c>
      <c r="Z273" s="95">
        <f t="shared" si="70"/>
        <v>27114</v>
      </c>
      <c r="AA273" s="50" t="str">
        <f t="shared" si="71"/>
        <v>MOQ OK</v>
      </c>
      <c r="AB273" s="923">
        <f t="shared" si="72"/>
        <v>1.2641683359780174</v>
      </c>
      <c r="AC273" s="924">
        <f t="shared" si="73"/>
        <v>1.4664352697345</v>
      </c>
      <c r="AD273" s="203">
        <f t="shared" si="74"/>
        <v>2022669.3375648279</v>
      </c>
      <c r="AE273" s="912">
        <f t="shared" si="75"/>
        <v>2346296.4315752001</v>
      </c>
      <c r="AF273" s="923" cm="1">
        <f t="array" ref="AF273">IF(O273="Quantum",IFERROR(_xlfn.LET(_xlpm.b,_xlfn.SWITCH(LOWER(B273),"zipper bag","Zipper pouch","open bag","Open pouch","sup with zipper","Stand-up pouch","stand-up pouch","Stand-up pouch",B273),_xlpm.w,G273,_xlpm.q,K273,_xlpm.types,'Converting-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missing"),IFERROR(_xlfn.LET(_xlpm.s,O273,_xlpm.b,_xlfn.SWITCH(LOWER(B273),"zipper bag","Zipper pouch","open bag","Open pouch",B273),_xlpm.w,G273,_xlpm.q,K273,_xlpm.src,'Converting-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273" s="923">
        <f>IFERROR(IF(OR(B273="Zipper pouch",B273="SUP with zipper"),HELPER!$DE$2*(AH273+AI273)/K273,HELPER!$DE$2*AH273/K273),"Data is missing")</f>
        <v>4.8379091349089464E-4</v>
      </c>
      <c r="AH273" s="923">
        <f t="shared" si="76"/>
        <v>1.2181091026423856</v>
      </c>
      <c r="AI273" s="923">
        <f>IF(OR(B273="Zipper pouch",B273="SUP with zipper"),HELPER!$DC$2*G273/1000,"")</f>
        <v>7.1999999999999995E-2</v>
      </c>
      <c r="AJ273" s="923" cm="1">
        <f t="array" ref="AJ273">IF(INDEX('Laminates- copilot'!$E$6:$E$257,ROUNDUP((ROW()-5)/3,0))+50&gt;IF(O273="Quantum",760,1220),"Width exceeds supplier maximum",IFERROR(AF273+AG273+N(AI273)+AH273*G273/1000/MAX(1,MIN(MAX(2,INT(900/INDEX('Laminates- copilot'!$E$6:$E$257,ROUNDUP((ROW()-5)/3,0)))),INT((IF(O273="Quantum",760,1220)-50)/INDEX('Laminates- copilot'!$E$6:$E$257,ROUNDUP((ROW()-5)/3,0))))),"Data is missing"))</f>
        <v>0.94812625198351297</v>
      </c>
      <c r="AK273" s="203">
        <f t="shared" si="77"/>
        <v>1264.1683359780175</v>
      </c>
      <c r="AL273" t="str">
        <f t="shared" si="78"/>
        <v>PASS</v>
      </c>
      <c r="AM273" s="50" t="str">
        <f t="shared" si="79"/>
        <v/>
      </c>
    </row>
    <row r="274" spans="1:39" hidden="1">
      <c r="A274" t="s">
        <v>1902</v>
      </c>
      <c r="B274" t="s">
        <v>261</v>
      </c>
      <c r="C274" s="50" t="s">
        <v>1627</v>
      </c>
      <c r="D274" t="str">
        <f>'Laminates- copilot'!B95</f>
        <v>648W</v>
      </c>
      <c r="E274" s="858">
        <f>'Laminates- copilot'!D95</f>
        <v>63</v>
      </c>
      <c r="F274" s="858">
        <v>350</v>
      </c>
      <c r="G274" s="858">
        <v>500</v>
      </c>
      <c r="H274" s="858">
        <v>100</v>
      </c>
      <c r="I274" s="858">
        <v>0</v>
      </c>
      <c r="J274" s="858">
        <v>900</v>
      </c>
      <c r="K274" s="858">
        <v>1600000</v>
      </c>
      <c r="L274" s="858" t="str">
        <f>'Laminates- copilot'!K95</f>
        <v>Printed</v>
      </c>
      <c r="M274" s="858" t="str">
        <f>'Laminates- copilot'!L95</f>
        <v>1-2</v>
      </c>
      <c r="N274" s="858">
        <f>'Laminates- copilot'!M95</f>
        <v>2</v>
      </c>
      <c r="O274" s="858" t="str">
        <f>'Laminates- copilot'!O95</f>
        <v>Quantum</v>
      </c>
      <c r="P274" s="858" t="str">
        <f>'Laminates- copilot'!N95</f>
        <v>Europe to Europe</v>
      </c>
      <c r="Q274" s="858">
        <f t="shared" si="64"/>
        <v>800000</v>
      </c>
      <c r="R274" s="858">
        <f t="shared" si="65"/>
        <v>800000</v>
      </c>
      <c r="S274" s="858">
        <f>IFERROR('Laminates- copilot'!Q95/'Laminates- copilot'!P95*Q274,"")</f>
        <v>29505.600000000006</v>
      </c>
      <c r="T274" s="203">
        <f>IFERROR('Laminates- copilot'!R95/'Laminates- copilot'!P95*Q274,"")</f>
        <v>974487.28211390844</v>
      </c>
      <c r="U274" s="912">
        <f>IFERROR('Laminates- copilot'!S95/'Laminates- copilot'!P95*Q274,"")</f>
        <v>1130405.2472521337</v>
      </c>
      <c r="V274" s="913">
        <f t="shared" si="66"/>
        <v>33.027197620584168</v>
      </c>
      <c r="W274" s="914">
        <f t="shared" si="67"/>
        <v>38.311549239877628</v>
      </c>
      <c r="X274" s="913">
        <f t="shared" si="68"/>
        <v>1.2181091026423856</v>
      </c>
      <c r="Y274" s="913">
        <f t="shared" si="69"/>
        <v>33.027197620584168</v>
      </c>
      <c r="Z274" s="95">
        <f t="shared" si="70"/>
        <v>27114</v>
      </c>
      <c r="AA274" s="50" t="str">
        <f t="shared" si="71"/>
        <v>MOQ OK</v>
      </c>
      <c r="AB274" s="923">
        <f t="shared" si="72"/>
        <v>1.2247504591825331</v>
      </c>
      <c r="AC274" s="924">
        <f t="shared" si="73"/>
        <v>1.4207105326517384</v>
      </c>
      <c r="AD274" s="203">
        <f t="shared" si="74"/>
        <v>1959600.7346920529</v>
      </c>
      <c r="AE274" s="912">
        <f t="shared" si="75"/>
        <v>2273136.8522427813</v>
      </c>
      <c r="AF274" s="923" cm="1">
        <f t="array" ref="AF274">IF(O274="Quantum",IFERROR(_xlfn.LET(_xlpm.b,_xlfn.SWITCH(LOWER(B274),"zipper bag","Zipper pouch","open bag","Open pouch","sup with zipper","Stand-up pouch","stand-up pouch","Stand-up pouch",B274),_xlpm.w,G274,_xlpm.q,K274,_xlpm.types,'Converting-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missing"),IFERROR(_xlfn.LET(_xlpm.s,O274,_xlpm.b,_xlfn.SWITCH(LOWER(B274),"zipper bag","Zipper pouch","open bag","Open pouch",B274),_xlpm.w,G274,_xlpm.q,K274,_xlpm.src,'Converting-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274" s="923">
        <f>IFERROR(IF(OR(B274="Zipper pouch",B274="SUP with zipper"),HELPER!$DE$2*(AH274+AI274)/K274,HELPER!$DE$2*AH274/K274),"Data is missing")</f>
        <v>4.8379091349089464E-4</v>
      </c>
      <c r="AH274" s="923">
        <f t="shared" si="76"/>
        <v>1.2181091026423856</v>
      </c>
      <c r="AI274" s="923">
        <f>IF(OR(B274="Zipper pouch",B274="SUP with zipper"),HELPER!$DC$2*G274/1000,"")</f>
        <v>7.1999999999999995E-2</v>
      </c>
      <c r="AJ274" s="923" cm="1">
        <f t="array" ref="AJ274">IF(INDEX('Laminates- copilot'!$E$6:$E$257,ROUNDUP((ROW()-5)/3,0))+50&gt;IF(O274="Quantum",760,1220),"Width exceeds supplier maximum",IFERROR(AF274+AG274+N(AI274)+AH274*G274/1000/MAX(1,MIN(MAX(2,INT(900/INDEX('Laminates- copilot'!$E$6:$E$257,ROUNDUP((ROW()-5)/3,0)))),INT((IF(O274="Quantum",760,1220)-50)/INDEX('Laminates- copilot'!$E$6:$E$257,ROUNDUP((ROW()-5)/3,0))))),"Data is missing"))</f>
        <v>0.91856284438689983</v>
      </c>
      <c r="AK274" s="203">
        <f t="shared" si="77"/>
        <v>1224.7504591825332</v>
      </c>
      <c r="AL274" t="str">
        <f t="shared" si="78"/>
        <v>PASS</v>
      </c>
      <c r="AM274" s="50" t="str">
        <f t="shared" si="79"/>
        <v/>
      </c>
    </row>
    <row r="275" spans="1:39" hidden="1">
      <c r="A275" t="s">
        <v>1903</v>
      </c>
      <c r="B275" t="s">
        <v>262</v>
      </c>
      <c r="C275" s="50" t="s">
        <v>1627</v>
      </c>
      <c r="D275" t="str">
        <f>'Laminates- copilot'!B95</f>
        <v>648W</v>
      </c>
      <c r="E275" s="858">
        <f>'Laminates- copilot'!D95</f>
        <v>63</v>
      </c>
      <c r="F275" s="858">
        <v>350</v>
      </c>
      <c r="G275" s="858">
        <v>500</v>
      </c>
      <c r="H275" s="858">
        <v>0</v>
      </c>
      <c r="I275" s="858">
        <v>25</v>
      </c>
      <c r="J275" s="858">
        <v>725</v>
      </c>
      <c r="K275" s="858">
        <v>1600000</v>
      </c>
      <c r="L275" s="858" t="str">
        <f>'Laminates- copilot'!K95</f>
        <v>Printed</v>
      </c>
      <c r="M275" s="858" t="str">
        <f>'Laminates- copilot'!L95</f>
        <v>1-2</v>
      </c>
      <c r="N275" s="858">
        <f>'Laminates- copilot'!M95</f>
        <v>2</v>
      </c>
      <c r="O275" s="858" t="str">
        <f>'Laminates- copilot'!O95</f>
        <v>Quantum</v>
      </c>
      <c r="P275" s="858" t="str">
        <f>'Laminates- copilot'!N95</f>
        <v>Europe to Europe</v>
      </c>
      <c r="Q275" s="858">
        <f t="shared" si="64"/>
        <v>800000</v>
      </c>
      <c r="R275" s="858">
        <f t="shared" si="65"/>
        <v>800000</v>
      </c>
      <c r="S275" s="858">
        <f>IFERROR('Laminates- copilot'!Q95/'Laminates- copilot'!P95*Q275,"")</f>
        <v>29505.600000000006</v>
      </c>
      <c r="T275" s="203">
        <f>IFERROR('Laminates- copilot'!R95/'Laminates- copilot'!P95*Q275,"")</f>
        <v>974487.28211390844</v>
      </c>
      <c r="U275" s="912">
        <f>IFERROR('Laminates- copilot'!S95/'Laminates- copilot'!P95*Q275,"")</f>
        <v>1130405.2472521337</v>
      </c>
      <c r="V275" s="913">
        <f t="shared" si="66"/>
        <v>33.027197620584168</v>
      </c>
      <c r="W275" s="914">
        <f t="shared" si="67"/>
        <v>38.311549239877628</v>
      </c>
      <c r="X275" s="913">
        <f t="shared" si="68"/>
        <v>1.2181091026423856</v>
      </c>
      <c r="Y275" s="913">
        <f t="shared" si="69"/>
        <v>33.027197620584168</v>
      </c>
      <c r="Z275" s="95">
        <f t="shared" si="70"/>
        <v>27114</v>
      </c>
      <c r="AA275" s="50" t="str">
        <f t="shared" si="71"/>
        <v>MOQ OK</v>
      </c>
      <c r="AB275" s="923">
        <f t="shared" si="72"/>
        <v>1.0969502726886744</v>
      </c>
      <c r="AC275" s="924">
        <f t="shared" si="73"/>
        <v>1.2724623163188622</v>
      </c>
      <c r="AD275" s="203">
        <f t="shared" si="74"/>
        <v>1755120.4363018791</v>
      </c>
      <c r="AE275" s="912">
        <f t="shared" si="75"/>
        <v>2035939.7061101797</v>
      </c>
      <c r="AF275" s="923" cm="1">
        <f t="array" ref="AF275">IF(O275="Quantum",IFERROR(_xlfn.LET(_xlpm.b,_xlfn.SWITCH(LOWER(B275),"zipper bag","Zipper pouch","open bag","Open pouch","sup with zipper","Stand-up pouch","stand-up pouch","Stand-up pouch",B275),_xlpm.w,G275,_xlpm.q,K275,_xlpm.types,'Converting-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missing"),IFERROR(_xlfn.LET(_xlpm.s,O275,_xlpm.b,_xlfn.SWITCH(LOWER(B275),"zipper bag","Zipper pouch","open bag","Open pouch",B275),_xlpm.w,G275,_xlpm.q,K275,_xlpm.src,'Converting-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275" s="923">
        <f>IFERROR(IF(OR(B275="Zipper pouch",B275="SUP with zipper"),HELPER!$DE$2*(AH275+AI275)/K275,HELPER!$DE$2*AH275/K275),"Data is missing")</f>
        <v>4.5679091349089463E-4</v>
      </c>
      <c r="AH275" s="923">
        <f t="shared" si="76"/>
        <v>1.2181091026423856</v>
      </c>
      <c r="AI275" s="923" t="str">
        <f>IF(OR(B275="Zipper pouch",B275="SUP with zipper"),HELPER!$DC$2*G275/1000,"")</f>
        <v/>
      </c>
      <c r="AJ275" s="923" cm="1">
        <f t="array" ref="AJ275">IF(INDEX('Laminates- copilot'!$E$6:$E$257,ROUNDUP((ROW()-5)/3,0))+50&gt;IF(O275="Quantum",760,1220),"Width exceeds supplier maximum",IFERROR(AF275+AG275+N(AI275)+AH275*G275/1000/MAX(1,MIN(MAX(2,INT(900/INDEX('Laminates- copilot'!$E$6:$E$257,ROUNDUP((ROW()-5)/3,0)))),INT((IF(O275="Quantum",760,1220)-50)/INDEX('Laminates- copilot'!$E$6:$E$257,ROUNDUP((ROW()-5)/3,0))))),"Data is missing"))</f>
        <v>0.8227127045165058</v>
      </c>
      <c r="AK275" s="203">
        <f t="shared" si="77"/>
        <v>1096.9502726886744</v>
      </c>
      <c r="AL275" t="str">
        <f t="shared" si="78"/>
        <v>PASS</v>
      </c>
      <c r="AM275" s="50" t="str">
        <f t="shared" si="79"/>
        <v/>
      </c>
    </row>
    <row r="276" spans="1:39" hidden="1">
      <c r="A276" t="s">
        <v>1904</v>
      </c>
      <c r="B276" t="s">
        <v>251</v>
      </c>
      <c r="C276" s="50" t="s">
        <v>2203</v>
      </c>
      <c r="D276">
        <f>'Laminates- copilot'!B96</f>
        <v>748</v>
      </c>
      <c r="E276" s="858">
        <f>'Laminates- copilot'!D96</f>
        <v>55</v>
      </c>
      <c r="F276" s="858">
        <v>100</v>
      </c>
      <c r="G276" s="858">
        <v>100</v>
      </c>
      <c r="H276" s="858">
        <v>20</v>
      </c>
      <c r="I276" s="858">
        <v>0</v>
      </c>
      <c r="J276" s="858">
        <v>240</v>
      </c>
      <c r="K276" s="858">
        <v>25000</v>
      </c>
      <c r="L276" s="858" t="str">
        <f>'Laminates- copilot'!K96</f>
        <v>Not Printed</v>
      </c>
      <c r="M276" s="858" t="str">
        <f>'Laminates- copilot'!L96</f>
        <v>0</v>
      </c>
      <c r="N276" s="858">
        <f>'Laminates- copilot'!M96</f>
        <v>1</v>
      </c>
      <c r="O276" s="858" t="str">
        <f>'Laminates- copilot'!O96</f>
        <v>Marma</v>
      </c>
      <c r="P276" s="858" t="str">
        <f>'Laminates- copilot'!N96</f>
        <v>Europe to Europe</v>
      </c>
      <c r="Q276" s="858">
        <f t="shared" si="64"/>
        <v>2500</v>
      </c>
      <c r="R276" s="858">
        <f t="shared" si="65"/>
        <v>2500</v>
      </c>
      <c r="S276" s="858">
        <f>IFERROR('Laminates- copilot'!Q96/'Laminates- copilot'!P96*Q276,"")</f>
        <v>20.340000000000003</v>
      </c>
      <c r="T276" s="203">
        <f>IFERROR('Laminates- copilot'!R96/'Laminates- copilot'!P96*Q276,"")</f>
        <v>257.2174647309613</v>
      </c>
      <c r="U276" s="912">
        <f>IFERROR('Laminates- copilot'!S96/'Laminates- copilot'!P96*Q276,"")</f>
        <v>298.37225908791504</v>
      </c>
      <c r="V276" s="913">
        <f t="shared" si="66"/>
        <v>12.645893054619531</v>
      </c>
      <c r="W276" s="914">
        <f t="shared" si="67"/>
        <v>14.669235943358652</v>
      </c>
      <c r="X276" s="913">
        <f t="shared" si="68"/>
        <v>0.10288698589238451</v>
      </c>
      <c r="Y276" s="913">
        <f t="shared" si="69"/>
        <v>12.645893054619531</v>
      </c>
      <c r="Z276" s="95">
        <f t="shared" si="70"/>
        <v>614553</v>
      </c>
      <c r="AA276" s="50" t="str">
        <f t="shared" si="71"/>
        <v>Below MOQ by 589,553 bags</v>
      </c>
      <c r="AB276" s="923">
        <f t="shared" si="72"/>
        <v>7.5843689795919766E-2</v>
      </c>
      <c r="AC276" s="924">
        <f t="shared" si="73"/>
        <v>8.7978680163266917E-2</v>
      </c>
      <c r="AD276" s="203">
        <f t="shared" si="74"/>
        <v>1896.0922448979941</v>
      </c>
      <c r="AE276" s="912">
        <f t="shared" si="75"/>
        <v>2199.4670040816732</v>
      </c>
      <c r="AF276" s="923" cm="1">
        <f t="array" ref="AF276">IF(O276="Quantum",IFERROR(_xlfn.LET(_xlpm.b,_xlfn.SWITCH(LOWER(B276),"zipper bag","Zipper pouch","open bag","Open pouch","sup with zipper","Stand-up pouch","stand-up pouch","Stand-up pouch",B276),_xlpm.w,G276,_xlpm.q,K276,_xlpm.types,'Converting-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missing"),IFERROR(_xlfn.LET(_xlpm.s,O276,_xlpm.b,_xlfn.SWITCH(LOWER(B276),"zipper bag","Zipper pouch","open bag","Open pouch",B276),_xlpm.w,G276,_xlpm.q,K276,_xlpm.src,'Converting-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276" s="923">
        <f>IFERROR(IF(OR(B276="Zipper pouch",B276="SUP with zipper"),HELPER!$DE$2*(AH276+AI276)/K276,HELPER!$DE$2*AH276/K276),"Data is missing")</f>
        <v>2.8148876614172281E-3</v>
      </c>
      <c r="AH276" s="923">
        <f t="shared" si="76"/>
        <v>0.10288698589238451</v>
      </c>
      <c r="AI276" s="923">
        <f>IF(OR(B276="Zipper pouch",B276="SUP with zipper"),HELPER!$DC$2*G276/1000,"")</f>
        <v>1.4399999999999998E-2</v>
      </c>
      <c r="AJ276" s="923" cm="1">
        <f t="array" ref="AJ276">IF(INDEX('Laminates- copilot'!$E$6:$E$257,ROUNDUP((ROW()-5)/3,0))+50&gt;IF(O276="Quantum",760,1220),"Width exceeds supplier maximum",IFERROR(AF276+AG276+N(AI276)+AH276*G276/1000/MAX(1,MIN(MAX(2,INT(900/INDEX('Laminates- copilot'!$E$6:$E$257,ROUNDUP((ROW()-5)/3,0)))),INT((IF(O276="Quantum",760,1220)-50)/INDEX('Laminates- copilot'!$E$6:$E$257,ROUNDUP((ROW()-5)/3,0))))),"Data is missing"))</f>
        <v>5.6882767346939825E-2</v>
      </c>
      <c r="AK276" s="203">
        <f t="shared" si="77"/>
        <v>75.843689795919772</v>
      </c>
      <c r="AL276" t="str">
        <f t="shared" si="78"/>
        <v>PASS</v>
      </c>
      <c r="AM276" s="50" t="str">
        <f t="shared" si="79"/>
        <v/>
      </c>
    </row>
    <row r="277" spans="1:39" hidden="1">
      <c r="A277" t="s">
        <v>1905</v>
      </c>
      <c r="B277" t="s">
        <v>261</v>
      </c>
      <c r="C277" s="50" t="s">
        <v>2203</v>
      </c>
      <c r="D277">
        <f>'Laminates- copilot'!B96</f>
        <v>748</v>
      </c>
      <c r="E277" s="858">
        <f>'Laminates- copilot'!D96</f>
        <v>55</v>
      </c>
      <c r="F277" s="858">
        <v>100</v>
      </c>
      <c r="G277" s="858">
        <v>100</v>
      </c>
      <c r="H277" s="858">
        <v>20</v>
      </c>
      <c r="I277" s="858">
        <v>0</v>
      </c>
      <c r="J277" s="858">
        <v>240</v>
      </c>
      <c r="K277" s="858">
        <v>25000</v>
      </c>
      <c r="L277" s="858" t="str">
        <f>'Laminates- copilot'!K96</f>
        <v>Not Printed</v>
      </c>
      <c r="M277" s="858" t="str">
        <f>'Laminates- copilot'!L96</f>
        <v>0</v>
      </c>
      <c r="N277" s="858">
        <f>'Laminates- copilot'!M96</f>
        <v>1</v>
      </c>
      <c r="O277" s="858" t="str">
        <f>'Laminates- copilot'!O96</f>
        <v>Marma</v>
      </c>
      <c r="P277" s="858" t="str">
        <f>'Laminates- copilot'!N96</f>
        <v>Europe to Europe</v>
      </c>
      <c r="Q277" s="858">
        <f t="shared" si="64"/>
        <v>2500</v>
      </c>
      <c r="R277" s="858">
        <f t="shared" si="65"/>
        <v>2500</v>
      </c>
      <c r="S277" s="858">
        <f>IFERROR('Laminates- copilot'!Q96/'Laminates- copilot'!P96*Q277,"")</f>
        <v>20.340000000000003</v>
      </c>
      <c r="T277" s="203">
        <f>IFERROR('Laminates- copilot'!R96/'Laminates- copilot'!P96*Q277,"")</f>
        <v>257.2174647309613</v>
      </c>
      <c r="U277" s="912">
        <f>IFERROR('Laminates- copilot'!S96/'Laminates- copilot'!P96*Q277,"")</f>
        <v>298.37225908791504</v>
      </c>
      <c r="V277" s="913">
        <f t="shared" si="66"/>
        <v>12.645893054619531</v>
      </c>
      <c r="W277" s="914">
        <f t="shared" si="67"/>
        <v>14.669235943358652</v>
      </c>
      <c r="X277" s="913">
        <f t="shared" si="68"/>
        <v>0.10288698589238451</v>
      </c>
      <c r="Y277" s="913">
        <f t="shared" si="69"/>
        <v>12.645893054619531</v>
      </c>
      <c r="Z277" s="95">
        <f t="shared" si="70"/>
        <v>614553</v>
      </c>
      <c r="AA277" s="50" t="str">
        <f t="shared" si="71"/>
        <v>Below MOQ by 589,553 bags</v>
      </c>
      <c r="AB277" s="923">
        <f t="shared" si="72"/>
        <v>7.241835146730137E-2</v>
      </c>
      <c r="AC277" s="924">
        <f t="shared" si="73"/>
        <v>8.4005287702069581E-2</v>
      </c>
      <c r="AD277" s="203">
        <f t="shared" si="74"/>
        <v>1810.4587866825343</v>
      </c>
      <c r="AE277" s="912">
        <f t="shared" si="75"/>
        <v>2100.1321925517395</v>
      </c>
      <c r="AF277" s="923" cm="1">
        <f t="array" ref="AF277">IF(O277="Quantum",IFERROR(_xlfn.LET(_xlpm.b,_xlfn.SWITCH(LOWER(B277),"zipper bag","Zipper pouch","open bag","Open pouch","sup with zipper","Stand-up pouch","stand-up pouch","Stand-up pouch",B277),_xlpm.w,G277,_xlpm.q,K277,_xlpm.types,'Converting-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missing"),IFERROR(_xlfn.LET(_xlpm.s,O277,_xlpm.b,_xlfn.SWITCH(LOWER(B277),"zipper bag","Zipper pouch","open bag","Open pouch",B277),_xlpm.w,G277,_xlpm.q,K277,_xlpm.src,'Converting-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277" s="923">
        <f>IFERROR(IF(OR(B277="Zipper pouch",B277="SUP with zipper"),HELPER!$DE$2*(AH277+AI277)/K277,HELPER!$DE$2*AH277/K277),"Data is missing")</f>
        <v>2.8148876614172281E-3</v>
      </c>
      <c r="AH277" s="923">
        <f t="shared" si="76"/>
        <v>0.10288698589238451</v>
      </c>
      <c r="AI277" s="923">
        <f>IF(OR(B277="Zipper pouch",B277="SUP with zipper"),HELPER!$DC$2*G277/1000,"")</f>
        <v>1.4399999999999998E-2</v>
      </c>
      <c r="AJ277" s="923" cm="1">
        <f t="array" ref="AJ277">IF(INDEX('Laminates- copilot'!$E$6:$E$257,ROUNDUP((ROW()-5)/3,0))+50&gt;IF(O277="Quantum",760,1220),"Width exceeds supplier maximum",IFERROR(AF277+AG277+N(AI277)+AH277*G277/1000/MAX(1,MIN(MAX(2,INT(900/INDEX('Laminates- copilot'!$E$6:$E$257,ROUNDUP((ROW()-5)/3,0)))),INT((IF(O277="Quantum",760,1220)-50)/INDEX('Laminates- copilot'!$E$6:$E$257,ROUNDUP((ROW()-5)/3,0))))),"Data is missing"))</f>
        <v>5.4313763600476024E-2</v>
      </c>
      <c r="AK277" s="203">
        <f t="shared" si="77"/>
        <v>72.418351467301363</v>
      </c>
      <c r="AL277" t="str">
        <f t="shared" si="78"/>
        <v>PASS</v>
      </c>
      <c r="AM277" s="50" t="str">
        <f t="shared" si="79"/>
        <v/>
      </c>
    </row>
    <row r="278" spans="1:39" hidden="1">
      <c r="A278" t="s">
        <v>1906</v>
      </c>
      <c r="B278" t="s">
        <v>262</v>
      </c>
      <c r="C278" s="50" t="s">
        <v>2203</v>
      </c>
      <c r="D278">
        <f>'Laminates- copilot'!B96</f>
        <v>748</v>
      </c>
      <c r="E278" s="858">
        <f>'Laminates- copilot'!D96</f>
        <v>55</v>
      </c>
      <c r="F278" s="858">
        <v>100</v>
      </c>
      <c r="G278" s="858">
        <v>100</v>
      </c>
      <c r="H278" s="858">
        <v>0</v>
      </c>
      <c r="I278" s="858">
        <v>0</v>
      </c>
      <c r="J278" s="858">
        <v>200</v>
      </c>
      <c r="K278" s="858">
        <v>25000</v>
      </c>
      <c r="L278" s="858" t="str">
        <f>'Laminates- copilot'!K96</f>
        <v>Not Printed</v>
      </c>
      <c r="M278" s="858" t="str">
        <f>'Laminates- copilot'!L96</f>
        <v>0</v>
      </c>
      <c r="N278" s="858">
        <f>'Laminates- copilot'!M96</f>
        <v>1</v>
      </c>
      <c r="O278" s="858" t="str">
        <f>'Laminates- copilot'!O96</f>
        <v>Marma</v>
      </c>
      <c r="P278" s="858" t="str">
        <f>'Laminates- copilot'!N96</f>
        <v>Europe to Europe</v>
      </c>
      <c r="Q278" s="858">
        <f t="shared" si="64"/>
        <v>2500</v>
      </c>
      <c r="R278" s="858">
        <f t="shared" si="65"/>
        <v>2500</v>
      </c>
      <c r="S278" s="858">
        <f>IFERROR('Laminates- copilot'!Q96/'Laminates- copilot'!P96*Q278,"")</f>
        <v>20.340000000000003</v>
      </c>
      <c r="T278" s="203">
        <f>IFERROR('Laminates- copilot'!R96/'Laminates- copilot'!P96*Q278,"")</f>
        <v>257.2174647309613</v>
      </c>
      <c r="U278" s="912">
        <f>IFERROR('Laminates- copilot'!S96/'Laminates- copilot'!P96*Q278,"")</f>
        <v>298.37225908791504</v>
      </c>
      <c r="V278" s="913">
        <f t="shared" si="66"/>
        <v>12.645893054619531</v>
      </c>
      <c r="W278" s="914">
        <f t="shared" si="67"/>
        <v>14.669235943358652</v>
      </c>
      <c r="X278" s="913">
        <f t="shared" si="68"/>
        <v>0.10288698589238451</v>
      </c>
      <c r="Y278" s="913">
        <f t="shared" si="69"/>
        <v>12.645893054619531</v>
      </c>
      <c r="Z278" s="95">
        <f t="shared" si="70"/>
        <v>614553</v>
      </c>
      <c r="AA278" s="50" t="str">
        <f t="shared" si="71"/>
        <v>Below MOQ by 589,553 bags</v>
      </c>
      <c r="AB278" s="923">
        <f t="shared" si="72"/>
        <v>4.8986947119435749E-2</v>
      </c>
      <c r="AC278" s="924">
        <f t="shared" si="73"/>
        <v>5.6824858658545467E-2</v>
      </c>
      <c r="AD278" s="203">
        <f t="shared" si="74"/>
        <v>1224.6736779858936</v>
      </c>
      <c r="AE278" s="912">
        <f t="shared" si="75"/>
        <v>1420.6214664636366</v>
      </c>
      <c r="AF278" s="923" cm="1">
        <f t="array" ref="AF278">IF(O278="Quantum",IFERROR(_xlfn.LET(_xlpm.b,_xlfn.SWITCH(LOWER(B278),"zipper bag","Zipper pouch","open bag","Open pouch","sup with zipper","Stand-up pouch","stand-up pouch","Stand-up pouch",B278),_xlpm.w,G278,_xlpm.q,K278,_xlpm.types,'Converting-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missing"),IFERROR(_xlfn.LET(_xlpm.s,O278,_xlpm.b,_xlfn.SWITCH(LOWER(B278),"zipper bag","Zipper pouch","open bag","Open pouch",B278),_xlpm.w,G278,_xlpm.q,K278,_xlpm.src,'Converting-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278" s="923">
        <f>IFERROR(IF(OR(B278="Zipper pouch",B278="SUP with zipper"),HELPER!$DE$2*(AH278+AI278)/K278,HELPER!$DE$2*AH278/K278),"Data is missing")</f>
        <v>2.4692876614172284E-3</v>
      </c>
      <c r="AH278" s="923">
        <f t="shared" si="76"/>
        <v>0.10288698589238451</v>
      </c>
      <c r="AI278" s="923" t="str">
        <f>IF(OR(B278="Zipper pouch",B278="SUP with zipper"),HELPER!$DC$2*G278/1000,"")</f>
        <v/>
      </c>
      <c r="AJ278" s="923" cm="1">
        <f t="array" ref="AJ278">IF(INDEX('Laminates- copilot'!$E$6:$E$257,ROUNDUP((ROW()-5)/3,0))+50&gt;IF(O278="Quantum",760,1220),"Width exceeds supplier maximum",IFERROR(AF278+AG278+N(AI278)+AH278*G278/1000/MAX(1,MIN(MAX(2,INT(900/INDEX('Laminates- copilot'!$E$6:$E$257,ROUNDUP((ROW()-5)/3,0)))),INT((IF(O278="Quantum",760,1220)-50)/INDEX('Laminates- copilot'!$E$6:$E$257,ROUNDUP((ROW()-5)/3,0))))),"Data is missing"))</f>
        <v>3.6740210339576813E-2</v>
      </c>
      <c r="AK278" s="203">
        <f t="shared" si="77"/>
        <v>48.986947119435747</v>
      </c>
      <c r="AL278" t="str">
        <f t="shared" si="78"/>
        <v>PASS</v>
      </c>
      <c r="AM278" s="50" t="str">
        <f t="shared" si="79"/>
        <v/>
      </c>
    </row>
    <row r="279" spans="1:39" hidden="1">
      <c r="A279" t="s">
        <v>1907</v>
      </c>
      <c r="B279" t="s">
        <v>251</v>
      </c>
      <c r="C279" s="50" t="s">
        <v>2204</v>
      </c>
      <c r="D279">
        <f>'Laminates- copilot'!B97</f>
        <v>748</v>
      </c>
      <c r="E279" s="858">
        <f>'Laminates- copilot'!D97</f>
        <v>55</v>
      </c>
      <c r="F279" s="858">
        <v>150</v>
      </c>
      <c r="G279" s="858">
        <v>150</v>
      </c>
      <c r="H279" s="858">
        <v>25</v>
      </c>
      <c r="I279" s="858">
        <v>0</v>
      </c>
      <c r="J279" s="858">
        <v>350</v>
      </c>
      <c r="K279" s="858">
        <v>25000</v>
      </c>
      <c r="L279" s="858" t="str">
        <f>'Laminates- copilot'!K97</f>
        <v>Printed</v>
      </c>
      <c r="M279" s="858" t="str">
        <f>'Laminates- copilot'!L97</f>
        <v>1-2</v>
      </c>
      <c r="N279" s="858">
        <f>'Laminates- copilot'!M97</f>
        <v>1</v>
      </c>
      <c r="O279" s="858" t="str">
        <f>'Laminates- copilot'!O97</f>
        <v>Bastin</v>
      </c>
      <c r="P279" s="858" t="str">
        <f>'Laminates- copilot'!N97</f>
        <v>Europe to US</v>
      </c>
      <c r="Q279" s="858">
        <f t="shared" si="64"/>
        <v>3750</v>
      </c>
      <c r="R279" s="858">
        <f t="shared" si="65"/>
        <v>3750</v>
      </c>
      <c r="S279" s="858">
        <f>IFERROR('Laminates- copilot'!Q97/'Laminates- copilot'!P97*Q279,"")</f>
        <v>30.51</v>
      </c>
      <c r="T279" s="203">
        <f>IFERROR('Laminates- copilot'!R97/'Laminates- copilot'!P97*Q279,"")</f>
        <v>1553.9891284229464</v>
      </c>
      <c r="U279" s="912">
        <f>IFERROR('Laminates- copilot'!S97/'Laminates- copilot'!P97*Q279,"")</f>
        <v>1802.6273889706179</v>
      </c>
      <c r="V279" s="913">
        <f t="shared" si="66"/>
        <v>50.933763632348288</v>
      </c>
      <c r="W279" s="914">
        <f t="shared" si="67"/>
        <v>59.083165813524019</v>
      </c>
      <c r="X279" s="913">
        <f t="shared" si="68"/>
        <v>0.4143971009127857</v>
      </c>
      <c r="Y279" s="913">
        <f t="shared" si="69"/>
        <v>50.933763632348288</v>
      </c>
      <c r="Z279" s="95">
        <f t="shared" si="70"/>
        <v>409702</v>
      </c>
      <c r="AA279" s="50" t="str">
        <f t="shared" si="71"/>
        <v>Below MOQ by 384,702 bags</v>
      </c>
      <c r="AB279" s="923">
        <f t="shared" si="72"/>
        <v>0.1298720412003139</v>
      </c>
      <c r="AC279" s="924">
        <f t="shared" si="73"/>
        <v>0.15065156779236411</v>
      </c>
      <c r="AD279" s="203">
        <f t="shared" si="74"/>
        <v>3246.8010300078477</v>
      </c>
      <c r="AE279" s="912">
        <f t="shared" si="75"/>
        <v>3766.2891948091028</v>
      </c>
      <c r="AF279" s="923" cm="1">
        <f t="array" ref="AF279">IF(O279="Quantum",IFERROR(_xlfn.LET(_xlpm.b,_xlfn.SWITCH(LOWER(B279),"zipper bag","Zipper pouch","open bag","Open pouch","sup with zipper","Stand-up pouch","stand-up pouch","Stand-up pouch",B279),_xlpm.w,G279,_xlpm.q,K279,_xlpm.types,'Converting-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missing"),IFERROR(_xlfn.LET(_xlpm.s,O279,_xlpm.b,_xlfn.SWITCH(LOWER(B279),"zipper bag","Zipper pouch","open bag","Open pouch",B279),_xlpm.w,G279,_xlpm.q,K279,_xlpm.src,'Converting-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279" s="923">
        <f>IFERROR(IF(OR(B279="Zipper pouch",B279="SUP with zipper"),HELPER!$DE$2*(AH279+AI279)/K279,HELPER!$DE$2*AH279/K279),"Data is missing")</f>
        <v>1.0463930421906856E-2</v>
      </c>
      <c r="AH279" s="923">
        <f t="shared" si="76"/>
        <v>0.4143971009127857</v>
      </c>
      <c r="AI279" s="923">
        <f>IF(OR(B279="Zipper pouch",B279="SUP with zipper"),HELPER!$DC$2*G279/1000,"")</f>
        <v>2.1599999999999998E-2</v>
      </c>
      <c r="AJ279" s="923" cm="1">
        <f t="array" ref="AJ279">IF(INDEX('Laminates- copilot'!$E$6:$E$257,ROUNDUP((ROW()-5)/3,0))+50&gt;IF(O279="Quantum",760,1220),"Width exceeds supplier maximum",IFERROR(AF279+AG279+N(AI279)+AH279*G279/1000/MAX(1,MIN(MAX(2,INT(900/INDEX('Laminates- copilot'!$E$6:$E$257,ROUNDUP((ROW()-5)/3,0)))),INT((IF(O279="Quantum",760,1220)-50)/INDEX('Laminates- copilot'!$E$6:$E$257,ROUNDUP((ROW()-5)/3,0))))),"Data is missing"))</f>
        <v>9.740403090023543E-2</v>
      </c>
      <c r="AK279" s="203">
        <f t="shared" si="77"/>
        <v>129.8720412003139</v>
      </c>
      <c r="AL279" t="str">
        <f t="shared" si="78"/>
        <v>PASS</v>
      </c>
      <c r="AM279" s="50" t="str">
        <f t="shared" si="79"/>
        <v/>
      </c>
    </row>
    <row r="280" spans="1:39" hidden="1">
      <c r="A280" t="s">
        <v>1908</v>
      </c>
      <c r="B280" t="s">
        <v>261</v>
      </c>
      <c r="C280" s="50" t="s">
        <v>2204</v>
      </c>
      <c r="D280">
        <f>'Laminates- copilot'!B97</f>
        <v>748</v>
      </c>
      <c r="E280" s="858">
        <f>'Laminates- copilot'!D97</f>
        <v>55</v>
      </c>
      <c r="F280" s="858">
        <v>150</v>
      </c>
      <c r="G280" s="858">
        <v>150</v>
      </c>
      <c r="H280" s="858">
        <v>25</v>
      </c>
      <c r="I280" s="858">
        <v>0</v>
      </c>
      <c r="J280" s="858">
        <v>350</v>
      </c>
      <c r="K280" s="858">
        <v>25000</v>
      </c>
      <c r="L280" s="858" t="str">
        <f>'Laminates- copilot'!K97</f>
        <v>Printed</v>
      </c>
      <c r="M280" s="858" t="str">
        <f>'Laminates- copilot'!L97</f>
        <v>1-2</v>
      </c>
      <c r="N280" s="858">
        <f>'Laminates- copilot'!M97</f>
        <v>1</v>
      </c>
      <c r="O280" s="858" t="str">
        <f>'Laminates- copilot'!O97</f>
        <v>Bastin</v>
      </c>
      <c r="P280" s="858" t="str">
        <f>'Laminates- copilot'!N97</f>
        <v>Europe to US</v>
      </c>
      <c r="Q280" s="858">
        <f t="shared" si="64"/>
        <v>3750</v>
      </c>
      <c r="R280" s="858">
        <f t="shared" si="65"/>
        <v>3750</v>
      </c>
      <c r="S280" s="858">
        <f>IFERROR('Laminates- copilot'!Q97/'Laminates- copilot'!P97*Q280,"")</f>
        <v>30.51</v>
      </c>
      <c r="T280" s="203">
        <f>IFERROR('Laminates- copilot'!R97/'Laminates- copilot'!P97*Q280,"")</f>
        <v>1553.9891284229464</v>
      </c>
      <c r="U280" s="912">
        <f>IFERROR('Laminates- copilot'!S97/'Laminates- copilot'!P97*Q280,"")</f>
        <v>1802.6273889706179</v>
      </c>
      <c r="V280" s="913">
        <f t="shared" si="66"/>
        <v>50.933763632348288</v>
      </c>
      <c r="W280" s="914">
        <f t="shared" si="67"/>
        <v>59.083165813524019</v>
      </c>
      <c r="X280" s="913">
        <f t="shared" si="68"/>
        <v>0.4143971009127857</v>
      </c>
      <c r="Y280" s="913">
        <f t="shared" si="69"/>
        <v>50.933763632348288</v>
      </c>
      <c r="Z280" s="95">
        <f t="shared" si="70"/>
        <v>409702</v>
      </c>
      <c r="AA280" s="50" t="str">
        <f t="shared" si="71"/>
        <v>Below MOQ by 384,702 bags</v>
      </c>
      <c r="AB280" s="923">
        <f t="shared" si="72"/>
        <v>0.12470663100075735</v>
      </c>
      <c r="AC280" s="924">
        <f t="shared" si="73"/>
        <v>0.14465969196087852</v>
      </c>
      <c r="AD280" s="203">
        <f t="shared" si="74"/>
        <v>3117.6657750189338</v>
      </c>
      <c r="AE280" s="912">
        <f t="shared" si="75"/>
        <v>3616.4922990219629</v>
      </c>
      <c r="AF280" s="923" cm="1">
        <f t="array" ref="AF280">IF(O280="Quantum",IFERROR(_xlfn.LET(_xlpm.b,_xlfn.SWITCH(LOWER(B280),"zipper bag","Zipper pouch","open bag","Open pouch","sup with zipper","Stand-up pouch","stand-up pouch","Stand-up pouch",B280),_xlpm.w,G280,_xlpm.q,K280,_xlpm.types,'Converting-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missing"),IFERROR(_xlfn.LET(_xlpm.s,O280,_xlpm.b,_xlfn.SWITCH(LOWER(B280),"zipper bag","Zipper pouch","open bag","Open pouch",B280),_xlpm.w,G280,_xlpm.q,K280,_xlpm.src,'Converting-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280" s="923">
        <f>IFERROR(IF(OR(B280="Zipper pouch",B280="SUP with zipper"),HELPER!$DE$2*(AH280+AI280)/K280,HELPER!$DE$2*AH280/K280),"Data is missing")</f>
        <v>1.0463930421906856E-2</v>
      </c>
      <c r="AH280" s="923">
        <f t="shared" si="76"/>
        <v>0.4143971009127857</v>
      </c>
      <c r="AI280" s="923">
        <f>IF(OR(B280="Zipper pouch",B280="SUP with zipper"),HELPER!$DC$2*G280/1000,"")</f>
        <v>2.1599999999999998E-2</v>
      </c>
      <c r="AJ280" s="923" cm="1">
        <f t="array" ref="AJ280">IF(INDEX('Laminates- copilot'!$E$6:$E$257,ROUNDUP((ROW()-5)/3,0))+50&gt;IF(O280="Quantum",760,1220),"Width exceeds supplier maximum",IFERROR(AF280+AG280+N(AI280)+AH280*G280/1000/MAX(1,MIN(MAX(2,INT(900/INDEX('Laminates- copilot'!$E$6:$E$257,ROUNDUP((ROW()-5)/3,0)))),INT((IF(O280="Quantum",760,1220)-50)/INDEX('Laminates- copilot'!$E$6:$E$257,ROUNDUP((ROW()-5)/3,0))))),"Data is missing"))</f>
        <v>9.3529973250568013E-2</v>
      </c>
      <c r="AK280" s="203">
        <f t="shared" si="77"/>
        <v>124.70663100075735</v>
      </c>
      <c r="AL280" t="str">
        <f t="shared" si="78"/>
        <v>PASS</v>
      </c>
      <c r="AM280" s="50" t="str">
        <f t="shared" si="79"/>
        <v/>
      </c>
    </row>
    <row r="281" spans="1:39" hidden="1">
      <c r="A281" t="s">
        <v>1909</v>
      </c>
      <c r="B281" t="s">
        <v>262</v>
      </c>
      <c r="C281" s="50" t="s">
        <v>2204</v>
      </c>
      <c r="D281">
        <f>'Laminates- copilot'!B97</f>
        <v>748</v>
      </c>
      <c r="E281" s="858">
        <f>'Laminates- copilot'!D97</f>
        <v>55</v>
      </c>
      <c r="F281" s="858">
        <v>150</v>
      </c>
      <c r="G281" s="858">
        <v>150</v>
      </c>
      <c r="H281" s="858">
        <v>0</v>
      </c>
      <c r="I281" s="858">
        <v>0</v>
      </c>
      <c r="J281" s="858">
        <v>300</v>
      </c>
      <c r="K281" s="858">
        <v>25000</v>
      </c>
      <c r="L281" s="858" t="str">
        <f>'Laminates- copilot'!K97</f>
        <v>Printed</v>
      </c>
      <c r="M281" s="858" t="str">
        <f>'Laminates- copilot'!L97</f>
        <v>1-2</v>
      </c>
      <c r="N281" s="858">
        <f>'Laminates- copilot'!M97</f>
        <v>1</v>
      </c>
      <c r="O281" s="858" t="str">
        <f>'Laminates- copilot'!O97</f>
        <v>Bastin</v>
      </c>
      <c r="P281" s="858" t="str">
        <f>'Laminates- copilot'!N97</f>
        <v>Europe to US</v>
      </c>
      <c r="Q281" s="858">
        <f t="shared" si="64"/>
        <v>3750</v>
      </c>
      <c r="R281" s="858">
        <f t="shared" si="65"/>
        <v>3750</v>
      </c>
      <c r="S281" s="858">
        <f>IFERROR('Laminates- copilot'!Q97/'Laminates- copilot'!P97*Q281,"")</f>
        <v>30.51</v>
      </c>
      <c r="T281" s="203">
        <f>IFERROR('Laminates- copilot'!R97/'Laminates- copilot'!P97*Q281,"")</f>
        <v>1553.9891284229464</v>
      </c>
      <c r="U281" s="912">
        <f>IFERROR('Laminates- copilot'!S97/'Laminates- copilot'!P97*Q281,"")</f>
        <v>1802.6273889706179</v>
      </c>
      <c r="V281" s="913">
        <f t="shared" si="66"/>
        <v>50.933763632348288</v>
      </c>
      <c r="W281" s="914">
        <f t="shared" si="67"/>
        <v>59.083165813524019</v>
      </c>
      <c r="X281" s="913">
        <f t="shared" si="68"/>
        <v>0.4143971009127857</v>
      </c>
      <c r="Y281" s="913">
        <f t="shared" si="69"/>
        <v>50.933763632348288</v>
      </c>
      <c r="Z281" s="95">
        <f t="shared" si="70"/>
        <v>409702</v>
      </c>
      <c r="AA281" s="50" t="str">
        <f t="shared" si="71"/>
        <v>Below MOQ by 384,702 bags</v>
      </c>
      <c r="AB281" s="923">
        <f t="shared" si="72"/>
        <v>8.9381392164501236E-2</v>
      </c>
      <c r="AC281" s="924">
        <f t="shared" si="73"/>
        <v>0.10368241491082143</v>
      </c>
      <c r="AD281" s="203">
        <f t="shared" si="74"/>
        <v>2234.5348041125308</v>
      </c>
      <c r="AE281" s="912">
        <f t="shared" si="75"/>
        <v>2592.0603727705357</v>
      </c>
      <c r="AF281" s="923" cm="1">
        <f t="array" ref="AF281">IF(O281="Quantum",IFERROR(_xlfn.LET(_xlpm.b,_xlfn.SWITCH(LOWER(B281),"zipper bag","Zipper pouch","open bag","Open pouch","sup with zipper","Stand-up pouch","stand-up pouch","Stand-up pouch",B281),_xlpm.w,G281,_xlpm.q,K281,_xlpm.types,'Converting-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missing"),IFERROR(_xlfn.LET(_xlpm.s,O281,_xlpm.b,_xlfn.SWITCH(LOWER(B281),"zipper bag","Zipper pouch","open bag","Open pouch",B281),_xlpm.w,G281,_xlpm.q,K281,_xlpm.src,'Converting-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281" s="923">
        <f>IFERROR(IF(OR(B281="Zipper pouch",B281="SUP with zipper"),HELPER!$DE$2*(AH281+AI281)/K281,HELPER!$DE$2*AH281/K281),"Data is missing")</f>
        <v>9.9455304219068577E-3</v>
      </c>
      <c r="AH281" s="923">
        <f t="shared" si="76"/>
        <v>0.4143971009127857</v>
      </c>
      <c r="AI281" s="923" t="str">
        <f>IF(OR(B281="Zipper pouch",B281="SUP with zipper"),HELPER!$DC$2*G281/1000,"")</f>
        <v/>
      </c>
      <c r="AJ281" s="923" cm="1">
        <f t="array" ref="AJ281">IF(INDEX('Laminates- copilot'!$E$6:$E$257,ROUNDUP((ROW()-5)/3,0))+50&gt;IF(O281="Quantum",760,1220),"Width exceeds supplier maximum",IFERROR(AF281+AG281+N(AI281)+AH281*G281/1000/MAX(1,MIN(MAX(2,INT(900/INDEX('Laminates- copilot'!$E$6:$E$257,ROUNDUP((ROW()-5)/3,0)))),INT((IF(O281="Quantum",760,1220)-50)/INDEX('Laminates- copilot'!$E$6:$E$257,ROUNDUP((ROW()-5)/3,0))))),"Data is missing"))</f>
        <v>6.7036044123375924E-2</v>
      </c>
      <c r="AK281" s="203">
        <f t="shared" si="77"/>
        <v>89.381392164501236</v>
      </c>
      <c r="AL281" t="str">
        <f t="shared" si="78"/>
        <v>PASS</v>
      </c>
      <c r="AM281" s="50" t="str">
        <f t="shared" si="79"/>
        <v/>
      </c>
    </row>
    <row r="282" spans="1:39" hidden="1">
      <c r="A282" t="s">
        <v>1910</v>
      </c>
      <c r="B282" t="s">
        <v>251</v>
      </c>
      <c r="C282" s="50" t="s">
        <v>2205</v>
      </c>
      <c r="D282">
        <f>'Laminates- copilot'!B98</f>
        <v>748</v>
      </c>
      <c r="E282" s="858">
        <f>'Laminates- copilot'!D98</f>
        <v>55</v>
      </c>
      <c r="F282" s="858">
        <v>250</v>
      </c>
      <c r="G282" s="858">
        <v>200</v>
      </c>
      <c r="H282" s="858">
        <v>40</v>
      </c>
      <c r="I282" s="858">
        <v>0</v>
      </c>
      <c r="J282" s="858">
        <v>580</v>
      </c>
      <c r="K282" s="858">
        <v>50000</v>
      </c>
      <c r="L282" s="858" t="str">
        <f>'Laminates- copilot'!K98</f>
        <v>Printed</v>
      </c>
      <c r="M282" s="858" t="str">
        <f>'Laminates- copilot'!L98</f>
        <v>3-4</v>
      </c>
      <c r="N282" s="858">
        <f>'Laminates- copilot'!M98</f>
        <v>4</v>
      </c>
      <c r="O282" s="858" t="str">
        <f>'Laminates- copilot'!O98</f>
        <v>Quantum</v>
      </c>
      <c r="P282" s="858" t="str">
        <f>'Laminates- copilot'!N98</f>
        <v>Europe to Europe</v>
      </c>
      <c r="Q282" s="858">
        <f t="shared" si="64"/>
        <v>10000</v>
      </c>
      <c r="R282" s="858">
        <f t="shared" si="65"/>
        <v>10000</v>
      </c>
      <c r="S282" s="858">
        <f>IFERROR('Laminates- copilot'!Q98/'Laminates- copilot'!P98*Q282,"")</f>
        <v>237.30000000000004</v>
      </c>
      <c r="T282" s="203">
        <f>IFERROR('Laminates- copilot'!R98/'Laminates- copilot'!P98*Q282,"")</f>
        <v>7050.9089108906928</v>
      </c>
      <c r="U282" s="912">
        <f>IFERROR('Laminates- copilot'!S98/'Laminates- copilot'!P98*Q282,"")</f>
        <v>8179.054336633204</v>
      </c>
      <c r="V282" s="913">
        <f t="shared" si="66"/>
        <v>29.713059042944337</v>
      </c>
      <c r="W282" s="914">
        <f t="shared" si="67"/>
        <v>34.467148489815436</v>
      </c>
      <c r="X282" s="913">
        <f t="shared" si="68"/>
        <v>0.7050908910890693</v>
      </c>
      <c r="Y282" s="913">
        <f t="shared" si="69"/>
        <v>29.713059042944337</v>
      </c>
      <c r="Z282" s="95">
        <f t="shared" si="70"/>
        <v>105352</v>
      </c>
      <c r="AA282" s="50" t="str">
        <f t="shared" si="71"/>
        <v>Below MOQ by 55,352 bags</v>
      </c>
      <c r="AB282" s="923">
        <f t="shared" si="72"/>
        <v>0.29985183298132029</v>
      </c>
      <c r="AC282" s="924">
        <f t="shared" si="73"/>
        <v>0.34782812625833148</v>
      </c>
      <c r="AD282" s="203">
        <f t="shared" si="74"/>
        <v>14992.591649066015</v>
      </c>
      <c r="AE282" s="912">
        <f t="shared" si="75"/>
        <v>17391.406312916577</v>
      </c>
      <c r="AF282" s="923" cm="1">
        <f t="array" ref="AF282">IF(O282="Quantum",IFERROR(_xlfn.LET(_xlpm.b,_xlfn.SWITCH(LOWER(B282),"zipper bag","Zipper pouch","open bag","Open pouch","sup with zipper","Stand-up pouch","stand-up pouch","Stand-up pouch",B282),_xlpm.w,G282,_xlpm.q,K282,_xlpm.types,'Converting-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missing"),IFERROR(_xlfn.LET(_xlpm.s,O282,_xlpm.b,_xlfn.SWITCH(LOWER(B282),"zipper bag","Zipper pouch","open bag","Open pouch",B282),_xlpm.w,G282,_xlpm.q,K282,_xlpm.src,'Converting-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282" s="923">
        <f>IFERROR(IF(OR(B282="Zipper pouch",B282="SUP with zipper"),HELPER!$DE$2*(AH282+AI282)/K282,HELPER!$DE$2*AH282/K282),"Data is missing")</f>
        <v>8.8066906930688322E-3</v>
      </c>
      <c r="AH282" s="923">
        <f t="shared" si="76"/>
        <v>0.7050908910890693</v>
      </c>
      <c r="AI282" s="923">
        <f>IF(OR(B282="Zipper pouch",B282="SUP with zipper"),HELPER!$DC$2*G282/1000,"")</f>
        <v>2.8799999999999996E-2</v>
      </c>
      <c r="AJ282" s="923" cm="1">
        <f t="array" ref="AJ282">IF(INDEX('Laminates- copilot'!$E$6:$E$257,ROUNDUP((ROW()-5)/3,0))+50&gt;IF(O282="Quantum",760,1220),"Width exceeds supplier maximum",IFERROR(AF282+AG282+N(AI282)+AH282*G282/1000/MAX(1,MIN(MAX(2,INT(900/INDEX('Laminates- copilot'!$E$6:$E$257,ROUNDUP((ROW()-5)/3,0)))),INT((IF(O282="Quantum",760,1220)-50)/INDEX('Laminates- copilot'!$E$6:$E$257,ROUNDUP((ROW()-5)/3,0))))),"Data is missing"))</f>
        <v>0.22488887473599023</v>
      </c>
      <c r="AK282" s="203">
        <f t="shared" si="77"/>
        <v>299.85183298132029</v>
      </c>
      <c r="AL282" t="str">
        <f t="shared" si="78"/>
        <v>PASS</v>
      </c>
      <c r="AM282" s="50" t="str">
        <f t="shared" si="79"/>
        <v/>
      </c>
    </row>
    <row r="283" spans="1:39" hidden="1">
      <c r="A283" t="s">
        <v>1911</v>
      </c>
      <c r="B283" t="s">
        <v>261</v>
      </c>
      <c r="C283" s="50" t="s">
        <v>2205</v>
      </c>
      <c r="D283">
        <f>'Laminates- copilot'!B98</f>
        <v>748</v>
      </c>
      <c r="E283" s="858">
        <f>'Laminates- copilot'!D98</f>
        <v>55</v>
      </c>
      <c r="F283" s="858">
        <v>250</v>
      </c>
      <c r="G283" s="858">
        <v>200</v>
      </c>
      <c r="H283" s="858">
        <v>40</v>
      </c>
      <c r="I283" s="858">
        <v>0</v>
      </c>
      <c r="J283" s="858">
        <v>580</v>
      </c>
      <c r="K283" s="858">
        <v>50000</v>
      </c>
      <c r="L283" s="858" t="str">
        <f>'Laminates- copilot'!K98</f>
        <v>Printed</v>
      </c>
      <c r="M283" s="858" t="str">
        <f>'Laminates- copilot'!L98</f>
        <v>3-4</v>
      </c>
      <c r="N283" s="858">
        <f>'Laminates- copilot'!M98</f>
        <v>4</v>
      </c>
      <c r="O283" s="858" t="str">
        <f>'Laminates- copilot'!O98</f>
        <v>Quantum</v>
      </c>
      <c r="P283" s="858" t="str">
        <f>'Laminates- copilot'!N98</f>
        <v>Europe to Europe</v>
      </c>
      <c r="Q283" s="858">
        <f t="shared" si="64"/>
        <v>10000</v>
      </c>
      <c r="R283" s="858">
        <f t="shared" si="65"/>
        <v>10000</v>
      </c>
      <c r="S283" s="858">
        <f>IFERROR('Laminates- copilot'!Q98/'Laminates- copilot'!P98*Q283,"")</f>
        <v>237.30000000000004</v>
      </c>
      <c r="T283" s="203">
        <f>IFERROR('Laminates- copilot'!R98/'Laminates- copilot'!P98*Q283,"")</f>
        <v>7050.9089108906928</v>
      </c>
      <c r="U283" s="912">
        <f>IFERROR('Laminates- copilot'!S98/'Laminates- copilot'!P98*Q283,"")</f>
        <v>8179.054336633204</v>
      </c>
      <c r="V283" s="913">
        <f t="shared" si="66"/>
        <v>29.713059042944337</v>
      </c>
      <c r="W283" s="914">
        <f t="shared" si="67"/>
        <v>34.467148489815436</v>
      </c>
      <c r="X283" s="913">
        <f t="shared" si="68"/>
        <v>0.7050908910890693</v>
      </c>
      <c r="Y283" s="913">
        <f t="shared" si="69"/>
        <v>29.713059042944337</v>
      </c>
      <c r="Z283" s="95">
        <f t="shared" si="70"/>
        <v>105352</v>
      </c>
      <c r="AA283" s="50" t="str">
        <f t="shared" si="71"/>
        <v>Below MOQ by 55,352 bags</v>
      </c>
      <c r="AB283" s="923">
        <f t="shared" si="72"/>
        <v>0.28408468226312661</v>
      </c>
      <c r="AC283" s="924">
        <f t="shared" si="73"/>
        <v>0.32953823142522687</v>
      </c>
      <c r="AD283" s="203">
        <f t="shared" si="74"/>
        <v>14204.23411315633</v>
      </c>
      <c r="AE283" s="912">
        <f t="shared" si="75"/>
        <v>16476.911571261342</v>
      </c>
      <c r="AF283" s="923" cm="1">
        <f t="array" ref="AF283">IF(O283="Quantum",IFERROR(_xlfn.LET(_xlpm.b,_xlfn.SWITCH(LOWER(B283),"zipper bag","Zipper pouch","open bag","Open pouch","sup with zipper","Stand-up pouch","stand-up pouch","Stand-up pouch",B283),_xlpm.w,G283,_xlpm.q,K283,_xlpm.types,'Converting-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missing"),IFERROR(_xlfn.LET(_xlpm.s,O283,_xlpm.b,_xlfn.SWITCH(LOWER(B283),"zipper bag","Zipper pouch","open bag","Open pouch",B283),_xlpm.w,G283,_xlpm.q,K283,_xlpm.src,'Converting-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283" s="923">
        <f>IFERROR(IF(OR(B283="Zipper pouch",B283="SUP with zipper"),HELPER!$DE$2*(AH283+AI283)/K283,HELPER!$DE$2*AH283/K283),"Data is missing")</f>
        <v>8.8066906930688322E-3</v>
      </c>
      <c r="AH283" s="923">
        <f t="shared" si="76"/>
        <v>0.7050908910890693</v>
      </c>
      <c r="AI283" s="923">
        <f>IF(OR(B283="Zipper pouch",B283="SUP with zipper"),HELPER!$DC$2*G283/1000,"")</f>
        <v>2.8799999999999996E-2</v>
      </c>
      <c r="AJ283" s="923" cm="1">
        <f t="array" ref="AJ283">IF(INDEX('Laminates- copilot'!$E$6:$E$257,ROUNDUP((ROW()-5)/3,0))+50&gt;IF(O283="Quantum",760,1220),"Width exceeds supplier maximum",IFERROR(AF283+AG283+N(AI283)+AH283*G283/1000/MAX(1,MIN(MAX(2,INT(900/INDEX('Laminates- copilot'!$E$6:$E$257,ROUNDUP((ROW()-5)/3,0)))),INT((IF(O283="Quantum",760,1220)-50)/INDEX('Laminates- copilot'!$E$6:$E$257,ROUNDUP((ROW()-5)/3,0))))),"Data is missing"))</f>
        <v>0.21306351169734494</v>
      </c>
      <c r="AK283" s="203">
        <f t="shared" si="77"/>
        <v>284.08468226312658</v>
      </c>
      <c r="AL283" t="str">
        <f t="shared" si="78"/>
        <v>PASS</v>
      </c>
      <c r="AM283" s="50" t="str">
        <f t="shared" si="79"/>
        <v/>
      </c>
    </row>
    <row r="284" spans="1:39" hidden="1">
      <c r="A284" t="s">
        <v>1912</v>
      </c>
      <c r="B284" t="s">
        <v>262</v>
      </c>
      <c r="C284" s="50" t="s">
        <v>2205</v>
      </c>
      <c r="D284">
        <f>'Laminates- copilot'!B98</f>
        <v>748</v>
      </c>
      <c r="E284" s="858">
        <f>'Laminates- copilot'!D98</f>
        <v>55</v>
      </c>
      <c r="F284" s="858">
        <v>250</v>
      </c>
      <c r="G284" s="858">
        <v>200</v>
      </c>
      <c r="H284" s="858">
        <v>0</v>
      </c>
      <c r="I284" s="858">
        <v>0</v>
      </c>
      <c r="J284" s="858">
        <v>500</v>
      </c>
      <c r="K284" s="858">
        <v>50000</v>
      </c>
      <c r="L284" s="858" t="str">
        <f>'Laminates- copilot'!K98</f>
        <v>Printed</v>
      </c>
      <c r="M284" s="858" t="str">
        <f>'Laminates- copilot'!L98</f>
        <v>3-4</v>
      </c>
      <c r="N284" s="858">
        <f>'Laminates- copilot'!M98</f>
        <v>4</v>
      </c>
      <c r="O284" s="858" t="str">
        <f>'Laminates- copilot'!O98</f>
        <v>Quantum</v>
      </c>
      <c r="P284" s="858" t="str">
        <f>'Laminates- copilot'!N98</f>
        <v>Europe to Europe</v>
      </c>
      <c r="Q284" s="858">
        <f t="shared" si="64"/>
        <v>10000</v>
      </c>
      <c r="R284" s="858">
        <f t="shared" si="65"/>
        <v>10000</v>
      </c>
      <c r="S284" s="858">
        <f>IFERROR('Laminates- copilot'!Q98/'Laminates- copilot'!P98*Q284,"")</f>
        <v>237.30000000000004</v>
      </c>
      <c r="T284" s="203">
        <f>IFERROR('Laminates- copilot'!R98/'Laminates- copilot'!P98*Q284,"")</f>
        <v>7050.9089108906928</v>
      </c>
      <c r="U284" s="912">
        <f>IFERROR('Laminates- copilot'!S98/'Laminates- copilot'!P98*Q284,"")</f>
        <v>8179.054336633204</v>
      </c>
      <c r="V284" s="913">
        <f t="shared" si="66"/>
        <v>29.713059042944337</v>
      </c>
      <c r="W284" s="914">
        <f t="shared" si="67"/>
        <v>34.467148489815436</v>
      </c>
      <c r="X284" s="913">
        <f t="shared" si="68"/>
        <v>0.7050908910890693</v>
      </c>
      <c r="Y284" s="913">
        <f t="shared" si="69"/>
        <v>29.713059042944337</v>
      </c>
      <c r="Z284" s="95">
        <f t="shared" si="70"/>
        <v>105352</v>
      </c>
      <c r="AA284" s="50" t="str">
        <f t="shared" si="71"/>
        <v>Below MOQ by 55,352 bags</v>
      </c>
      <c r="AB284" s="923">
        <f t="shared" si="72"/>
        <v>0.22801246053914634</v>
      </c>
      <c r="AC284" s="924">
        <f t="shared" si="73"/>
        <v>0.26449445422540974</v>
      </c>
      <c r="AD284" s="203">
        <f t="shared" si="74"/>
        <v>11400.623026957317</v>
      </c>
      <c r="AE284" s="912">
        <f t="shared" si="75"/>
        <v>13224.722711270488</v>
      </c>
      <c r="AF284" s="923" cm="1">
        <f t="array" ref="AF284">IF(O284="Quantum",IFERROR(_xlfn.LET(_xlpm.b,_xlfn.SWITCH(LOWER(B284),"zipper bag","Zipper pouch","open bag","Open pouch","sup with zipper","Stand-up pouch","stand-up pouch","Stand-up pouch",B284),_xlpm.w,G284,_xlpm.q,K284,_xlpm.types,'Converting-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missing"),IFERROR(_xlfn.LET(_xlpm.s,O284,_xlpm.b,_xlfn.SWITCH(LOWER(B284),"zipper bag","Zipper pouch","open bag","Open pouch",B284),_xlpm.w,G284,_xlpm.q,K284,_xlpm.src,'Converting-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284" s="923">
        <f>IFERROR(IF(OR(B284="Zipper pouch",B284="SUP with zipper"),HELPER!$DE$2*(AH284+AI284)/K284,HELPER!$DE$2*AH284/K284),"Data is missing")</f>
        <v>8.4610906930688307E-3</v>
      </c>
      <c r="AH284" s="923">
        <f t="shared" si="76"/>
        <v>0.7050908910890693</v>
      </c>
      <c r="AI284" s="923" t="str">
        <f>IF(OR(B284="Zipper pouch",B284="SUP with zipper"),HELPER!$DC$2*G284/1000,"")</f>
        <v/>
      </c>
      <c r="AJ284" s="923" cm="1">
        <f t="array" ref="AJ284">IF(INDEX('Laminates- copilot'!$E$6:$E$257,ROUNDUP((ROW()-5)/3,0))+50&gt;IF(O284="Quantum",760,1220),"Width exceeds supplier maximum",IFERROR(AF284+AG284+N(AI284)+AH284*G284/1000/MAX(1,MIN(MAX(2,INT(900/INDEX('Laminates- copilot'!$E$6:$E$257,ROUNDUP((ROW()-5)/3,0)))),INT((IF(O284="Quantum",760,1220)-50)/INDEX('Laminates- copilot'!$E$6:$E$257,ROUNDUP((ROW()-5)/3,0))))),"Data is missing"))</f>
        <v>0.17100934540435975</v>
      </c>
      <c r="AK284" s="203">
        <f t="shared" si="77"/>
        <v>228.01246053914633</v>
      </c>
      <c r="AL284" t="str">
        <f t="shared" si="78"/>
        <v>PASS</v>
      </c>
      <c r="AM284" s="50" t="str">
        <f t="shared" si="79"/>
        <v/>
      </c>
    </row>
    <row r="285" spans="1:39">
      <c r="A285" t="s">
        <v>1913</v>
      </c>
      <c r="B285" t="s">
        <v>251</v>
      </c>
      <c r="C285" s="50" t="s">
        <v>2206</v>
      </c>
      <c r="D285">
        <f>'Laminates- copilot'!B99</f>
        <v>748</v>
      </c>
      <c r="E285" s="858">
        <f>'Laminates- copilot'!D99</f>
        <v>55</v>
      </c>
      <c r="F285" s="858">
        <v>300</v>
      </c>
      <c r="G285" s="858">
        <v>300</v>
      </c>
      <c r="H285" s="858">
        <v>50</v>
      </c>
      <c r="I285" s="858">
        <v>0</v>
      </c>
      <c r="J285" s="858">
        <v>700</v>
      </c>
      <c r="K285" s="858">
        <v>50000</v>
      </c>
      <c r="L285" s="858" t="str">
        <f>'Laminates- copilot'!K99</f>
        <v>Printed</v>
      </c>
      <c r="M285" s="858" t="str">
        <f>'Laminates- copilot'!L99</f>
        <v>5-8</v>
      </c>
      <c r="N285" s="858">
        <f>'Laminates- copilot'!M99</f>
        <v>8</v>
      </c>
      <c r="O285" s="858" t="str">
        <f>'Laminates- copilot'!O99</f>
        <v>Marma</v>
      </c>
      <c r="P285" s="858" t="str">
        <f>'Laminates- copilot'!N99</f>
        <v>Europe to US</v>
      </c>
      <c r="Q285" s="858">
        <f t="shared" si="64"/>
        <v>15000</v>
      </c>
      <c r="R285" s="858">
        <f t="shared" si="65"/>
        <v>15000</v>
      </c>
      <c r="S285" s="858">
        <f>IFERROR('Laminates- copilot'!Q99/'Laminates- copilot'!P99*Q285,"")</f>
        <v>915.30000000000018</v>
      </c>
      <c r="T285" s="203">
        <f>IFERROR('Laminates- copilot'!R99/'Laminates- copilot'!P99*Q285,"")</f>
        <v>17563.435397516736</v>
      </c>
      <c r="U285" s="912">
        <f>IFERROR('Laminates- copilot'!S99/'Laminates- copilot'!P99*Q285,"")</f>
        <v>20373.585061119407</v>
      </c>
      <c r="V285" s="913">
        <f t="shared" si="66"/>
        <v>19.188719979806329</v>
      </c>
      <c r="W285" s="914">
        <f t="shared" si="67"/>
        <v>22.258915176575336</v>
      </c>
      <c r="X285" s="913">
        <f t="shared" si="68"/>
        <v>1.1708956931677823</v>
      </c>
      <c r="Y285" s="913">
        <f t="shared" si="69"/>
        <v>19.188719979806329</v>
      </c>
      <c r="Z285" s="95">
        <f t="shared" si="70"/>
        <v>27314</v>
      </c>
      <c r="AA285" s="50" t="str">
        <f t="shared" si="71"/>
        <v>MOQ OK</v>
      </c>
      <c r="AB285" s="923">
        <f t="shared" si="72"/>
        <v>0.62203867843590999</v>
      </c>
      <c r="AC285" s="924">
        <f t="shared" si="73"/>
        <v>0.72156486698565558</v>
      </c>
      <c r="AD285" s="203">
        <f t="shared" si="74"/>
        <v>31101.933921795498</v>
      </c>
      <c r="AE285" s="912">
        <f t="shared" si="75"/>
        <v>36078.243349282777</v>
      </c>
      <c r="AF285" s="923" cm="1">
        <f t="array" ref="AF285">IF(O285="Quantum",IFERROR(_xlfn.LET(_xlpm.b,_xlfn.SWITCH(LOWER(B285),"zipper bag","Zipper pouch","open bag","Open pouch","sup with zipper","Stand-up pouch","stand-up pouch","Stand-up pouch",B285),_xlpm.w,G285,_xlpm.q,K285,_xlpm.types,'Converting-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missing"),IFERROR(_xlfn.LET(_xlpm.s,O285,_xlpm.b,_xlfn.SWITCH(LOWER(B285),"zipper bag","Zipper pouch","open bag","Open pouch",B285),_xlpm.w,G285,_xlpm.q,K285,_xlpm.src,'Converting-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285" s="923">
        <f>IFERROR(IF(OR(B285="Zipper pouch",B285="SUP with zipper"),HELPER!$DE$2*(AH285+AI285)/K285,HELPER!$DE$2*AH285/K285),"Data is missing")</f>
        <v>1.4569148318013385E-2</v>
      </c>
      <c r="AH285" s="923">
        <f t="shared" si="76"/>
        <v>1.1708956931677823</v>
      </c>
      <c r="AI285" s="923">
        <f>IF(OR(B285="Zipper pouch",B285="SUP with zipper"),HELPER!$DC$2*G285/1000,"")</f>
        <v>4.3199999999999995E-2</v>
      </c>
      <c r="AJ285" s="923" cm="1">
        <f t="array" ref="AJ285">IF(INDEX('Laminates- copilot'!$E$6:$E$257,ROUNDUP((ROW()-5)/3,0))+50&gt;IF(O285="Quantum",760,1220),"Width exceeds supplier maximum",IFERROR(AF285+AG285+N(AI285)+AH285*G285/1000/MAX(1,MIN(MAX(2,INT(900/INDEX('Laminates- copilot'!$E$6:$E$257,ROUNDUP((ROW()-5)/3,0)))),INT((IF(O285="Quantum",760,1220)-50)/INDEX('Laminates- copilot'!$E$6:$E$257,ROUNDUP((ROW()-5)/3,0))))),"Data is missing"))</f>
        <v>0.46652900882693249</v>
      </c>
      <c r="AK285" s="203">
        <f t="shared" si="77"/>
        <v>622.03867843591001</v>
      </c>
      <c r="AL285" t="str">
        <f t="shared" si="78"/>
        <v>PASS</v>
      </c>
      <c r="AM285" s="50" t="str">
        <f t="shared" si="79"/>
        <v/>
      </c>
    </row>
    <row r="286" spans="1:39">
      <c r="A286" t="s">
        <v>1914</v>
      </c>
      <c r="B286" t="s">
        <v>261</v>
      </c>
      <c r="C286" s="50" t="s">
        <v>2206</v>
      </c>
      <c r="D286">
        <f>'Laminates- copilot'!B99</f>
        <v>748</v>
      </c>
      <c r="E286" s="858">
        <f>'Laminates- copilot'!D99</f>
        <v>55</v>
      </c>
      <c r="F286" s="858">
        <v>300</v>
      </c>
      <c r="G286" s="858">
        <v>300</v>
      </c>
      <c r="H286" s="858">
        <v>50</v>
      </c>
      <c r="I286" s="858">
        <v>0</v>
      </c>
      <c r="J286" s="858">
        <v>700</v>
      </c>
      <c r="K286" s="858">
        <v>50000</v>
      </c>
      <c r="L286" s="858" t="str">
        <f>'Laminates- copilot'!K99</f>
        <v>Printed</v>
      </c>
      <c r="M286" s="858" t="str">
        <f>'Laminates- copilot'!L99</f>
        <v>5-8</v>
      </c>
      <c r="N286" s="858">
        <f>'Laminates- copilot'!M99</f>
        <v>8</v>
      </c>
      <c r="O286" s="858" t="str">
        <f>'Laminates- copilot'!O99</f>
        <v>Marma</v>
      </c>
      <c r="P286" s="858" t="str">
        <f>'Laminates- copilot'!N99</f>
        <v>Europe to US</v>
      </c>
      <c r="Q286" s="858">
        <f t="shared" si="64"/>
        <v>15000</v>
      </c>
      <c r="R286" s="858">
        <f t="shared" si="65"/>
        <v>15000</v>
      </c>
      <c r="S286" s="858">
        <f>IFERROR('Laminates- copilot'!Q99/'Laminates- copilot'!P99*Q286,"")</f>
        <v>915.30000000000018</v>
      </c>
      <c r="T286" s="203">
        <f>IFERROR('Laminates- copilot'!R99/'Laminates- copilot'!P99*Q286,"")</f>
        <v>17563.435397516736</v>
      </c>
      <c r="U286" s="912">
        <f>IFERROR('Laminates- copilot'!S99/'Laminates- copilot'!P99*Q286,"")</f>
        <v>20373.585061119407</v>
      </c>
      <c r="V286" s="913">
        <f t="shared" si="66"/>
        <v>19.188719979806329</v>
      </c>
      <c r="W286" s="914">
        <f t="shared" si="67"/>
        <v>22.258915176575336</v>
      </c>
      <c r="X286" s="913">
        <f t="shared" si="68"/>
        <v>1.1708956931677823</v>
      </c>
      <c r="Y286" s="913">
        <f t="shared" si="69"/>
        <v>19.188719979806329</v>
      </c>
      <c r="Z286" s="95">
        <f t="shared" si="70"/>
        <v>27314</v>
      </c>
      <c r="AA286" s="50" t="str">
        <f t="shared" si="71"/>
        <v>MOQ OK</v>
      </c>
      <c r="AB286" s="923">
        <f t="shared" si="72"/>
        <v>0.61619545422826683</v>
      </c>
      <c r="AC286" s="924">
        <f t="shared" si="73"/>
        <v>0.7147867269047895</v>
      </c>
      <c r="AD286" s="203">
        <f t="shared" si="74"/>
        <v>30809.772711413341</v>
      </c>
      <c r="AE286" s="912">
        <f t="shared" si="75"/>
        <v>35739.336345239477</v>
      </c>
      <c r="AF286" s="923" cm="1">
        <f t="array" ref="AF286">IF(O286="Quantum",IFERROR(_xlfn.LET(_xlpm.b,_xlfn.SWITCH(LOWER(B286),"zipper bag","Zipper pouch","open bag","Open pouch","sup with zipper","Stand-up pouch","stand-up pouch","Stand-up pouch",B286),_xlpm.w,G286,_xlpm.q,K286,_xlpm.types,'Converting-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missing"),IFERROR(_xlfn.LET(_xlpm.s,O286,_xlpm.b,_xlfn.SWITCH(LOWER(B286),"zipper bag","Zipper pouch","open bag","Open pouch",B286),_xlpm.w,G286,_xlpm.q,K286,_xlpm.src,'Converting-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286" s="923">
        <f>IFERROR(IF(OR(B286="Zipper pouch",B286="SUP with zipper"),HELPER!$DE$2*(AH286+AI286)/K286,HELPER!$DE$2*AH286/K286),"Data is missing")</f>
        <v>1.4569148318013385E-2</v>
      </c>
      <c r="AH286" s="923">
        <f t="shared" si="76"/>
        <v>1.1708956931677823</v>
      </c>
      <c r="AI286" s="923">
        <f>IF(OR(B286="Zipper pouch",B286="SUP with zipper"),HELPER!$DC$2*G286/1000,"")</f>
        <v>4.3199999999999995E-2</v>
      </c>
      <c r="AJ286" s="923" cm="1">
        <f t="array" ref="AJ286">IF(INDEX('Laminates- copilot'!$E$6:$E$257,ROUNDUP((ROW()-5)/3,0))+50&gt;IF(O286="Quantum",760,1220),"Width exceeds supplier maximum",IFERROR(AF286+AG286+N(AI286)+AH286*G286/1000/MAX(1,MIN(MAX(2,INT(900/INDEX('Laminates- copilot'!$E$6:$E$257,ROUNDUP((ROW()-5)/3,0)))),INT((IF(O286="Quantum",760,1220)-50)/INDEX('Laminates- copilot'!$E$6:$E$257,ROUNDUP((ROW()-5)/3,0))))),"Data is missing"))</f>
        <v>0.46214659067120012</v>
      </c>
      <c r="AK286" s="203">
        <f t="shared" si="77"/>
        <v>616.19545422826684</v>
      </c>
      <c r="AL286" t="str">
        <f t="shared" si="78"/>
        <v>PASS</v>
      </c>
      <c r="AM286" s="50" t="str">
        <f t="shared" si="79"/>
        <v/>
      </c>
    </row>
    <row r="287" spans="1:39">
      <c r="A287" t="s">
        <v>1915</v>
      </c>
      <c r="B287" t="s">
        <v>262</v>
      </c>
      <c r="C287" s="50" t="s">
        <v>2206</v>
      </c>
      <c r="D287">
        <f>'Laminates- copilot'!B99</f>
        <v>748</v>
      </c>
      <c r="E287" s="858">
        <f>'Laminates- copilot'!D99</f>
        <v>55</v>
      </c>
      <c r="F287" s="858">
        <v>300</v>
      </c>
      <c r="G287" s="858">
        <v>300</v>
      </c>
      <c r="H287" s="858">
        <v>0</v>
      </c>
      <c r="I287" s="858">
        <v>10</v>
      </c>
      <c r="J287" s="858">
        <v>610</v>
      </c>
      <c r="K287" s="858">
        <v>50000</v>
      </c>
      <c r="L287" s="858" t="str">
        <f>'Laminates- copilot'!K99</f>
        <v>Printed</v>
      </c>
      <c r="M287" s="858" t="str">
        <f>'Laminates- copilot'!L99</f>
        <v>5-8</v>
      </c>
      <c r="N287" s="858">
        <f>'Laminates- copilot'!M99</f>
        <v>8</v>
      </c>
      <c r="O287" s="858" t="str">
        <f>'Laminates- copilot'!O99</f>
        <v>Marma</v>
      </c>
      <c r="P287" s="858" t="str">
        <f>'Laminates- copilot'!N99</f>
        <v>Europe to US</v>
      </c>
      <c r="Q287" s="858">
        <f t="shared" si="64"/>
        <v>15000</v>
      </c>
      <c r="R287" s="858">
        <f t="shared" si="65"/>
        <v>15000</v>
      </c>
      <c r="S287" s="858">
        <f>IFERROR('Laminates- copilot'!Q99/'Laminates- copilot'!P99*Q287,"")</f>
        <v>915.30000000000018</v>
      </c>
      <c r="T287" s="203">
        <f>IFERROR('Laminates- copilot'!R99/'Laminates- copilot'!P99*Q287,"")</f>
        <v>17563.435397516736</v>
      </c>
      <c r="U287" s="912">
        <f>IFERROR('Laminates- copilot'!S99/'Laminates- copilot'!P99*Q287,"")</f>
        <v>20373.585061119407</v>
      </c>
      <c r="V287" s="913">
        <f t="shared" si="66"/>
        <v>19.188719979806329</v>
      </c>
      <c r="W287" s="914">
        <f t="shared" si="67"/>
        <v>22.258915176575336</v>
      </c>
      <c r="X287" s="913">
        <f t="shared" si="68"/>
        <v>1.1708956931677823</v>
      </c>
      <c r="Y287" s="913">
        <f t="shared" si="69"/>
        <v>19.188719979806329</v>
      </c>
      <c r="Z287" s="95">
        <f t="shared" si="70"/>
        <v>27314</v>
      </c>
      <c r="AA287" s="50" t="str">
        <f t="shared" si="71"/>
        <v>MOQ OK</v>
      </c>
      <c r="AB287" s="923">
        <f t="shared" si="72"/>
        <v>0.55101624723069942</v>
      </c>
      <c r="AC287" s="924">
        <f t="shared" si="73"/>
        <v>0.63917884678761128</v>
      </c>
      <c r="AD287" s="203">
        <f t="shared" si="74"/>
        <v>27550.812361534972</v>
      </c>
      <c r="AE287" s="912">
        <f t="shared" si="75"/>
        <v>31958.942339380566</v>
      </c>
      <c r="AF287" s="923" cm="1">
        <f t="array" ref="AF287">IF(O287="Quantum",IFERROR(_xlfn.LET(_xlpm.b,_xlfn.SWITCH(LOWER(B287),"zipper bag","Zipper pouch","open bag","Open pouch","sup with zipper","Stand-up pouch","stand-up pouch","Stand-up pouch",B287),_xlpm.w,G287,_xlpm.q,K287,_xlpm.types,'Converting-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missing"),IFERROR(_xlfn.LET(_xlpm.s,O287,_xlpm.b,_xlfn.SWITCH(LOWER(B287),"zipper bag","Zipper pouch","open bag","Open pouch",B287),_xlpm.w,G287,_xlpm.q,K287,_xlpm.src,'Converting-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287" s="923">
        <f>IFERROR(IF(OR(B287="Zipper pouch",B287="SUP with zipper"),HELPER!$DE$2*(AH287+AI287)/K287,HELPER!$DE$2*AH287/K287),"Data is missing")</f>
        <v>1.4050748318013388E-2</v>
      </c>
      <c r="AH287" s="923">
        <f t="shared" si="76"/>
        <v>1.1708956931677823</v>
      </c>
      <c r="AI287" s="923" t="str">
        <f>IF(OR(B287="Zipper pouch",B287="SUP with zipper"),HELPER!$DC$2*G287/1000,"")</f>
        <v/>
      </c>
      <c r="AJ287" s="923" cm="1">
        <f t="array" ref="AJ287">IF(INDEX('Laminates- copilot'!$E$6:$E$257,ROUNDUP((ROW()-5)/3,0))+50&gt;IF(O287="Quantum",760,1220),"Width exceeds supplier maximum",IFERROR(AF287+AG287+N(AI287)+AH287*G287/1000/MAX(1,MIN(MAX(2,INT(900/INDEX('Laminates- copilot'!$E$6:$E$257,ROUNDUP((ROW()-5)/3,0)))),INT((IF(O287="Quantum",760,1220)-50)/INDEX('Laminates- copilot'!$E$6:$E$257,ROUNDUP((ROW()-5)/3,0))))),"Data is missing"))</f>
        <v>0.41326218542302456</v>
      </c>
      <c r="AK287" s="203">
        <f t="shared" si="77"/>
        <v>551.01624723069938</v>
      </c>
      <c r="AL287" t="str">
        <f t="shared" si="78"/>
        <v>PASS</v>
      </c>
      <c r="AM287" s="50" t="str">
        <f t="shared" si="79"/>
        <v/>
      </c>
    </row>
    <row r="288" spans="1:39" hidden="1">
      <c r="A288" t="s">
        <v>1916</v>
      </c>
      <c r="B288" t="s">
        <v>251</v>
      </c>
      <c r="C288" s="50" t="s">
        <v>2207</v>
      </c>
      <c r="D288">
        <f>'Laminates- copilot'!B100</f>
        <v>748</v>
      </c>
      <c r="E288" s="858">
        <f>'Laminates- copilot'!D100</f>
        <v>55</v>
      </c>
      <c r="F288" s="858">
        <v>350</v>
      </c>
      <c r="G288" s="858">
        <v>400</v>
      </c>
      <c r="H288" s="858">
        <v>60</v>
      </c>
      <c r="I288" s="858">
        <v>0</v>
      </c>
      <c r="J288" s="858">
        <v>820</v>
      </c>
      <c r="K288" s="858">
        <v>100000</v>
      </c>
      <c r="L288" s="858" t="str">
        <f>'Laminates- copilot'!K100</f>
        <v>Not Printed</v>
      </c>
      <c r="M288" s="858" t="str">
        <f>'Laminates- copilot'!L100</f>
        <v>0</v>
      </c>
      <c r="N288" s="858">
        <f>'Laminates- copilot'!M100</f>
        <v>1</v>
      </c>
      <c r="O288" s="858" t="str">
        <f>'Laminates- copilot'!O100</f>
        <v>Bastin</v>
      </c>
      <c r="P288" s="858" t="str">
        <f>'Laminates- copilot'!N100</f>
        <v>Europe to Europe</v>
      </c>
      <c r="Q288" s="858">
        <f t="shared" si="64"/>
        <v>40000</v>
      </c>
      <c r="R288" s="858">
        <f t="shared" si="65"/>
        <v>40000</v>
      </c>
      <c r="S288" s="858">
        <f>IFERROR('Laminates- copilot'!Q100/'Laminates- copilot'!P100*Q288,"")</f>
        <v>949.20000000000016</v>
      </c>
      <c r="T288" s="203">
        <f>IFERROR('Laminates- copilot'!R100/'Laminates- copilot'!P100*Q288,"")</f>
        <v>16312.948602824998</v>
      </c>
      <c r="U288" s="912">
        <f>IFERROR('Laminates- copilot'!S100/'Laminates- copilot'!P100*Q288,"")</f>
        <v>18923.020379276997</v>
      </c>
      <c r="V288" s="913">
        <f t="shared" si="66"/>
        <v>17.185997263827428</v>
      </c>
      <c r="W288" s="914">
        <f t="shared" si="67"/>
        <v>19.935756826039817</v>
      </c>
      <c r="X288" s="913">
        <f t="shared" si="68"/>
        <v>0.40782371507062493</v>
      </c>
      <c r="Y288" s="913">
        <f t="shared" si="69"/>
        <v>17.185997263827428</v>
      </c>
      <c r="Z288" s="95">
        <f t="shared" si="70"/>
        <v>52676</v>
      </c>
      <c r="AA288" s="50" t="str">
        <f t="shared" si="71"/>
        <v>MOQ OK</v>
      </c>
      <c r="AB288" s="923">
        <f t="shared" si="72"/>
        <v>0.31990835872584816</v>
      </c>
      <c r="AC288" s="924">
        <f t="shared" si="73"/>
        <v>0.37109369612198384</v>
      </c>
      <c r="AD288" s="203">
        <f t="shared" si="74"/>
        <v>31990.835872584816</v>
      </c>
      <c r="AE288" s="912">
        <f t="shared" si="75"/>
        <v>37109.369612198381</v>
      </c>
      <c r="AF288" s="923" cm="1">
        <f t="array" ref="AF288">IF(O288="Quantum",IFERROR(_xlfn.LET(_xlpm.b,_xlfn.SWITCH(LOWER(B288),"zipper bag","Zipper pouch","open bag","Open pouch","sup with zipper","Stand-up pouch","stand-up pouch","Stand-up pouch",B288),_xlpm.w,G288,_xlpm.q,K288,_xlpm.types,'Converting-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missing"),IFERROR(_xlfn.LET(_xlpm.s,O288,_xlpm.b,_xlfn.SWITCH(LOWER(B288),"zipper bag","Zipper pouch","open bag","Open pouch",B288),_xlpm.w,G288,_xlpm.q,K288,_xlpm.src,'Converting-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288" s="923">
        <f>IFERROR(IF(OR(B288="Zipper pouch",B288="SUP with zipper"),HELPER!$DE$2*(AH288+AI288)/K288,HELPER!$DE$2*AH288/K288),"Data is missing")</f>
        <v>2.7925422904237496E-3</v>
      </c>
      <c r="AH288" s="923">
        <f t="shared" si="76"/>
        <v>0.40782371507062493</v>
      </c>
      <c r="AI288" s="923">
        <f>IF(OR(B288="Zipper pouch",B288="SUP with zipper"),HELPER!$DC$2*G288/1000,"")</f>
        <v>5.7599999999999991E-2</v>
      </c>
      <c r="AJ288" s="923" cm="1">
        <f t="array" ref="AJ288">IF(INDEX('Laminates- copilot'!$E$6:$E$257,ROUNDUP((ROW()-5)/3,0))+50&gt;IF(O288="Quantum",760,1220),"Width exceeds supplier maximum",IFERROR(AF288+AG288+N(AI288)+AH288*G288/1000/MAX(1,MIN(MAX(2,INT(900/INDEX('Laminates- copilot'!$E$6:$E$257,ROUNDUP((ROW()-5)/3,0)))),INT((IF(O288="Quantum",760,1220)-50)/INDEX('Laminates- copilot'!$E$6:$E$257,ROUNDUP((ROW()-5)/3,0))))),"Data is missing"))</f>
        <v>0.23993126904438611</v>
      </c>
      <c r="AK288" s="203">
        <f t="shared" si="77"/>
        <v>319.90835872584819</v>
      </c>
      <c r="AL288" t="str">
        <f t="shared" si="78"/>
        <v>PASS</v>
      </c>
      <c r="AM288" s="50" t="str">
        <f t="shared" si="79"/>
        <v/>
      </c>
    </row>
    <row r="289" spans="1:39" hidden="1">
      <c r="A289" t="s">
        <v>1917</v>
      </c>
      <c r="B289" t="s">
        <v>261</v>
      </c>
      <c r="C289" s="50" t="s">
        <v>2207</v>
      </c>
      <c r="D289">
        <f>'Laminates- copilot'!B100</f>
        <v>748</v>
      </c>
      <c r="E289" s="858">
        <f>'Laminates- copilot'!D100</f>
        <v>55</v>
      </c>
      <c r="F289" s="858">
        <v>350</v>
      </c>
      <c r="G289" s="858">
        <v>400</v>
      </c>
      <c r="H289" s="858">
        <v>60</v>
      </c>
      <c r="I289" s="858">
        <v>0</v>
      </c>
      <c r="J289" s="858">
        <v>820</v>
      </c>
      <c r="K289" s="858">
        <v>100000</v>
      </c>
      <c r="L289" s="858" t="str">
        <f>'Laminates- copilot'!K100</f>
        <v>Not Printed</v>
      </c>
      <c r="M289" s="858" t="str">
        <f>'Laminates- copilot'!L100</f>
        <v>0</v>
      </c>
      <c r="N289" s="858">
        <f>'Laminates- copilot'!M100</f>
        <v>1</v>
      </c>
      <c r="O289" s="858" t="str">
        <f>'Laminates- copilot'!O100</f>
        <v>Bastin</v>
      </c>
      <c r="P289" s="858" t="str">
        <f>'Laminates- copilot'!N100</f>
        <v>Europe to Europe</v>
      </c>
      <c r="Q289" s="858">
        <f t="shared" si="64"/>
        <v>40000</v>
      </c>
      <c r="R289" s="858">
        <f t="shared" si="65"/>
        <v>40000</v>
      </c>
      <c r="S289" s="858">
        <f>IFERROR('Laminates- copilot'!Q100/'Laminates- copilot'!P100*Q289,"")</f>
        <v>949.20000000000016</v>
      </c>
      <c r="T289" s="203">
        <f>IFERROR('Laminates- copilot'!R100/'Laminates- copilot'!P100*Q289,"")</f>
        <v>16312.948602824998</v>
      </c>
      <c r="U289" s="912">
        <f>IFERROR('Laminates- copilot'!S100/'Laminates- copilot'!P100*Q289,"")</f>
        <v>18923.020379276997</v>
      </c>
      <c r="V289" s="913">
        <f t="shared" si="66"/>
        <v>17.185997263827428</v>
      </c>
      <c r="W289" s="914">
        <f t="shared" si="67"/>
        <v>19.935756826039817</v>
      </c>
      <c r="X289" s="913">
        <f t="shared" si="68"/>
        <v>0.40782371507062493</v>
      </c>
      <c r="Y289" s="913">
        <f t="shared" si="69"/>
        <v>17.185997263827428</v>
      </c>
      <c r="Z289" s="95">
        <f t="shared" si="70"/>
        <v>52676</v>
      </c>
      <c r="AA289" s="50" t="str">
        <f t="shared" si="71"/>
        <v>MOQ OK</v>
      </c>
      <c r="AB289" s="923">
        <f t="shared" si="72"/>
        <v>0.3099748775728548</v>
      </c>
      <c r="AC289" s="924">
        <f t="shared" si="73"/>
        <v>0.35957085798451155</v>
      </c>
      <c r="AD289" s="203">
        <f t="shared" si="74"/>
        <v>30997.487757285478</v>
      </c>
      <c r="AE289" s="912">
        <f t="shared" si="75"/>
        <v>35957.085798451153</v>
      </c>
      <c r="AF289" s="923" cm="1">
        <f t="array" ref="AF289">IF(O289="Quantum",IFERROR(_xlfn.LET(_xlpm.b,_xlfn.SWITCH(LOWER(B289),"zipper bag","Zipper pouch","open bag","Open pouch","sup with zipper","Stand-up pouch","stand-up pouch","Stand-up pouch",B289),_xlpm.w,G289,_xlpm.q,K289,_xlpm.types,'Converting-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missing"),IFERROR(_xlfn.LET(_xlpm.s,O289,_xlpm.b,_xlfn.SWITCH(LOWER(B289),"zipper bag","Zipper pouch","open bag","Open pouch",B289),_xlpm.w,G289,_xlpm.q,K289,_xlpm.src,'Converting-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289" s="923">
        <f>IFERROR(IF(OR(B289="Zipper pouch",B289="SUP with zipper"),HELPER!$DE$2*(AH289+AI289)/K289,HELPER!$DE$2*AH289/K289),"Data is missing")</f>
        <v>2.7925422904237496E-3</v>
      </c>
      <c r="AH289" s="923">
        <f t="shared" si="76"/>
        <v>0.40782371507062493</v>
      </c>
      <c r="AI289" s="923">
        <f>IF(OR(B289="Zipper pouch",B289="SUP with zipper"),HELPER!$DC$2*G289/1000,"")</f>
        <v>5.7599999999999991E-2</v>
      </c>
      <c r="AJ289" s="923" cm="1">
        <f t="array" ref="AJ289">IF(INDEX('Laminates- copilot'!$E$6:$E$257,ROUNDUP((ROW()-5)/3,0))+50&gt;IF(O289="Quantum",760,1220),"Width exceeds supplier maximum",IFERROR(AF289+AG289+N(AI289)+AH289*G289/1000/MAX(1,MIN(MAX(2,INT(900/INDEX('Laminates- copilot'!$E$6:$E$257,ROUNDUP((ROW()-5)/3,0)))),INT((IF(O289="Quantum",760,1220)-50)/INDEX('Laminates- copilot'!$E$6:$E$257,ROUNDUP((ROW()-5)/3,0))))),"Data is missing"))</f>
        <v>0.2324811581796411</v>
      </c>
      <c r="AK289" s="203">
        <f t="shared" si="77"/>
        <v>309.97487757285478</v>
      </c>
      <c r="AL289" t="str">
        <f t="shared" si="78"/>
        <v>PASS</v>
      </c>
      <c r="AM289" s="50" t="str">
        <f t="shared" si="79"/>
        <v/>
      </c>
    </row>
    <row r="290" spans="1:39" hidden="1">
      <c r="A290" t="s">
        <v>1918</v>
      </c>
      <c r="B290" t="s">
        <v>262</v>
      </c>
      <c r="C290" s="50" t="s">
        <v>2207</v>
      </c>
      <c r="D290">
        <f>'Laminates- copilot'!B100</f>
        <v>748</v>
      </c>
      <c r="E290" s="858">
        <f>'Laminates- copilot'!D100</f>
        <v>55</v>
      </c>
      <c r="F290" s="858">
        <v>350</v>
      </c>
      <c r="G290" s="858">
        <v>400</v>
      </c>
      <c r="H290" s="858">
        <v>0</v>
      </c>
      <c r="I290" s="858">
        <v>0</v>
      </c>
      <c r="J290" s="858">
        <v>700</v>
      </c>
      <c r="K290" s="858">
        <v>100000</v>
      </c>
      <c r="L290" s="858" t="str">
        <f>'Laminates- copilot'!K100</f>
        <v>Not Printed</v>
      </c>
      <c r="M290" s="858" t="str">
        <f>'Laminates- copilot'!L100</f>
        <v>0</v>
      </c>
      <c r="N290" s="858">
        <f>'Laminates- copilot'!M100</f>
        <v>1</v>
      </c>
      <c r="O290" s="858" t="str">
        <f>'Laminates- copilot'!O100</f>
        <v>Bastin</v>
      </c>
      <c r="P290" s="858" t="str">
        <f>'Laminates- copilot'!N100</f>
        <v>Europe to Europe</v>
      </c>
      <c r="Q290" s="858">
        <f t="shared" si="64"/>
        <v>40000</v>
      </c>
      <c r="R290" s="858">
        <f t="shared" si="65"/>
        <v>40000</v>
      </c>
      <c r="S290" s="858">
        <f>IFERROR('Laminates- copilot'!Q100/'Laminates- copilot'!P100*Q290,"")</f>
        <v>949.20000000000016</v>
      </c>
      <c r="T290" s="203">
        <f>IFERROR('Laminates- copilot'!R100/'Laminates- copilot'!P100*Q290,"")</f>
        <v>16312.948602824998</v>
      </c>
      <c r="U290" s="912">
        <f>IFERROR('Laminates- copilot'!S100/'Laminates- copilot'!P100*Q290,"")</f>
        <v>18923.020379276997</v>
      </c>
      <c r="V290" s="913">
        <f t="shared" si="66"/>
        <v>17.185997263827428</v>
      </c>
      <c r="W290" s="914">
        <f t="shared" si="67"/>
        <v>19.935756826039817</v>
      </c>
      <c r="X290" s="913">
        <f t="shared" si="68"/>
        <v>0.40782371507062493</v>
      </c>
      <c r="Y290" s="913">
        <f t="shared" si="69"/>
        <v>17.185997263827428</v>
      </c>
      <c r="Z290" s="95">
        <f t="shared" si="70"/>
        <v>52676</v>
      </c>
      <c r="AA290" s="50" t="str">
        <f t="shared" si="71"/>
        <v>MOQ OK</v>
      </c>
      <c r="AB290" s="923">
        <f t="shared" si="72"/>
        <v>0.21958607918543294</v>
      </c>
      <c r="AC290" s="924">
        <f t="shared" si="73"/>
        <v>0.25471985185510221</v>
      </c>
      <c r="AD290" s="203">
        <f t="shared" si="74"/>
        <v>21958.607918543294</v>
      </c>
      <c r="AE290" s="912">
        <f t="shared" si="75"/>
        <v>25471.985185510221</v>
      </c>
      <c r="AF290" s="923" cm="1">
        <f t="array" ref="AF290">IF(O290="Quantum",IFERROR(_xlfn.LET(_xlpm.b,_xlfn.SWITCH(LOWER(B290),"zipper bag","Zipper pouch","open bag","Open pouch","sup with zipper","Stand-up pouch","stand-up pouch","Stand-up pouch",B290),_xlpm.w,G290,_xlpm.q,K290,_xlpm.types,'Converting-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missing"),IFERROR(_xlfn.LET(_xlpm.s,O290,_xlpm.b,_xlfn.SWITCH(LOWER(B290),"zipper bag","Zipper pouch","open bag","Open pouch",B290),_xlpm.w,G290,_xlpm.q,K290,_xlpm.src,'Converting-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90" s="923">
        <f>IFERROR(IF(OR(B290="Zipper pouch",B290="SUP with zipper"),HELPER!$DE$2*(AH290+AI290)/K290,HELPER!$DE$2*AH290/K290),"Data is missing")</f>
        <v>2.4469422904237494E-3</v>
      </c>
      <c r="AH290" s="923">
        <f t="shared" si="76"/>
        <v>0.40782371507062493</v>
      </c>
      <c r="AI290" s="923" t="str">
        <f>IF(OR(B290="Zipper pouch",B290="SUP with zipper"),HELPER!$DC$2*G290/1000,"")</f>
        <v/>
      </c>
      <c r="AJ290" s="923" cm="1">
        <f t="array" ref="AJ290">IF(INDEX('Laminates- copilot'!$E$6:$E$257,ROUNDUP((ROW()-5)/3,0))+50&gt;IF(O290="Quantum",760,1220),"Width exceeds supplier maximum",IFERROR(AF290+AG290+N(AI290)+AH290*G290/1000/MAX(1,MIN(MAX(2,INT(900/INDEX('Laminates- copilot'!$E$6:$E$257,ROUNDUP((ROW()-5)/3,0)))),INT((IF(O290="Quantum",760,1220)-50)/INDEX('Laminates- copilot'!$E$6:$E$257,ROUNDUP((ROW()-5)/3,0))))),"Data is missing"))</f>
        <v>0.1646895593890747</v>
      </c>
      <c r="AK290" s="203">
        <f t="shared" si="77"/>
        <v>219.58607918543294</v>
      </c>
      <c r="AL290" t="str">
        <f t="shared" si="78"/>
        <v>PASS</v>
      </c>
      <c r="AM290" s="50" t="str">
        <f t="shared" si="79"/>
        <v/>
      </c>
    </row>
    <row r="291" spans="1:39" hidden="1">
      <c r="A291" t="s">
        <v>1919</v>
      </c>
      <c r="B291" t="s">
        <v>251</v>
      </c>
      <c r="C291" s="50" t="s">
        <v>2208</v>
      </c>
      <c r="D291">
        <f>'Laminates- copilot'!B101</f>
        <v>748</v>
      </c>
      <c r="E291" s="858">
        <f>'Laminates- copilot'!D101</f>
        <v>55</v>
      </c>
      <c r="F291" s="858">
        <v>400</v>
      </c>
      <c r="G291" s="858">
        <v>500</v>
      </c>
      <c r="H291" s="858">
        <v>80</v>
      </c>
      <c r="I291" s="858">
        <v>0</v>
      </c>
      <c r="J291" s="858">
        <v>960</v>
      </c>
      <c r="K291" s="858">
        <v>100000</v>
      </c>
      <c r="L291" s="858" t="str">
        <f>'Laminates- copilot'!K101</f>
        <v>Printed</v>
      </c>
      <c r="M291" s="858" t="str">
        <f>'Laminates- copilot'!L101</f>
        <v>3-4</v>
      </c>
      <c r="N291" s="858">
        <f>'Laminates- copilot'!M101</f>
        <v>4</v>
      </c>
      <c r="O291" s="858" t="str">
        <f>'Laminates- copilot'!O101</f>
        <v>Quantum</v>
      </c>
      <c r="P291" s="858" t="str">
        <f>'Laminates- copilot'!N101</f>
        <v>Europe to US</v>
      </c>
      <c r="Q291" s="858">
        <f t="shared" si="64"/>
        <v>50000</v>
      </c>
      <c r="R291" s="858">
        <f t="shared" si="65"/>
        <v>50000</v>
      </c>
      <c r="S291" s="858">
        <f>IFERROR('Laminates- copilot'!Q101/'Laminates- copilot'!P101*Q291,"")</f>
        <v>2034</v>
      </c>
      <c r="T291" s="203">
        <f>IFERROR('Laminates- copilot'!R101/'Laminates- copilot'!P101*Q291,"")</f>
        <v>78014.9905199981</v>
      </c>
      <c r="U291" s="912">
        <f>IFERROR('Laminates- copilot'!S101/'Laminates- copilot'!P101*Q291,"")</f>
        <v>90497.389003197779</v>
      </c>
      <c r="V291" s="913">
        <f t="shared" si="66"/>
        <v>38.355452566370751</v>
      </c>
      <c r="W291" s="914">
        <f t="shared" si="67"/>
        <v>44.492324976990055</v>
      </c>
      <c r="X291" s="913">
        <f t="shared" si="68"/>
        <v>1.5602998103999619</v>
      </c>
      <c r="Y291" s="913">
        <f t="shared" si="69"/>
        <v>38.355452566370751</v>
      </c>
      <c r="Z291" s="95">
        <f t="shared" si="70"/>
        <v>24583</v>
      </c>
      <c r="AA291" s="50" t="str">
        <f t="shared" si="71"/>
        <v>MOQ OK</v>
      </c>
      <c r="AB291" s="923">
        <f t="shared" si="72"/>
        <v>1.5109157149666708</v>
      </c>
      <c r="AC291" s="924">
        <f t="shared" si="73"/>
        <v>1.7526622293613379</v>
      </c>
      <c r="AD291" s="203">
        <f t="shared" si="74"/>
        <v>151091.57149666708</v>
      </c>
      <c r="AE291" s="912">
        <f t="shared" si="75"/>
        <v>175266.2229361338</v>
      </c>
      <c r="AF291" s="923" cm="1">
        <f t="array" ref="AF291">IF(O291="Quantum",IFERROR(_xlfn.LET(_xlpm.b,_xlfn.SWITCH(LOWER(B291),"zipper bag","Zipper pouch","open bag","Open pouch","sup with zipper","Stand-up pouch","stand-up pouch","Stand-up pouch",B291),_xlpm.w,G291,_xlpm.q,K291,_xlpm.types,'Converting-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missing"),IFERROR(_xlfn.LET(_xlpm.s,O291,_xlpm.b,_xlfn.SWITCH(LOWER(B291),"zipper bag","Zipper pouch","open bag","Open pouch",B291),_xlpm.w,G291,_xlpm.q,K291,_xlpm.src,'Converting-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291" s="923">
        <f>IFERROR(IF(OR(B291="Zipper pouch",B291="SUP with zipper"),HELPER!$DE$2*(AH291+AI291)/K291,HELPER!$DE$2*AH291/K291),"Data is missing")</f>
        <v>9.7937988623997725E-3</v>
      </c>
      <c r="AH291" s="923">
        <f t="shared" si="76"/>
        <v>1.5602998103999619</v>
      </c>
      <c r="AI291" s="923">
        <f>IF(OR(B291="Zipper pouch",B291="SUP with zipper"),HELPER!$DC$2*G291/1000,"")</f>
        <v>7.1999999999999995E-2</v>
      </c>
      <c r="AJ291" s="923" cm="1">
        <f t="array" ref="AJ291">IF(INDEX('Laminates- copilot'!$E$6:$E$257,ROUNDUP((ROW()-5)/3,0))+50&gt;IF(O291="Quantum",760,1220),"Width exceeds supplier maximum",IFERROR(AF291+AG291+N(AI291)+AH291*G291/1000/MAX(1,MIN(MAX(2,INT(900/INDEX('Laminates- copilot'!$E$6:$E$257,ROUNDUP((ROW()-5)/3,0)))),INT((IF(O291="Quantum",760,1220)-50)/INDEX('Laminates- copilot'!$E$6:$E$257,ROUNDUP((ROW()-5)/3,0))))),"Data is missing"))</f>
        <v>1.1331867862250031</v>
      </c>
      <c r="AK291" s="203">
        <f t="shared" si="77"/>
        <v>1510.9157149666707</v>
      </c>
      <c r="AL291" t="str">
        <f t="shared" si="78"/>
        <v>PASS</v>
      </c>
      <c r="AM291" s="50" t="str">
        <f t="shared" si="79"/>
        <v/>
      </c>
    </row>
    <row r="292" spans="1:39" hidden="1">
      <c r="A292" t="s">
        <v>1920</v>
      </c>
      <c r="B292" t="s">
        <v>261</v>
      </c>
      <c r="C292" s="50" t="s">
        <v>2208</v>
      </c>
      <c r="D292">
        <f>'Laminates- copilot'!B101</f>
        <v>748</v>
      </c>
      <c r="E292" s="858">
        <f>'Laminates- copilot'!D101</f>
        <v>55</v>
      </c>
      <c r="F292" s="858">
        <v>400</v>
      </c>
      <c r="G292" s="858">
        <v>500</v>
      </c>
      <c r="H292" s="858">
        <v>80</v>
      </c>
      <c r="I292" s="858">
        <v>0</v>
      </c>
      <c r="J292" s="858">
        <v>960</v>
      </c>
      <c r="K292" s="858">
        <v>100000</v>
      </c>
      <c r="L292" s="858" t="str">
        <f>'Laminates- copilot'!K101</f>
        <v>Printed</v>
      </c>
      <c r="M292" s="858" t="str">
        <f>'Laminates- copilot'!L101</f>
        <v>3-4</v>
      </c>
      <c r="N292" s="858">
        <f>'Laminates- copilot'!M101</f>
        <v>4</v>
      </c>
      <c r="O292" s="858" t="str">
        <f>'Laminates- copilot'!O101</f>
        <v>Quantum</v>
      </c>
      <c r="P292" s="858" t="str">
        <f>'Laminates- copilot'!N101</f>
        <v>Europe to US</v>
      </c>
      <c r="Q292" s="858">
        <f t="shared" si="64"/>
        <v>50000</v>
      </c>
      <c r="R292" s="858">
        <f t="shared" si="65"/>
        <v>50000</v>
      </c>
      <c r="S292" s="858">
        <f>IFERROR('Laminates- copilot'!Q101/'Laminates- copilot'!P101*Q292,"")</f>
        <v>2034</v>
      </c>
      <c r="T292" s="203">
        <f>IFERROR('Laminates- copilot'!R101/'Laminates- copilot'!P101*Q292,"")</f>
        <v>78014.9905199981</v>
      </c>
      <c r="U292" s="912">
        <f>IFERROR('Laminates- copilot'!S101/'Laminates- copilot'!P101*Q292,"")</f>
        <v>90497.389003197779</v>
      </c>
      <c r="V292" s="913">
        <f t="shared" si="66"/>
        <v>38.355452566370751</v>
      </c>
      <c r="W292" s="914">
        <f t="shared" si="67"/>
        <v>44.492324976990055</v>
      </c>
      <c r="X292" s="913">
        <f t="shared" si="68"/>
        <v>1.5602998103999619</v>
      </c>
      <c r="Y292" s="913">
        <f t="shared" si="69"/>
        <v>38.355452566370751</v>
      </c>
      <c r="Z292" s="95">
        <f t="shared" si="70"/>
        <v>24583</v>
      </c>
      <c r="AA292" s="50" t="str">
        <f t="shared" si="71"/>
        <v>MOQ OK</v>
      </c>
      <c r="AB292" s="923">
        <f t="shared" si="72"/>
        <v>1.4714978381711867</v>
      </c>
      <c r="AC292" s="924">
        <f t="shared" si="73"/>
        <v>1.7069374922785765</v>
      </c>
      <c r="AD292" s="203">
        <f t="shared" si="74"/>
        <v>147149.78381711867</v>
      </c>
      <c r="AE292" s="912">
        <f t="shared" si="75"/>
        <v>170693.74922785765</v>
      </c>
      <c r="AF292" s="923" cm="1">
        <f t="array" ref="AF292">IF(O292="Quantum",IFERROR(_xlfn.LET(_xlpm.b,_xlfn.SWITCH(LOWER(B292),"zipper bag","Zipper pouch","open bag","Open pouch","sup with zipper","Stand-up pouch","stand-up pouch","Stand-up pouch",B292),_xlpm.w,G292,_xlpm.q,K292,_xlpm.types,'Converting-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missing"),IFERROR(_xlfn.LET(_xlpm.s,O292,_xlpm.b,_xlfn.SWITCH(LOWER(B292),"zipper bag","Zipper pouch","open bag","Open pouch",B292),_xlpm.w,G292,_xlpm.q,K292,_xlpm.src,'Converting-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292" s="923">
        <f>IFERROR(IF(OR(B292="Zipper pouch",B292="SUP with zipper"),HELPER!$DE$2*(AH292+AI292)/K292,HELPER!$DE$2*AH292/K292),"Data is missing")</f>
        <v>9.7937988623997725E-3</v>
      </c>
      <c r="AH292" s="923">
        <f t="shared" si="76"/>
        <v>1.5602998103999619</v>
      </c>
      <c r="AI292" s="923">
        <f>IF(OR(B292="Zipper pouch",B292="SUP with zipper"),HELPER!$DC$2*G292/1000,"")</f>
        <v>7.1999999999999995E-2</v>
      </c>
      <c r="AJ292" s="923" cm="1">
        <f t="array" ref="AJ292">IF(INDEX('Laminates- copilot'!$E$6:$E$257,ROUNDUP((ROW()-5)/3,0))+50&gt;IF(O292="Quantum",760,1220),"Width exceeds supplier maximum",IFERROR(AF292+AG292+N(AI292)+AH292*G292/1000/MAX(1,MIN(MAX(2,INT(900/INDEX('Laminates- copilot'!$E$6:$E$257,ROUNDUP((ROW()-5)/3,0)))),INT((IF(O292="Quantum",760,1220)-50)/INDEX('Laminates- copilot'!$E$6:$E$257,ROUNDUP((ROW()-5)/3,0))))),"Data is missing"))</f>
        <v>1.10362337862839</v>
      </c>
      <c r="AK292" s="203">
        <f t="shared" si="77"/>
        <v>1471.4978381711867</v>
      </c>
      <c r="AL292" t="str">
        <f t="shared" si="78"/>
        <v>PASS</v>
      </c>
      <c r="AM292" s="50" t="str">
        <f t="shared" si="79"/>
        <v/>
      </c>
    </row>
    <row r="293" spans="1:39" hidden="1">
      <c r="A293" t="s">
        <v>1921</v>
      </c>
      <c r="B293" t="s">
        <v>262</v>
      </c>
      <c r="C293" s="50" t="s">
        <v>2208</v>
      </c>
      <c r="D293">
        <f>'Laminates- copilot'!B101</f>
        <v>748</v>
      </c>
      <c r="E293" s="858">
        <f>'Laminates- copilot'!D101</f>
        <v>55</v>
      </c>
      <c r="F293" s="858">
        <v>400</v>
      </c>
      <c r="G293" s="858">
        <v>500</v>
      </c>
      <c r="H293" s="858">
        <v>0</v>
      </c>
      <c r="I293" s="858">
        <v>20</v>
      </c>
      <c r="J293" s="858">
        <v>820</v>
      </c>
      <c r="K293" s="858">
        <v>100000</v>
      </c>
      <c r="L293" s="858" t="str">
        <f>'Laminates- copilot'!K101</f>
        <v>Printed</v>
      </c>
      <c r="M293" s="858" t="str">
        <f>'Laminates- copilot'!L101</f>
        <v>3-4</v>
      </c>
      <c r="N293" s="858">
        <f>'Laminates- copilot'!M101</f>
        <v>4</v>
      </c>
      <c r="O293" s="858" t="str">
        <f>'Laminates- copilot'!O101</f>
        <v>Quantum</v>
      </c>
      <c r="P293" s="858" t="str">
        <f>'Laminates- copilot'!N101</f>
        <v>Europe to US</v>
      </c>
      <c r="Q293" s="858">
        <f t="shared" si="64"/>
        <v>50000</v>
      </c>
      <c r="R293" s="858">
        <f t="shared" si="65"/>
        <v>50000</v>
      </c>
      <c r="S293" s="858">
        <f>IFERROR('Laminates- copilot'!Q101/'Laminates- copilot'!P101*Q293,"")</f>
        <v>2034</v>
      </c>
      <c r="T293" s="203">
        <f>IFERROR('Laminates- copilot'!R101/'Laminates- copilot'!P101*Q293,"")</f>
        <v>78014.9905199981</v>
      </c>
      <c r="U293" s="912">
        <f>IFERROR('Laminates- copilot'!S101/'Laminates- copilot'!P101*Q293,"")</f>
        <v>90497.389003197779</v>
      </c>
      <c r="V293" s="913">
        <f t="shared" si="66"/>
        <v>38.355452566370751</v>
      </c>
      <c r="W293" s="914">
        <f t="shared" si="67"/>
        <v>44.492324976990055</v>
      </c>
      <c r="X293" s="913">
        <f t="shared" si="68"/>
        <v>1.5602998103999619</v>
      </c>
      <c r="Y293" s="913">
        <f t="shared" si="69"/>
        <v>38.355452566370751</v>
      </c>
      <c r="Z293" s="95">
        <f t="shared" si="70"/>
        <v>24583</v>
      </c>
      <c r="AA293" s="50" t="str">
        <f t="shared" si="71"/>
        <v>MOQ OK</v>
      </c>
      <c r="AB293" s="923">
        <f t="shared" si="72"/>
        <v>1.3410886861600864</v>
      </c>
      <c r="AC293" s="924">
        <f t="shared" si="73"/>
        <v>1.5556628759457001</v>
      </c>
      <c r="AD293" s="203">
        <f t="shared" si="74"/>
        <v>134108.86861600864</v>
      </c>
      <c r="AE293" s="912">
        <f t="shared" si="75"/>
        <v>155566.28759457002</v>
      </c>
      <c r="AF293" s="923" cm="1">
        <f t="array" ref="AF293">IF(O293="Quantum",IFERROR(_xlfn.LET(_xlpm.b,_xlfn.SWITCH(LOWER(B293),"zipper bag","Zipper pouch","open bag","Open pouch","sup with zipper","Stand-up pouch","stand-up pouch","Stand-up pouch",B293),_xlpm.w,G293,_xlpm.q,K293,_xlpm.types,'Converting-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missing"),IFERROR(_xlfn.LET(_xlpm.s,O293,_xlpm.b,_xlfn.SWITCH(LOWER(B293),"zipper bag","Zipper pouch","open bag","Open pouch",B293),_xlpm.w,G293,_xlpm.q,K293,_xlpm.src,'Converting-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293" s="923">
        <f>IFERROR(IF(OR(B293="Zipper pouch",B293="SUP with zipper"),HELPER!$DE$2*(AH293+AI293)/K293,HELPER!$DE$2*AH293/K293),"Data is missing")</f>
        <v>9.3617988623997707E-3</v>
      </c>
      <c r="AH293" s="923">
        <f t="shared" si="76"/>
        <v>1.5602998103999619</v>
      </c>
      <c r="AI293" s="923" t="str">
        <f>IF(OR(B293="Zipper pouch",B293="SUP with zipper"),HELPER!$DC$2*G293/1000,"")</f>
        <v/>
      </c>
      <c r="AJ293" s="923" cm="1">
        <f t="array" ref="AJ293">IF(INDEX('Laminates- copilot'!$E$6:$E$257,ROUNDUP((ROW()-5)/3,0))+50&gt;IF(O293="Quantum",760,1220),"Width exceeds supplier maximum",IFERROR(AF293+AG293+N(AI293)+AH293*G293/1000/MAX(1,MIN(MAX(2,INT(900/INDEX('Laminates- copilot'!$E$6:$E$257,ROUNDUP((ROW()-5)/3,0)))),INT((IF(O293="Quantum",760,1220)-50)/INDEX('Laminates- copilot'!$E$6:$E$257,ROUNDUP((ROW()-5)/3,0))))),"Data is missing"))</f>
        <v>1.0058165146200648</v>
      </c>
      <c r="AK293" s="203">
        <f t="shared" si="77"/>
        <v>1341.0886861600864</v>
      </c>
      <c r="AL293" t="str">
        <f t="shared" si="78"/>
        <v>PASS</v>
      </c>
      <c r="AM293" s="50" t="str">
        <f t="shared" si="79"/>
        <v/>
      </c>
    </row>
    <row r="294" spans="1:39" hidden="1">
      <c r="A294" t="s">
        <v>1922</v>
      </c>
      <c r="B294" t="s">
        <v>251</v>
      </c>
      <c r="C294" s="50" t="s">
        <v>2209</v>
      </c>
      <c r="D294">
        <f>'Laminates- copilot'!B102</f>
        <v>748</v>
      </c>
      <c r="E294" s="858">
        <f>'Laminates- copilot'!D102</f>
        <v>55</v>
      </c>
      <c r="F294" s="858">
        <v>600</v>
      </c>
      <c r="G294" s="858">
        <v>200</v>
      </c>
      <c r="H294" s="858">
        <v>50</v>
      </c>
      <c r="I294" s="858">
        <v>0</v>
      </c>
      <c r="J294" s="858">
        <v>1300</v>
      </c>
      <c r="K294" s="858">
        <v>200000</v>
      </c>
      <c r="L294" s="858" t="str">
        <f>'Laminates- copilot'!K102</f>
        <v>Printed</v>
      </c>
      <c r="M294" s="858" t="str">
        <f>'Laminates- copilot'!L102</f>
        <v>5-8</v>
      </c>
      <c r="N294" s="858">
        <f>'Laminates- copilot'!M102</f>
        <v>8</v>
      </c>
      <c r="O294" s="858" t="str">
        <f>'Laminates- copilot'!O102</f>
        <v>Marma</v>
      </c>
      <c r="P294" s="858" t="str">
        <f>'Laminates- copilot'!N102</f>
        <v>Europe to Europe</v>
      </c>
      <c r="Q294" s="858">
        <f t="shared" si="64"/>
        <v>40000</v>
      </c>
      <c r="R294" s="858">
        <f t="shared" si="65"/>
        <v>40000</v>
      </c>
      <c r="S294" s="858">
        <f>IFERROR('Laminates- copilot'!Q102/'Laminates- copilot'!P102*Q294,"")</f>
        <v>2440.8000000000006</v>
      </c>
      <c r="T294" s="203">
        <f>IFERROR('Laminates- copilot'!R102/'Laminates- copilot'!P102*Q294,"")</f>
        <v>36843.272848355846</v>
      </c>
      <c r="U294" s="912">
        <f>IFERROR('Laminates- copilot'!S102/'Laminates- copilot'!P102*Q294,"")</f>
        <v>42738.196504092783</v>
      </c>
      <c r="V294" s="913">
        <f t="shared" si="66"/>
        <v>15.094752887723629</v>
      </c>
      <c r="W294" s="914">
        <f t="shared" si="67"/>
        <v>17.509913349759412</v>
      </c>
      <c r="X294" s="913">
        <f t="shared" si="68"/>
        <v>0.92108182120889615</v>
      </c>
      <c r="Y294" s="913">
        <f t="shared" si="69"/>
        <v>15.094752887723629</v>
      </c>
      <c r="Z294" s="95">
        <f t="shared" si="70"/>
        <v>40971</v>
      </c>
      <c r="AA294" s="50" t="str">
        <f t="shared" si="71"/>
        <v>MOQ OK</v>
      </c>
      <c r="AB294" s="923">
        <f t="shared" si="72"/>
        <v>0.34578719993241114</v>
      </c>
      <c r="AC294" s="924">
        <f t="shared" si="73"/>
        <v>0.40111315192159691</v>
      </c>
      <c r="AD294" s="203">
        <f t="shared" si="74"/>
        <v>69157.439986482234</v>
      </c>
      <c r="AE294" s="912">
        <f t="shared" si="75"/>
        <v>80222.630384319389</v>
      </c>
      <c r="AF294" s="923" cm="1">
        <f t="array" ref="AF294">IF(O294="Quantum",IFERROR(_xlfn.LET(_xlpm.b,_xlfn.SWITCH(LOWER(B294),"zipper bag","Zipper pouch","open bag","Open pouch","sup with zipper","Stand-up pouch","stand-up pouch","Stand-up pouch",B294),_xlpm.w,G294,_xlpm.q,K294,_xlpm.types,'Converting-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missing"),IFERROR(_xlfn.LET(_xlpm.s,O294,_xlpm.b,_xlfn.SWITCH(LOWER(B294),"zipper bag","Zipper pouch","open bag","Open pouch",B294),_xlpm.w,G294,_xlpm.q,K294,_xlpm.src,'Converting-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94" s="923">
        <f>IFERROR(IF(OR(B294="Zipper pouch",B294="SUP with zipper"),HELPER!$DE$2*(AH294+AI294)/K294,HELPER!$DE$2*AH294/K294),"Data is missing")</f>
        <v>2.8496454636266883E-3</v>
      </c>
      <c r="AH294" s="923">
        <f t="shared" si="76"/>
        <v>0.92108182120889615</v>
      </c>
      <c r="AI294" s="923">
        <f>IF(OR(B294="Zipper pouch",B294="SUP with zipper"),HELPER!$DC$2*G294/1000,"")</f>
        <v>2.8799999999999996E-2</v>
      </c>
      <c r="AJ294" s="923" cm="1">
        <f t="array" ref="AJ294">IF(INDEX('Laminates- copilot'!$E$6:$E$257,ROUNDUP((ROW()-5)/3,0))+50&gt;IF(O294="Quantum",760,1220),"Width exceeds supplier maximum",IFERROR(AF294+AG294+N(AI294)+AH294*G294/1000/MAX(1,MIN(MAX(2,INT(900/INDEX('Laminates- copilot'!$E$6:$E$257,ROUNDUP((ROW()-5)/3,0)))),INT((IF(O294="Quantum",760,1220)-50)/INDEX('Laminates- copilot'!$E$6:$E$257,ROUNDUP((ROW()-5)/3,0))))),"Data is missing"))</f>
        <v>0.25934039994930835</v>
      </c>
      <c r="AK294" s="203">
        <f t="shared" si="77"/>
        <v>345.78719993241111</v>
      </c>
      <c r="AL294" t="str">
        <f t="shared" si="78"/>
        <v>PASS</v>
      </c>
      <c r="AM294" s="50" t="str">
        <f t="shared" si="79"/>
        <v/>
      </c>
    </row>
    <row r="295" spans="1:39" hidden="1">
      <c r="A295" t="s">
        <v>1923</v>
      </c>
      <c r="B295" t="s">
        <v>261</v>
      </c>
      <c r="C295" s="50" t="s">
        <v>2209</v>
      </c>
      <c r="D295">
        <f>'Laminates- copilot'!B102</f>
        <v>748</v>
      </c>
      <c r="E295" s="858">
        <f>'Laminates- copilot'!D102</f>
        <v>55</v>
      </c>
      <c r="F295" s="858">
        <v>600</v>
      </c>
      <c r="G295" s="858">
        <v>200</v>
      </c>
      <c r="H295" s="858">
        <v>50</v>
      </c>
      <c r="I295" s="858">
        <v>0</v>
      </c>
      <c r="J295" s="858">
        <v>1300</v>
      </c>
      <c r="K295" s="858">
        <v>200000</v>
      </c>
      <c r="L295" s="858" t="str">
        <f>'Laminates- copilot'!K102</f>
        <v>Printed</v>
      </c>
      <c r="M295" s="858" t="str">
        <f>'Laminates- copilot'!L102</f>
        <v>5-8</v>
      </c>
      <c r="N295" s="858">
        <f>'Laminates- copilot'!M102</f>
        <v>8</v>
      </c>
      <c r="O295" s="858" t="str">
        <f>'Laminates- copilot'!O102</f>
        <v>Marma</v>
      </c>
      <c r="P295" s="858" t="str">
        <f>'Laminates- copilot'!N102</f>
        <v>Europe to Europe</v>
      </c>
      <c r="Q295" s="858">
        <f t="shared" si="64"/>
        <v>40000</v>
      </c>
      <c r="R295" s="858">
        <f t="shared" si="65"/>
        <v>40000</v>
      </c>
      <c r="S295" s="858">
        <f>IFERROR('Laminates- copilot'!Q102/'Laminates- copilot'!P102*Q295,"")</f>
        <v>2440.8000000000006</v>
      </c>
      <c r="T295" s="203">
        <f>IFERROR('Laminates- copilot'!R102/'Laminates- copilot'!P102*Q295,"")</f>
        <v>36843.272848355846</v>
      </c>
      <c r="U295" s="912">
        <f>IFERROR('Laminates- copilot'!S102/'Laminates- copilot'!P102*Q295,"")</f>
        <v>42738.196504092783</v>
      </c>
      <c r="V295" s="913">
        <f t="shared" si="66"/>
        <v>15.094752887723629</v>
      </c>
      <c r="W295" s="914">
        <f t="shared" si="67"/>
        <v>17.509913349759412</v>
      </c>
      <c r="X295" s="913">
        <f t="shared" si="68"/>
        <v>0.92108182120889615</v>
      </c>
      <c r="Y295" s="913">
        <f t="shared" si="69"/>
        <v>15.094752887723629</v>
      </c>
      <c r="Z295" s="95">
        <f t="shared" si="70"/>
        <v>40971</v>
      </c>
      <c r="AA295" s="50" t="str">
        <f t="shared" si="71"/>
        <v>MOQ OK</v>
      </c>
      <c r="AB295" s="923">
        <f t="shared" si="72"/>
        <v>0.34105697081193814</v>
      </c>
      <c r="AC295" s="924">
        <f t="shared" si="73"/>
        <v>0.39562608614184824</v>
      </c>
      <c r="AD295" s="203">
        <f t="shared" si="74"/>
        <v>68211.394162387631</v>
      </c>
      <c r="AE295" s="912">
        <f t="shared" si="75"/>
        <v>79125.217228369642</v>
      </c>
      <c r="AF295" s="923" cm="1">
        <f t="array" ref="AF295">IF(O295="Quantum",IFERROR(_xlfn.LET(_xlpm.b,_xlfn.SWITCH(LOWER(B295),"zipper bag","Zipper pouch","open bag","Open pouch","sup with zipper","Stand-up pouch","stand-up pouch","Stand-up pouch",B295),_xlpm.w,G295,_xlpm.q,K295,_xlpm.types,'Converting-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missing"),IFERROR(_xlfn.LET(_xlpm.s,O295,_xlpm.b,_xlfn.SWITCH(LOWER(B295),"zipper bag","Zipper pouch","open bag","Open pouch",B295),_xlpm.w,G295,_xlpm.q,K295,_xlpm.src,'Converting-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95" s="923">
        <f>IFERROR(IF(OR(B295="Zipper pouch",B295="SUP with zipper"),HELPER!$DE$2*(AH295+AI295)/K295,HELPER!$DE$2*AH295/K295),"Data is missing")</f>
        <v>2.8496454636266883E-3</v>
      </c>
      <c r="AH295" s="923">
        <f t="shared" si="76"/>
        <v>0.92108182120889615</v>
      </c>
      <c r="AI295" s="923">
        <f>IF(OR(B295="Zipper pouch",B295="SUP with zipper"),HELPER!$DC$2*G295/1000,"")</f>
        <v>2.8799999999999996E-2</v>
      </c>
      <c r="AJ295" s="923" cm="1">
        <f t="array" ref="AJ295">IF(INDEX('Laminates- copilot'!$E$6:$E$257,ROUNDUP((ROW()-5)/3,0))+50&gt;IF(O295="Quantum",760,1220),"Width exceeds supplier maximum",IFERROR(AF295+AG295+N(AI295)+AH295*G295/1000/MAX(1,MIN(MAX(2,INT(900/INDEX('Laminates- copilot'!$E$6:$E$257,ROUNDUP((ROW()-5)/3,0)))),INT((IF(O295="Quantum",760,1220)-50)/INDEX('Laminates- copilot'!$E$6:$E$257,ROUNDUP((ROW()-5)/3,0))))),"Data is missing"))</f>
        <v>0.25579272810895359</v>
      </c>
      <c r="AK295" s="203">
        <f t="shared" si="77"/>
        <v>341.05697081193813</v>
      </c>
      <c r="AL295" t="str">
        <f t="shared" si="78"/>
        <v>PASS</v>
      </c>
      <c r="AM295" s="50" t="str">
        <f t="shared" si="79"/>
        <v/>
      </c>
    </row>
    <row r="296" spans="1:39" hidden="1">
      <c r="A296" t="s">
        <v>1924</v>
      </c>
      <c r="B296" t="s">
        <v>262</v>
      </c>
      <c r="C296" s="50" t="s">
        <v>2209</v>
      </c>
      <c r="D296">
        <f>'Laminates- copilot'!B102</f>
        <v>748</v>
      </c>
      <c r="E296" s="858">
        <f>'Laminates- copilot'!D102</f>
        <v>55</v>
      </c>
      <c r="F296" s="858">
        <v>600</v>
      </c>
      <c r="G296" s="858">
        <v>200</v>
      </c>
      <c r="H296" s="858">
        <v>0</v>
      </c>
      <c r="I296" s="858">
        <v>0</v>
      </c>
      <c r="J296" s="858">
        <v>1200</v>
      </c>
      <c r="K296" s="858">
        <v>200000</v>
      </c>
      <c r="L296" s="858" t="str">
        <f>'Laminates- copilot'!K102</f>
        <v>Printed</v>
      </c>
      <c r="M296" s="858" t="str">
        <f>'Laminates- copilot'!L102</f>
        <v>5-8</v>
      </c>
      <c r="N296" s="858">
        <f>'Laminates- copilot'!M102</f>
        <v>8</v>
      </c>
      <c r="O296" s="858" t="str">
        <f>'Laminates- copilot'!O102</f>
        <v>Marma</v>
      </c>
      <c r="P296" s="858" t="str">
        <f>'Laminates- copilot'!N102</f>
        <v>Europe to Europe</v>
      </c>
      <c r="Q296" s="858">
        <f t="shared" si="64"/>
        <v>40000</v>
      </c>
      <c r="R296" s="858">
        <f t="shared" si="65"/>
        <v>40000</v>
      </c>
      <c r="S296" s="858">
        <f>IFERROR('Laminates- copilot'!Q102/'Laminates- copilot'!P102*Q296,"")</f>
        <v>2440.8000000000006</v>
      </c>
      <c r="T296" s="203">
        <f>IFERROR('Laminates- copilot'!R102/'Laminates- copilot'!P102*Q296,"")</f>
        <v>36843.272848355846</v>
      </c>
      <c r="U296" s="912">
        <f>IFERROR('Laminates- copilot'!S102/'Laminates- copilot'!P102*Q296,"")</f>
        <v>42738.196504092783</v>
      </c>
      <c r="V296" s="913">
        <f t="shared" si="66"/>
        <v>15.094752887723629</v>
      </c>
      <c r="W296" s="914">
        <f t="shared" si="67"/>
        <v>17.509913349759412</v>
      </c>
      <c r="X296" s="913">
        <f t="shared" si="68"/>
        <v>0.92108182120889615</v>
      </c>
      <c r="Y296" s="913">
        <f t="shared" si="69"/>
        <v>15.094752887723629</v>
      </c>
      <c r="Z296" s="95">
        <f t="shared" si="70"/>
        <v>40971</v>
      </c>
      <c r="AA296" s="50" t="str">
        <f t="shared" si="71"/>
        <v>MOQ OK</v>
      </c>
      <c r="AB296" s="923">
        <f t="shared" si="72"/>
        <v>0.29725657190146204</v>
      </c>
      <c r="AC296" s="924">
        <f t="shared" si="73"/>
        <v>0.34481762340569594</v>
      </c>
      <c r="AD296" s="203">
        <f t="shared" si="74"/>
        <v>59451.31438029241</v>
      </c>
      <c r="AE296" s="912">
        <f t="shared" si="75"/>
        <v>68963.524681139184</v>
      </c>
      <c r="AF296" s="923" cm="1">
        <f t="array" ref="AF296">IF(O296="Quantum",IFERROR(_xlfn.LET(_xlpm.b,_xlfn.SWITCH(LOWER(B296),"zipper bag","Zipper pouch","open bag","Open pouch","sup with zipper","Stand-up pouch","stand-up pouch","Stand-up pouch",B296),_xlpm.w,G296,_xlpm.q,K296,_xlpm.types,'Converting-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missing"),IFERROR(_xlfn.LET(_xlpm.s,O296,_xlpm.b,_xlfn.SWITCH(LOWER(B296),"zipper bag","Zipper pouch","open bag","Open pouch",B296),_xlpm.w,G296,_xlpm.q,K296,_xlpm.src,'Converting-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96" s="923">
        <f>IFERROR(IF(OR(B296="Zipper pouch",B296="SUP with zipper"),HELPER!$DE$2*(AH296+AI296)/K296,HELPER!$DE$2*AH296/K296),"Data is missing")</f>
        <v>2.7632454636266884E-3</v>
      </c>
      <c r="AH296" s="923">
        <f t="shared" si="76"/>
        <v>0.92108182120889615</v>
      </c>
      <c r="AI296" s="923" t="str">
        <f>IF(OR(B296="Zipper pouch",B296="SUP with zipper"),HELPER!$DC$2*G296/1000,"")</f>
        <v/>
      </c>
      <c r="AJ296" s="923" cm="1">
        <f t="array" ref="AJ296">IF(INDEX('Laminates- copilot'!$E$6:$E$257,ROUNDUP((ROW()-5)/3,0))+50&gt;IF(O296="Quantum",760,1220),"Width exceeds supplier maximum",IFERROR(AF296+AG296+N(AI296)+AH296*G296/1000/MAX(1,MIN(MAX(2,INT(900/INDEX('Laminates- copilot'!$E$6:$E$257,ROUNDUP((ROW()-5)/3,0)))),INT((IF(O296="Quantum",760,1220)-50)/INDEX('Laminates- copilot'!$E$6:$E$257,ROUNDUP((ROW()-5)/3,0))))),"Data is missing"))</f>
        <v>0.22294242892609653</v>
      </c>
      <c r="AK296" s="203">
        <f t="shared" si="77"/>
        <v>297.25657190146205</v>
      </c>
      <c r="AL296" t="str">
        <f t="shared" si="78"/>
        <v>PASS</v>
      </c>
      <c r="AM296" s="50" t="str">
        <f t="shared" si="79"/>
        <v/>
      </c>
    </row>
    <row r="297" spans="1:39" hidden="1">
      <c r="A297" t="s">
        <v>1925</v>
      </c>
      <c r="B297" t="s">
        <v>251</v>
      </c>
      <c r="C297" s="50" t="s">
        <v>2210</v>
      </c>
      <c r="D297">
        <f>'Laminates- copilot'!B103</f>
        <v>748</v>
      </c>
      <c r="E297" s="858">
        <f>'Laminates- copilot'!D103</f>
        <v>55</v>
      </c>
      <c r="F297" s="858">
        <v>700</v>
      </c>
      <c r="G297" s="858">
        <v>300</v>
      </c>
      <c r="H297" s="858">
        <v>75</v>
      </c>
      <c r="I297" s="858">
        <v>0</v>
      </c>
      <c r="J297" s="858">
        <v>1550</v>
      </c>
      <c r="K297" s="858">
        <v>200000</v>
      </c>
      <c r="L297" s="858" t="str">
        <f>'Laminates- copilot'!K103</f>
        <v>Not Printed</v>
      </c>
      <c r="M297" s="858" t="str">
        <f>'Laminates- copilot'!L103</f>
        <v>0</v>
      </c>
      <c r="N297" s="858">
        <f>'Laminates- copilot'!M103</f>
        <v>1</v>
      </c>
      <c r="O297" s="858" t="str">
        <f>'Laminates- copilot'!O103</f>
        <v>Bastin</v>
      </c>
      <c r="P297" s="858" t="str">
        <f>'Laminates- copilot'!N103</f>
        <v>Europe to US</v>
      </c>
      <c r="Q297" s="858">
        <f t="shared" si="64"/>
        <v>60000</v>
      </c>
      <c r="R297" s="858">
        <f t="shared" si="65"/>
        <v>60000</v>
      </c>
      <c r="S297" s="858">
        <f>IFERROR('Laminates- copilot'!Q103/'Laminates- copilot'!P103*Q297,"")</f>
        <v>1017.0000000000002</v>
      </c>
      <c r="T297" s="203">
        <f>IFERROR('Laminates- copilot'!R103/'Laminates- copilot'!P103*Q297,"")</f>
        <v>19443.143931953065</v>
      </c>
      <c r="U297" s="912">
        <f>IFERROR('Laminates- copilot'!S103/'Laminates- copilot'!P103*Q297,"")</f>
        <v>22554.046961065553</v>
      </c>
      <c r="V297" s="913">
        <f t="shared" si="66"/>
        <v>19.118135626305861</v>
      </c>
      <c r="W297" s="914">
        <f t="shared" si="67"/>
        <v>22.177037326514796</v>
      </c>
      <c r="X297" s="913">
        <f t="shared" si="68"/>
        <v>0.32405239886588444</v>
      </c>
      <c r="Y297" s="913">
        <f t="shared" si="69"/>
        <v>19.118135626305861</v>
      </c>
      <c r="Z297" s="95">
        <f t="shared" si="70"/>
        <v>98329</v>
      </c>
      <c r="AA297" s="50" t="str">
        <f t="shared" si="71"/>
        <v>MOQ OK</v>
      </c>
      <c r="AB297" s="923">
        <f t="shared" si="72"/>
        <v>0.19687670390622802</v>
      </c>
      <c r="AC297" s="924">
        <f t="shared" si="73"/>
        <v>0.22837697653122449</v>
      </c>
      <c r="AD297" s="203">
        <f t="shared" si="74"/>
        <v>39375.340781245606</v>
      </c>
      <c r="AE297" s="912">
        <f t="shared" si="75"/>
        <v>45675.3953062449</v>
      </c>
      <c r="AF297" s="923" cm="1">
        <f t="array" ref="AF297">IF(O297="Quantum",IFERROR(_xlfn.LET(_xlpm.b,_xlfn.SWITCH(LOWER(B297),"zipper bag","Zipper pouch","open bag","Open pouch","sup with zipper","Stand-up pouch","stand-up pouch","Stand-up pouch",B297),_xlpm.w,G297,_xlpm.q,K297,_xlpm.types,'Converting-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missing"),IFERROR(_xlfn.LET(_xlpm.s,O297,_xlpm.b,_xlfn.SWITCH(LOWER(B297),"zipper bag","Zipper pouch","open bag","Open pouch",B297),_xlpm.w,G297,_xlpm.q,K297,_xlpm.src,'Converting-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97" s="923">
        <f>IFERROR(IF(OR(B297="Zipper pouch",B297="SUP with zipper"),HELPER!$DE$2*(AH297+AI297)/K297,HELPER!$DE$2*AH297/K297),"Data is missing")</f>
        <v>1.1017571965976534E-3</v>
      </c>
      <c r="AH297" s="923">
        <f t="shared" si="76"/>
        <v>0.32405239886588444</v>
      </c>
      <c r="AI297" s="923">
        <f>IF(OR(B297="Zipper pouch",B297="SUP with zipper"),HELPER!$DC$2*G297/1000,"")</f>
        <v>4.3199999999999995E-2</v>
      </c>
      <c r="AJ297" s="923" cm="1">
        <f t="array" ref="AJ297">IF(INDEX('Laminates- copilot'!$E$6:$E$257,ROUNDUP((ROW()-5)/3,0))+50&gt;IF(O297="Quantum",760,1220),"Width exceeds supplier maximum",IFERROR(AF297+AG297+N(AI297)+AH297*G297/1000/MAX(1,MIN(MAX(2,INT(900/INDEX('Laminates- copilot'!$E$6:$E$257,ROUNDUP((ROW()-5)/3,0)))),INT((IF(O297="Quantum",760,1220)-50)/INDEX('Laminates- copilot'!$E$6:$E$257,ROUNDUP((ROW()-5)/3,0))))),"Data is missing"))</f>
        <v>0.14765752792967102</v>
      </c>
      <c r="AK297" s="203">
        <f t="shared" si="77"/>
        <v>196.87670390622802</v>
      </c>
      <c r="AL297" t="str">
        <f t="shared" si="78"/>
        <v>PASS</v>
      </c>
      <c r="AM297" s="50" t="str">
        <f t="shared" si="79"/>
        <v/>
      </c>
    </row>
    <row r="298" spans="1:39" hidden="1">
      <c r="A298" t="s">
        <v>1926</v>
      </c>
      <c r="B298" t="s">
        <v>261</v>
      </c>
      <c r="C298" s="50" t="s">
        <v>2210</v>
      </c>
      <c r="D298">
        <f>'Laminates- copilot'!B103</f>
        <v>748</v>
      </c>
      <c r="E298" s="858">
        <f>'Laminates- copilot'!D103</f>
        <v>55</v>
      </c>
      <c r="F298" s="858">
        <v>700</v>
      </c>
      <c r="G298" s="858">
        <v>300</v>
      </c>
      <c r="H298" s="858">
        <v>75</v>
      </c>
      <c r="I298" s="858">
        <v>0</v>
      </c>
      <c r="J298" s="858">
        <v>1550</v>
      </c>
      <c r="K298" s="858">
        <v>200000</v>
      </c>
      <c r="L298" s="858" t="str">
        <f>'Laminates- copilot'!K103</f>
        <v>Not Printed</v>
      </c>
      <c r="M298" s="858" t="str">
        <f>'Laminates- copilot'!L103</f>
        <v>0</v>
      </c>
      <c r="N298" s="858">
        <f>'Laminates- copilot'!M103</f>
        <v>1</v>
      </c>
      <c r="O298" s="858" t="str">
        <f>'Laminates- copilot'!O103</f>
        <v>Bastin</v>
      </c>
      <c r="P298" s="858" t="str">
        <f>'Laminates- copilot'!N103</f>
        <v>Europe to US</v>
      </c>
      <c r="Q298" s="858">
        <f t="shared" si="64"/>
        <v>60000</v>
      </c>
      <c r="R298" s="858">
        <f t="shared" si="65"/>
        <v>60000</v>
      </c>
      <c r="S298" s="858">
        <f>IFERROR('Laminates- copilot'!Q103/'Laminates- copilot'!P103*Q298,"")</f>
        <v>1017.0000000000002</v>
      </c>
      <c r="T298" s="203">
        <f>IFERROR('Laminates- copilot'!R103/'Laminates- copilot'!P103*Q298,"")</f>
        <v>19443.143931953065</v>
      </c>
      <c r="U298" s="912">
        <f>IFERROR('Laminates- copilot'!S103/'Laminates- copilot'!P103*Q298,"")</f>
        <v>22554.046961065553</v>
      </c>
      <c r="V298" s="913">
        <f t="shared" si="66"/>
        <v>19.118135626305861</v>
      </c>
      <c r="W298" s="914">
        <f t="shared" si="67"/>
        <v>22.177037326514796</v>
      </c>
      <c r="X298" s="913">
        <f t="shared" si="68"/>
        <v>0.32405239886588444</v>
      </c>
      <c r="Y298" s="913">
        <f t="shared" si="69"/>
        <v>19.118135626305861</v>
      </c>
      <c r="Z298" s="95">
        <f t="shared" si="70"/>
        <v>98329</v>
      </c>
      <c r="AA298" s="50" t="str">
        <f t="shared" si="71"/>
        <v>MOQ OK</v>
      </c>
      <c r="AB298" s="923">
        <f t="shared" si="72"/>
        <v>0.18928051243629196</v>
      </c>
      <c r="AC298" s="924">
        <f t="shared" si="73"/>
        <v>0.21956539442609865</v>
      </c>
      <c r="AD298" s="203">
        <f t="shared" si="74"/>
        <v>37856.102487258395</v>
      </c>
      <c r="AE298" s="912">
        <f t="shared" si="75"/>
        <v>43913.078885219737</v>
      </c>
      <c r="AF298" s="923" cm="1">
        <f t="array" ref="AF298">IF(O298="Quantum",IFERROR(_xlfn.LET(_xlpm.b,_xlfn.SWITCH(LOWER(B298),"zipper bag","Zipper pouch","open bag","Open pouch","sup with zipper","Stand-up pouch","stand-up pouch","Stand-up pouch",B298),_xlpm.w,G298,_xlpm.q,K298,_xlpm.types,'Converting-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missing"),IFERROR(_xlfn.LET(_xlpm.s,O298,_xlpm.b,_xlfn.SWITCH(LOWER(B298),"zipper bag","Zipper pouch","open bag","Open pouch",B298),_xlpm.w,G298,_xlpm.q,K298,_xlpm.src,'Converting-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98" s="923">
        <f>IFERROR(IF(OR(B298="Zipper pouch",B298="SUP with zipper"),HELPER!$DE$2*(AH298+AI298)/K298,HELPER!$DE$2*AH298/K298),"Data is missing")</f>
        <v>1.1017571965976534E-3</v>
      </c>
      <c r="AH298" s="923">
        <f t="shared" si="76"/>
        <v>0.32405239886588444</v>
      </c>
      <c r="AI298" s="923">
        <f>IF(OR(B298="Zipper pouch",B298="SUP with zipper"),HELPER!$DC$2*G298/1000,"")</f>
        <v>4.3199999999999995E-2</v>
      </c>
      <c r="AJ298" s="923" cm="1">
        <f t="array" ref="AJ298">IF(INDEX('Laminates- copilot'!$E$6:$E$257,ROUNDUP((ROW()-5)/3,0))+50&gt;IF(O298="Quantum",760,1220),"Width exceeds supplier maximum",IFERROR(AF298+AG298+N(AI298)+AH298*G298/1000/MAX(1,MIN(MAX(2,INT(900/INDEX('Laminates- copilot'!$E$6:$E$257,ROUNDUP((ROW()-5)/3,0)))),INT((IF(O298="Quantum",760,1220)-50)/INDEX('Laminates- copilot'!$E$6:$E$257,ROUNDUP((ROW()-5)/3,0))))),"Data is missing"))</f>
        <v>0.14196038432721897</v>
      </c>
      <c r="AK298" s="203">
        <f t="shared" si="77"/>
        <v>189.28051243629196</v>
      </c>
      <c r="AL298" t="str">
        <f t="shared" si="78"/>
        <v>PASS</v>
      </c>
      <c r="AM298" s="50" t="str">
        <f t="shared" si="79"/>
        <v/>
      </c>
    </row>
    <row r="299" spans="1:39" hidden="1">
      <c r="A299" t="s">
        <v>1927</v>
      </c>
      <c r="B299" t="s">
        <v>262</v>
      </c>
      <c r="C299" s="50" t="s">
        <v>2210</v>
      </c>
      <c r="D299">
        <f>'Laminates- copilot'!B103</f>
        <v>748</v>
      </c>
      <c r="E299" s="858">
        <f>'Laminates- copilot'!D103</f>
        <v>55</v>
      </c>
      <c r="F299" s="858">
        <v>700</v>
      </c>
      <c r="G299" s="858">
        <v>300</v>
      </c>
      <c r="H299" s="858">
        <v>0</v>
      </c>
      <c r="I299" s="858">
        <v>0</v>
      </c>
      <c r="J299" s="858">
        <v>1400</v>
      </c>
      <c r="K299" s="858">
        <v>200000</v>
      </c>
      <c r="L299" s="858" t="str">
        <f>'Laminates- copilot'!K103</f>
        <v>Not Printed</v>
      </c>
      <c r="M299" s="858" t="str">
        <f>'Laminates- copilot'!L103</f>
        <v>0</v>
      </c>
      <c r="N299" s="858">
        <f>'Laminates- copilot'!M103</f>
        <v>1</v>
      </c>
      <c r="O299" s="858" t="str">
        <f>'Laminates- copilot'!O103</f>
        <v>Bastin</v>
      </c>
      <c r="P299" s="858" t="str">
        <f>'Laminates- copilot'!N103</f>
        <v>Europe to US</v>
      </c>
      <c r="Q299" s="858">
        <f t="shared" si="64"/>
        <v>60000</v>
      </c>
      <c r="R299" s="858">
        <f t="shared" si="65"/>
        <v>60000</v>
      </c>
      <c r="S299" s="858">
        <f>IFERROR('Laminates- copilot'!Q103/'Laminates- copilot'!P103*Q299,"")</f>
        <v>1017.0000000000002</v>
      </c>
      <c r="T299" s="203">
        <f>IFERROR('Laminates- copilot'!R103/'Laminates- copilot'!P103*Q299,"")</f>
        <v>19443.143931953065</v>
      </c>
      <c r="U299" s="912">
        <f>IFERROR('Laminates- copilot'!S103/'Laminates- copilot'!P103*Q299,"")</f>
        <v>22554.046961065553</v>
      </c>
      <c r="V299" s="913">
        <f t="shared" si="66"/>
        <v>19.118135626305861</v>
      </c>
      <c r="W299" s="914">
        <f t="shared" si="67"/>
        <v>22.177037326514796</v>
      </c>
      <c r="X299" s="913">
        <f t="shared" si="68"/>
        <v>0.32405239886588444</v>
      </c>
      <c r="Y299" s="913">
        <f t="shared" si="69"/>
        <v>19.118135626305861</v>
      </c>
      <c r="Z299" s="95">
        <f t="shared" si="70"/>
        <v>98329</v>
      </c>
      <c r="AA299" s="50" t="str">
        <f t="shared" si="71"/>
        <v>MOQ OK</v>
      </c>
      <c r="AB299" s="923">
        <f t="shared" si="72"/>
        <v>0.12255330333945429</v>
      </c>
      <c r="AC299" s="924">
        <f t="shared" si="73"/>
        <v>0.14216183187376696</v>
      </c>
      <c r="AD299" s="203">
        <f t="shared" si="74"/>
        <v>24510.660667890857</v>
      </c>
      <c r="AE299" s="912">
        <f t="shared" si="75"/>
        <v>28432.366374753394</v>
      </c>
      <c r="AF299" s="923" cm="1">
        <f t="array" ref="AF299">IF(O299="Quantum",IFERROR(_xlfn.LET(_xlpm.b,_xlfn.SWITCH(LOWER(B299),"zipper bag","Zipper pouch","open bag","Open pouch","sup with zipper","Stand-up pouch","stand-up pouch","Stand-up pouch",B299),_xlpm.w,G299,_xlpm.q,K299,_xlpm.types,'Converting-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missing"),IFERROR(_xlfn.LET(_xlpm.s,O299,_xlpm.b,_xlfn.SWITCH(LOWER(B299),"zipper bag","Zipper pouch","open bag","Open pouch",B299),_xlpm.w,G299,_xlpm.q,K299,_xlpm.src,'Converting-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99" s="923">
        <f>IFERROR(IF(OR(B299="Zipper pouch",B299="SUP with zipper"),HELPER!$DE$2*(AH299+AI299)/K299,HELPER!$DE$2*AH299/K299),"Data is missing")</f>
        <v>9.7215719659765327E-4</v>
      </c>
      <c r="AH299" s="923">
        <f t="shared" si="76"/>
        <v>0.32405239886588444</v>
      </c>
      <c r="AI299" s="923" t="str">
        <f>IF(OR(B299="Zipper pouch",B299="SUP with zipper"),HELPER!$DC$2*G299/1000,"")</f>
        <v/>
      </c>
      <c r="AJ299" s="923" cm="1">
        <f t="array" ref="AJ299">IF(INDEX('Laminates- copilot'!$E$6:$E$257,ROUNDUP((ROW()-5)/3,0))+50&gt;IF(O299="Quantum",760,1220),"Width exceeds supplier maximum",IFERROR(AF299+AG299+N(AI299)+AH299*G299/1000/MAX(1,MIN(MAX(2,INT(900/INDEX('Laminates- copilot'!$E$6:$E$257,ROUNDUP((ROW()-5)/3,0)))),INT((IF(O299="Quantum",760,1220)-50)/INDEX('Laminates- copilot'!$E$6:$E$257,ROUNDUP((ROW()-5)/3,0))))),"Data is missing"))</f>
        <v>9.1914977504590711E-2</v>
      </c>
      <c r="AK299" s="203">
        <f t="shared" si="77"/>
        <v>122.55330333945429</v>
      </c>
      <c r="AL299" t="str">
        <f t="shared" si="78"/>
        <v>PASS</v>
      </c>
      <c r="AM299" s="50" t="str">
        <f t="shared" si="79"/>
        <v/>
      </c>
    </row>
    <row r="300" spans="1:39" hidden="1">
      <c r="A300" t="s">
        <v>1928</v>
      </c>
      <c r="B300" t="s">
        <v>251</v>
      </c>
      <c r="C300" s="50" t="s">
        <v>1626</v>
      </c>
      <c r="D300">
        <f>'Laminates- copilot'!B104</f>
        <v>748</v>
      </c>
      <c r="E300" s="858">
        <f>'Laminates- copilot'!D104</f>
        <v>55</v>
      </c>
      <c r="F300" s="858">
        <v>250</v>
      </c>
      <c r="G300" s="858">
        <v>400</v>
      </c>
      <c r="H300" s="858">
        <v>50</v>
      </c>
      <c r="I300" s="858">
        <v>0</v>
      </c>
      <c r="J300" s="858">
        <v>600</v>
      </c>
      <c r="K300" s="858">
        <v>1000000</v>
      </c>
      <c r="L300" s="858" t="str">
        <f>'Laminates- copilot'!K104</f>
        <v>Printed</v>
      </c>
      <c r="M300" s="858" t="str">
        <f>'Laminates- copilot'!L104</f>
        <v>3-4</v>
      </c>
      <c r="N300" s="858">
        <f>'Laminates- copilot'!M104</f>
        <v>4</v>
      </c>
      <c r="O300" s="858" t="str">
        <f>'Laminates- copilot'!O104</f>
        <v>Marma</v>
      </c>
      <c r="P300" s="858" t="str">
        <f>'Laminates- copilot'!N104</f>
        <v>Europe to Europe</v>
      </c>
      <c r="Q300" s="858">
        <f t="shared" si="64"/>
        <v>400000</v>
      </c>
      <c r="R300" s="858">
        <f t="shared" si="65"/>
        <v>400000</v>
      </c>
      <c r="S300" s="858">
        <f>IFERROR('Laminates- copilot'!Q104/'Laminates- copilot'!P104*Q300,"")</f>
        <v>16272</v>
      </c>
      <c r="T300" s="203">
        <f>IFERROR('Laminates- copilot'!R104/'Laminates- copilot'!P104*Q300,"")</f>
        <v>280927.16471299995</v>
      </c>
      <c r="U300" s="912">
        <f>IFERROR('Laminates- copilot'!S104/'Laminates- copilot'!P104*Q300,"")</f>
        <v>325875.51106707996</v>
      </c>
      <c r="V300" s="913">
        <f t="shared" si="66"/>
        <v>17.264452108714352</v>
      </c>
      <c r="W300" s="914">
        <f t="shared" si="67"/>
        <v>20.02676444610865</v>
      </c>
      <c r="X300" s="913">
        <f t="shared" si="68"/>
        <v>0.70231791178249992</v>
      </c>
      <c r="Y300" s="913">
        <f t="shared" si="69"/>
        <v>17.264452108714352</v>
      </c>
      <c r="Z300" s="95">
        <f t="shared" si="70"/>
        <v>30728</v>
      </c>
      <c r="AA300" s="50" t="str">
        <f t="shared" si="71"/>
        <v>MOQ OK</v>
      </c>
      <c r="AB300" s="923">
        <f t="shared" si="72"/>
        <v>0.5501048168610807</v>
      </c>
      <c r="AC300" s="924">
        <f t="shared" si="73"/>
        <v>0.63812158755885362</v>
      </c>
      <c r="AD300" s="203">
        <f t="shared" si="74"/>
        <v>550104.8168610807</v>
      </c>
      <c r="AE300" s="912">
        <f t="shared" si="75"/>
        <v>638121.58755885356</v>
      </c>
      <c r="AF300" s="923" cm="1">
        <f t="array" ref="AF300">IF(O300="Quantum",IFERROR(_xlfn.LET(_xlpm.b,_xlfn.SWITCH(LOWER(B300),"zipper bag","Zipper pouch","open bag","Open pouch","sup with zipper","Stand-up pouch","stand-up pouch","Stand-up pouch",B300),_xlpm.w,G300,_xlpm.q,K300,_xlpm.types,'Converting-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missing"),IFERROR(_xlfn.LET(_xlpm.s,O300,_xlpm.b,_xlfn.SWITCH(LOWER(B300),"zipper bag","Zipper pouch","open bag","Open pouch",B300),_xlpm.w,G300,_xlpm.q,K300,_xlpm.src,'Converting-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00" s="923">
        <f>IFERROR(IF(OR(B300="Zipper pouch",B300="SUP with zipper"),HELPER!$DE$2*(AH300+AI300)/K300,HELPER!$DE$2*AH300/K300),"Data is missing")</f>
        <v>4.559507470694999E-4</v>
      </c>
      <c r="AH300" s="923">
        <f t="shared" si="76"/>
        <v>0.70231791178249992</v>
      </c>
      <c r="AI300" s="923">
        <f>IF(OR(B300="Zipper pouch",B300="SUP with zipper"),HELPER!$DC$2*G300/1000,"")</f>
        <v>5.7599999999999991E-2</v>
      </c>
      <c r="AJ300" s="923" cm="1">
        <f t="array" ref="AJ300">IF(INDEX('Laminates- copilot'!$E$6:$E$257,ROUNDUP((ROW()-5)/3,0))+50&gt;IF(O300="Quantum",760,1220),"Width exceeds supplier maximum",IFERROR(AF300+AG300+N(AI300)+AH300*G300/1000/MAX(1,MIN(MAX(2,INT(900/INDEX('Laminates- copilot'!$E$6:$E$257,ROUNDUP((ROW()-5)/3,0)))),INT((IF(O300="Quantum",760,1220)-50)/INDEX('Laminates- copilot'!$E$6:$E$257,ROUNDUP((ROW()-5)/3,0))))),"Data is missing"))</f>
        <v>0.41257861264581053</v>
      </c>
      <c r="AK300" s="203">
        <f t="shared" si="77"/>
        <v>550.10481686108074</v>
      </c>
      <c r="AL300" t="str">
        <f t="shared" si="78"/>
        <v>PASS</v>
      </c>
      <c r="AM300" s="50" t="str">
        <f t="shared" si="79"/>
        <v/>
      </c>
    </row>
    <row r="301" spans="1:39" hidden="1">
      <c r="A301" t="s">
        <v>1929</v>
      </c>
      <c r="B301" t="s">
        <v>261</v>
      </c>
      <c r="C301" s="50" t="s">
        <v>1626</v>
      </c>
      <c r="D301">
        <f>'Laminates- copilot'!B104</f>
        <v>748</v>
      </c>
      <c r="E301" s="858">
        <f>'Laminates- copilot'!D104</f>
        <v>55</v>
      </c>
      <c r="F301" s="858">
        <v>250</v>
      </c>
      <c r="G301" s="858">
        <v>400</v>
      </c>
      <c r="H301" s="858">
        <v>50</v>
      </c>
      <c r="I301" s="858">
        <v>0</v>
      </c>
      <c r="J301" s="858">
        <v>600</v>
      </c>
      <c r="K301" s="858">
        <v>1000000</v>
      </c>
      <c r="L301" s="858" t="str">
        <f>'Laminates- copilot'!K104</f>
        <v>Printed</v>
      </c>
      <c r="M301" s="858" t="str">
        <f>'Laminates- copilot'!L104</f>
        <v>3-4</v>
      </c>
      <c r="N301" s="858">
        <f>'Laminates- copilot'!M104</f>
        <v>4</v>
      </c>
      <c r="O301" s="858" t="str">
        <f>'Laminates- copilot'!O104</f>
        <v>Marma</v>
      </c>
      <c r="P301" s="858" t="str">
        <f>'Laminates- copilot'!N104</f>
        <v>Europe to Europe</v>
      </c>
      <c r="Q301" s="858">
        <f t="shared" si="64"/>
        <v>400000</v>
      </c>
      <c r="R301" s="858">
        <f t="shared" si="65"/>
        <v>400000</v>
      </c>
      <c r="S301" s="858">
        <f>IFERROR('Laminates- copilot'!Q104/'Laminates- copilot'!P104*Q301,"")</f>
        <v>16272</v>
      </c>
      <c r="T301" s="203">
        <f>IFERROR('Laminates- copilot'!R104/'Laminates- copilot'!P104*Q301,"")</f>
        <v>280927.16471299995</v>
      </c>
      <c r="U301" s="912">
        <f>IFERROR('Laminates- copilot'!S104/'Laminates- copilot'!P104*Q301,"")</f>
        <v>325875.51106707996</v>
      </c>
      <c r="V301" s="913">
        <f t="shared" si="66"/>
        <v>17.264452108714352</v>
      </c>
      <c r="W301" s="914">
        <f t="shared" si="67"/>
        <v>20.02676444610865</v>
      </c>
      <c r="X301" s="913">
        <f t="shared" si="68"/>
        <v>0.70231791178249992</v>
      </c>
      <c r="Y301" s="913">
        <f t="shared" si="69"/>
        <v>17.264452108714352</v>
      </c>
      <c r="Z301" s="95">
        <f t="shared" si="70"/>
        <v>30728</v>
      </c>
      <c r="AA301" s="50" t="str">
        <f t="shared" si="71"/>
        <v>MOQ OK</v>
      </c>
      <c r="AB301" s="923">
        <f t="shared" si="72"/>
        <v>0.54246367751262425</v>
      </c>
      <c r="AC301" s="924">
        <f t="shared" si="73"/>
        <v>0.62925786591464405</v>
      </c>
      <c r="AD301" s="203">
        <f t="shared" si="74"/>
        <v>542463.6775126243</v>
      </c>
      <c r="AE301" s="912">
        <f t="shared" si="75"/>
        <v>629257.86591464409</v>
      </c>
      <c r="AF301" s="923" cm="1">
        <f t="array" ref="AF301">IF(O301="Quantum",IFERROR(_xlfn.LET(_xlpm.b,_xlfn.SWITCH(LOWER(B301),"zipper bag","Zipper pouch","open bag","Open pouch","sup with zipper","Stand-up pouch","stand-up pouch","Stand-up pouch",B301),_xlpm.w,G301,_xlpm.q,K301,_xlpm.types,'Converting-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missing"),IFERROR(_xlfn.LET(_xlpm.s,O301,_xlpm.b,_xlfn.SWITCH(LOWER(B301),"zipper bag","Zipper pouch","open bag","Open pouch",B301),_xlpm.w,G301,_xlpm.q,K301,_xlpm.src,'Converting-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01" s="923">
        <f>IFERROR(IF(OR(B301="Zipper pouch",B301="SUP with zipper"),HELPER!$DE$2*(AH301+AI301)/K301,HELPER!$DE$2*AH301/K301),"Data is missing")</f>
        <v>4.559507470694999E-4</v>
      </c>
      <c r="AH301" s="923">
        <f t="shared" si="76"/>
        <v>0.70231791178249992</v>
      </c>
      <c r="AI301" s="923">
        <f>IF(OR(B301="Zipper pouch",B301="SUP with zipper"),HELPER!$DC$2*G301/1000,"")</f>
        <v>5.7599999999999991E-2</v>
      </c>
      <c r="AJ301" s="923" cm="1">
        <f t="array" ref="AJ301">IF(INDEX('Laminates- copilot'!$E$6:$E$257,ROUNDUP((ROW()-5)/3,0))+50&gt;IF(O301="Quantum",760,1220),"Width exceeds supplier maximum",IFERROR(AF301+AG301+N(AI301)+AH301*G301/1000/MAX(1,MIN(MAX(2,INT(900/INDEX('Laminates- copilot'!$E$6:$E$257,ROUNDUP((ROW()-5)/3,0)))),INT((IF(O301="Quantum",760,1220)-50)/INDEX('Laminates- copilot'!$E$6:$E$257,ROUNDUP((ROW()-5)/3,0))))),"Data is missing"))</f>
        <v>0.40684775813446822</v>
      </c>
      <c r="AK301" s="203">
        <f t="shared" si="77"/>
        <v>542.46367751262426</v>
      </c>
      <c r="AL301" t="str">
        <f t="shared" si="78"/>
        <v>PASS</v>
      </c>
      <c r="AM301" s="50" t="str">
        <f t="shared" si="79"/>
        <v/>
      </c>
    </row>
    <row r="302" spans="1:39" hidden="1">
      <c r="A302" t="s">
        <v>1930</v>
      </c>
      <c r="B302" t="s">
        <v>262</v>
      </c>
      <c r="C302" s="50" t="s">
        <v>1626</v>
      </c>
      <c r="D302">
        <f>'Laminates- copilot'!B104</f>
        <v>748</v>
      </c>
      <c r="E302" s="858">
        <f>'Laminates- copilot'!D104</f>
        <v>55</v>
      </c>
      <c r="F302" s="858">
        <v>250</v>
      </c>
      <c r="G302" s="858">
        <v>400</v>
      </c>
      <c r="H302" s="858">
        <v>0</v>
      </c>
      <c r="I302" s="858">
        <v>15</v>
      </c>
      <c r="J302" s="858">
        <v>515</v>
      </c>
      <c r="K302" s="858">
        <v>1000000</v>
      </c>
      <c r="L302" s="858" t="str">
        <f>'Laminates- copilot'!K104</f>
        <v>Printed</v>
      </c>
      <c r="M302" s="858" t="str">
        <f>'Laminates- copilot'!L104</f>
        <v>3-4</v>
      </c>
      <c r="N302" s="858">
        <f>'Laminates- copilot'!M104</f>
        <v>4</v>
      </c>
      <c r="O302" s="858" t="str">
        <f>'Laminates- copilot'!O104</f>
        <v>Marma</v>
      </c>
      <c r="P302" s="858" t="str">
        <f>'Laminates- copilot'!N104</f>
        <v>Europe to Europe</v>
      </c>
      <c r="Q302" s="858">
        <f t="shared" si="64"/>
        <v>400000</v>
      </c>
      <c r="R302" s="858">
        <f t="shared" si="65"/>
        <v>400000</v>
      </c>
      <c r="S302" s="858">
        <f>IFERROR('Laminates- copilot'!Q104/'Laminates- copilot'!P104*Q302,"")</f>
        <v>16272</v>
      </c>
      <c r="T302" s="203">
        <f>IFERROR('Laminates- copilot'!R104/'Laminates- copilot'!P104*Q302,"")</f>
        <v>280927.16471299995</v>
      </c>
      <c r="U302" s="912">
        <f>IFERROR('Laminates- copilot'!S104/'Laminates- copilot'!P104*Q302,"")</f>
        <v>325875.51106707996</v>
      </c>
      <c r="V302" s="913">
        <f t="shared" si="66"/>
        <v>17.264452108714352</v>
      </c>
      <c r="W302" s="914">
        <f t="shared" si="67"/>
        <v>20.02676444610865</v>
      </c>
      <c r="X302" s="913">
        <f t="shared" si="68"/>
        <v>0.70231791178249992</v>
      </c>
      <c r="Y302" s="913">
        <f t="shared" si="69"/>
        <v>17.264452108714352</v>
      </c>
      <c r="Z302" s="95">
        <f t="shared" si="70"/>
        <v>30728</v>
      </c>
      <c r="AA302" s="50" t="str">
        <f t="shared" si="71"/>
        <v>MOQ OK</v>
      </c>
      <c r="AB302" s="923">
        <f t="shared" si="72"/>
        <v>0.45551913721460746</v>
      </c>
      <c r="AC302" s="924">
        <f t="shared" si="73"/>
        <v>0.5284021991689446</v>
      </c>
      <c r="AD302" s="203">
        <f t="shared" si="74"/>
        <v>455519.13721460744</v>
      </c>
      <c r="AE302" s="912">
        <f t="shared" si="75"/>
        <v>528402.19916894461</v>
      </c>
      <c r="AF302" s="923" cm="1">
        <f t="array" ref="AF302">IF(O302="Quantum",IFERROR(_xlfn.LET(_xlpm.b,_xlfn.SWITCH(LOWER(B302),"zipper bag","Zipper pouch","open bag","Open pouch","sup with zipper","Stand-up pouch","stand-up pouch","Stand-up pouch",B302),_xlpm.w,G302,_xlpm.q,K302,_xlpm.types,'Converting-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missing"),IFERROR(_xlfn.LET(_xlpm.s,O302,_xlpm.b,_xlfn.SWITCH(LOWER(B302),"zipper bag","Zipper pouch","open bag","Open pouch",B302),_xlpm.w,G302,_xlpm.q,K302,_xlpm.src,'Converting-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02" s="923">
        <f>IFERROR(IF(OR(B302="Zipper pouch",B302="SUP with zipper"),HELPER!$DE$2*(AH302+AI302)/K302,HELPER!$DE$2*AH302/K302),"Data is missing")</f>
        <v>4.2139074706949991E-4</v>
      </c>
      <c r="AH302" s="923">
        <f t="shared" si="76"/>
        <v>0.70231791178249992</v>
      </c>
      <c r="AI302" s="923" t="str">
        <f>IF(OR(B302="Zipper pouch",B302="SUP with zipper"),HELPER!$DC$2*G302/1000,"")</f>
        <v/>
      </c>
      <c r="AJ302" s="923" cm="1">
        <f t="array" ref="AJ302">IF(INDEX('Laminates- copilot'!$E$6:$E$257,ROUNDUP((ROW()-5)/3,0))+50&gt;IF(O302="Quantum",760,1220),"Width exceeds supplier maximum",IFERROR(AF302+AG302+N(AI302)+AH302*G302/1000/MAX(1,MIN(MAX(2,INT(900/INDEX('Laminates- copilot'!$E$6:$E$257,ROUNDUP((ROW()-5)/3,0)))),INT((IF(O302="Quantum",760,1220)-50)/INDEX('Laminates- copilot'!$E$6:$E$257,ROUNDUP((ROW()-5)/3,0))))),"Data is missing"))</f>
        <v>0.3416393529109556</v>
      </c>
      <c r="AK302" s="203">
        <f t="shared" si="77"/>
        <v>455.51913721460744</v>
      </c>
      <c r="AL302" t="str">
        <f t="shared" si="78"/>
        <v>PASS</v>
      </c>
      <c r="AM302" s="50" t="str">
        <f t="shared" si="79"/>
        <v/>
      </c>
    </row>
    <row r="303" spans="1:39" hidden="1">
      <c r="A303" t="s">
        <v>1931</v>
      </c>
      <c r="B303" t="s">
        <v>251</v>
      </c>
      <c r="C303" s="50" t="s">
        <v>1627</v>
      </c>
      <c r="D303">
        <f>'Laminates- copilot'!B105</f>
        <v>748</v>
      </c>
      <c r="E303" s="858">
        <f>'Laminates- copilot'!D105</f>
        <v>55</v>
      </c>
      <c r="F303" s="858">
        <v>350</v>
      </c>
      <c r="G303" s="858">
        <v>500</v>
      </c>
      <c r="H303" s="858">
        <v>100</v>
      </c>
      <c r="I303" s="858">
        <v>0</v>
      </c>
      <c r="J303" s="858">
        <v>900</v>
      </c>
      <c r="K303" s="858">
        <v>1600000</v>
      </c>
      <c r="L303" s="858" t="str">
        <f>'Laminates- copilot'!K105</f>
        <v>Printed</v>
      </c>
      <c r="M303" s="858" t="str">
        <f>'Laminates- copilot'!L105</f>
        <v>1-2</v>
      </c>
      <c r="N303" s="858">
        <f>'Laminates- copilot'!M105</f>
        <v>2</v>
      </c>
      <c r="O303" s="858" t="str">
        <f>'Laminates- copilot'!O105</f>
        <v>Quantum</v>
      </c>
      <c r="P303" s="858" t="str">
        <f>'Laminates- copilot'!N105</f>
        <v>Europe to Europe</v>
      </c>
      <c r="Q303" s="858">
        <f t="shared" si="64"/>
        <v>800000</v>
      </c>
      <c r="R303" s="858">
        <f t="shared" si="65"/>
        <v>800000</v>
      </c>
      <c r="S303" s="858">
        <f>IFERROR('Laminates- copilot'!Q105/'Laminates- copilot'!P105*Q303,"")</f>
        <v>24408.000000000004</v>
      </c>
      <c r="T303" s="203">
        <f>IFERROR('Laminates- copilot'!R105/'Laminates- copilot'!P105*Q303,"")</f>
        <v>987143.73296500696</v>
      </c>
      <c r="U303" s="912">
        <f>IFERROR('Laminates- copilot'!S105/'Laminates- copilot'!P105*Q303,"")</f>
        <v>1145086.7302394081</v>
      </c>
      <c r="V303" s="913">
        <f t="shared" si="66"/>
        <v>40.443450219805264</v>
      </c>
      <c r="W303" s="914">
        <f t="shared" si="67"/>
        <v>46.914402254974107</v>
      </c>
      <c r="X303" s="913">
        <f t="shared" si="68"/>
        <v>1.2339296662062587</v>
      </c>
      <c r="Y303" s="913">
        <f t="shared" si="69"/>
        <v>40.443450219805264</v>
      </c>
      <c r="Z303" s="95">
        <f t="shared" si="70"/>
        <v>32777</v>
      </c>
      <c r="AA303" s="50" t="str">
        <f t="shared" si="71"/>
        <v>MOQ OK</v>
      </c>
      <c r="AB303" s="923">
        <f t="shared" si="72"/>
        <v>1.2747232886357145</v>
      </c>
      <c r="AC303" s="924">
        <f t="shared" si="73"/>
        <v>1.4786790148174287</v>
      </c>
      <c r="AD303" s="203">
        <f t="shared" si="74"/>
        <v>2039557.2618171433</v>
      </c>
      <c r="AE303" s="912">
        <f t="shared" si="75"/>
        <v>2365886.4237078861</v>
      </c>
      <c r="AF303" s="923" cm="1">
        <f t="array" ref="AF303">IF(O303="Quantum",IFERROR(_xlfn.LET(_xlpm.b,_xlfn.SWITCH(LOWER(B303),"zipper bag","Zipper pouch","open bag","Open pouch","sup with zipper","Stand-up pouch","stand-up pouch","Stand-up pouch",B303),_xlpm.w,G303,_xlpm.q,K303,_xlpm.types,'Converting-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missing"),IFERROR(_xlfn.LET(_xlpm.s,O303,_xlpm.b,_xlfn.SWITCH(LOWER(B303),"zipper bag","Zipper pouch","open bag","Open pouch",B303),_xlpm.w,G303,_xlpm.q,K303,_xlpm.src,'Converting-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303" s="923">
        <f>IFERROR(IF(OR(B303="Zipper pouch",B303="SUP with zipper"),HELPER!$DE$2*(AH303+AI303)/K303,HELPER!$DE$2*AH303/K303),"Data is missing")</f>
        <v>4.8972362482734705E-4</v>
      </c>
      <c r="AH303" s="923">
        <f t="shared" si="76"/>
        <v>1.2339296662062587</v>
      </c>
      <c r="AI303" s="923">
        <f>IF(OR(B303="Zipper pouch",B303="SUP with zipper"),HELPER!$DC$2*G303/1000,"")</f>
        <v>7.1999999999999995E-2</v>
      </c>
      <c r="AJ303" s="923" cm="1">
        <f t="array" ref="AJ303">IF(INDEX('Laminates- copilot'!$E$6:$E$257,ROUNDUP((ROW()-5)/3,0))+50&gt;IF(O303="Quantum",760,1220),"Width exceeds supplier maximum",IFERROR(AF303+AG303+N(AI303)+AH303*G303/1000/MAX(1,MIN(MAX(2,INT(900/INDEX('Laminates- copilot'!$E$6:$E$257,ROUNDUP((ROW()-5)/3,0)))),INT((IF(O303="Quantum",760,1220)-50)/INDEX('Laminates- copilot'!$E$6:$E$257,ROUNDUP((ROW()-5)/3,0))))),"Data is missing"))</f>
        <v>0.95604246647678592</v>
      </c>
      <c r="AK303" s="203">
        <f t="shared" si="77"/>
        <v>1274.7232886357144</v>
      </c>
      <c r="AL303" t="str">
        <f t="shared" si="78"/>
        <v>PASS</v>
      </c>
      <c r="AM303" s="50" t="str">
        <f t="shared" si="79"/>
        <v/>
      </c>
    </row>
    <row r="304" spans="1:39" hidden="1">
      <c r="A304" t="s">
        <v>1932</v>
      </c>
      <c r="B304" t="s">
        <v>261</v>
      </c>
      <c r="C304" s="50" t="s">
        <v>1627</v>
      </c>
      <c r="D304">
        <f>'Laminates- copilot'!B105</f>
        <v>748</v>
      </c>
      <c r="E304" s="858">
        <f>'Laminates- copilot'!D105</f>
        <v>55</v>
      </c>
      <c r="F304" s="858">
        <v>350</v>
      </c>
      <c r="G304" s="858">
        <v>500</v>
      </c>
      <c r="H304" s="858">
        <v>100</v>
      </c>
      <c r="I304" s="858">
        <v>0</v>
      </c>
      <c r="J304" s="858">
        <v>900</v>
      </c>
      <c r="K304" s="858">
        <v>1600000</v>
      </c>
      <c r="L304" s="858" t="str">
        <f>'Laminates- copilot'!K105</f>
        <v>Printed</v>
      </c>
      <c r="M304" s="858" t="str">
        <f>'Laminates- copilot'!L105</f>
        <v>1-2</v>
      </c>
      <c r="N304" s="858">
        <f>'Laminates- copilot'!M105</f>
        <v>2</v>
      </c>
      <c r="O304" s="858" t="str">
        <f>'Laminates- copilot'!O105</f>
        <v>Quantum</v>
      </c>
      <c r="P304" s="858" t="str">
        <f>'Laminates- copilot'!N105</f>
        <v>Europe to Europe</v>
      </c>
      <c r="Q304" s="858">
        <f t="shared" si="64"/>
        <v>800000</v>
      </c>
      <c r="R304" s="858">
        <f t="shared" si="65"/>
        <v>800000</v>
      </c>
      <c r="S304" s="858">
        <f>IFERROR('Laminates- copilot'!Q105/'Laminates- copilot'!P105*Q304,"")</f>
        <v>24408.000000000004</v>
      </c>
      <c r="T304" s="203">
        <f>IFERROR('Laminates- copilot'!R105/'Laminates- copilot'!P105*Q304,"")</f>
        <v>987143.73296500696</v>
      </c>
      <c r="U304" s="912">
        <f>IFERROR('Laminates- copilot'!S105/'Laminates- copilot'!P105*Q304,"")</f>
        <v>1145086.7302394081</v>
      </c>
      <c r="V304" s="913">
        <f t="shared" si="66"/>
        <v>40.443450219805264</v>
      </c>
      <c r="W304" s="914">
        <f t="shared" si="67"/>
        <v>46.914402254974107</v>
      </c>
      <c r="X304" s="913">
        <f t="shared" si="68"/>
        <v>1.2339296662062587</v>
      </c>
      <c r="Y304" s="913">
        <f t="shared" si="69"/>
        <v>40.443450219805264</v>
      </c>
      <c r="Z304" s="95">
        <f t="shared" si="70"/>
        <v>32777</v>
      </c>
      <c r="AA304" s="50" t="str">
        <f t="shared" si="71"/>
        <v>MOQ OK</v>
      </c>
      <c r="AB304" s="923">
        <f t="shared" si="72"/>
        <v>1.2353054118402305</v>
      </c>
      <c r="AC304" s="924">
        <f t="shared" si="73"/>
        <v>1.4329542777346673</v>
      </c>
      <c r="AD304" s="203">
        <f t="shared" si="74"/>
        <v>1976488.6589443688</v>
      </c>
      <c r="AE304" s="912">
        <f t="shared" si="75"/>
        <v>2292726.8443754679</v>
      </c>
      <c r="AF304" s="923" cm="1">
        <f t="array" ref="AF304">IF(O304="Quantum",IFERROR(_xlfn.LET(_xlpm.b,_xlfn.SWITCH(LOWER(B304),"zipper bag","Zipper pouch","open bag","Open pouch","sup with zipper","Stand-up pouch","stand-up pouch","Stand-up pouch",B304),_xlpm.w,G304,_xlpm.q,K304,_xlpm.types,'Converting-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missing"),IFERROR(_xlfn.LET(_xlpm.s,O304,_xlpm.b,_xlfn.SWITCH(LOWER(B304),"zipper bag","Zipper pouch","open bag","Open pouch",B304),_xlpm.w,G304,_xlpm.q,K304,_xlpm.src,'Converting-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304" s="923">
        <f>IFERROR(IF(OR(B304="Zipper pouch",B304="SUP with zipper"),HELPER!$DE$2*(AH304+AI304)/K304,HELPER!$DE$2*AH304/K304),"Data is missing")</f>
        <v>4.8972362482734705E-4</v>
      </c>
      <c r="AH304" s="923">
        <f t="shared" si="76"/>
        <v>1.2339296662062587</v>
      </c>
      <c r="AI304" s="923">
        <f>IF(OR(B304="Zipper pouch",B304="SUP with zipper"),HELPER!$DC$2*G304/1000,"")</f>
        <v>7.1999999999999995E-2</v>
      </c>
      <c r="AJ304" s="923" cm="1">
        <f t="array" ref="AJ304">IF(INDEX('Laminates- copilot'!$E$6:$E$257,ROUNDUP((ROW()-5)/3,0))+50&gt;IF(O304="Quantum",760,1220),"Width exceeds supplier maximum",IFERROR(AF304+AG304+N(AI304)+AH304*G304/1000/MAX(1,MIN(MAX(2,INT(900/INDEX('Laminates- copilot'!$E$6:$E$257,ROUNDUP((ROW()-5)/3,0)))),INT((IF(O304="Quantum",760,1220)-50)/INDEX('Laminates- copilot'!$E$6:$E$257,ROUNDUP((ROW()-5)/3,0))))),"Data is missing"))</f>
        <v>0.92647905888017279</v>
      </c>
      <c r="AK304" s="203">
        <f t="shared" si="77"/>
        <v>1235.3054118402304</v>
      </c>
      <c r="AL304" t="str">
        <f t="shared" si="78"/>
        <v>PASS</v>
      </c>
      <c r="AM304" s="50" t="str">
        <f t="shared" si="79"/>
        <v/>
      </c>
    </row>
    <row r="305" spans="1:39" hidden="1">
      <c r="A305" t="s">
        <v>1933</v>
      </c>
      <c r="B305" t="s">
        <v>262</v>
      </c>
      <c r="C305" s="50" t="s">
        <v>1627</v>
      </c>
      <c r="D305">
        <f>'Laminates- copilot'!B105</f>
        <v>748</v>
      </c>
      <c r="E305" s="858">
        <f>'Laminates- copilot'!D105</f>
        <v>55</v>
      </c>
      <c r="F305" s="858">
        <v>350</v>
      </c>
      <c r="G305" s="858">
        <v>500</v>
      </c>
      <c r="H305" s="858">
        <v>0</v>
      </c>
      <c r="I305" s="858">
        <v>25</v>
      </c>
      <c r="J305" s="858">
        <v>725</v>
      </c>
      <c r="K305" s="858">
        <v>1600000</v>
      </c>
      <c r="L305" s="858" t="str">
        <f>'Laminates- copilot'!K105</f>
        <v>Printed</v>
      </c>
      <c r="M305" s="858" t="str">
        <f>'Laminates- copilot'!L105</f>
        <v>1-2</v>
      </c>
      <c r="N305" s="858">
        <f>'Laminates- copilot'!M105</f>
        <v>2</v>
      </c>
      <c r="O305" s="858" t="str">
        <f>'Laminates- copilot'!O105</f>
        <v>Quantum</v>
      </c>
      <c r="P305" s="858" t="str">
        <f>'Laminates- copilot'!N105</f>
        <v>Europe to Europe</v>
      </c>
      <c r="Q305" s="858">
        <f t="shared" si="64"/>
        <v>800000</v>
      </c>
      <c r="R305" s="858">
        <f t="shared" si="65"/>
        <v>800000</v>
      </c>
      <c r="S305" s="858">
        <f>IFERROR('Laminates- copilot'!Q105/'Laminates- copilot'!P105*Q305,"")</f>
        <v>24408.000000000004</v>
      </c>
      <c r="T305" s="203">
        <f>IFERROR('Laminates- copilot'!R105/'Laminates- copilot'!P105*Q305,"")</f>
        <v>987143.73296500696</v>
      </c>
      <c r="U305" s="912">
        <f>IFERROR('Laminates- copilot'!S105/'Laminates- copilot'!P105*Q305,"")</f>
        <v>1145086.7302394081</v>
      </c>
      <c r="V305" s="913">
        <f t="shared" si="66"/>
        <v>40.443450219805264</v>
      </c>
      <c r="W305" s="914">
        <f t="shared" si="67"/>
        <v>46.914402254974107</v>
      </c>
      <c r="X305" s="913">
        <f t="shared" si="68"/>
        <v>1.2339296662062587</v>
      </c>
      <c r="Y305" s="913">
        <f t="shared" si="69"/>
        <v>40.443450219805264</v>
      </c>
      <c r="Z305" s="95">
        <f t="shared" si="70"/>
        <v>32777</v>
      </c>
      <c r="AA305" s="50" t="str">
        <f t="shared" si="71"/>
        <v>MOQ OK</v>
      </c>
      <c r="AB305" s="923">
        <f t="shared" si="72"/>
        <v>1.1075052253463717</v>
      </c>
      <c r="AC305" s="924">
        <f t="shared" si="73"/>
        <v>1.2847060614017911</v>
      </c>
      <c r="AD305" s="203">
        <f t="shared" si="74"/>
        <v>1772008.3605541948</v>
      </c>
      <c r="AE305" s="912">
        <f t="shared" si="75"/>
        <v>2055529.6982428657</v>
      </c>
      <c r="AF305" s="923" cm="1">
        <f t="array" ref="AF305">IF(O305="Quantum",IFERROR(_xlfn.LET(_xlpm.b,_xlfn.SWITCH(LOWER(B305),"zipper bag","Zipper pouch","open bag","Open pouch","sup with zipper","Stand-up pouch","stand-up pouch","Stand-up pouch",B305),_xlpm.w,G305,_xlpm.q,K305,_xlpm.types,'Converting-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missing"),IFERROR(_xlfn.LET(_xlpm.s,O305,_xlpm.b,_xlfn.SWITCH(LOWER(B305),"zipper bag","Zipper pouch","open bag","Open pouch",B305),_xlpm.w,G305,_xlpm.q,K305,_xlpm.src,'Converting-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305" s="923">
        <f>IFERROR(IF(OR(B305="Zipper pouch",B305="SUP with zipper"),HELPER!$DE$2*(AH305+AI305)/K305,HELPER!$DE$2*AH305/K305),"Data is missing")</f>
        <v>4.6272362482734699E-4</v>
      </c>
      <c r="AH305" s="923">
        <f t="shared" si="76"/>
        <v>1.2339296662062587</v>
      </c>
      <c r="AI305" s="923" t="str">
        <f>IF(OR(B305="Zipper pouch",B305="SUP with zipper"),HELPER!$DC$2*G305/1000,"")</f>
        <v/>
      </c>
      <c r="AJ305" s="923" cm="1">
        <f t="array" ref="AJ305">IF(INDEX('Laminates- copilot'!$E$6:$E$257,ROUNDUP((ROW()-5)/3,0))+50&gt;IF(O305="Quantum",760,1220),"Width exceeds supplier maximum",IFERROR(AF305+AG305+N(AI305)+AH305*G305/1000/MAX(1,MIN(MAX(2,INT(900/INDEX('Laminates- copilot'!$E$6:$E$257,ROUNDUP((ROW()-5)/3,0)))),INT((IF(O305="Quantum",760,1220)-50)/INDEX('Laminates- copilot'!$E$6:$E$257,ROUNDUP((ROW()-5)/3,0))))),"Data is missing"))</f>
        <v>0.83062891900977875</v>
      </c>
      <c r="AK305" s="203">
        <f t="shared" si="77"/>
        <v>1107.5052253463718</v>
      </c>
      <c r="AL305" t="str">
        <f t="shared" si="78"/>
        <v>PASS</v>
      </c>
      <c r="AM305" s="50" t="str">
        <f t="shared" si="79"/>
        <v/>
      </c>
    </row>
    <row r="306" spans="1:39" hidden="1">
      <c r="A306" t="s">
        <v>1934</v>
      </c>
      <c r="B306" t="s">
        <v>251</v>
      </c>
      <c r="C306" s="50" t="s">
        <v>2203</v>
      </c>
      <c r="D306" t="str">
        <f>'Laminates- copilot'!B106</f>
        <v>818W</v>
      </c>
      <c r="E306" s="858">
        <f>'Laminates- copilot'!D106</f>
        <v>103</v>
      </c>
      <c r="F306" s="858">
        <v>100</v>
      </c>
      <c r="G306" s="858">
        <v>100</v>
      </c>
      <c r="H306" s="858">
        <v>20</v>
      </c>
      <c r="I306" s="858">
        <v>0</v>
      </c>
      <c r="J306" s="858">
        <v>240</v>
      </c>
      <c r="K306" s="858">
        <v>25000</v>
      </c>
      <c r="L306" s="858" t="str">
        <f>'Laminates- copilot'!K106</f>
        <v>Not Printed</v>
      </c>
      <c r="M306" s="858" t="str">
        <f>'Laminates- copilot'!L106</f>
        <v>0</v>
      </c>
      <c r="N306" s="858">
        <f>'Laminates- copilot'!M106</f>
        <v>1</v>
      </c>
      <c r="O306" s="858" t="str">
        <f>'Laminates- copilot'!O106</f>
        <v>Marma</v>
      </c>
      <c r="P306" s="858" t="str">
        <f>'Laminates- copilot'!N106</f>
        <v>Europe to Europe</v>
      </c>
      <c r="Q306" s="858">
        <f t="shared" si="64"/>
        <v>2500</v>
      </c>
      <c r="R306" s="858">
        <f t="shared" si="65"/>
        <v>2500</v>
      </c>
      <c r="S306" s="858">
        <f>IFERROR('Laminates- copilot'!Q106/'Laminates- copilot'!P106*Q306,"")</f>
        <v>33.411000000000001</v>
      </c>
      <c r="T306" s="203">
        <f>IFERROR('Laminates- copilot'!R106/'Laminates- copilot'!P106*Q306,"")</f>
        <v>296.67680123121488</v>
      </c>
      <c r="U306" s="912">
        <f>IFERROR('Laminates- copilot'!S106/'Laminates- copilot'!P106*Q306,"")</f>
        <v>344.1450894282093</v>
      </c>
      <c r="V306" s="913">
        <f t="shared" si="66"/>
        <v>8.8796145350697344</v>
      </c>
      <c r="W306" s="914">
        <f t="shared" si="67"/>
        <v>10.300352860680892</v>
      </c>
      <c r="X306" s="913">
        <f t="shared" si="68"/>
        <v>0.11867072049248595</v>
      </c>
      <c r="Y306" s="913">
        <f t="shared" si="69"/>
        <v>8.8796145350697344</v>
      </c>
      <c r="Z306" s="95">
        <f t="shared" si="70"/>
        <v>374129</v>
      </c>
      <c r="AA306" s="50" t="str">
        <f t="shared" si="71"/>
        <v>Below MOQ by 349,129 bags</v>
      </c>
      <c r="AB306" s="923">
        <f t="shared" si="72"/>
        <v>7.6649411866934469E-2</v>
      </c>
      <c r="AC306" s="924">
        <f t="shared" si="73"/>
        <v>8.8913317765643984E-2</v>
      </c>
      <c r="AD306" s="203">
        <f t="shared" si="74"/>
        <v>1916.2352966733617</v>
      </c>
      <c r="AE306" s="912">
        <f t="shared" si="75"/>
        <v>2222.8329441410997</v>
      </c>
      <c r="AF306" s="923" cm="1">
        <f t="array" ref="AF306">IF(O306="Quantum",IFERROR(_xlfn.LET(_xlpm.b,_xlfn.SWITCH(LOWER(B306),"zipper bag","Zipper pouch","open bag","Open pouch","sup with zipper","Stand-up pouch","stand-up pouch","Stand-up pouch",B306),_xlpm.w,G306,_xlpm.q,K306,_xlpm.types,'Converting-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missing"),IFERROR(_xlfn.LET(_xlpm.s,O306,_xlpm.b,_xlfn.SWITCH(LOWER(B306),"zipper bag","Zipper pouch","open bag","Open pouch",B306),_xlpm.w,G306,_xlpm.q,K306,_xlpm.src,'Converting-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06" s="923">
        <f>IFERROR(IF(OR(B306="Zipper pouch",B306="SUP with zipper"),HELPER!$DE$2*(AH306+AI306)/K306,HELPER!$DE$2*AH306/K306),"Data is missing")</f>
        <v>3.1936972918196623E-3</v>
      </c>
      <c r="AH306" s="923">
        <f t="shared" si="76"/>
        <v>0.11867072049248595</v>
      </c>
      <c r="AI306" s="923">
        <f>IF(OR(B306="Zipper pouch",B306="SUP with zipper"),HELPER!$DC$2*G306/1000,"")</f>
        <v>1.4399999999999998E-2</v>
      </c>
      <c r="AJ306" s="923" cm="1">
        <f t="array" ref="AJ306">IF(INDEX('Laminates- copilot'!$E$6:$E$257,ROUNDUP((ROW()-5)/3,0))+50&gt;IF(O306="Quantum",760,1220),"Width exceeds supplier maximum",IFERROR(AF306+AG306+N(AI306)+AH306*G306/1000/MAX(1,MIN(MAX(2,INT(900/INDEX('Laminates- copilot'!$E$6:$E$257,ROUNDUP((ROW()-5)/3,0)))),INT((IF(O306="Quantum",760,1220)-50)/INDEX('Laminates- copilot'!$E$6:$E$257,ROUNDUP((ROW()-5)/3,0))))),"Data is missing"))</f>
        <v>5.7487058900200852E-2</v>
      </c>
      <c r="AK306" s="203">
        <f t="shared" si="77"/>
        <v>76.649411866934472</v>
      </c>
      <c r="AL306" t="str">
        <f t="shared" si="78"/>
        <v>PASS</v>
      </c>
      <c r="AM306" s="50" t="str">
        <f t="shared" si="79"/>
        <v/>
      </c>
    </row>
    <row r="307" spans="1:39" hidden="1">
      <c r="A307" t="s">
        <v>1935</v>
      </c>
      <c r="B307" t="s">
        <v>261</v>
      </c>
      <c r="C307" s="50" t="s">
        <v>2203</v>
      </c>
      <c r="D307" t="str">
        <f>'Laminates- copilot'!B106</f>
        <v>818W</v>
      </c>
      <c r="E307" s="858">
        <f>'Laminates- copilot'!D106</f>
        <v>103</v>
      </c>
      <c r="F307" s="858">
        <v>100</v>
      </c>
      <c r="G307" s="858">
        <v>100</v>
      </c>
      <c r="H307" s="858">
        <v>20</v>
      </c>
      <c r="I307" s="858">
        <v>0</v>
      </c>
      <c r="J307" s="858">
        <v>240</v>
      </c>
      <c r="K307" s="858">
        <v>25000</v>
      </c>
      <c r="L307" s="858" t="str">
        <f>'Laminates- copilot'!K106</f>
        <v>Not Printed</v>
      </c>
      <c r="M307" s="858" t="str">
        <f>'Laminates- copilot'!L106</f>
        <v>0</v>
      </c>
      <c r="N307" s="858">
        <f>'Laminates- copilot'!M106</f>
        <v>1</v>
      </c>
      <c r="O307" s="858" t="str">
        <f>'Laminates- copilot'!O106</f>
        <v>Marma</v>
      </c>
      <c r="P307" s="858" t="str">
        <f>'Laminates- copilot'!N106</f>
        <v>Europe to Europe</v>
      </c>
      <c r="Q307" s="858">
        <f t="shared" si="64"/>
        <v>2500</v>
      </c>
      <c r="R307" s="858">
        <f t="shared" si="65"/>
        <v>2500</v>
      </c>
      <c r="S307" s="858">
        <f>IFERROR('Laminates- copilot'!Q106/'Laminates- copilot'!P106*Q307,"")</f>
        <v>33.411000000000001</v>
      </c>
      <c r="T307" s="203">
        <f>IFERROR('Laminates- copilot'!R106/'Laminates- copilot'!P106*Q307,"")</f>
        <v>296.67680123121488</v>
      </c>
      <c r="U307" s="912">
        <f>IFERROR('Laminates- copilot'!S106/'Laminates- copilot'!P106*Q307,"")</f>
        <v>344.1450894282093</v>
      </c>
      <c r="V307" s="913">
        <f t="shared" si="66"/>
        <v>8.8796145350697344</v>
      </c>
      <c r="W307" s="914">
        <f t="shared" si="67"/>
        <v>10.300352860680892</v>
      </c>
      <c r="X307" s="913">
        <f t="shared" si="68"/>
        <v>0.11867072049248595</v>
      </c>
      <c r="Y307" s="913">
        <f t="shared" si="69"/>
        <v>8.8796145350697344</v>
      </c>
      <c r="Z307" s="95">
        <f t="shared" si="70"/>
        <v>374129</v>
      </c>
      <c r="AA307" s="50" t="str">
        <f t="shared" si="71"/>
        <v>Below MOQ by 349,129 bags</v>
      </c>
      <c r="AB307" s="923">
        <f t="shared" si="72"/>
        <v>7.3224073538316059E-2</v>
      </c>
      <c r="AC307" s="924">
        <f t="shared" si="73"/>
        <v>8.493992530444662E-2</v>
      </c>
      <c r="AD307" s="203">
        <f t="shared" si="74"/>
        <v>1830.6018384579015</v>
      </c>
      <c r="AE307" s="912">
        <f t="shared" si="75"/>
        <v>2123.4981326111656</v>
      </c>
      <c r="AF307" s="923" cm="1">
        <f t="array" ref="AF307">IF(O307="Quantum",IFERROR(_xlfn.LET(_xlpm.b,_xlfn.SWITCH(LOWER(B307),"zipper bag","Zipper pouch","open bag","Open pouch","sup with zipper","Stand-up pouch","stand-up pouch","Stand-up pouch",B307),_xlpm.w,G307,_xlpm.q,K307,_xlpm.types,'Converting-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missing"),IFERROR(_xlfn.LET(_xlpm.s,O307,_xlpm.b,_xlfn.SWITCH(LOWER(B307),"zipper bag","Zipper pouch","open bag","Open pouch",B307),_xlpm.w,G307,_xlpm.q,K307,_xlpm.src,'Converting-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07" s="923">
        <f>IFERROR(IF(OR(B307="Zipper pouch",B307="SUP with zipper"),HELPER!$DE$2*(AH307+AI307)/K307,HELPER!$DE$2*AH307/K307),"Data is missing")</f>
        <v>3.1936972918196623E-3</v>
      </c>
      <c r="AH307" s="923">
        <f t="shared" si="76"/>
        <v>0.11867072049248595</v>
      </c>
      <c r="AI307" s="923">
        <f>IF(OR(B307="Zipper pouch",B307="SUP with zipper"),HELPER!$DC$2*G307/1000,"")</f>
        <v>1.4399999999999998E-2</v>
      </c>
      <c r="AJ307" s="923" cm="1">
        <f t="array" ref="AJ307">IF(INDEX('Laminates- copilot'!$E$6:$E$257,ROUNDUP((ROW()-5)/3,0))+50&gt;IF(O307="Quantum",760,1220),"Width exceeds supplier maximum",IFERROR(AF307+AG307+N(AI307)+AH307*G307/1000/MAX(1,MIN(MAX(2,INT(900/INDEX('Laminates- copilot'!$E$6:$E$257,ROUNDUP((ROW()-5)/3,0)))),INT((IF(O307="Quantum",760,1220)-50)/INDEX('Laminates- copilot'!$E$6:$E$257,ROUNDUP((ROW()-5)/3,0))))),"Data is missing"))</f>
        <v>5.4918055153737044E-2</v>
      </c>
      <c r="AK307" s="203">
        <f t="shared" si="77"/>
        <v>73.224073538316063</v>
      </c>
      <c r="AL307" t="str">
        <f t="shared" si="78"/>
        <v>PASS</v>
      </c>
      <c r="AM307" s="50" t="str">
        <f t="shared" si="79"/>
        <v/>
      </c>
    </row>
    <row r="308" spans="1:39" hidden="1">
      <c r="A308" t="s">
        <v>1936</v>
      </c>
      <c r="B308" t="s">
        <v>262</v>
      </c>
      <c r="C308" s="50" t="s">
        <v>2203</v>
      </c>
      <c r="D308" t="str">
        <f>'Laminates- copilot'!B106</f>
        <v>818W</v>
      </c>
      <c r="E308" s="858">
        <f>'Laminates- copilot'!D106</f>
        <v>103</v>
      </c>
      <c r="F308" s="858">
        <v>100</v>
      </c>
      <c r="G308" s="858">
        <v>100</v>
      </c>
      <c r="H308" s="858">
        <v>0</v>
      </c>
      <c r="I308" s="858">
        <v>0</v>
      </c>
      <c r="J308" s="858">
        <v>200</v>
      </c>
      <c r="K308" s="858">
        <v>25000</v>
      </c>
      <c r="L308" s="858" t="str">
        <f>'Laminates- copilot'!K106</f>
        <v>Not Printed</v>
      </c>
      <c r="M308" s="858" t="str">
        <f>'Laminates- copilot'!L106</f>
        <v>0</v>
      </c>
      <c r="N308" s="858">
        <f>'Laminates- copilot'!M106</f>
        <v>1</v>
      </c>
      <c r="O308" s="858" t="str">
        <f>'Laminates- copilot'!O106</f>
        <v>Marma</v>
      </c>
      <c r="P308" s="858" t="str">
        <f>'Laminates- copilot'!N106</f>
        <v>Europe to Europe</v>
      </c>
      <c r="Q308" s="858">
        <f t="shared" si="64"/>
        <v>2500</v>
      </c>
      <c r="R308" s="858">
        <f t="shared" si="65"/>
        <v>2500</v>
      </c>
      <c r="S308" s="858">
        <f>IFERROR('Laminates- copilot'!Q106/'Laminates- copilot'!P106*Q308,"")</f>
        <v>33.411000000000001</v>
      </c>
      <c r="T308" s="203">
        <f>IFERROR('Laminates- copilot'!R106/'Laminates- copilot'!P106*Q308,"")</f>
        <v>296.67680123121488</v>
      </c>
      <c r="U308" s="912">
        <f>IFERROR('Laminates- copilot'!S106/'Laminates- copilot'!P106*Q308,"")</f>
        <v>344.1450894282093</v>
      </c>
      <c r="V308" s="913">
        <f t="shared" si="66"/>
        <v>8.8796145350697344</v>
      </c>
      <c r="W308" s="914">
        <f t="shared" si="67"/>
        <v>10.300352860680892</v>
      </c>
      <c r="X308" s="913">
        <f t="shared" si="68"/>
        <v>0.11867072049248595</v>
      </c>
      <c r="Y308" s="913">
        <f t="shared" si="69"/>
        <v>8.8796145350697344</v>
      </c>
      <c r="Z308" s="95">
        <f t="shared" si="70"/>
        <v>374129</v>
      </c>
      <c r="AA308" s="50" t="str">
        <f t="shared" si="71"/>
        <v>Below MOQ by 349,129 bags</v>
      </c>
      <c r="AB308" s="923">
        <f t="shared" si="72"/>
        <v>4.9792669190450445E-2</v>
      </c>
      <c r="AC308" s="924">
        <f t="shared" si="73"/>
        <v>5.7759496260922513E-2</v>
      </c>
      <c r="AD308" s="203">
        <f t="shared" si="74"/>
        <v>1244.8167297612611</v>
      </c>
      <c r="AE308" s="912">
        <f t="shared" si="75"/>
        <v>1443.9874065230626</v>
      </c>
      <c r="AF308" s="923" cm="1">
        <f t="array" ref="AF308">IF(O308="Quantum",IFERROR(_xlfn.LET(_xlpm.b,_xlfn.SWITCH(LOWER(B308),"zipper bag","Zipper pouch","open bag","Open pouch","sup with zipper","Stand-up pouch","stand-up pouch","Stand-up pouch",B308),_xlpm.w,G308,_xlpm.q,K308,_xlpm.types,'Converting-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missing"),IFERROR(_xlfn.LET(_xlpm.s,O308,_xlpm.b,_xlfn.SWITCH(LOWER(B308),"zipper bag","Zipper pouch","open bag","Open pouch",B308),_xlpm.w,G308,_xlpm.q,K308,_xlpm.src,'Converting-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08" s="923">
        <f>IFERROR(IF(OR(B308="Zipper pouch",B308="SUP with zipper"),HELPER!$DE$2*(AH308+AI308)/K308,HELPER!$DE$2*AH308/K308),"Data is missing")</f>
        <v>2.848097291819663E-3</v>
      </c>
      <c r="AH308" s="923">
        <f t="shared" si="76"/>
        <v>0.11867072049248595</v>
      </c>
      <c r="AI308" s="923" t="str">
        <f>IF(OR(B308="Zipper pouch",B308="SUP with zipper"),HELPER!$DC$2*G308/1000,"")</f>
        <v/>
      </c>
      <c r="AJ308" s="923" cm="1">
        <f t="array" ref="AJ308">IF(INDEX('Laminates- copilot'!$E$6:$E$257,ROUNDUP((ROW()-5)/3,0))+50&gt;IF(O308="Quantum",760,1220),"Width exceeds supplier maximum",IFERROR(AF308+AG308+N(AI308)+AH308*G308/1000/MAX(1,MIN(MAX(2,INT(900/INDEX('Laminates- copilot'!$E$6:$E$257,ROUNDUP((ROW()-5)/3,0)))),INT((IF(O308="Quantum",760,1220)-50)/INDEX('Laminates- copilot'!$E$6:$E$257,ROUNDUP((ROW()-5)/3,0))))),"Data is missing"))</f>
        <v>3.7344501892837834E-2</v>
      </c>
      <c r="AK308" s="203">
        <f t="shared" si="77"/>
        <v>49.792669190450447</v>
      </c>
      <c r="AL308" t="str">
        <f t="shared" si="78"/>
        <v>PASS</v>
      </c>
      <c r="AM308" s="50" t="str">
        <f t="shared" si="79"/>
        <v/>
      </c>
    </row>
    <row r="309" spans="1:39" hidden="1">
      <c r="A309" t="s">
        <v>1937</v>
      </c>
      <c r="B309" t="s">
        <v>251</v>
      </c>
      <c r="C309" s="50" t="s">
        <v>2204</v>
      </c>
      <c r="D309" t="str">
        <f>'Laminates- copilot'!B107</f>
        <v>818W</v>
      </c>
      <c r="E309" s="858">
        <f>'Laminates- copilot'!D107</f>
        <v>103</v>
      </c>
      <c r="F309" s="858">
        <v>150</v>
      </c>
      <c r="G309" s="858">
        <v>150</v>
      </c>
      <c r="H309" s="858">
        <v>25</v>
      </c>
      <c r="I309" s="858">
        <v>0</v>
      </c>
      <c r="J309" s="858">
        <v>350</v>
      </c>
      <c r="K309" s="858">
        <v>25000</v>
      </c>
      <c r="L309" s="858" t="str">
        <f>'Laminates- copilot'!K107</f>
        <v>Printed</v>
      </c>
      <c r="M309" s="858" t="str">
        <f>'Laminates- copilot'!L107</f>
        <v>1-2</v>
      </c>
      <c r="N309" s="858">
        <f>'Laminates- copilot'!M107</f>
        <v>1</v>
      </c>
      <c r="O309" s="858" t="str">
        <f>'Laminates- copilot'!O107</f>
        <v>Bastin</v>
      </c>
      <c r="P309" s="858" t="str">
        <f>'Laminates- copilot'!N107</f>
        <v>Europe to US</v>
      </c>
      <c r="Q309" s="858">
        <f t="shared" si="64"/>
        <v>3750</v>
      </c>
      <c r="R309" s="858">
        <f t="shared" si="65"/>
        <v>3750</v>
      </c>
      <c r="S309" s="858">
        <f>IFERROR('Laminates- copilot'!Q107/'Laminates- copilot'!P107*Q309,"")</f>
        <v>50.116500000000009</v>
      </c>
      <c r="T309" s="203">
        <f>IFERROR('Laminates- copilot'!R107/'Laminates- copilot'!P107*Q309,"")</f>
        <v>11642.677903049664</v>
      </c>
      <c r="U309" s="912">
        <f>IFERROR('Laminates- copilot'!S107/'Laminates- copilot'!P107*Q309,"")</f>
        <v>13505.506367537608</v>
      </c>
      <c r="V309" s="913">
        <f t="shared" si="66"/>
        <v>232.31227047079628</v>
      </c>
      <c r="W309" s="914">
        <f t="shared" si="67"/>
        <v>269.48223374612365</v>
      </c>
      <c r="X309" s="913">
        <f t="shared" si="68"/>
        <v>3.1047141074799103</v>
      </c>
      <c r="Y309" s="913">
        <f t="shared" si="69"/>
        <v>232.31227047079628</v>
      </c>
      <c r="Z309" s="95">
        <f t="shared" si="70"/>
        <v>249419</v>
      </c>
      <c r="AA309" s="50" t="str">
        <f t="shared" si="71"/>
        <v>Below MOQ by 224,419 bags</v>
      </c>
      <c r="AB309" s="923">
        <f t="shared" si="72"/>
        <v>0.29282838559809404</v>
      </c>
      <c r="AC309" s="924">
        <f t="shared" si="73"/>
        <v>0.33968092729378907</v>
      </c>
      <c r="AD309" s="203">
        <f t="shared" si="74"/>
        <v>7320.7096399523507</v>
      </c>
      <c r="AE309" s="912">
        <f t="shared" si="75"/>
        <v>8492.0231823447266</v>
      </c>
      <c r="AF309" s="923" cm="1">
        <f t="array" ref="AF309">IF(O309="Quantum",IFERROR(_xlfn.LET(_xlpm.b,_xlfn.SWITCH(LOWER(B309),"zipper bag","Zipper pouch","open bag","Open pouch","sup with zipper","Stand-up pouch","stand-up pouch","Stand-up pouch",B309),_xlpm.w,G309,_xlpm.q,K309,_xlpm.types,'Converting-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missing"),IFERROR(_xlfn.LET(_xlpm.s,O309,_xlpm.b,_xlfn.SWITCH(LOWER(B309),"zipper bag","Zipper pouch","open bag","Open pouch",B309),_xlpm.w,G309,_xlpm.q,K309,_xlpm.src,'Converting-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09" s="923">
        <f>IFERROR(IF(OR(B309="Zipper pouch",B309="SUP with zipper"),HELPER!$DE$2*(AH309+AI309)/K309,HELPER!$DE$2*AH309/K309),"Data is missing")</f>
        <v>7.5031538579517845E-2</v>
      </c>
      <c r="AH309" s="923">
        <f t="shared" si="76"/>
        <v>3.1047141074799103</v>
      </c>
      <c r="AI309" s="923">
        <f>IF(OR(B309="Zipper pouch",B309="SUP with zipper"),HELPER!$DC$2*G309/1000,"")</f>
        <v>2.1599999999999998E-2</v>
      </c>
      <c r="AJ309" s="923" cm="1">
        <f t="array" ref="AJ309">IF(INDEX('Laminates- copilot'!$E$6:$E$257,ROUNDUP((ROW()-5)/3,0))+50&gt;IF(O309="Quantum",760,1220),"Width exceeds supplier maximum",IFERROR(AF309+AG309+N(AI309)+AH309*G309/1000/MAX(1,MIN(MAX(2,INT(900/INDEX('Laminates- copilot'!$E$6:$E$257,ROUNDUP((ROW()-5)/3,0)))),INT((IF(O309="Quantum",760,1220)-50)/INDEX('Laminates- copilot'!$E$6:$E$257,ROUNDUP((ROW()-5)/3,0))))),"Data is missing"))</f>
        <v>0.21962128919857052</v>
      </c>
      <c r="AK309" s="203">
        <f t="shared" si="77"/>
        <v>292.82838559809403</v>
      </c>
      <c r="AL309" t="str">
        <f t="shared" si="78"/>
        <v>PASS</v>
      </c>
      <c r="AM309" s="50" t="str">
        <f t="shared" si="79"/>
        <v/>
      </c>
    </row>
    <row r="310" spans="1:39" hidden="1">
      <c r="A310" t="s">
        <v>1938</v>
      </c>
      <c r="B310" t="s">
        <v>261</v>
      </c>
      <c r="C310" s="50" t="s">
        <v>2204</v>
      </c>
      <c r="D310" t="str">
        <f>'Laminates- copilot'!B107</f>
        <v>818W</v>
      </c>
      <c r="E310" s="858">
        <f>'Laminates- copilot'!D107</f>
        <v>103</v>
      </c>
      <c r="F310" s="858">
        <v>150</v>
      </c>
      <c r="G310" s="858">
        <v>150</v>
      </c>
      <c r="H310" s="858">
        <v>25</v>
      </c>
      <c r="I310" s="858">
        <v>0</v>
      </c>
      <c r="J310" s="858">
        <v>350</v>
      </c>
      <c r="K310" s="858">
        <v>25000</v>
      </c>
      <c r="L310" s="858" t="str">
        <f>'Laminates- copilot'!K107</f>
        <v>Printed</v>
      </c>
      <c r="M310" s="858" t="str">
        <f>'Laminates- copilot'!L107</f>
        <v>1-2</v>
      </c>
      <c r="N310" s="858">
        <f>'Laminates- copilot'!M107</f>
        <v>1</v>
      </c>
      <c r="O310" s="858" t="str">
        <f>'Laminates- copilot'!O107</f>
        <v>Bastin</v>
      </c>
      <c r="P310" s="858" t="str">
        <f>'Laminates- copilot'!N107</f>
        <v>Europe to US</v>
      </c>
      <c r="Q310" s="858">
        <f t="shared" si="64"/>
        <v>3750</v>
      </c>
      <c r="R310" s="858">
        <f t="shared" si="65"/>
        <v>3750</v>
      </c>
      <c r="S310" s="858">
        <f>IFERROR('Laminates- copilot'!Q107/'Laminates- copilot'!P107*Q310,"")</f>
        <v>50.116500000000009</v>
      </c>
      <c r="T310" s="203">
        <f>IFERROR('Laminates- copilot'!R107/'Laminates- copilot'!P107*Q310,"")</f>
        <v>11642.677903049664</v>
      </c>
      <c r="U310" s="912">
        <f>IFERROR('Laminates- copilot'!S107/'Laminates- copilot'!P107*Q310,"")</f>
        <v>13505.506367537608</v>
      </c>
      <c r="V310" s="913">
        <f t="shared" si="66"/>
        <v>232.31227047079628</v>
      </c>
      <c r="W310" s="914">
        <f t="shared" si="67"/>
        <v>269.48223374612365</v>
      </c>
      <c r="X310" s="913">
        <f t="shared" si="68"/>
        <v>3.1047141074799103</v>
      </c>
      <c r="Y310" s="913">
        <f t="shared" si="69"/>
        <v>232.31227047079628</v>
      </c>
      <c r="Z310" s="95">
        <f t="shared" si="70"/>
        <v>249419</v>
      </c>
      <c r="AA310" s="50" t="str">
        <f t="shared" si="71"/>
        <v>Below MOQ by 224,419 bags</v>
      </c>
      <c r="AB310" s="923">
        <f t="shared" si="72"/>
        <v>0.28766297539853747</v>
      </c>
      <c r="AC310" s="924">
        <f t="shared" si="73"/>
        <v>0.33368905146230343</v>
      </c>
      <c r="AD310" s="203">
        <f t="shared" si="74"/>
        <v>7191.5743849634364</v>
      </c>
      <c r="AE310" s="912">
        <f t="shared" si="75"/>
        <v>8342.2262865575849</v>
      </c>
      <c r="AF310" s="923" cm="1">
        <f t="array" ref="AF310">IF(O310="Quantum",IFERROR(_xlfn.LET(_xlpm.b,_xlfn.SWITCH(LOWER(B310),"zipper bag","Zipper pouch","open bag","Open pouch","sup with zipper","Stand-up pouch","stand-up pouch","Stand-up pouch",B310),_xlpm.w,G310,_xlpm.q,K310,_xlpm.types,'Converting-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missing"),IFERROR(_xlfn.LET(_xlpm.s,O310,_xlpm.b,_xlfn.SWITCH(LOWER(B310),"zipper bag","Zipper pouch","open bag","Open pouch",B310),_xlpm.w,G310,_xlpm.q,K310,_xlpm.src,'Converting-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310" s="923">
        <f>IFERROR(IF(OR(B310="Zipper pouch",B310="SUP with zipper"),HELPER!$DE$2*(AH310+AI310)/K310,HELPER!$DE$2*AH310/K310),"Data is missing")</f>
        <v>7.5031538579517845E-2</v>
      </c>
      <c r="AH310" s="923">
        <f t="shared" si="76"/>
        <v>3.1047141074799103</v>
      </c>
      <c r="AI310" s="923">
        <f>IF(OR(B310="Zipper pouch",B310="SUP with zipper"),HELPER!$DC$2*G310/1000,"")</f>
        <v>2.1599999999999998E-2</v>
      </c>
      <c r="AJ310" s="923" cm="1">
        <f t="array" ref="AJ310">IF(INDEX('Laminates- copilot'!$E$6:$E$257,ROUNDUP((ROW()-5)/3,0))+50&gt;IF(O310="Quantum",760,1220),"Width exceeds supplier maximum",IFERROR(AF310+AG310+N(AI310)+AH310*G310/1000/MAX(1,MIN(MAX(2,INT(900/INDEX('Laminates- copilot'!$E$6:$E$257,ROUNDUP((ROW()-5)/3,0)))),INT((IF(O310="Quantum",760,1220)-50)/INDEX('Laminates- copilot'!$E$6:$E$257,ROUNDUP((ROW()-5)/3,0))))),"Data is missing"))</f>
        <v>0.2157472315489031</v>
      </c>
      <c r="AK310" s="203">
        <f t="shared" si="77"/>
        <v>287.66297539853747</v>
      </c>
      <c r="AL310" t="str">
        <f t="shared" si="78"/>
        <v>PASS</v>
      </c>
      <c r="AM310" s="50" t="str">
        <f t="shared" si="79"/>
        <v/>
      </c>
    </row>
    <row r="311" spans="1:39" hidden="1">
      <c r="A311" t="s">
        <v>1939</v>
      </c>
      <c r="B311" t="s">
        <v>262</v>
      </c>
      <c r="C311" s="50" t="s">
        <v>2204</v>
      </c>
      <c r="D311" t="str">
        <f>'Laminates- copilot'!B107</f>
        <v>818W</v>
      </c>
      <c r="E311" s="858">
        <f>'Laminates- copilot'!D107</f>
        <v>103</v>
      </c>
      <c r="F311" s="858">
        <v>150</v>
      </c>
      <c r="G311" s="858">
        <v>150</v>
      </c>
      <c r="H311" s="858">
        <v>0</v>
      </c>
      <c r="I311" s="858">
        <v>0</v>
      </c>
      <c r="J311" s="858">
        <v>300</v>
      </c>
      <c r="K311" s="858">
        <v>25000</v>
      </c>
      <c r="L311" s="858" t="str">
        <f>'Laminates- copilot'!K107</f>
        <v>Printed</v>
      </c>
      <c r="M311" s="858" t="str">
        <f>'Laminates- copilot'!L107</f>
        <v>1-2</v>
      </c>
      <c r="N311" s="858">
        <f>'Laminates- copilot'!M107</f>
        <v>1</v>
      </c>
      <c r="O311" s="858" t="str">
        <f>'Laminates- copilot'!O107</f>
        <v>Bastin</v>
      </c>
      <c r="P311" s="858" t="str">
        <f>'Laminates- copilot'!N107</f>
        <v>Europe to US</v>
      </c>
      <c r="Q311" s="858">
        <f t="shared" si="64"/>
        <v>3750</v>
      </c>
      <c r="R311" s="858">
        <f t="shared" si="65"/>
        <v>3750</v>
      </c>
      <c r="S311" s="858">
        <f>IFERROR('Laminates- copilot'!Q107/'Laminates- copilot'!P107*Q311,"")</f>
        <v>50.116500000000009</v>
      </c>
      <c r="T311" s="203">
        <f>IFERROR('Laminates- copilot'!R107/'Laminates- copilot'!P107*Q311,"")</f>
        <v>11642.677903049664</v>
      </c>
      <c r="U311" s="912">
        <f>IFERROR('Laminates- copilot'!S107/'Laminates- copilot'!P107*Q311,"")</f>
        <v>13505.506367537608</v>
      </c>
      <c r="V311" s="913">
        <f t="shared" si="66"/>
        <v>232.31227047079628</v>
      </c>
      <c r="W311" s="914">
        <f t="shared" si="67"/>
        <v>269.48223374612365</v>
      </c>
      <c r="X311" s="913">
        <f t="shared" si="68"/>
        <v>3.1047141074799103</v>
      </c>
      <c r="Y311" s="913">
        <f t="shared" si="69"/>
        <v>232.31227047079628</v>
      </c>
      <c r="Z311" s="95">
        <f t="shared" si="70"/>
        <v>249419</v>
      </c>
      <c r="AA311" s="50" t="str">
        <f t="shared" si="71"/>
        <v>Below MOQ by 224,419 bags</v>
      </c>
      <c r="AB311" s="923">
        <f t="shared" si="72"/>
        <v>0.25233773656228137</v>
      </c>
      <c r="AC311" s="924">
        <f t="shared" si="73"/>
        <v>0.29271177441224638</v>
      </c>
      <c r="AD311" s="203">
        <f t="shared" si="74"/>
        <v>6308.4434140570338</v>
      </c>
      <c r="AE311" s="912">
        <f t="shared" si="75"/>
        <v>7317.7943603061585</v>
      </c>
      <c r="AF311" s="923" cm="1">
        <f t="array" ref="AF311">IF(O311="Quantum",IFERROR(_xlfn.LET(_xlpm.b,_xlfn.SWITCH(LOWER(B311),"zipper bag","Zipper pouch","open bag","Open pouch","sup with zipper","Stand-up pouch","stand-up pouch","Stand-up pouch",B311),_xlpm.w,G311,_xlpm.q,K311,_xlpm.types,'Converting-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missing"),IFERROR(_xlfn.LET(_xlpm.s,O311,_xlpm.b,_xlfn.SWITCH(LOWER(B311),"zipper bag","Zipper pouch","open bag","Open pouch",B311),_xlpm.w,G311,_xlpm.q,K311,_xlpm.src,'Converting-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311" s="923">
        <f>IFERROR(IF(OR(B311="Zipper pouch",B311="SUP with zipper"),HELPER!$DE$2*(AH311+AI311)/K311,HELPER!$DE$2*AH311/K311),"Data is missing")</f>
        <v>7.4513138579517843E-2</v>
      </c>
      <c r="AH311" s="923">
        <f t="shared" si="76"/>
        <v>3.1047141074799103</v>
      </c>
      <c r="AI311" s="923" t="str">
        <f>IF(OR(B311="Zipper pouch",B311="SUP with zipper"),HELPER!$DC$2*G311/1000,"")</f>
        <v/>
      </c>
      <c r="AJ311" s="923" cm="1">
        <f t="array" ref="AJ311">IF(INDEX('Laminates- copilot'!$E$6:$E$257,ROUNDUP((ROW()-5)/3,0))+50&gt;IF(O311="Quantum",760,1220),"Width exceeds supplier maximum",IFERROR(AF311+AG311+N(AI311)+AH311*G311/1000/MAX(1,MIN(MAX(2,INT(900/INDEX('Laminates- copilot'!$E$6:$E$257,ROUNDUP((ROW()-5)/3,0)))),INT((IF(O311="Quantum",760,1220)-50)/INDEX('Laminates- copilot'!$E$6:$E$257,ROUNDUP((ROW()-5)/3,0))))),"Data is missing"))</f>
        <v>0.18925330242171101</v>
      </c>
      <c r="AK311" s="203">
        <f t="shared" si="77"/>
        <v>252.33773656228138</v>
      </c>
      <c r="AL311" t="str">
        <f t="shared" si="78"/>
        <v>PASS</v>
      </c>
      <c r="AM311" s="50" t="str">
        <f t="shared" si="79"/>
        <v/>
      </c>
    </row>
    <row r="312" spans="1:39" hidden="1">
      <c r="A312" t="s">
        <v>1940</v>
      </c>
      <c r="B312" t="s">
        <v>251</v>
      </c>
      <c r="C312" s="50" t="s">
        <v>2205</v>
      </c>
      <c r="D312" t="str">
        <f>'Laminates- copilot'!B108</f>
        <v>818W</v>
      </c>
      <c r="E312" s="858">
        <f>'Laminates- copilot'!D108</f>
        <v>103</v>
      </c>
      <c r="F312" s="858">
        <v>250</v>
      </c>
      <c r="G312" s="858">
        <v>200</v>
      </c>
      <c r="H312" s="858">
        <v>40</v>
      </c>
      <c r="I312" s="858">
        <v>0</v>
      </c>
      <c r="J312" s="858">
        <v>580</v>
      </c>
      <c r="K312" s="858">
        <v>50000</v>
      </c>
      <c r="L312" s="858" t="str">
        <f>'Laminates- copilot'!K108</f>
        <v>Printed</v>
      </c>
      <c r="M312" s="858" t="str">
        <f>'Laminates- copilot'!L108</f>
        <v>3-4</v>
      </c>
      <c r="N312" s="858">
        <f>'Laminates- copilot'!M108</f>
        <v>4</v>
      </c>
      <c r="O312" s="858" t="str">
        <f>'Laminates- copilot'!O108</f>
        <v>Quantum</v>
      </c>
      <c r="P312" s="858" t="str">
        <f>'Laminates- copilot'!N108</f>
        <v>Europe to Europe</v>
      </c>
      <c r="Q312" s="858">
        <f t="shared" si="64"/>
        <v>10000</v>
      </c>
      <c r="R312" s="858">
        <f t="shared" si="65"/>
        <v>10000</v>
      </c>
      <c r="S312" s="858">
        <f>IFERROR('Laminates- copilot'!Q108/'Laminates- copilot'!P108*Q312,"")</f>
        <v>389.79500000000002</v>
      </c>
      <c r="T312" s="203">
        <f>IFERROR('Laminates- copilot'!R108/'Laminates- copilot'!P108*Q312,"")</f>
        <v>7486.3883262677855</v>
      </c>
      <c r="U312" s="912">
        <f>IFERROR('Laminates- copilot'!S108/'Laminates- copilot'!P108*Q312,"")</f>
        <v>8684.2104584706285</v>
      </c>
      <c r="V312" s="913">
        <f t="shared" si="66"/>
        <v>19.205962945311729</v>
      </c>
      <c r="W312" s="914">
        <f t="shared" si="67"/>
        <v>22.278917016561596</v>
      </c>
      <c r="X312" s="913">
        <f t="shared" si="68"/>
        <v>0.74863883262677855</v>
      </c>
      <c r="Y312" s="913">
        <f t="shared" si="69"/>
        <v>19.205962945311729</v>
      </c>
      <c r="Z312" s="95">
        <f t="shared" si="70"/>
        <v>64137</v>
      </c>
      <c r="AA312" s="50" t="str">
        <f t="shared" si="71"/>
        <v>Below MOQ by 14,137 bags</v>
      </c>
      <c r="AB312" s="923">
        <f t="shared" si="72"/>
        <v>0.30635499225095159</v>
      </c>
      <c r="AC312" s="924">
        <f t="shared" si="73"/>
        <v>0.35537179101110383</v>
      </c>
      <c r="AD312" s="203">
        <f t="shared" si="74"/>
        <v>15317.749612547579</v>
      </c>
      <c r="AE312" s="912">
        <f t="shared" si="75"/>
        <v>17768.589550555189</v>
      </c>
      <c r="AF312" s="923" cm="1">
        <f t="array" ref="AF312">IF(O312="Quantum",IFERROR(_xlfn.LET(_xlpm.b,_xlfn.SWITCH(LOWER(B312),"zipper bag","Zipper pouch","open bag","Open pouch","sup with zipper","Stand-up pouch","stand-up pouch","Stand-up pouch",B312),_xlpm.w,G312,_xlpm.q,K312,_xlpm.types,'Converting-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missing"),IFERROR(_xlfn.LET(_xlpm.s,O312,_xlpm.b,_xlfn.SWITCH(LOWER(B312),"zipper bag","Zipper pouch","open bag","Open pouch",B312),_xlpm.w,G312,_xlpm.q,K312,_xlpm.src,'Converting-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312" s="923">
        <f>IFERROR(IF(OR(B312="Zipper pouch",B312="SUP with zipper"),HELPER!$DE$2*(AH312+AI312)/K312,HELPER!$DE$2*AH312/K312),"Data is missing")</f>
        <v>9.329265991521344E-3</v>
      </c>
      <c r="AH312" s="923">
        <f t="shared" si="76"/>
        <v>0.74863883262677855</v>
      </c>
      <c r="AI312" s="923">
        <f>IF(OR(B312="Zipper pouch",B312="SUP with zipper"),HELPER!$DC$2*G312/1000,"")</f>
        <v>2.8799999999999996E-2</v>
      </c>
      <c r="AJ312" s="923" cm="1">
        <f t="array" ref="AJ312">IF(INDEX('Laminates- copilot'!$E$6:$E$257,ROUNDUP((ROW()-5)/3,0))+50&gt;IF(O312="Quantum",760,1220),"Width exceeds supplier maximum",IFERROR(AF312+AG312+N(AI312)+AH312*G312/1000/MAX(1,MIN(MAX(2,INT(900/INDEX('Laminates- copilot'!$E$6:$E$257,ROUNDUP((ROW()-5)/3,0)))),INT((IF(O312="Quantum",760,1220)-50)/INDEX('Laminates- copilot'!$E$6:$E$257,ROUNDUP((ROW()-5)/3,0))))),"Data is missing"))</f>
        <v>0.22976624418821368</v>
      </c>
      <c r="AK312" s="203">
        <f t="shared" si="77"/>
        <v>306.35499225095157</v>
      </c>
      <c r="AL312" t="str">
        <f t="shared" si="78"/>
        <v>PASS</v>
      </c>
      <c r="AM312" s="50" t="str">
        <f t="shared" si="79"/>
        <v/>
      </c>
    </row>
    <row r="313" spans="1:39" hidden="1">
      <c r="A313" t="s">
        <v>1941</v>
      </c>
      <c r="B313" t="s">
        <v>261</v>
      </c>
      <c r="C313" s="50" t="s">
        <v>2205</v>
      </c>
      <c r="D313" t="str">
        <f>'Laminates- copilot'!B108</f>
        <v>818W</v>
      </c>
      <c r="E313" s="858">
        <f>'Laminates- copilot'!D108</f>
        <v>103</v>
      </c>
      <c r="F313" s="858">
        <v>250</v>
      </c>
      <c r="G313" s="858">
        <v>200</v>
      </c>
      <c r="H313" s="858">
        <v>40</v>
      </c>
      <c r="I313" s="858">
        <v>0</v>
      </c>
      <c r="J313" s="858">
        <v>580</v>
      </c>
      <c r="K313" s="858">
        <v>50000</v>
      </c>
      <c r="L313" s="858" t="str">
        <f>'Laminates- copilot'!K108</f>
        <v>Printed</v>
      </c>
      <c r="M313" s="858" t="str">
        <f>'Laminates- copilot'!L108</f>
        <v>3-4</v>
      </c>
      <c r="N313" s="858">
        <f>'Laminates- copilot'!M108</f>
        <v>4</v>
      </c>
      <c r="O313" s="858" t="str">
        <f>'Laminates- copilot'!O108</f>
        <v>Quantum</v>
      </c>
      <c r="P313" s="858" t="str">
        <f>'Laminates- copilot'!N108</f>
        <v>Europe to Europe</v>
      </c>
      <c r="Q313" s="858">
        <f t="shared" si="64"/>
        <v>10000</v>
      </c>
      <c r="R313" s="858">
        <f t="shared" si="65"/>
        <v>10000</v>
      </c>
      <c r="S313" s="858">
        <f>IFERROR('Laminates- copilot'!Q108/'Laminates- copilot'!P108*Q313,"")</f>
        <v>389.79500000000002</v>
      </c>
      <c r="T313" s="203">
        <f>IFERROR('Laminates- copilot'!R108/'Laminates- copilot'!P108*Q313,"")</f>
        <v>7486.3883262677855</v>
      </c>
      <c r="U313" s="912">
        <f>IFERROR('Laminates- copilot'!S108/'Laminates- copilot'!P108*Q313,"")</f>
        <v>8684.2104584706285</v>
      </c>
      <c r="V313" s="913">
        <f t="shared" si="66"/>
        <v>19.205962945311729</v>
      </c>
      <c r="W313" s="914">
        <f t="shared" si="67"/>
        <v>22.278917016561596</v>
      </c>
      <c r="X313" s="913">
        <f t="shared" si="68"/>
        <v>0.74863883262677855</v>
      </c>
      <c r="Y313" s="913">
        <f t="shared" si="69"/>
        <v>19.205962945311729</v>
      </c>
      <c r="Z313" s="95">
        <f t="shared" si="70"/>
        <v>64137</v>
      </c>
      <c r="AA313" s="50" t="str">
        <f t="shared" si="71"/>
        <v>Below MOQ by 14,137 bags</v>
      </c>
      <c r="AB313" s="923">
        <f t="shared" si="72"/>
        <v>0.29058784153275785</v>
      </c>
      <c r="AC313" s="924">
        <f t="shared" si="73"/>
        <v>0.33708189617799911</v>
      </c>
      <c r="AD313" s="203">
        <f t="shared" si="74"/>
        <v>14529.392076637892</v>
      </c>
      <c r="AE313" s="912">
        <f t="shared" si="75"/>
        <v>16854.094808899954</v>
      </c>
      <c r="AF313" s="923" cm="1">
        <f t="array" ref="AF313">IF(O313="Quantum",IFERROR(_xlfn.LET(_xlpm.b,_xlfn.SWITCH(LOWER(B313),"zipper bag","Zipper pouch","open bag","Open pouch","sup with zipper","Stand-up pouch","stand-up pouch","Stand-up pouch",B313),_xlpm.w,G313,_xlpm.q,K313,_xlpm.types,'Converting-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missing"),IFERROR(_xlfn.LET(_xlpm.s,O313,_xlpm.b,_xlfn.SWITCH(LOWER(B313),"zipper bag","Zipper pouch","open bag","Open pouch",B313),_xlpm.w,G313,_xlpm.q,K313,_xlpm.src,'Converting-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313" s="923">
        <f>IFERROR(IF(OR(B313="Zipper pouch",B313="SUP with zipper"),HELPER!$DE$2*(AH313+AI313)/K313,HELPER!$DE$2*AH313/K313),"Data is missing")</f>
        <v>9.329265991521344E-3</v>
      </c>
      <c r="AH313" s="923">
        <f t="shared" si="76"/>
        <v>0.74863883262677855</v>
      </c>
      <c r="AI313" s="923">
        <f>IF(OR(B313="Zipper pouch",B313="SUP with zipper"),HELPER!$DC$2*G313/1000,"")</f>
        <v>2.8799999999999996E-2</v>
      </c>
      <c r="AJ313" s="923" cm="1">
        <f t="array" ref="AJ313">IF(INDEX('Laminates- copilot'!$E$6:$E$257,ROUNDUP((ROW()-5)/3,0))+50&gt;IF(O313="Quantum",760,1220),"Width exceeds supplier maximum",IFERROR(AF313+AG313+N(AI313)+AH313*G313/1000/MAX(1,MIN(MAX(2,INT(900/INDEX('Laminates- copilot'!$E$6:$E$257,ROUNDUP((ROW()-5)/3,0)))),INT((IF(O313="Quantum",760,1220)-50)/INDEX('Laminates- copilot'!$E$6:$E$257,ROUNDUP((ROW()-5)/3,0))))),"Data is missing"))</f>
        <v>0.21794088114956839</v>
      </c>
      <c r="AK313" s="203">
        <f t="shared" si="77"/>
        <v>290.58784153275786</v>
      </c>
      <c r="AL313" t="str">
        <f t="shared" si="78"/>
        <v>PASS</v>
      </c>
      <c r="AM313" s="50" t="str">
        <f t="shared" si="79"/>
        <v/>
      </c>
    </row>
    <row r="314" spans="1:39" hidden="1">
      <c r="A314" t="s">
        <v>1942</v>
      </c>
      <c r="B314" t="s">
        <v>262</v>
      </c>
      <c r="C314" s="50" t="s">
        <v>2205</v>
      </c>
      <c r="D314" t="str">
        <f>'Laminates- copilot'!B108</f>
        <v>818W</v>
      </c>
      <c r="E314" s="858">
        <f>'Laminates- copilot'!D108</f>
        <v>103</v>
      </c>
      <c r="F314" s="858">
        <v>250</v>
      </c>
      <c r="G314" s="858">
        <v>200</v>
      </c>
      <c r="H314" s="858">
        <v>0</v>
      </c>
      <c r="I314" s="858">
        <v>0</v>
      </c>
      <c r="J314" s="858">
        <v>500</v>
      </c>
      <c r="K314" s="858">
        <v>50000</v>
      </c>
      <c r="L314" s="858" t="str">
        <f>'Laminates- copilot'!K108</f>
        <v>Printed</v>
      </c>
      <c r="M314" s="858" t="str">
        <f>'Laminates- copilot'!L108</f>
        <v>3-4</v>
      </c>
      <c r="N314" s="858">
        <f>'Laminates- copilot'!M108</f>
        <v>4</v>
      </c>
      <c r="O314" s="858" t="str">
        <f>'Laminates- copilot'!O108</f>
        <v>Quantum</v>
      </c>
      <c r="P314" s="858" t="str">
        <f>'Laminates- copilot'!N108</f>
        <v>Europe to Europe</v>
      </c>
      <c r="Q314" s="858">
        <f t="shared" si="64"/>
        <v>10000</v>
      </c>
      <c r="R314" s="858">
        <f t="shared" si="65"/>
        <v>10000</v>
      </c>
      <c r="S314" s="858">
        <f>IFERROR('Laminates- copilot'!Q108/'Laminates- copilot'!P108*Q314,"")</f>
        <v>389.79500000000002</v>
      </c>
      <c r="T314" s="203">
        <f>IFERROR('Laminates- copilot'!R108/'Laminates- copilot'!P108*Q314,"")</f>
        <v>7486.3883262677855</v>
      </c>
      <c r="U314" s="912">
        <f>IFERROR('Laminates- copilot'!S108/'Laminates- copilot'!P108*Q314,"")</f>
        <v>8684.2104584706285</v>
      </c>
      <c r="V314" s="913">
        <f t="shared" si="66"/>
        <v>19.205962945311729</v>
      </c>
      <c r="W314" s="914">
        <f t="shared" si="67"/>
        <v>22.278917016561596</v>
      </c>
      <c r="X314" s="913">
        <f t="shared" si="68"/>
        <v>0.74863883262677855</v>
      </c>
      <c r="Y314" s="913">
        <f t="shared" si="69"/>
        <v>19.205962945311729</v>
      </c>
      <c r="Z314" s="95">
        <f t="shared" si="70"/>
        <v>64137</v>
      </c>
      <c r="AA314" s="50" t="str">
        <f t="shared" si="71"/>
        <v>Below MOQ by 14,137 bags</v>
      </c>
      <c r="AB314" s="923">
        <f t="shared" si="72"/>
        <v>0.23451561980877758</v>
      </c>
      <c r="AC314" s="924">
        <f t="shared" si="73"/>
        <v>0.27203811897818198</v>
      </c>
      <c r="AD314" s="203">
        <f t="shared" si="74"/>
        <v>11725.78099043888</v>
      </c>
      <c r="AE314" s="912">
        <f t="shared" si="75"/>
        <v>13601.9059489091</v>
      </c>
      <c r="AF314" s="923" cm="1">
        <f t="array" ref="AF314">IF(O314="Quantum",IFERROR(_xlfn.LET(_xlpm.b,_xlfn.SWITCH(LOWER(B314),"zipper bag","Zipper pouch","open bag","Open pouch","sup with zipper","Stand-up pouch","stand-up pouch","Stand-up pouch",B314),_xlpm.w,G314,_xlpm.q,K314,_xlpm.types,'Converting-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missing"),IFERROR(_xlfn.LET(_xlpm.s,O314,_xlpm.b,_xlfn.SWITCH(LOWER(B314),"zipper bag","Zipper pouch","open bag","Open pouch",B314),_xlpm.w,G314,_xlpm.q,K314,_xlpm.src,'Converting-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314" s="923">
        <f>IFERROR(IF(OR(B314="Zipper pouch",B314="SUP with zipper"),HELPER!$DE$2*(AH314+AI314)/K314,HELPER!$DE$2*AH314/K314),"Data is missing")</f>
        <v>8.9836659915213425E-3</v>
      </c>
      <c r="AH314" s="923">
        <f t="shared" si="76"/>
        <v>0.74863883262677855</v>
      </c>
      <c r="AI314" s="923" t="str">
        <f>IF(OR(B314="Zipper pouch",B314="SUP with zipper"),HELPER!$DC$2*G314/1000,"")</f>
        <v/>
      </c>
      <c r="AJ314" s="923" cm="1">
        <f t="array" ref="AJ314">IF(INDEX('Laminates- copilot'!$E$6:$E$257,ROUNDUP((ROW()-5)/3,0))+50&gt;IF(O314="Quantum",760,1220),"Width exceeds supplier maximum",IFERROR(AF314+AG314+N(AI314)+AH314*G314/1000/MAX(1,MIN(MAX(2,INT(900/INDEX('Laminates- copilot'!$E$6:$E$257,ROUNDUP((ROW()-5)/3,0)))),INT((IF(O314="Quantum",760,1220)-50)/INDEX('Laminates- copilot'!$E$6:$E$257,ROUNDUP((ROW()-5)/3,0))))),"Data is missing"))</f>
        <v>0.17588671485658319</v>
      </c>
      <c r="AK314" s="203">
        <f t="shared" si="77"/>
        <v>234.51561980877759</v>
      </c>
      <c r="AL314" t="str">
        <f t="shared" si="78"/>
        <v>PASS</v>
      </c>
      <c r="AM314" s="50" t="str">
        <f t="shared" si="79"/>
        <v/>
      </c>
    </row>
    <row r="315" spans="1:39">
      <c r="A315" t="s">
        <v>1943</v>
      </c>
      <c r="B315" t="s">
        <v>251</v>
      </c>
      <c r="C315" s="50" t="s">
        <v>2206</v>
      </c>
      <c r="D315" t="str">
        <f>'Laminates- copilot'!B109</f>
        <v>818W</v>
      </c>
      <c r="E315" s="858">
        <f>'Laminates- copilot'!D109</f>
        <v>103</v>
      </c>
      <c r="F315" s="858">
        <v>300</v>
      </c>
      <c r="G315" s="858">
        <v>300</v>
      </c>
      <c r="H315" s="858">
        <v>50</v>
      </c>
      <c r="I315" s="858">
        <v>0</v>
      </c>
      <c r="J315" s="858">
        <v>700</v>
      </c>
      <c r="K315" s="858">
        <v>50000</v>
      </c>
      <c r="L315" s="858" t="str">
        <f>'Laminates- copilot'!K109</f>
        <v>Printed</v>
      </c>
      <c r="M315" s="858" t="str">
        <f>'Laminates- copilot'!L109</f>
        <v>5-8</v>
      </c>
      <c r="N315" s="858">
        <f>'Laminates- copilot'!M109</f>
        <v>8</v>
      </c>
      <c r="O315" s="858" t="str">
        <f>'Laminates- copilot'!O109</f>
        <v>Marma</v>
      </c>
      <c r="P315" s="858" t="str">
        <f>'Laminates- copilot'!N109</f>
        <v>Europe to US</v>
      </c>
      <c r="Q315" s="858">
        <f t="shared" si="64"/>
        <v>15000</v>
      </c>
      <c r="R315" s="858">
        <f t="shared" si="65"/>
        <v>15000</v>
      </c>
      <c r="S315" s="858">
        <f>IFERROR('Laminates- copilot'!Q109/'Laminates- copilot'!P109*Q315,"")</f>
        <v>1503.4950000000001</v>
      </c>
      <c r="T315" s="203">
        <f>IFERROR('Laminates- copilot'!R109/'Laminates- copilot'!P109*Q315,"")</f>
        <v>22255.22539121503</v>
      </c>
      <c r="U315" s="912">
        <f>IFERROR('Laminates- copilot'!S109/'Laminates- copilot'!P109*Q315,"")</f>
        <v>25816.061453809434</v>
      </c>
      <c r="V315" s="913">
        <f t="shared" si="66"/>
        <v>14.802327504391453</v>
      </c>
      <c r="W315" s="914">
        <f t="shared" si="67"/>
        <v>17.170699905094086</v>
      </c>
      <c r="X315" s="913">
        <f t="shared" si="68"/>
        <v>1.4836816927476686</v>
      </c>
      <c r="Y315" s="913">
        <f t="shared" si="69"/>
        <v>14.802327504391453</v>
      </c>
      <c r="Z315" s="95">
        <f t="shared" si="70"/>
        <v>16628</v>
      </c>
      <c r="AA315" s="50" t="str">
        <f t="shared" si="71"/>
        <v>MOQ OK</v>
      </c>
      <c r="AB315" s="923">
        <f t="shared" si="72"/>
        <v>0.75215765426114267</v>
      </c>
      <c r="AC315" s="924">
        <f t="shared" si="73"/>
        <v>0.87250287894292544</v>
      </c>
      <c r="AD315" s="203">
        <f t="shared" si="74"/>
        <v>37607.882713057137</v>
      </c>
      <c r="AE315" s="912">
        <f t="shared" si="75"/>
        <v>43625.143947146273</v>
      </c>
      <c r="AF315" s="923" cm="1">
        <f t="array" ref="AF315">IF(O315="Quantum",IFERROR(_xlfn.LET(_xlpm.b,_xlfn.SWITCH(LOWER(B315),"zipper bag","Zipper pouch","open bag","Open pouch","sup with zipper","Stand-up pouch","stand-up pouch","Stand-up pouch",B315),_xlpm.w,G315,_xlpm.q,K315,_xlpm.types,'Converting-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missing"),IFERROR(_xlfn.LET(_xlpm.s,O315,_xlpm.b,_xlfn.SWITCH(LOWER(B315),"zipper bag","Zipper pouch","open bag","Open pouch",B315),_xlpm.w,G315,_xlpm.q,K315,_xlpm.src,'Converting-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315" s="923">
        <f>IFERROR(IF(OR(B315="Zipper pouch",B315="SUP with zipper"),HELPER!$DE$2*(AH315+AI315)/K315,HELPER!$DE$2*AH315/K315),"Data is missing")</f>
        <v>1.8322580312972021E-2</v>
      </c>
      <c r="AH315" s="923">
        <f t="shared" si="76"/>
        <v>1.4836816927476686</v>
      </c>
      <c r="AI315" s="923">
        <f>IF(OR(B315="Zipper pouch",B315="SUP with zipper"),HELPER!$DC$2*G315/1000,"")</f>
        <v>4.3199999999999995E-2</v>
      </c>
      <c r="AJ315" s="923" cm="1">
        <f t="array" ref="AJ315">IF(INDEX('Laminates- copilot'!$E$6:$E$257,ROUNDUP((ROW()-5)/3,0))+50&gt;IF(O315="Quantum",760,1220),"Width exceeds supplier maximum",IFERROR(AF315+AG315+N(AI315)+AH315*G315/1000/MAX(1,MIN(MAX(2,INT(900/INDEX('Laminates- copilot'!$E$6:$E$257,ROUNDUP((ROW()-5)/3,0)))),INT((IF(O315="Quantum",760,1220)-50)/INDEX('Laminates- copilot'!$E$6:$E$257,ROUNDUP((ROW()-5)/3,0))))),"Data is missing"))</f>
        <v>0.56411824069585703</v>
      </c>
      <c r="AK315" s="203">
        <f t="shared" si="77"/>
        <v>752.15765426114262</v>
      </c>
      <c r="AL315" t="str">
        <f t="shared" si="78"/>
        <v>PASS</v>
      </c>
      <c r="AM315" s="50" t="str">
        <f t="shared" si="79"/>
        <v/>
      </c>
    </row>
    <row r="316" spans="1:39">
      <c r="A316" t="s">
        <v>1944</v>
      </c>
      <c r="B316" t="s">
        <v>261</v>
      </c>
      <c r="C316" s="50" t="s">
        <v>2206</v>
      </c>
      <c r="D316" t="str">
        <f>'Laminates- copilot'!B109</f>
        <v>818W</v>
      </c>
      <c r="E316" s="858">
        <f>'Laminates- copilot'!D109</f>
        <v>103</v>
      </c>
      <c r="F316" s="858">
        <v>300</v>
      </c>
      <c r="G316" s="858">
        <v>300</v>
      </c>
      <c r="H316" s="858">
        <v>50</v>
      </c>
      <c r="I316" s="858">
        <v>0</v>
      </c>
      <c r="J316" s="858">
        <v>700</v>
      </c>
      <c r="K316" s="858">
        <v>50000</v>
      </c>
      <c r="L316" s="858" t="str">
        <f>'Laminates- copilot'!K109</f>
        <v>Printed</v>
      </c>
      <c r="M316" s="858" t="str">
        <f>'Laminates- copilot'!L109</f>
        <v>5-8</v>
      </c>
      <c r="N316" s="858">
        <f>'Laminates- copilot'!M109</f>
        <v>8</v>
      </c>
      <c r="O316" s="858" t="str">
        <f>'Laminates- copilot'!O109</f>
        <v>Marma</v>
      </c>
      <c r="P316" s="858" t="str">
        <f>'Laminates- copilot'!N109</f>
        <v>Europe to US</v>
      </c>
      <c r="Q316" s="858">
        <f t="shared" si="64"/>
        <v>15000</v>
      </c>
      <c r="R316" s="858">
        <f t="shared" si="65"/>
        <v>15000</v>
      </c>
      <c r="S316" s="858">
        <f>IFERROR('Laminates- copilot'!Q109/'Laminates- copilot'!P109*Q316,"")</f>
        <v>1503.4950000000001</v>
      </c>
      <c r="T316" s="203">
        <f>IFERROR('Laminates- copilot'!R109/'Laminates- copilot'!P109*Q316,"")</f>
        <v>22255.22539121503</v>
      </c>
      <c r="U316" s="912">
        <f>IFERROR('Laminates- copilot'!S109/'Laminates- copilot'!P109*Q316,"")</f>
        <v>25816.061453809434</v>
      </c>
      <c r="V316" s="913">
        <f t="shared" si="66"/>
        <v>14.802327504391453</v>
      </c>
      <c r="W316" s="914">
        <f t="shared" si="67"/>
        <v>17.170699905094086</v>
      </c>
      <c r="X316" s="913">
        <f t="shared" si="68"/>
        <v>1.4836816927476686</v>
      </c>
      <c r="Y316" s="913">
        <f t="shared" si="69"/>
        <v>14.802327504391453</v>
      </c>
      <c r="Z316" s="95">
        <f t="shared" si="70"/>
        <v>16628</v>
      </c>
      <c r="AA316" s="50" t="str">
        <f t="shared" si="71"/>
        <v>MOQ OK</v>
      </c>
      <c r="AB316" s="923">
        <f t="shared" si="72"/>
        <v>0.74631443005349951</v>
      </c>
      <c r="AC316" s="924">
        <f t="shared" si="73"/>
        <v>0.86572473886205936</v>
      </c>
      <c r="AD316" s="203">
        <f t="shared" si="74"/>
        <v>37315.721502674976</v>
      </c>
      <c r="AE316" s="912">
        <f t="shared" si="75"/>
        <v>43286.236943102973</v>
      </c>
      <c r="AF316" s="923" cm="1">
        <f t="array" ref="AF316">IF(O316="Quantum",IFERROR(_xlfn.LET(_xlpm.b,_xlfn.SWITCH(LOWER(B316),"zipper bag","Zipper pouch","open bag","Open pouch","sup with zipper","Stand-up pouch","stand-up pouch","Stand-up pouch",B316),_xlpm.w,G316,_xlpm.q,K316,_xlpm.types,'Converting-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missing"),IFERROR(_xlfn.LET(_xlpm.s,O316,_xlpm.b,_xlfn.SWITCH(LOWER(B316),"zipper bag","Zipper pouch","open bag","Open pouch",B316),_xlpm.w,G316,_xlpm.q,K316,_xlpm.src,'Converting-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316" s="923">
        <f>IFERROR(IF(OR(B316="Zipper pouch",B316="SUP with zipper"),HELPER!$DE$2*(AH316+AI316)/K316,HELPER!$DE$2*AH316/K316),"Data is missing")</f>
        <v>1.8322580312972021E-2</v>
      </c>
      <c r="AH316" s="923">
        <f t="shared" si="76"/>
        <v>1.4836816927476686</v>
      </c>
      <c r="AI316" s="923">
        <f>IF(OR(B316="Zipper pouch",B316="SUP with zipper"),HELPER!$DC$2*G316/1000,"")</f>
        <v>4.3199999999999995E-2</v>
      </c>
      <c r="AJ316" s="923" cm="1">
        <f t="array" ref="AJ316">IF(INDEX('Laminates- copilot'!$E$6:$E$257,ROUNDUP((ROW()-5)/3,0))+50&gt;IF(O316="Quantum",760,1220),"Width exceeds supplier maximum",IFERROR(AF316+AG316+N(AI316)+AH316*G316/1000/MAX(1,MIN(MAX(2,INT(900/INDEX('Laminates- copilot'!$E$6:$E$257,ROUNDUP((ROW()-5)/3,0)))),INT((IF(O316="Quantum",760,1220)-50)/INDEX('Laminates- copilot'!$E$6:$E$257,ROUNDUP((ROW()-5)/3,0))))),"Data is missing"))</f>
        <v>0.55973582254012466</v>
      </c>
      <c r="AK316" s="203">
        <f t="shared" si="77"/>
        <v>746.31443005349956</v>
      </c>
      <c r="AL316" t="str">
        <f t="shared" si="78"/>
        <v>PASS</v>
      </c>
      <c r="AM316" s="50" t="str">
        <f t="shared" si="79"/>
        <v/>
      </c>
    </row>
    <row r="317" spans="1:39">
      <c r="A317" t="s">
        <v>1945</v>
      </c>
      <c r="B317" t="s">
        <v>262</v>
      </c>
      <c r="C317" s="50" t="s">
        <v>2206</v>
      </c>
      <c r="D317" t="str">
        <f>'Laminates- copilot'!B109</f>
        <v>818W</v>
      </c>
      <c r="E317" s="858">
        <f>'Laminates- copilot'!D109</f>
        <v>103</v>
      </c>
      <c r="F317" s="858">
        <v>300</v>
      </c>
      <c r="G317" s="858">
        <v>300</v>
      </c>
      <c r="H317" s="858">
        <v>0</v>
      </c>
      <c r="I317" s="858">
        <v>10</v>
      </c>
      <c r="J317" s="858">
        <v>610</v>
      </c>
      <c r="K317" s="858">
        <v>50000</v>
      </c>
      <c r="L317" s="858" t="str">
        <f>'Laminates- copilot'!K109</f>
        <v>Printed</v>
      </c>
      <c r="M317" s="858" t="str">
        <f>'Laminates- copilot'!L109</f>
        <v>5-8</v>
      </c>
      <c r="N317" s="858">
        <f>'Laminates- copilot'!M109</f>
        <v>8</v>
      </c>
      <c r="O317" s="858" t="str">
        <f>'Laminates- copilot'!O109</f>
        <v>Marma</v>
      </c>
      <c r="P317" s="858" t="str">
        <f>'Laminates- copilot'!N109</f>
        <v>Europe to US</v>
      </c>
      <c r="Q317" s="858">
        <f t="shared" si="64"/>
        <v>15000</v>
      </c>
      <c r="R317" s="858">
        <f t="shared" si="65"/>
        <v>15000</v>
      </c>
      <c r="S317" s="858">
        <f>IFERROR('Laminates- copilot'!Q109/'Laminates- copilot'!P109*Q317,"")</f>
        <v>1503.4950000000001</v>
      </c>
      <c r="T317" s="203">
        <f>IFERROR('Laminates- copilot'!R109/'Laminates- copilot'!P109*Q317,"")</f>
        <v>22255.22539121503</v>
      </c>
      <c r="U317" s="912">
        <f>IFERROR('Laminates- copilot'!S109/'Laminates- copilot'!P109*Q317,"")</f>
        <v>25816.061453809434</v>
      </c>
      <c r="V317" s="913">
        <f t="shared" si="66"/>
        <v>14.802327504391453</v>
      </c>
      <c r="W317" s="914">
        <f t="shared" si="67"/>
        <v>17.170699905094086</v>
      </c>
      <c r="X317" s="913">
        <f t="shared" si="68"/>
        <v>1.4836816927476686</v>
      </c>
      <c r="Y317" s="913">
        <f t="shared" si="69"/>
        <v>14.802327504391453</v>
      </c>
      <c r="Z317" s="95">
        <f t="shared" si="70"/>
        <v>16628</v>
      </c>
      <c r="AA317" s="50" t="str">
        <f t="shared" si="71"/>
        <v>MOQ OK</v>
      </c>
      <c r="AB317" s="923">
        <f t="shared" si="72"/>
        <v>0.68113522305593222</v>
      </c>
      <c r="AC317" s="924">
        <f t="shared" si="73"/>
        <v>0.79011685874488136</v>
      </c>
      <c r="AD317" s="203">
        <f t="shared" si="74"/>
        <v>34056.761152796607</v>
      </c>
      <c r="AE317" s="912">
        <f t="shared" si="75"/>
        <v>39505.842937244059</v>
      </c>
      <c r="AF317" s="923" cm="1">
        <f t="array" ref="AF317">IF(O317="Quantum",IFERROR(_xlfn.LET(_xlpm.b,_xlfn.SWITCH(LOWER(B317),"zipper bag","Zipper pouch","open bag","Open pouch","sup with zipper","Stand-up pouch","stand-up pouch","Stand-up pouch",B317),_xlpm.w,G317,_xlpm.q,K317,_xlpm.types,'Converting-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missing"),IFERROR(_xlfn.LET(_xlpm.s,O317,_xlpm.b,_xlfn.SWITCH(LOWER(B317),"zipper bag","Zipper pouch","open bag","Open pouch",B317),_xlpm.w,G317,_xlpm.q,K317,_xlpm.src,'Converting-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317" s="923">
        <f>IFERROR(IF(OR(B317="Zipper pouch",B317="SUP with zipper"),HELPER!$DE$2*(AH317+AI317)/K317,HELPER!$DE$2*AH317/K317),"Data is missing")</f>
        <v>1.7804180312972023E-2</v>
      </c>
      <c r="AH317" s="923">
        <f t="shared" si="76"/>
        <v>1.4836816927476686</v>
      </c>
      <c r="AI317" s="923" t="str">
        <f>IF(OR(B317="Zipper pouch",B317="SUP with zipper"),HELPER!$DC$2*G317/1000,"")</f>
        <v/>
      </c>
      <c r="AJ317" s="923" cm="1">
        <f t="array" ref="AJ317">IF(INDEX('Laminates- copilot'!$E$6:$E$257,ROUNDUP((ROW()-5)/3,0))+50&gt;IF(O317="Quantum",760,1220),"Width exceeds supplier maximum",IFERROR(AF317+AG317+N(AI317)+AH317*G317/1000/MAX(1,MIN(MAX(2,INT(900/INDEX('Laminates- copilot'!$E$6:$E$257,ROUNDUP((ROW()-5)/3,0)))),INT((IF(O317="Quantum",760,1220)-50)/INDEX('Laminates- copilot'!$E$6:$E$257,ROUNDUP((ROW()-5)/3,0))))),"Data is missing"))</f>
        <v>0.51085141729194916</v>
      </c>
      <c r="AK317" s="203">
        <f t="shared" si="77"/>
        <v>681.13522305593222</v>
      </c>
      <c r="AL317" t="str">
        <f t="shared" si="78"/>
        <v>PASS</v>
      </c>
      <c r="AM317" s="50" t="str">
        <f t="shared" si="79"/>
        <v/>
      </c>
    </row>
    <row r="318" spans="1:39" hidden="1">
      <c r="A318" t="s">
        <v>1946</v>
      </c>
      <c r="B318" t="s">
        <v>251</v>
      </c>
      <c r="C318" s="50" t="s">
        <v>2207</v>
      </c>
      <c r="D318" t="str">
        <f>'Laminates- copilot'!B110</f>
        <v>818W</v>
      </c>
      <c r="E318" s="858">
        <f>'Laminates- copilot'!D110</f>
        <v>103</v>
      </c>
      <c r="F318" s="858">
        <v>350</v>
      </c>
      <c r="G318" s="858">
        <v>400</v>
      </c>
      <c r="H318" s="858">
        <v>60</v>
      </c>
      <c r="I318" s="858">
        <v>0</v>
      </c>
      <c r="J318" s="858">
        <v>820</v>
      </c>
      <c r="K318" s="858">
        <v>100000</v>
      </c>
      <c r="L318" s="858" t="str">
        <f>'Laminates- copilot'!K110</f>
        <v>Not Printed</v>
      </c>
      <c r="M318" s="858" t="str">
        <f>'Laminates- copilot'!L110</f>
        <v>0</v>
      </c>
      <c r="N318" s="858">
        <f>'Laminates- copilot'!M110</f>
        <v>1</v>
      </c>
      <c r="O318" s="858" t="str">
        <f>'Laminates- copilot'!O110</f>
        <v>Bastin</v>
      </c>
      <c r="P318" s="858" t="str">
        <f>'Laminates- copilot'!N110</f>
        <v>Europe to Europe</v>
      </c>
      <c r="Q318" s="858">
        <f t="shared" si="64"/>
        <v>40000</v>
      </c>
      <c r="R318" s="858">
        <f t="shared" si="65"/>
        <v>40000</v>
      </c>
      <c r="S318" s="858">
        <f>IFERROR('Laminates- copilot'!Q110/'Laminates- copilot'!P110*Q318,"")</f>
        <v>1559.18</v>
      </c>
      <c r="T318" s="203">
        <f>IFERROR('Laminates- copilot'!R110/'Laminates- copilot'!P110*Q318,"")</f>
        <v>17652.56134140625</v>
      </c>
      <c r="U318" s="912">
        <f>IFERROR('Laminates- copilot'!S110/'Laminates- copilot'!P110*Q318,"")</f>
        <v>20476.971156031246</v>
      </c>
      <c r="V318" s="913">
        <f t="shared" si="66"/>
        <v>11.321695597305153</v>
      </c>
      <c r="W318" s="914">
        <f t="shared" si="67"/>
        <v>13.133166892873975</v>
      </c>
      <c r="X318" s="913">
        <f t="shared" si="68"/>
        <v>0.44131403353515625</v>
      </c>
      <c r="Y318" s="913">
        <f t="shared" si="69"/>
        <v>11.321695597305153</v>
      </c>
      <c r="Z318" s="95">
        <f t="shared" si="70"/>
        <v>32069</v>
      </c>
      <c r="AA318" s="50" t="str">
        <f t="shared" si="71"/>
        <v>MOQ OK</v>
      </c>
      <c r="AB318" s="923">
        <f t="shared" si="72"/>
        <v>0.32910703286410614</v>
      </c>
      <c r="AC318" s="924">
        <f t="shared" si="73"/>
        <v>0.38176415812236308</v>
      </c>
      <c r="AD318" s="203">
        <f t="shared" si="74"/>
        <v>32910.703286410615</v>
      </c>
      <c r="AE318" s="912">
        <f t="shared" si="75"/>
        <v>38176.415812236308</v>
      </c>
      <c r="AF318" s="923" cm="1">
        <f t="array" ref="AF318">IF(O318="Quantum",IFERROR(_xlfn.LET(_xlpm.b,_xlfn.SWITCH(LOWER(B318),"zipper bag","Zipper pouch","open bag","Open pouch","sup with zipper","Stand-up pouch","stand-up pouch","Stand-up pouch",B318),_xlpm.w,G318,_xlpm.q,K318,_xlpm.types,'Converting-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missing"),IFERROR(_xlfn.LET(_xlpm.s,O318,_xlpm.b,_xlfn.SWITCH(LOWER(B318),"zipper bag","Zipper pouch","open bag","Open pouch",B318),_xlpm.w,G318,_xlpm.q,K318,_xlpm.src,'Converting-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318" s="923">
        <f>IFERROR(IF(OR(B318="Zipper pouch",B318="SUP with zipper"),HELPER!$DE$2*(AH318+AI318)/K318,HELPER!$DE$2*AH318/K318),"Data is missing")</f>
        <v>2.9934842012109375E-3</v>
      </c>
      <c r="AH318" s="923">
        <f t="shared" si="76"/>
        <v>0.44131403353515625</v>
      </c>
      <c r="AI318" s="923">
        <f>IF(OR(B318="Zipper pouch",B318="SUP with zipper"),HELPER!$DC$2*G318/1000,"")</f>
        <v>5.7599999999999991E-2</v>
      </c>
      <c r="AJ318" s="923" cm="1">
        <f t="array" ref="AJ318">IF(INDEX('Laminates- copilot'!$E$6:$E$257,ROUNDUP((ROW()-5)/3,0))+50&gt;IF(O318="Quantum",760,1220),"Width exceeds supplier maximum",IFERROR(AF318+AG318+N(AI318)+AH318*G318/1000/MAX(1,MIN(MAX(2,INT(900/INDEX('Laminates- copilot'!$E$6:$E$257,ROUNDUP((ROW()-5)/3,0)))),INT((IF(O318="Quantum",760,1220)-50)/INDEX('Laminates- copilot'!$E$6:$E$257,ROUNDUP((ROW()-5)/3,0))))),"Data is missing"))</f>
        <v>0.24683027464807961</v>
      </c>
      <c r="AK318" s="203">
        <f t="shared" si="77"/>
        <v>329.10703286410615</v>
      </c>
      <c r="AL318" t="str">
        <f t="shared" si="78"/>
        <v>PASS</v>
      </c>
      <c r="AM318" s="50" t="str">
        <f t="shared" si="79"/>
        <v/>
      </c>
    </row>
    <row r="319" spans="1:39" hidden="1">
      <c r="A319" t="s">
        <v>1947</v>
      </c>
      <c r="B319" t="s">
        <v>261</v>
      </c>
      <c r="C319" s="50" t="s">
        <v>2207</v>
      </c>
      <c r="D319" t="str">
        <f>'Laminates- copilot'!B110</f>
        <v>818W</v>
      </c>
      <c r="E319" s="858">
        <f>'Laminates- copilot'!D110</f>
        <v>103</v>
      </c>
      <c r="F319" s="858">
        <v>350</v>
      </c>
      <c r="G319" s="858">
        <v>400</v>
      </c>
      <c r="H319" s="858">
        <v>60</v>
      </c>
      <c r="I319" s="858">
        <v>0</v>
      </c>
      <c r="J319" s="858">
        <v>820</v>
      </c>
      <c r="K319" s="858">
        <v>100000</v>
      </c>
      <c r="L319" s="858" t="str">
        <f>'Laminates- copilot'!K110</f>
        <v>Not Printed</v>
      </c>
      <c r="M319" s="858" t="str">
        <f>'Laminates- copilot'!L110</f>
        <v>0</v>
      </c>
      <c r="N319" s="858">
        <f>'Laminates- copilot'!M110</f>
        <v>1</v>
      </c>
      <c r="O319" s="858" t="str">
        <f>'Laminates- copilot'!O110</f>
        <v>Bastin</v>
      </c>
      <c r="P319" s="858" t="str">
        <f>'Laminates- copilot'!N110</f>
        <v>Europe to Europe</v>
      </c>
      <c r="Q319" s="858">
        <f t="shared" si="64"/>
        <v>40000</v>
      </c>
      <c r="R319" s="858">
        <f t="shared" si="65"/>
        <v>40000</v>
      </c>
      <c r="S319" s="858">
        <f>IFERROR('Laminates- copilot'!Q110/'Laminates- copilot'!P110*Q319,"")</f>
        <v>1559.18</v>
      </c>
      <c r="T319" s="203">
        <f>IFERROR('Laminates- copilot'!R110/'Laminates- copilot'!P110*Q319,"")</f>
        <v>17652.56134140625</v>
      </c>
      <c r="U319" s="912">
        <f>IFERROR('Laminates- copilot'!S110/'Laminates- copilot'!P110*Q319,"")</f>
        <v>20476.971156031246</v>
      </c>
      <c r="V319" s="913">
        <f t="shared" si="66"/>
        <v>11.321695597305153</v>
      </c>
      <c r="W319" s="914">
        <f t="shared" si="67"/>
        <v>13.133166892873975</v>
      </c>
      <c r="X319" s="913">
        <f t="shared" si="68"/>
        <v>0.44131403353515625</v>
      </c>
      <c r="Y319" s="913">
        <f t="shared" si="69"/>
        <v>11.321695597305153</v>
      </c>
      <c r="Z319" s="95">
        <f t="shared" si="70"/>
        <v>32069</v>
      </c>
      <c r="AA319" s="50" t="str">
        <f t="shared" si="71"/>
        <v>MOQ OK</v>
      </c>
      <c r="AB319" s="923">
        <f t="shared" si="72"/>
        <v>0.31917355171111278</v>
      </c>
      <c r="AC319" s="924">
        <f t="shared" si="73"/>
        <v>0.37024131998489079</v>
      </c>
      <c r="AD319" s="203">
        <f t="shared" si="74"/>
        <v>31917.355171111278</v>
      </c>
      <c r="AE319" s="912">
        <f t="shared" si="75"/>
        <v>37024.13199848908</v>
      </c>
      <c r="AF319" s="923" cm="1">
        <f t="array" ref="AF319">IF(O319="Quantum",IFERROR(_xlfn.LET(_xlpm.b,_xlfn.SWITCH(LOWER(B319),"zipper bag","Zipper pouch","open bag","Open pouch","sup with zipper","Stand-up pouch","stand-up pouch","Stand-up pouch",B319),_xlpm.w,G319,_xlpm.q,K319,_xlpm.types,'Converting-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missing"),IFERROR(_xlfn.LET(_xlpm.s,O319,_xlpm.b,_xlfn.SWITCH(LOWER(B319),"zipper bag","Zipper pouch","open bag","Open pouch",B319),_xlpm.w,G319,_xlpm.q,K319,_xlpm.src,'Converting-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319" s="923">
        <f>IFERROR(IF(OR(B319="Zipper pouch",B319="SUP with zipper"),HELPER!$DE$2*(AH319+AI319)/K319,HELPER!$DE$2*AH319/K319),"Data is missing")</f>
        <v>2.9934842012109375E-3</v>
      </c>
      <c r="AH319" s="923">
        <f t="shared" si="76"/>
        <v>0.44131403353515625</v>
      </c>
      <c r="AI319" s="923">
        <f>IF(OR(B319="Zipper pouch",B319="SUP with zipper"),HELPER!$DC$2*G319/1000,"")</f>
        <v>5.7599999999999991E-2</v>
      </c>
      <c r="AJ319" s="923" cm="1">
        <f t="array" ref="AJ319">IF(INDEX('Laminates- copilot'!$E$6:$E$257,ROUNDUP((ROW()-5)/3,0))+50&gt;IF(O319="Quantum",760,1220),"Width exceeds supplier maximum",IFERROR(AF319+AG319+N(AI319)+AH319*G319/1000/MAX(1,MIN(MAX(2,INT(900/INDEX('Laminates- copilot'!$E$6:$E$257,ROUNDUP((ROW()-5)/3,0)))),INT((IF(O319="Quantum",760,1220)-50)/INDEX('Laminates- copilot'!$E$6:$E$257,ROUNDUP((ROW()-5)/3,0))))),"Data is missing"))</f>
        <v>0.2393801637833346</v>
      </c>
      <c r="AK319" s="203">
        <f t="shared" si="77"/>
        <v>319.17355171111279</v>
      </c>
      <c r="AL319" t="str">
        <f t="shared" si="78"/>
        <v>PASS</v>
      </c>
      <c r="AM319" s="50" t="str">
        <f t="shared" si="79"/>
        <v/>
      </c>
    </row>
    <row r="320" spans="1:39" hidden="1">
      <c r="A320" t="s">
        <v>1948</v>
      </c>
      <c r="B320" t="s">
        <v>262</v>
      </c>
      <c r="C320" s="50" t="s">
        <v>2207</v>
      </c>
      <c r="D320" t="str">
        <f>'Laminates- copilot'!B110</f>
        <v>818W</v>
      </c>
      <c r="E320" s="858">
        <f>'Laminates- copilot'!D110</f>
        <v>103</v>
      </c>
      <c r="F320" s="858">
        <v>350</v>
      </c>
      <c r="G320" s="858">
        <v>400</v>
      </c>
      <c r="H320" s="858">
        <v>0</v>
      </c>
      <c r="I320" s="858">
        <v>0</v>
      </c>
      <c r="J320" s="858">
        <v>700</v>
      </c>
      <c r="K320" s="858">
        <v>100000</v>
      </c>
      <c r="L320" s="858" t="str">
        <f>'Laminates- copilot'!K110</f>
        <v>Not Printed</v>
      </c>
      <c r="M320" s="858" t="str">
        <f>'Laminates- copilot'!L110</f>
        <v>0</v>
      </c>
      <c r="N320" s="858">
        <f>'Laminates- copilot'!M110</f>
        <v>1</v>
      </c>
      <c r="O320" s="858" t="str">
        <f>'Laminates- copilot'!O110</f>
        <v>Bastin</v>
      </c>
      <c r="P320" s="858" t="str">
        <f>'Laminates- copilot'!N110</f>
        <v>Europe to Europe</v>
      </c>
      <c r="Q320" s="858">
        <f t="shared" si="64"/>
        <v>40000</v>
      </c>
      <c r="R320" s="858">
        <f t="shared" si="65"/>
        <v>40000</v>
      </c>
      <c r="S320" s="858">
        <f>IFERROR('Laminates- copilot'!Q110/'Laminates- copilot'!P110*Q320,"")</f>
        <v>1559.18</v>
      </c>
      <c r="T320" s="203">
        <f>IFERROR('Laminates- copilot'!R110/'Laminates- copilot'!P110*Q320,"")</f>
        <v>17652.56134140625</v>
      </c>
      <c r="U320" s="912">
        <f>IFERROR('Laminates- copilot'!S110/'Laminates- copilot'!P110*Q320,"")</f>
        <v>20476.971156031246</v>
      </c>
      <c r="V320" s="913">
        <f t="shared" si="66"/>
        <v>11.321695597305153</v>
      </c>
      <c r="W320" s="914">
        <f t="shared" si="67"/>
        <v>13.133166892873975</v>
      </c>
      <c r="X320" s="913">
        <f t="shared" si="68"/>
        <v>0.44131403353515625</v>
      </c>
      <c r="Y320" s="913">
        <f t="shared" si="69"/>
        <v>11.321695597305153</v>
      </c>
      <c r="Z320" s="95">
        <f t="shared" si="70"/>
        <v>32069</v>
      </c>
      <c r="AA320" s="50" t="str">
        <f t="shared" si="71"/>
        <v>MOQ OK</v>
      </c>
      <c r="AB320" s="923">
        <f t="shared" si="72"/>
        <v>0.22878475332369086</v>
      </c>
      <c r="AC320" s="924">
        <f t="shared" si="73"/>
        <v>0.2653903138554814</v>
      </c>
      <c r="AD320" s="203">
        <f t="shared" si="74"/>
        <v>22878.475332369086</v>
      </c>
      <c r="AE320" s="912">
        <f t="shared" si="75"/>
        <v>26539.031385548136</v>
      </c>
      <c r="AF320" s="923" cm="1">
        <f t="array" ref="AF320">IF(O320="Quantum",IFERROR(_xlfn.LET(_xlpm.b,_xlfn.SWITCH(LOWER(B320),"zipper bag","Zipper pouch","open bag","Open pouch","sup with zipper","Stand-up pouch","stand-up pouch","Stand-up pouch",B320),_xlpm.w,G320,_xlpm.q,K320,_xlpm.types,'Converting-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missing"),IFERROR(_xlfn.LET(_xlpm.s,O320,_xlpm.b,_xlfn.SWITCH(LOWER(B320),"zipper bag","Zipper pouch","open bag","Open pouch",B320),_xlpm.w,G320,_xlpm.q,K320,_xlpm.src,'Converting-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320" s="923">
        <f>IFERROR(IF(OR(B320="Zipper pouch",B320="SUP with zipper"),HELPER!$DE$2*(AH320+AI320)/K320,HELPER!$DE$2*AH320/K320),"Data is missing")</f>
        <v>2.6478842012109373E-3</v>
      </c>
      <c r="AH320" s="923">
        <f t="shared" si="76"/>
        <v>0.44131403353515625</v>
      </c>
      <c r="AI320" s="923" t="str">
        <f>IF(OR(B320="Zipper pouch",B320="SUP with zipper"),HELPER!$DC$2*G320/1000,"")</f>
        <v/>
      </c>
      <c r="AJ320" s="923" cm="1">
        <f t="array" ref="AJ320">IF(INDEX('Laminates- copilot'!$E$6:$E$257,ROUNDUP((ROW()-5)/3,0))+50&gt;IF(O320="Quantum",760,1220),"Width exceeds supplier maximum",IFERROR(AF320+AG320+N(AI320)+AH320*G320/1000/MAX(1,MIN(MAX(2,INT(900/INDEX('Laminates- copilot'!$E$6:$E$257,ROUNDUP((ROW()-5)/3,0)))),INT((IF(O320="Quantum",760,1220)-50)/INDEX('Laminates- copilot'!$E$6:$E$257,ROUNDUP((ROW()-5)/3,0))))),"Data is missing"))</f>
        <v>0.17158856499276814</v>
      </c>
      <c r="AK320" s="203">
        <f t="shared" si="77"/>
        <v>228.78475332369086</v>
      </c>
      <c r="AL320" t="str">
        <f t="shared" si="78"/>
        <v>PASS</v>
      </c>
      <c r="AM320" s="50" t="str">
        <f t="shared" si="79"/>
        <v/>
      </c>
    </row>
    <row r="321" spans="1:39" hidden="1">
      <c r="A321" t="s">
        <v>1949</v>
      </c>
      <c r="B321" t="s">
        <v>251</v>
      </c>
      <c r="C321" s="50" t="s">
        <v>2208</v>
      </c>
      <c r="D321" t="str">
        <f>'Laminates- copilot'!B111</f>
        <v>818W</v>
      </c>
      <c r="E321" s="858">
        <f>'Laminates- copilot'!D111</f>
        <v>103</v>
      </c>
      <c r="F321" s="858">
        <v>400</v>
      </c>
      <c r="G321" s="858">
        <v>500</v>
      </c>
      <c r="H321" s="858">
        <v>80</v>
      </c>
      <c r="I321" s="858">
        <v>0</v>
      </c>
      <c r="J321" s="858">
        <v>960</v>
      </c>
      <c r="K321" s="858">
        <v>100000</v>
      </c>
      <c r="L321" s="858" t="str">
        <f>'Laminates- copilot'!K111</f>
        <v>Printed</v>
      </c>
      <c r="M321" s="858" t="str">
        <f>'Laminates- copilot'!L111</f>
        <v>3-4</v>
      </c>
      <c r="N321" s="858">
        <f>'Laminates- copilot'!M111</f>
        <v>4</v>
      </c>
      <c r="O321" s="858" t="str">
        <f>'Laminates- copilot'!O111</f>
        <v>Quantum</v>
      </c>
      <c r="P321" s="858" t="str">
        <f>'Laminates- copilot'!N111</f>
        <v>Europe to US</v>
      </c>
      <c r="Q321" s="858">
        <f t="shared" si="64"/>
        <v>50000</v>
      </c>
      <c r="R321" s="858">
        <f t="shared" si="65"/>
        <v>50000</v>
      </c>
      <c r="S321" s="858">
        <f>IFERROR('Laminates- copilot'!Q111/'Laminates- copilot'!P111*Q321,"")</f>
        <v>3341.099999999999</v>
      </c>
      <c r="T321" s="203">
        <f>IFERROR('Laminates- copilot'!R111/'Laminates- copilot'!P111*Q321,"")</f>
        <v>87743.157618324345</v>
      </c>
      <c r="U321" s="912">
        <f>IFERROR('Laminates- copilot'!S111/'Laminates- copilot'!P111*Q321,"")</f>
        <v>101782.06283725624</v>
      </c>
      <c r="V321" s="913">
        <f t="shared" si="66"/>
        <v>26.2617573907768</v>
      </c>
      <c r="W321" s="914">
        <f t="shared" si="67"/>
        <v>30.46363857330109</v>
      </c>
      <c r="X321" s="913">
        <f t="shared" si="68"/>
        <v>1.7548631523664868</v>
      </c>
      <c r="Y321" s="913">
        <f t="shared" si="69"/>
        <v>26.2617573907768</v>
      </c>
      <c r="Z321" s="95">
        <f t="shared" si="70"/>
        <v>14966</v>
      </c>
      <c r="AA321" s="50" t="str">
        <f t="shared" si="71"/>
        <v>MOQ OK</v>
      </c>
      <c r="AB321" s="923">
        <f t="shared" si="72"/>
        <v>1.6421811163467528</v>
      </c>
      <c r="AC321" s="924">
        <f t="shared" si="73"/>
        <v>1.9049300949622332</v>
      </c>
      <c r="AD321" s="203">
        <f t="shared" si="74"/>
        <v>164218.11163467527</v>
      </c>
      <c r="AE321" s="912">
        <f t="shared" si="75"/>
        <v>190493.0094962233</v>
      </c>
      <c r="AF321" s="923" cm="1">
        <f t="array" ref="AF321">IF(O321="Quantum",IFERROR(_xlfn.LET(_xlpm.b,_xlfn.SWITCH(LOWER(B321),"zipper bag","Zipper pouch","open bag","Open pouch","sup with zipper","Stand-up pouch","stand-up pouch","Stand-up pouch",B321),_xlpm.w,G321,_xlpm.q,K321,_xlpm.types,'Converting-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missing"),IFERROR(_xlfn.LET(_xlpm.s,O321,_xlpm.b,_xlfn.SWITCH(LOWER(B321),"zipper bag","Zipper pouch","open bag","Open pouch",B321),_xlpm.w,G321,_xlpm.q,K321,_xlpm.src,'Converting-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321" s="923">
        <f>IFERROR(IF(OR(B321="Zipper pouch",B321="SUP with zipper"),HELPER!$DE$2*(AH321+AI321)/K321,HELPER!$DE$2*AH321/K321),"Data is missing")</f>
        <v>1.0961178914198922E-2</v>
      </c>
      <c r="AH321" s="923">
        <f t="shared" si="76"/>
        <v>1.7548631523664868</v>
      </c>
      <c r="AI321" s="923">
        <f>IF(OR(B321="Zipper pouch",B321="SUP with zipper"),HELPER!$DC$2*G321/1000,"")</f>
        <v>7.1999999999999995E-2</v>
      </c>
      <c r="AJ321" s="923" cm="1">
        <f t="array" ref="AJ321">IF(INDEX('Laminates- copilot'!$E$6:$E$257,ROUNDUP((ROW()-5)/3,0))+50&gt;IF(O321="Quantum",760,1220),"Width exceeds supplier maximum",IFERROR(AF321+AG321+N(AI321)+AH321*G321/1000/MAX(1,MIN(MAX(2,INT(900/INDEX('Laminates- copilot'!$E$6:$E$257,ROUNDUP((ROW()-5)/3,0)))),INT((IF(O321="Quantum",760,1220)-50)/INDEX('Laminates- copilot'!$E$6:$E$257,ROUNDUP((ROW()-5)/3,0))))),"Data is missing"))</f>
        <v>1.2316358372600646</v>
      </c>
      <c r="AK321" s="203">
        <f t="shared" si="77"/>
        <v>1642.1811163467528</v>
      </c>
      <c r="AL321" t="str">
        <f t="shared" si="78"/>
        <v>PASS</v>
      </c>
      <c r="AM321" s="50" t="str">
        <f t="shared" si="79"/>
        <v/>
      </c>
    </row>
    <row r="322" spans="1:39" hidden="1">
      <c r="A322" t="s">
        <v>1950</v>
      </c>
      <c r="B322" t="s">
        <v>261</v>
      </c>
      <c r="C322" s="50" t="s">
        <v>2208</v>
      </c>
      <c r="D322" t="str">
        <f>'Laminates- copilot'!B111</f>
        <v>818W</v>
      </c>
      <c r="E322" s="858">
        <f>'Laminates- copilot'!D111</f>
        <v>103</v>
      </c>
      <c r="F322" s="858">
        <v>400</v>
      </c>
      <c r="G322" s="858">
        <v>500</v>
      </c>
      <c r="H322" s="858">
        <v>80</v>
      </c>
      <c r="I322" s="858">
        <v>0</v>
      </c>
      <c r="J322" s="858">
        <v>960</v>
      </c>
      <c r="K322" s="858">
        <v>100000</v>
      </c>
      <c r="L322" s="858" t="str">
        <f>'Laminates- copilot'!K111</f>
        <v>Printed</v>
      </c>
      <c r="M322" s="858" t="str">
        <f>'Laminates- copilot'!L111</f>
        <v>3-4</v>
      </c>
      <c r="N322" s="858">
        <f>'Laminates- copilot'!M111</f>
        <v>4</v>
      </c>
      <c r="O322" s="858" t="str">
        <f>'Laminates- copilot'!O111</f>
        <v>Quantum</v>
      </c>
      <c r="P322" s="858" t="str">
        <f>'Laminates- copilot'!N111</f>
        <v>Europe to US</v>
      </c>
      <c r="Q322" s="858">
        <f t="shared" si="64"/>
        <v>50000</v>
      </c>
      <c r="R322" s="858">
        <f t="shared" si="65"/>
        <v>50000</v>
      </c>
      <c r="S322" s="858">
        <f>IFERROR('Laminates- copilot'!Q111/'Laminates- copilot'!P111*Q322,"")</f>
        <v>3341.099999999999</v>
      </c>
      <c r="T322" s="203">
        <f>IFERROR('Laminates- copilot'!R111/'Laminates- copilot'!P111*Q322,"")</f>
        <v>87743.157618324345</v>
      </c>
      <c r="U322" s="912">
        <f>IFERROR('Laminates- copilot'!S111/'Laminates- copilot'!P111*Q322,"")</f>
        <v>101782.06283725624</v>
      </c>
      <c r="V322" s="913">
        <f t="shared" si="66"/>
        <v>26.2617573907768</v>
      </c>
      <c r="W322" s="914">
        <f t="shared" si="67"/>
        <v>30.46363857330109</v>
      </c>
      <c r="X322" s="913">
        <f t="shared" si="68"/>
        <v>1.7548631523664868</v>
      </c>
      <c r="Y322" s="913">
        <f t="shared" si="69"/>
        <v>26.2617573907768</v>
      </c>
      <c r="Z322" s="95">
        <f t="shared" si="70"/>
        <v>14966</v>
      </c>
      <c r="AA322" s="50" t="str">
        <f t="shared" si="71"/>
        <v>MOQ OK</v>
      </c>
      <c r="AB322" s="923">
        <f t="shared" si="72"/>
        <v>1.6027632395512688</v>
      </c>
      <c r="AC322" s="924">
        <f t="shared" si="73"/>
        <v>1.8592053578794716</v>
      </c>
      <c r="AD322" s="203">
        <f t="shared" si="74"/>
        <v>160276.32395512686</v>
      </c>
      <c r="AE322" s="912">
        <f t="shared" si="75"/>
        <v>185920.53578794716</v>
      </c>
      <c r="AF322" s="923" cm="1">
        <f t="array" ref="AF322">IF(O322="Quantum",IFERROR(_xlfn.LET(_xlpm.b,_xlfn.SWITCH(LOWER(B322),"zipper bag","Zipper pouch","open bag","Open pouch","sup with zipper","Stand-up pouch","stand-up pouch","Stand-up pouch",B322),_xlpm.w,G322,_xlpm.q,K322,_xlpm.types,'Converting-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missing"),IFERROR(_xlfn.LET(_xlpm.s,O322,_xlpm.b,_xlfn.SWITCH(LOWER(B322),"zipper bag","Zipper pouch","open bag","Open pouch",B322),_xlpm.w,G322,_xlpm.q,K322,_xlpm.src,'Converting-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322" s="923">
        <f>IFERROR(IF(OR(B322="Zipper pouch",B322="SUP with zipper"),HELPER!$DE$2*(AH322+AI322)/K322,HELPER!$DE$2*AH322/K322),"Data is missing")</f>
        <v>1.0961178914198922E-2</v>
      </c>
      <c r="AH322" s="923">
        <f t="shared" si="76"/>
        <v>1.7548631523664868</v>
      </c>
      <c r="AI322" s="923">
        <f>IF(OR(B322="Zipper pouch",B322="SUP with zipper"),HELPER!$DC$2*G322/1000,"")</f>
        <v>7.1999999999999995E-2</v>
      </c>
      <c r="AJ322" s="923" cm="1">
        <f t="array" ref="AJ322">IF(INDEX('Laminates- copilot'!$E$6:$E$257,ROUNDUP((ROW()-5)/3,0))+50&gt;IF(O322="Quantum",760,1220),"Width exceeds supplier maximum",IFERROR(AF322+AG322+N(AI322)+AH322*G322/1000/MAX(1,MIN(MAX(2,INT(900/INDEX('Laminates- copilot'!$E$6:$E$257,ROUNDUP((ROW()-5)/3,0)))),INT((IF(O322="Quantum",760,1220)-50)/INDEX('Laminates- copilot'!$E$6:$E$257,ROUNDUP((ROW()-5)/3,0))))),"Data is missing"))</f>
        <v>1.2020724296634515</v>
      </c>
      <c r="AK322" s="203">
        <f t="shared" si="77"/>
        <v>1602.7632395512687</v>
      </c>
      <c r="AL322" t="str">
        <f t="shared" si="78"/>
        <v>PASS</v>
      </c>
      <c r="AM322" s="50" t="str">
        <f t="shared" si="79"/>
        <v/>
      </c>
    </row>
    <row r="323" spans="1:39" hidden="1">
      <c r="A323" t="s">
        <v>1951</v>
      </c>
      <c r="B323" t="s">
        <v>262</v>
      </c>
      <c r="C323" s="50" t="s">
        <v>2208</v>
      </c>
      <c r="D323" t="str">
        <f>'Laminates- copilot'!B111</f>
        <v>818W</v>
      </c>
      <c r="E323" s="858">
        <f>'Laminates- copilot'!D111</f>
        <v>103</v>
      </c>
      <c r="F323" s="858">
        <v>400</v>
      </c>
      <c r="G323" s="858">
        <v>500</v>
      </c>
      <c r="H323" s="858">
        <v>0</v>
      </c>
      <c r="I323" s="858">
        <v>20</v>
      </c>
      <c r="J323" s="858">
        <v>820</v>
      </c>
      <c r="K323" s="858">
        <v>100000</v>
      </c>
      <c r="L323" s="858" t="str">
        <f>'Laminates- copilot'!K111</f>
        <v>Printed</v>
      </c>
      <c r="M323" s="858" t="str">
        <f>'Laminates- copilot'!L111</f>
        <v>3-4</v>
      </c>
      <c r="N323" s="858">
        <f>'Laminates- copilot'!M111</f>
        <v>4</v>
      </c>
      <c r="O323" s="858" t="str">
        <f>'Laminates- copilot'!O111</f>
        <v>Quantum</v>
      </c>
      <c r="P323" s="858" t="str">
        <f>'Laminates- copilot'!N111</f>
        <v>Europe to US</v>
      </c>
      <c r="Q323" s="858">
        <f t="shared" si="64"/>
        <v>50000</v>
      </c>
      <c r="R323" s="858">
        <f t="shared" si="65"/>
        <v>50000</v>
      </c>
      <c r="S323" s="858">
        <f>IFERROR('Laminates- copilot'!Q111/'Laminates- copilot'!P111*Q323,"")</f>
        <v>3341.099999999999</v>
      </c>
      <c r="T323" s="203">
        <f>IFERROR('Laminates- copilot'!R111/'Laminates- copilot'!P111*Q323,"")</f>
        <v>87743.157618324345</v>
      </c>
      <c r="U323" s="912">
        <f>IFERROR('Laminates- copilot'!S111/'Laminates- copilot'!P111*Q323,"")</f>
        <v>101782.06283725624</v>
      </c>
      <c r="V323" s="913">
        <f t="shared" si="66"/>
        <v>26.2617573907768</v>
      </c>
      <c r="W323" s="914">
        <f t="shared" si="67"/>
        <v>30.46363857330109</v>
      </c>
      <c r="X323" s="913">
        <f t="shared" si="68"/>
        <v>1.7548631523664868</v>
      </c>
      <c r="Y323" s="913">
        <f t="shared" si="69"/>
        <v>26.2617573907768</v>
      </c>
      <c r="Z323" s="95">
        <f t="shared" si="70"/>
        <v>14966</v>
      </c>
      <c r="AA323" s="50" t="str">
        <f t="shared" si="71"/>
        <v>MOQ OK</v>
      </c>
      <c r="AB323" s="923">
        <f t="shared" si="72"/>
        <v>1.4723540875401688</v>
      </c>
      <c r="AC323" s="924">
        <f t="shared" si="73"/>
        <v>1.7079307415465956</v>
      </c>
      <c r="AD323" s="203">
        <f t="shared" si="74"/>
        <v>147235.40875401688</v>
      </c>
      <c r="AE323" s="912">
        <f t="shared" si="75"/>
        <v>170793.07415465958</v>
      </c>
      <c r="AF323" s="923" cm="1">
        <f t="array" ref="AF323">IF(O323="Quantum",IFERROR(_xlfn.LET(_xlpm.b,_xlfn.SWITCH(LOWER(B323),"zipper bag","Zipper pouch","open bag","Open pouch","sup with zipper","Stand-up pouch","stand-up pouch","Stand-up pouch",B323),_xlpm.w,G323,_xlpm.q,K323,_xlpm.types,'Converting-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missing"),IFERROR(_xlfn.LET(_xlpm.s,O323,_xlpm.b,_xlfn.SWITCH(LOWER(B323),"zipper bag","Zipper pouch","open bag","Open pouch",B323),_xlpm.w,G323,_xlpm.q,K323,_xlpm.src,'Converting-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323" s="923">
        <f>IFERROR(IF(OR(B323="Zipper pouch",B323="SUP with zipper"),HELPER!$DE$2*(AH323+AI323)/K323,HELPER!$DE$2*AH323/K323),"Data is missing")</f>
        <v>1.0529178914198922E-2</v>
      </c>
      <c r="AH323" s="923">
        <f t="shared" si="76"/>
        <v>1.7548631523664868</v>
      </c>
      <c r="AI323" s="923" t="str">
        <f>IF(OR(B323="Zipper pouch",B323="SUP with zipper"),HELPER!$DC$2*G323/1000,"")</f>
        <v/>
      </c>
      <c r="AJ323" s="923" cm="1">
        <f t="array" ref="AJ323">IF(INDEX('Laminates- copilot'!$E$6:$E$257,ROUNDUP((ROW()-5)/3,0))+50&gt;IF(O323="Quantum",760,1220),"Width exceeds supplier maximum",IFERROR(AF323+AG323+N(AI323)+AH323*G323/1000/MAX(1,MIN(MAX(2,INT(900/INDEX('Laminates- copilot'!$E$6:$E$257,ROUNDUP((ROW()-5)/3,0)))),INT((IF(O323="Quantum",760,1220)-50)/INDEX('Laminates- copilot'!$E$6:$E$257,ROUNDUP((ROW()-5)/3,0))))),"Data is missing"))</f>
        <v>1.1042655656551266</v>
      </c>
      <c r="AK323" s="203">
        <f t="shared" si="77"/>
        <v>1472.3540875401688</v>
      </c>
      <c r="AL323" t="str">
        <f t="shared" si="78"/>
        <v>PASS</v>
      </c>
      <c r="AM323" s="50" t="str">
        <f t="shared" si="79"/>
        <v/>
      </c>
    </row>
    <row r="324" spans="1:39" hidden="1">
      <c r="A324" t="s">
        <v>1952</v>
      </c>
      <c r="B324" t="s">
        <v>251</v>
      </c>
      <c r="C324" s="50" t="s">
        <v>2209</v>
      </c>
      <c r="D324" t="str">
        <f>'Laminates- copilot'!B112</f>
        <v>818W</v>
      </c>
      <c r="E324" s="858">
        <f>'Laminates- copilot'!D112</f>
        <v>103</v>
      </c>
      <c r="F324" s="858">
        <v>600</v>
      </c>
      <c r="G324" s="858">
        <v>200</v>
      </c>
      <c r="H324" s="858">
        <v>50</v>
      </c>
      <c r="I324" s="858">
        <v>0</v>
      </c>
      <c r="J324" s="858">
        <v>1300</v>
      </c>
      <c r="K324" s="858">
        <v>200000</v>
      </c>
      <c r="L324" s="858" t="str">
        <f>'Laminates- copilot'!K112</f>
        <v>Printed</v>
      </c>
      <c r="M324" s="858" t="str">
        <f>'Laminates- copilot'!L112</f>
        <v>5-8</v>
      </c>
      <c r="N324" s="858">
        <f>'Laminates- copilot'!M112</f>
        <v>8</v>
      </c>
      <c r="O324" s="858" t="str">
        <f>'Laminates- copilot'!O112</f>
        <v>Marma</v>
      </c>
      <c r="P324" s="858" t="str">
        <f>'Laminates- copilot'!N112</f>
        <v>Europe to Europe</v>
      </c>
      <c r="Q324" s="858">
        <f t="shared" si="64"/>
        <v>40000</v>
      </c>
      <c r="R324" s="858">
        <f t="shared" si="65"/>
        <v>40000</v>
      </c>
      <c r="S324" s="858">
        <f>IFERROR('Laminates- copilot'!Q112/'Laminates- copilot'!P112*Q324,"")</f>
        <v>4009.3199999999997</v>
      </c>
      <c r="T324" s="203">
        <f>IFERROR('Laminates- copilot'!R112/'Laminates- copilot'!P112*Q324,"")</f>
        <v>52586.131546225755</v>
      </c>
      <c r="U324" s="912">
        <f>IFERROR('Laminates- copilot'!S112/'Laminates- copilot'!P112*Q324,"")</f>
        <v>60999.912593621877</v>
      </c>
      <c r="V324" s="913">
        <f t="shared" si="66"/>
        <v>13.115972670234793</v>
      </c>
      <c r="W324" s="914">
        <f t="shared" si="67"/>
        <v>15.214528297472359</v>
      </c>
      <c r="X324" s="913">
        <f t="shared" si="68"/>
        <v>1.3146532886556439</v>
      </c>
      <c r="Y324" s="913">
        <f t="shared" si="69"/>
        <v>13.115972670234793</v>
      </c>
      <c r="Z324" s="95">
        <f t="shared" si="70"/>
        <v>24942</v>
      </c>
      <c r="AA324" s="50" t="str">
        <f t="shared" si="71"/>
        <v>MOQ OK</v>
      </c>
      <c r="AB324" s="923">
        <f t="shared" si="72"/>
        <v>0.45231387712133087</v>
      </c>
      <c r="AC324" s="924">
        <f t="shared" si="73"/>
        <v>0.52468409746074374</v>
      </c>
      <c r="AD324" s="203">
        <f t="shared" si="74"/>
        <v>90462.775424266176</v>
      </c>
      <c r="AE324" s="912">
        <f t="shared" si="75"/>
        <v>104936.81949214876</v>
      </c>
      <c r="AF324" s="923" cm="1">
        <f t="array" ref="AF324">IF(O324="Quantum",IFERROR(_xlfn.LET(_xlpm.b,_xlfn.SWITCH(LOWER(B324),"zipper bag","Zipper pouch","open bag","Open pouch","sup with zipper","Stand-up pouch","stand-up pouch","Stand-up pouch",B324),_xlpm.w,G324,_xlpm.q,K324,_xlpm.types,'Converting-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missing"),IFERROR(_xlfn.LET(_xlpm.s,O324,_xlpm.b,_xlfn.SWITCH(LOWER(B324),"zipper bag","Zipper pouch","open bag","Open pouch",B324),_xlpm.w,G324,_xlpm.q,K324,_xlpm.src,'Converting-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324" s="923">
        <f>IFERROR(IF(OR(B324="Zipper pouch",B324="SUP with zipper"),HELPER!$DE$2*(AH324+AI324)/K324,HELPER!$DE$2*AH324/K324),"Data is missing")</f>
        <v>4.0303598659669317E-3</v>
      </c>
      <c r="AH324" s="923">
        <f t="shared" si="76"/>
        <v>1.3146532886556439</v>
      </c>
      <c r="AI324" s="923">
        <f>IF(OR(B324="Zipper pouch",B324="SUP with zipper"),HELPER!$DC$2*G324/1000,"")</f>
        <v>2.8799999999999996E-2</v>
      </c>
      <c r="AJ324" s="923" cm="1">
        <f t="array" ref="AJ324">IF(INDEX('Laminates- copilot'!$E$6:$E$257,ROUNDUP((ROW()-5)/3,0))+50&gt;IF(O324="Quantum",760,1220),"Width exceeds supplier maximum",IFERROR(AF324+AG324+N(AI324)+AH324*G324/1000/MAX(1,MIN(MAX(2,INT(900/INDEX('Laminates- copilot'!$E$6:$E$257,ROUNDUP((ROW()-5)/3,0)))),INT((IF(O324="Quantum",760,1220)-50)/INDEX('Laminates- copilot'!$E$6:$E$257,ROUNDUP((ROW()-5)/3,0))))),"Data is missing"))</f>
        <v>0.33923540784099815</v>
      </c>
      <c r="AK324" s="203">
        <f t="shared" si="77"/>
        <v>452.31387712133085</v>
      </c>
      <c r="AL324" t="str">
        <f t="shared" si="78"/>
        <v>PASS</v>
      </c>
      <c r="AM324" s="50" t="str">
        <f t="shared" si="79"/>
        <v/>
      </c>
    </row>
    <row r="325" spans="1:39" hidden="1">
      <c r="A325" t="s">
        <v>1953</v>
      </c>
      <c r="B325" t="s">
        <v>261</v>
      </c>
      <c r="C325" s="50" t="s">
        <v>2209</v>
      </c>
      <c r="D325" t="str">
        <f>'Laminates- copilot'!B112</f>
        <v>818W</v>
      </c>
      <c r="E325" s="858">
        <f>'Laminates- copilot'!D112</f>
        <v>103</v>
      </c>
      <c r="F325" s="858">
        <v>600</v>
      </c>
      <c r="G325" s="858">
        <v>200</v>
      </c>
      <c r="H325" s="858">
        <v>50</v>
      </c>
      <c r="I325" s="858">
        <v>0</v>
      </c>
      <c r="J325" s="858">
        <v>1300</v>
      </c>
      <c r="K325" s="858">
        <v>200000</v>
      </c>
      <c r="L325" s="858" t="str">
        <f>'Laminates- copilot'!K112</f>
        <v>Printed</v>
      </c>
      <c r="M325" s="858" t="str">
        <f>'Laminates- copilot'!L112</f>
        <v>5-8</v>
      </c>
      <c r="N325" s="858">
        <f>'Laminates- copilot'!M112</f>
        <v>8</v>
      </c>
      <c r="O325" s="858" t="str">
        <f>'Laminates- copilot'!O112</f>
        <v>Marma</v>
      </c>
      <c r="P325" s="858" t="str">
        <f>'Laminates- copilot'!N112</f>
        <v>Europe to Europe</v>
      </c>
      <c r="Q325" s="858">
        <f t="shared" si="64"/>
        <v>40000</v>
      </c>
      <c r="R325" s="858">
        <f t="shared" si="65"/>
        <v>40000</v>
      </c>
      <c r="S325" s="858">
        <f>IFERROR('Laminates- copilot'!Q112/'Laminates- copilot'!P112*Q325,"")</f>
        <v>4009.3199999999997</v>
      </c>
      <c r="T325" s="203">
        <f>IFERROR('Laminates- copilot'!R112/'Laminates- copilot'!P112*Q325,"")</f>
        <v>52586.131546225755</v>
      </c>
      <c r="U325" s="912">
        <f>IFERROR('Laminates- copilot'!S112/'Laminates- copilot'!P112*Q325,"")</f>
        <v>60999.912593621877</v>
      </c>
      <c r="V325" s="913">
        <f t="shared" si="66"/>
        <v>13.115972670234793</v>
      </c>
      <c r="W325" s="914">
        <f t="shared" si="67"/>
        <v>15.214528297472359</v>
      </c>
      <c r="X325" s="913">
        <f t="shared" si="68"/>
        <v>1.3146532886556439</v>
      </c>
      <c r="Y325" s="913">
        <f t="shared" si="69"/>
        <v>13.115972670234793</v>
      </c>
      <c r="Z325" s="95">
        <f t="shared" si="70"/>
        <v>24942</v>
      </c>
      <c r="AA325" s="50" t="str">
        <f t="shared" si="71"/>
        <v>MOQ OK</v>
      </c>
      <c r="AB325" s="923">
        <f t="shared" si="72"/>
        <v>0.44758364800085787</v>
      </c>
      <c r="AC325" s="924">
        <f t="shared" si="73"/>
        <v>0.51919703168099507</v>
      </c>
      <c r="AD325" s="203">
        <f t="shared" si="74"/>
        <v>89516.729600171573</v>
      </c>
      <c r="AE325" s="912">
        <f t="shared" si="75"/>
        <v>103839.40633619901</v>
      </c>
      <c r="AF325" s="923" cm="1">
        <f t="array" ref="AF325">IF(O325="Quantum",IFERROR(_xlfn.LET(_xlpm.b,_xlfn.SWITCH(LOWER(B325),"zipper bag","Zipper pouch","open bag","Open pouch","sup with zipper","Stand-up pouch","stand-up pouch","Stand-up pouch",B325),_xlpm.w,G325,_xlpm.q,K325,_xlpm.types,'Converting-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missing"),IFERROR(_xlfn.LET(_xlpm.s,O325,_xlpm.b,_xlfn.SWITCH(LOWER(B325),"zipper bag","Zipper pouch","open bag","Open pouch",B325),_xlpm.w,G325,_xlpm.q,K325,_xlpm.src,'Converting-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325" s="923">
        <f>IFERROR(IF(OR(B325="Zipper pouch",B325="SUP with zipper"),HELPER!$DE$2*(AH325+AI325)/K325,HELPER!$DE$2*AH325/K325),"Data is missing")</f>
        <v>4.0303598659669317E-3</v>
      </c>
      <c r="AH325" s="923">
        <f t="shared" si="76"/>
        <v>1.3146532886556439</v>
      </c>
      <c r="AI325" s="923">
        <f>IF(OR(B325="Zipper pouch",B325="SUP with zipper"),HELPER!$DC$2*G325/1000,"")</f>
        <v>2.8799999999999996E-2</v>
      </c>
      <c r="AJ325" s="923" cm="1">
        <f t="array" ref="AJ325">IF(INDEX('Laminates- copilot'!$E$6:$E$257,ROUNDUP((ROW()-5)/3,0))+50&gt;IF(O325="Quantum",760,1220),"Width exceeds supplier maximum",IFERROR(AF325+AG325+N(AI325)+AH325*G325/1000/MAX(1,MIN(MAX(2,INT(900/INDEX('Laminates- copilot'!$E$6:$E$257,ROUNDUP((ROW()-5)/3,0)))),INT((IF(O325="Quantum",760,1220)-50)/INDEX('Laminates- copilot'!$E$6:$E$257,ROUNDUP((ROW()-5)/3,0))))),"Data is missing"))</f>
        <v>0.33568773600064339</v>
      </c>
      <c r="AK325" s="203">
        <f t="shared" si="77"/>
        <v>447.58364800085786</v>
      </c>
      <c r="AL325" t="str">
        <f t="shared" si="78"/>
        <v>PASS</v>
      </c>
      <c r="AM325" s="50" t="str">
        <f t="shared" si="79"/>
        <v/>
      </c>
    </row>
    <row r="326" spans="1:39" hidden="1">
      <c r="A326" t="s">
        <v>1954</v>
      </c>
      <c r="B326" t="s">
        <v>262</v>
      </c>
      <c r="C326" s="50" t="s">
        <v>2209</v>
      </c>
      <c r="D326" t="str">
        <f>'Laminates- copilot'!B112</f>
        <v>818W</v>
      </c>
      <c r="E326" s="858">
        <f>'Laminates- copilot'!D112</f>
        <v>103</v>
      </c>
      <c r="F326" s="858">
        <v>600</v>
      </c>
      <c r="G326" s="858">
        <v>200</v>
      </c>
      <c r="H326" s="858">
        <v>0</v>
      </c>
      <c r="I326" s="858">
        <v>0</v>
      </c>
      <c r="J326" s="858">
        <v>1200</v>
      </c>
      <c r="K326" s="858">
        <v>200000</v>
      </c>
      <c r="L326" s="858" t="str">
        <f>'Laminates- copilot'!K112</f>
        <v>Printed</v>
      </c>
      <c r="M326" s="858" t="str">
        <f>'Laminates- copilot'!L112</f>
        <v>5-8</v>
      </c>
      <c r="N326" s="858">
        <f>'Laminates- copilot'!M112</f>
        <v>8</v>
      </c>
      <c r="O326" s="858" t="str">
        <f>'Laminates- copilot'!O112</f>
        <v>Marma</v>
      </c>
      <c r="P326" s="858" t="str">
        <f>'Laminates- copilot'!N112</f>
        <v>Europe to Europe</v>
      </c>
      <c r="Q326" s="858">
        <f t="shared" ref="Q326:Q389" si="80">K326*G326/1000</f>
        <v>40000</v>
      </c>
      <c r="R326" s="858">
        <f t="shared" ref="R326:R389" si="81">Q326</f>
        <v>40000</v>
      </c>
      <c r="S326" s="858">
        <f>IFERROR('Laminates- copilot'!Q112/'Laminates- copilot'!P112*Q326,"")</f>
        <v>4009.3199999999997</v>
      </c>
      <c r="T326" s="203">
        <f>IFERROR('Laminates- copilot'!R112/'Laminates- copilot'!P112*Q326,"")</f>
        <v>52586.131546225755</v>
      </c>
      <c r="U326" s="912">
        <f>IFERROR('Laminates- copilot'!S112/'Laminates- copilot'!P112*Q326,"")</f>
        <v>60999.912593621877</v>
      </c>
      <c r="V326" s="913">
        <f t="shared" ref="V326:V389" si="82">IFERROR(T326/S326,"")</f>
        <v>13.115972670234793</v>
      </c>
      <c r="W326" s="914">
        <f t="shared" ref="W326:W389" si="83">IFERROR(U326/S326,"")</f>
        <v>15.214528297472359</v>
      </c>
      <c r="X326" s="913">
        <f t="shared" ref="X326:X389" si="84">IFERROR(T326/Q326,"")</f>
        <v>1.3146532886556439</v>
      </c>
      <c r="Y326" s="913">
        <f t="shared" ref="Y326:Y389" si="85">V326</f>
        <v>13.115972670234793</v>
      </c>
      <c r="Z326" s="95">
        <f t="shared" ref="Z326:Z389" si="86">IFERROR(ROUNDUP((500*Q326/S326)*1000/G326,0),"")</f>
        <v>24942</v>
      </c>
      <c r="AA326" s="50" t="str">
        <f t="shared" ref="AA326:AA389" si="87">IF(OR(K326="",Z326=""),"MOQ data missing",IF(K326&gt;=Z326,"MOQ OK","Below MOQ by "&amp;TEXT(Z326-K326,"#,##0")&amp;" bags"))</f>
        <v>MOQ OK</v>
      </c>
      <c r="AB326" s="923">
        <f t="shared" ref="AB326:AB389" si="88">IFERROR(AJ326/(1-25%),"Data is missing")</f>
        <v>0.40378324909038182</v>
      </c>
      <c r="AC326" s="924">
        <f t="shared" ref="AC326:AC389" si="89">IFERROR(AB326*1.16,"Data is missing")</f>
        <v>0.46838856894484288</v>
      </c>
      <c r="AD326" s="203">
        <f t="shared" ref="AD326:AD389" si="90">IFERROR(AB326*K326,"Data is missing")</f>
        <v>80756.649818076359</v>
      </c>
      <c r="AE326" s="912">
        <f t="shared" ref="AE326:AE389" si="91">IFERROR(AD326*1.16,"Data is missing")</f>
        <v>93677.713788968569</v>
      </c>
      <c r="AF326" s="923" cm="1">
        <f t="array" ref="AF326">IF(O326="Quantum",IFERROR(_xlfn.LET(_xlpm.b,_xlfn.SWITCH(LOWER(B326),"zipper bag","Zipper pouch","open bag","Open pouch","sup with zipper","Stand-up pouch","stand-up pouch","Stand-up pouch",B326),_xlpm.w,G326,_xlpm.q,K326,_xlpm.types,'Converting-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missing"),IFERROR(_xlfn.LET(_xlpm.s,O326,_xlpm.b,_xlfn.SWITCH(LOWER(B326),"zipper bag","Zipper pouch","open bag","Open pouch",B326),_xlpm.w,G326,_xlpm.q,K326,_xlpm.src,'Converting-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326" s="923">
        <f>IFERROR(IF(OR(B326="Zipper pouch",B326="SUP with zipper"),HELPER!$DE$2*(AH326+AI326)/K326,HELPER!$DE$2*AH326/K326),"Data is missing")</f>
        <v>3.9439598659669313E-3</v>
      </c>
      <c r="AH326" s="923">
        <f t="shared" ref="AH326:AH389" si="92">X326</f>
        <v>1.3146532886556439</v>
      </c>
      <c r="AI326" s="923" t="str">
        <f>IF(OR(B326="Zipper pouch",B326="SUP with zipper"),HELPER!$DC$2*G326/1000,"")</f>
        <v/>
      </c>
      <c r="AJ326" s="923" cm="1">
        <f t="array" ref="AJ326">IF(INDEX('Laminates- copilot'!$E$6:$E$257,ROUNDUP((ROW()-5)/3,0))+50&gt;IF(O326="Quantum",760,1220),"Width exceeds supplier maximum",IFERROR(AF326+AG326+N(AI326)+AH326*G326/1000/MAX(1,MIN(MAX(2,INT(900/INDEX('Laminates- copilot'!$E$6:$E$257,ROUNDUP((ROW()-5)/3,0)))),INT((IF(O326="Quantum",760,1220)-50)/INDEX('Laminates- copilot'!$E$6:$E$257,ROUNDUP((ROW()-5)/3,0))))),"Data is missing"))</f>
        <v>0.30283743681778635</v>
      </c>
      <c r="AK326" s="203">
        <f t="shared" ref="AK326:AK389" si="93">IFERROR(AB326*1000,"Data is missing")</f>
        <v>403.78324909038184</v>
      </c>
      <c r="AL326" t="str">
        <f t="shared" ref="AL326:AL389" si="94">IF(AND(ISNUMBER(AB326),ISNUMBER(AD326),K326&gt;0,ISNUMBER(AJ326),AM326=""),IF(AND(ABS(AD326-AB326*K326)&lt;0.05,ABS(AB326-AJ326/(1-25%))&lt;0.0001),"PASS","CHECK"),"CHECK")</f>
        <v>PASS</v>
      </c>
      <c r="AM326" s="50" t="str">
        <f t="shared" ref="AM326:AM389" si="95">_xlfn.TEXTJOIN("; ",TRUE,IF(OR(AF326="Data is missing",AG326="Data is missing",AJ326="Data is missing"),"Missing conversion data",""),IF(NOT(ISNUMBER(S326)),"Missing laminate weight",""),IF(NOT(ISNUMBER(T326)),"Missing laminate cost",""))</f>
        <v/>
      </c>
    </row>
    <row r="327" spans="1:39" hidden="1">
      <c r="A327" t="s">
        <v>1955</v>
      </c>
      <c r="B327" t="s">
        <v>251</v>
      </c>
      <c r="C327" s="50" t="s">
        <v>2210</v>
      </c>
      <c r="D327" t="str">
        <f>'Laminates- copilot'!B113</f>
        <v>818W</v>
      </c>
      <c r="E327" s="858">
        <f>'Laminates- copilot'!D113</f>
        <v>103</v>
      </c>
      <c r="F327" s="858">
        <v>700</v>
      </c>
      <c r="G327" s="858">
        <v>300</v>
      </c>
      <c r="H327" s="858">
        <v>75</v>
      </c>
      <c r="I327" s="858">
        <v>0</v>
      </c>
      <c r="J327" s="858">
        <v>1550</v>
      </c>
      <c r="K327" s="858">
        <v>200000</v>
      </c>
      <c r="L327" s="858" t="str">
        <f>'Laminates- copilot'!K113</f>
        <v>Not Printed</v>
      </c>
      <c r="M327" s="858" t="str">
        <f>'Laminates- copilot'!L113</f>
        <v>0</v>
      </c>
      <c r="N327" s="858">
        <f>'Laminates- copilot'!M113</f>
        <v>1</v>
      </c>
      <c r="O327" s="858" t="str">
        <f>'Laminates- copilot'!O113</f>
        <v>Bastin</v>
      </c>
      <c r="P327" s="858" t="str">
        <f>'Laminates- copilot'!N113</f>
        <v>Europe to US</v>
      </c>
      <c r="Q327" s="858">
        <f t="shared" si="80"/>
        <v>60000</v>
      </c>
      <c r="R327" s="858">
        <f t="shared" si="81"/>
        <v>60000</v>
      </c>
      <c r="S327" s="858">
        <f>IFERROR('Laminates- copilot'!Q113/'Laminates- copilot'!P113*Q327,"")</f>
        <v>1670.5500000000002</v>
      </c>
      <c r="T327" s="203">
        <f>IFERROR('Laminates- copilot'!R113/'Laminates- copilot'!P113*Q327,"")</f>
        <v>24507.870701385062</v>
      </c>
      <c r="U327" s="912">
        <f>IFERROR('Laminates- copilot'!S113/'Laminates- copilot'!P113*Q327,"")</f>
        <v>28429.130013606667</v>
      </c>
      <c r="V327" s="913">
        <f t="shared" si="82"/>
        <v>14.670540062485445</v>
      </c>
      <c r="W327" s="914">
        <f t="shared" si="83"/>
        <v>17.017826472483112</v>
      </c>
      <c r="X327" s="913">
        <f t="shared" si="84"/>
        <v>0.40846451168975101</v>
      </c>
      <c r="Y327" s="913">
        <f t="shared" si="85"/>
        <v>14.670540062485445</v>
      </c>
      <c r="Z327" s="95">
        <f t="shared" si="86"/>
        <v>59861</v>
      </c>
      <c r="AA327" s="50" t="str">
        <f t="shared" si="87"/>
        <v>MOQ OK</v>
      </c>
      <c r="AB327" s="923">
        <f t="shared" si="88"/>
        <v>0.20846930073403902</v>
      </c>
      <c r="AC327" s="924">
        <f t="shared" si="89"/>
        <v>0.24182438885148524</v>
      </c>
      <c r="AD327" s="203">
        <f t="shared" si="90"/>
        <v>41693.860146807805</v>
      </c>
      <c r="AE327" s="912">
        <f t="shared" si="91"/>
        <v>48364.877770297047</v>
      </c>
      <c r="AF327" s="923" cm="1">
        <f t="array" ref="AF327">IF(O327="Quantum",IFERROR(_xlfn.LET(_xlpm.b,_xlfn.SWITCH(LOWER(B327),"zipper bag","Zipper pouch","open bag","Open pouch","sup with zipper","Stand-up pouch","stand-up pouch","Stand-up pouch",B327),_xlpm.w,G327,_xlpm.q,K327,_xlpm.types,'Converting-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missing"),IFERROR(_xlfn.LET(_xlpm.s,O327,_xlpm.b,_xlfn.SWITCH(LOWER(B327),"zipper bag","Zipper pouch","open bag","Open pouch",B327),_xlpm.w,G327,_xlpm.q,K327,_xlpm.src,'Converting-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327" s="923">
        <f>IFERROR(IF(OR(B327="Zipper pouch",B327="SUP with zipper"),HELPER!$DE$2*(AH327+AI327)/K327,HELPER!$DE$2*AH327/K327),"Data is missing")</f>
        <v>1.3549935350692531E-3</v>
      </c>
      <c r="AH327" s="923">
        <f t="shared" si="92"/>
        <v>0.40846451168975101</v>
      </c>
      <c r="AI327" s="923">
        <f>IF(OR(B327="Zipper pouch",B327="SUP with zipper"),HELPER!$DC$2*G327/1000,"")</f>
        <v>4.3199999999999995E-2</v>
      </c>
      <c r="AJ327" s="923" cm="1">
        <f t="array" ref="AJ327">IF(INDEX('Laminates- copilot'!$E$6:$E$257,ROUNDUP((ROW()-5)/3,0))+50&gt;IF(O327="Quantum",760,1220),"Width exceeds supplier maximum",IFERROR(AF327+AG327+N(AI327)+AH327*G327/1000/MAX(1,MIN(MAX(2,INT(900/INDEX('Laminates- copilot'!$E$6:$E$257,ROUNDUP((ROW()-5)/3,0)))),INT((IF(O327="Quantum",760,1220)-50)/INDEX('Laminates- copilot'!$E$6:$E$257,ROUNDUP((ROW()-5)/3,0))))),"Data is missing"))</f>
        <v>0.15635197555052927</v>
      </c>
      <c r="AK327" s="203">
        <f t="shared" si="93"/>
        <v>208.46930073403902</v>
      </c>
      <c r="AL327" t="str">
        <f t="shared" si="94"/>
        <v>PASS</v>
      </c>
      <c r="AM327" s="50" t="str">
        <f t="shared" si="95"/>
        <v/>
      </c>
    </row>
    <row r="328" spans="1:39" hidden="1">
      <c r="A328" t="s">
        <v>1956</v>
      </c>
      <c r="B328" t="s">
        <v>261</v>
      </c>
      <c r="C328" s="50" t="s">
        <v>2210</v>
      </c>
      <c r="D328" t="str">
        <f>'Laminates- copilot'!B113</f>
        <v>818W</v>
      </c>
      <c r="E328" s="858">
        <f>'Laminates- copilot'!D113</f>
        <v>103</v>
      </c>
      <c r="F328" s="858">
        <v>700</v>
      </c>
      <c r="G328" s="858">
        <v>300</v>
      </c>
      <c r="H328" s="858">
        <v>75</v>
      </c>
      <c r="I328" s="858">
        <v>0</v>
      </c>
      <c r="J328" s="858">
        <v>1550</v>
      </c>
      <c r="K328" s="858">
        <v>200000</v>
      </c>
      <c r="L328" s="858" t="str">
        <f>'Laminates- copilot'!K113</f>
        <v>Not Printed</v>
      </c>
      <c r="M328" s="858" t="str">
        <f>'Laminates- copilot'!L113</f>
        <v>0</v>
      </c>
      <c r="N328" s="858">
        <f>'Laminates- copilot'!M113</f>
        <v>1</v>
      </c>
      <c r="O328" s="858" t="str">
        <f>'Laminates- copilot'!O113</f>
        <v>Bastin</v>
      </c>
      <c r="P328" s="858" t="str">
        <f>'Laminates- copilot'!N113</f>
        <v>Europe to US</v>
      </c>
      <c r="Q328" s="858">
        <f t="shared" si="80"/>
        <v>60000</v>
      </c>
      <c r="R328" s="858">
        <f t="shared" si="81"/>
        <v>60000</v>
      </c>
      <c r="S328" s="858">
        <f>IFERROR('Laminates- copilot'!Q113/'Laminates- copilot'!P113*Q328,"")</f>
        <v>1670.5500000000002</v>
      </c>
      <c r="T328" s="203">
        <f>IFERROR('Laminates- copilot'!R113/'Laminates- copilot'!P113*Q328,"")</f>
        <v>24507.870701385062</v>
      </c>
      <c r="U328" s="912">
        <f>IFERROR('Laminates- copilot'!S113/'Laminates- copilot'!P113*Q328,"")</f>
        <v>28429.130013606667</v>
      </c>
      <c r="V328" s="913">
        <f t="shared" si="82"/>
        <v>14.670540062485445</v>
      </c>
      <c r="W328" s="914">
        <f t="shared" si="83"/>
        <v>17.017826472483112</v>
      </c>
      <c r="X328" s="913">
        <f t="shared" si="84"/>
        <v>0.40846451168975101</v>
      </c>
      <c r="Y328" s="913">
        <f t="shared" si="85"/>
        <v>14.670540062485445</v>
      </c>
      <c r="Z328" s="95">
        <f t="shared" si="86"/>
        <v>59861</v>
      </c>
      <c r="AA328" s="50" t="str">
        <f t="shared" si="87"/>
        <v>MOQ OK</v>
      </c>
      <c r="AB328" s="923">
        <f t="shared" si="88"/>
        <v>0.20087310926410296</v>
      </c>
      <c r="AC328" s="924">
        <f t="shared" si="89"/>
        <v>0.23301280674635941</v>
      </c>
      <c r="AD328" s="203">
        <f t="shared" si="90"/>
        <v>40174.621852820594</v>
      </c>
      <c r="AE328" s="912">
        <f t="shared" si="91"/>
        <v>46602.561349271884</v>
      </c>
      <c r="AF328" s="923" cm="1">
        <f t="array" ref="AF328">IF(O328="Quantum",IFERROR(_xlfn.LET(_xlpm.b,_xlfn.SWITCH(LOWER(B328),"zipper bag","Zipper pouch","open bag","Open pouch","sup with zipper","Stand-up pouch","stand-up pouch","Stand-up pouch",B328),_xlpm.w,G328,_xlpm.q,K328,_xlpm.types,'Converting-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missing"),IFERROR(_xlfn.LET(_xlpm.s,O328,_xlpm.b,_xlfn.SWITCH(LOWER(B328),"zipper bag","Zipper pouch","open bag","Open pouch",B328),_xlpm.w,G328,_xlpm.q,K328,_xlpm.src,'Converting-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328" s="923">
        <f>IFERROR(IF(OR(B328="Zipper pouch",B328="SUP with zipper"),HELPER!$DE$2*(AH328+AI328)/K328,HELPER!$DE$2*AH328/K328),"Data is missing")</f>
        <v>1.3549935350692531E-3</v>
      </c>
      <c r="AH328" s="923">
        <f t="shared" si="92"/>
        <v>0.40846451168975101</v>
      </c>
      <c r="AI328" s="923">
        <f>IF(OR(B328="Zipper pouch",B328="SUP with zipper"),HELPER!$DC$2*G328/1000,"")</f>
        <v>4.3199999999999995E-2</v>
      </c>
      <c r="AJ328" s="923" cm="1">
        <f t="array" ref="AJ328">IF(INDEX('Laminates- copilot'!$E$6:$E$257,ROUNDUP((ROW()-5)/3,0))+50&gt;IF(O328="Quantum",760,1220),"Width exceeds supplier maximum",IFERROR(AF328+AG328+N(AI328)+AH328*G328/1000/MAX(1,MIN(MAX(2,INT(900/INDEX('Laminates- copilot'!$E$6:$E$257,ROUNDUP((ROW()-5)/3,0)))),INT((IF(O328="Quantum",760,1220)-50)/INDEX('Laminates- copilot'!$E$6:$E$257,ROUNDUP((ROW()-5)/3,0))))),"Data is missing"))</f>
        <v>0.15065483194807722</v>
      </c>
      <c r="AK328" s="203">
        <f t="shared" si="93"/>
        <v>200.87310926410296</v>
      </c>
      <c r="AL328" t="str">
        <f t="shared" si="94"/>
        <v>PASS</v>
      </c>
      <c r="AM328" s="50" t="str">
        <f t="shared" si="95"/>
        <v/>
      </c>
    </row>
    <row r="329" spans="1:39" hidden="1">
      <c r="A329" t="s">
        <v>1957</v>
      </c>
      <c r="B329" t="s">
        <v>262</v>
      </c>
      <c r="C329" s="50" t="s">
        <v>2210</v>
      </c>
      <c r="D329" t="str">
        <f>'Laminates- copilot'!B113</f>
        <v>818W</v>
      </c>
      <c r="E329" s="858">
        <f>'Laminates- copilot'!D113</f>
        <v>103</v>
      </c>
      <c r="F329" s="858">
        <v>700</v>
      </c>
      <c r="G329" s="858">
        <v>300</v>
      </c>
      <c r="H329" s="858">
        <v>0</v>
      </c>
      <c r="I329" s="858">
        <v>0</v>
      </c>
      <c r="J329" s="858">
        <v>1400</v>
      </c>
      <c r="K329" s="858">
        <v>200000</v>
      </c>
      <c r="L329" s="858" t="str">
        <f>'Laminates- copilot'!K113</f>
        <v>Not Printed</v>
      </c>
      <c r="M329" s="858" t="str">
        <f>'Laminates- copilot'!L113</f>
        <v>0</v>
      </c>
      <c r="N329" s="858">
        <f>'Laminates- copilot'!M113</f>
        <v>1</v>
      </c>
      <c r="O329" s="858" t="str">
        <f>'Laminates- copilot'!O113</f>
        <v>Bastin</v>
      </c>
      <c r="P329" s="858" t="str">
        <f>'Laminates- copilot'!N113</f>
        <v>Europe to US</v>
      </c>
      <c r="Q329" s="858">
        <f t="shared" si="80"/>
        <v>60000</v>
      </c>
      <c r="R329" s="858">
        <f t="shared" si="81"/>
        <v>60000</v>
      </c>
      <c r="S329" s="858">
        <f>IFERROR('Laminates- copilot'!Q113/'Laminates- copilot'!P113*Q329,"")</f>
        <v>1670.5500000000002</v>
      </c>
      <c r="T329" s="203">
        <f>IFERROR('Laminates- copilot'!R113/'Laminates- copilot'!P113*Q329,"")</f>
        <v>24507.870701385062</v>
      </c>
      <c r="U329" s="912">
        <f>IFERROR('Laminates- copilot'!S113/'Laminates- copilot'!P113*Q329,"")</f>
        <v>28429.130013606667</v>
      </c>
      <c r="V329" s="913">
        <f t="shared" si="82"/>
        <v>14.670540062485445</v>
      </c>
      <c r="W329" s="914">
        <f t="shared" si="83"/>
        <v>17.017826472483112</v>
      </c>
      <c r="X329" s="913">
        <f t="shared" si="84"/>
        <v>0.40846451168975101</v>
      </c>
      <c r="Y329" s="913">
        <f t="shared" si="85"/>
        <v>14.670540062485445</v>
      </c>
      <c r="Z329" s="95">
        <f t="shared" si="86"/>
        <v>59861</v>
      </c>
      <c r="AA329" s="50" t="str">
        <f t="shared" si="87"/>
        <v>MOQ OK</v>
      </c>
      <c r="AB329" s="923">
        <f t="shared" si="88"/>
        <v>0.13414590016726527</v>
      </c>
      <c r="AC329" s="924">
        <f t="shared" si="89"/>
        <v>0.15560924419402769</v>
      </c>
      <c r="AD329" s="203">
        <f t="shared" si="90"/>
        <v>26829.180033453053</v>
      </c>
      <c r="AE329" s="912">
        <f t="shared" si="91"/>
        <v>31121.848838805538</v>
      </c>
      <c r="AF329" s="923" cm="1">
        <f t="array" ref="AF329">IF(O329="Quantum",IFERROR(_xlfn.LET(_xlpm.b,_xlfn.SWITCH(LOWER(B329),"zipper bag","Zipper pouch","open bag","Open pouch","sup with zipper","Stand-up pouch","stand-up pouch","Stand-up pouch",B329),_xlpm.w,G329,_xlpm.q,K329,_xlpm.types,'Converting-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missing"),IFERROR(_xlfn.LET(_xlpm.s,O329,_xlpm.b,_xlfn.SWITCH(LOWER(B329),"zipper bag","Zipper pouch","open bag","Open pouch",B329),_xlpm.w,G329,_xlpm.q,K329,_xlpm.src,'Converting-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329" s="923">
        <f>IFERROR(IF(OR(B329="Zipper pouch",B329="SUP with zipper"),HELPER!$DE$2*(AH329+AI329)/K329,HELPER!$DE$2*AH329/K329),"Data is missing")</f>
        <v>1.2253935350692532E-3</v>
      </c>
      <c r="AH329" s="923">
        <f t="shared" si="92"/>
        <v>0.40846451168975101</v>
      </c>
      <c r="AI329" s="923" t="str">
        <f>IF(OR(B329="Zipper pouch",B329="SUP with zipper"),HELPER!$DC$2*G329/1000,"")</f>
        <v/>
      </c>
      <c r="AJ329" s="923" cm="1">
        <f t="array" ref="AJ329">IF(INDEX('Laminates- copilot'!$E$6:$E$257,ROUNDUP((ROW()-5)/3,0))+50&gt;IF(O329="Quantum",760,1220),"Width exceeds supplier maximum",IFERROR(AF329+AG329+N(AI329)+AH329*G329/1000/MAX(1,MIN(MAX(2,INT(900/INDEX('Laminates- copilot'!$E$6:$E$257,ROUNDUP((ROW()-5)/3,0)))),INT((IF(O329="Quantum",760,1220)-50)/INDEX('Laminates- copilot'!$E$6:$E$257,ROUNDUP((ROW()-5)/3,0))))),"Data is missing"))</f>
        <v>0.10060942512544896</v>
      </c>
      <c r="AK329" s="203">
        <f t="shared" si="93"/>
        <v>134.14590016726527</v>
      </c>
      <c r="AL329" t="str">
        <f t="shared" si="94"/>
        <v>PASS</v>
      </c>
      <c r="AM329" s="50" t="str">
        <f t="shared" si="95"/>
        <v/>
      </c>
    </row>
    <row r="330" spans="1:39" hidden="1">
      <c r="A330" t="s">
        <v>1958</v>
      </c>
      <c r="B330" t="s">
        <v>251</v>
      </c>
      <c r="C330" s="50" t="s">
        <v>1626</v>
      </c>
      <c r="D330" t="str">
        <f>'Laminates- copilot'!B114</f>
        <v>818W</v>
      </c>
      <c r="E330" s="858">
        <f>'Laminates- copilot'!D114</f>
        <v>103</v>
      </c>
      <c r="F330" s="858">
        <v>250</v>
      </c>
      <c r="G330" s="858">
        <v>400</v>
      </c>
      <c r="H330" s="858">
        <v>50</v>
      </c>
      <c r="I330" s="858">
        <v>0</v>
      </c>
      <c r="J330" s="858">
        <v>600</v>
      </c>
      <c r="K330" s="858">
        <v>1000000</v>
      </c>
      <c r="L330" s="858" t="str">
        <f>'Laminates- copilot'!K114</f>
        <v>Printed</v>
      </c>
      <c r="M330" s="858" t="str">
        <f>'Laminates- copilot'!L114</f>
        <v>3-4</v>
      </c>
      <c r="N330" s="858">
        <f>'Laminates- copilot'!M114</f>
        <v>4</v>
      </c>
      <c r="O330" s="858" t="str">
        <f>'Laminates- copilot'!O114</f>
        <v>Marma</v>
      </c>
      <c r="P330" s="858" t="str">
        <f>'Laminates- copilot'!N114</f>
        <v>Europe to Europe</v>
      </c>
      <c r="Q330" s="858">
        <f t="shared" si="80"/>
        <v>400000</v>
      </c>
      <c r="R330" s="858">
        <f t="shared" si="81"/>
        <v>400000</v>
      </c>
      <c r="S330" s="858">
        <f>IFERROR('Laminates- copilot'!Q114/'Laminates- copilot'!P114*Q330,"")</f>
        <v>26728.799999999996</v>
      </c>
      <c r="T330" s="203">
        <f>IFERROR('Laminates- copilot'!R114/'Laminates- copilot'!P114*Q330,"")</f>
        <v>369315.49240624992</v>
      </c>
      <c r="U330" s="912">
        <f>IFERROR('Laminates- copilot'!S114/'Laminates- copilot'!P114*Q330,"")</f>
        <v>428405.9711912499</v>
      </c>
      <c r="V330" s="913">
        <f t="shared" si="82"/>
        <v>13.817137035940632</v>
      </c>
      <c r="W330" s="914">
        <f t="shared" si="83"/>
        <v>16.027878961691133</v>
      </c>
      <c r="X330" s="913">
        <f t="shared" si="84"/>
        <v>0.92328873101562481</v>
      </c>
      <c r="Y330" s="913">
        <f t="shared" si="85"/>
        <v>13.817137035940632</v>
      </c>
      <c r="Z330" s="95">
        <f t="shared" si="86"/>
        <v>18707</v>
      </c>
      <c r="AA330" s="50" t="str">
        <f t="shared" si="87"/>
        <v>MOQ OK</v>
      </c>
      <c r="AB330" s="923">
        <f t="shared" si="88"/>
        <v>0.66813269710746714</v>
      </c>
      <c r="AC330" s="924">
        <f t="shared" si="89"/>
        <v>0.77503392864466181</v>
      </c>
      <c r="AD330" s="203">
        <f t="shared" si="90"/>
        <v>668132.6971074671</v>
      </c>
      <c r="AE330" s="912">
        <f t="shared" si="91"/>
        <v>775033.92864466179</v>
      </c>
      <c r="AF330" s="923" cm="1">
        <f t="array" ref="AF330">IF(O330="Quantum",IFERROR(_xlfn.LET(_xlpm.b,_xlfn.SWITCH(LOWER(B330),"zipper bag","Zipper pouch","open bag","Open pouch","sup with zipper","Stand-up pouch","stand-up pouch","Stand-up pouch",B330),_xlpm.w,G330,_xlpm.q,K330,_xlpm.types,'Converting-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missing"),IFERROR(_xlfn.LET(_xlpm.s,O330,_xlpm.b,_xlfn.SWITCH(LOWER(B330),"zipper bag","Zipper pouch","open bag","Open pouch",B330),_xlpm.w,G330,_xlpm.q,K330,_xlpm.src,'Converting-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30" s="923">
        <f>IFERROR(IF(OR(B330="Zipper pouch",B330="SUP with zipper"),HELPER!$DE$2*(AH330+AI330)/K330,HELPER!$DE$2*AH330/K330),"Data is missing")</f>
        <v>5.885332386093748E-4</v>
      </c>
      <c r="AH330" s="923">
        <f t="shared" si="92"/>
        <v>0.92328873101562481</v>
      </c>
      <c r="AI330" s="923">
        <f>IF(OR(B330="Zipper pouch",B330="SUP with zipper"),HELPER!$DC$2*G330/1000,"")</f>
        <v>5.7599999999999991E-2</v>
      </c>
      <c r="AJ330" s="923" cm="1">
        <f t="array" ref="AJ330">IF(INDEX('Laminates- copilot'!$E$6:$E$257,ROUNDUP((ROW()-5)/3,0))+50&gt;IF(O330="Quantum",760,1220),"Width exceeds supplier maximum",IFERROR(AF330+AG330+N(AI330)+AH330*G330/1000/MAX(1,MIN(MAX(2,INT(900/INDEX('Laminates- copilot'!$E$6:$E$257,ROUNDUP((ROW()-5)/3,0)))),INT((IF(O330="Quantum",760,1220)-50)/INDEX('Laminates- copilot'!$E$6:$E$257,ROUNDUP((ROW()-5)/3,0))))),"Data is missing"))</f>
        <v>0.50109952283060033</v>
      </c>
      <c r="AK330" s="203">
        <f t="shared" si="93"/>
        <v>668.13269710746715</v>
      </c>
      <c r="AL330" t="str">
        <f t="shared" si="94"/>
        <v>PASS</v>
      </c>
      <c r="AM330" s="50" t="str">
        <f t="shared" si="95"/>
        <v/>
      </c>
    </row>
    <row r="331" spans="1:39" hidden="1">
      <c r="A331" t="s">
        <v>1959</v>
      </c>
      <c r="B331" t="s">
        <v>261</v>
      </c>
      <c r="C331" s="50" t="s">
        <v>1626</v>
      </c>
      <c r="D331" t="str">
        <f>'Laminates- copilot'!B114</f>
        <v>818W</v>
      </c>
      <c r="E331" s="858">
        <f>'Laminates- copilot'!D114</f>
        <v>103</v>
      </c>
      <c r="F331" s="858">
        <v>250</v>
      </c>
      <c r="G331" s="858">
        <v>400</v>
      </c>
      <c r="H331" s="858">
        <v>50</v>
      </c>
      <c r="I331" s="858">
        <v>0</v>
      </c>
      <c r="J331" s="858">
        <v>600</v>
      </c>
      <c r="K331" s="858">
        <v>1000000</v>
      </c>
      <c r="L331" s="858" t="str">
        <f>'Laminates- copilot'!K114</f>
        <v>Printed</v>
      </c>
      <c r="M331" s="858" t="str">
        <f>'Laminates- copilot'!L114</f>
        <v>3-4</v>
      </c>
      <c r="N331" s="858">
        <f>'Laminates- copilot'!M114</f>
        <v>4</v>
      </c>
      <c r="O331" s="858" t="str">
        <f>'Laminates- copilot'!O114</f>
        <v>Marma</v>
      </c>
      <c r="P331" s="858" t="str">
        <f>'Laminates- copilot'!N114</f>
        <v>Europe to Europe</v>
      </c>
      <c r="Q331" s="858">
        <f t="shared" si="80"/>
        <v>400000</v>
      </c>
      <c r="R331" s="858">
        <f t="shared" si="81"/>
        <v>400000</v>
      </c>
      <c r="S331" s="858">
        <f>IFERROR('Laminates- copilot'!Q114/'Laminates- copilot'!P114*Q331,"")</f>
        <v>26728.799999999996</v>
      </c>
      <c r="T331" s="203">
        <f>IFERROR('Laminates- copilot'!R114/'Laminates- copilot'!P114*Q331,"")</f>
        <v>369315.49240624992</v>
      </c>
      <c r="U331" s="912">
        <f>IFERROR('Laminates- copilot'!S114/'Laminates- copilot'!P114*Q331,"")</f>
        <v>428405.9711912499</v>
      </c>
      <c r="V331" s="913">
        <f t="shared" si="82"/>
        <v>13.817137035940632</v>
      </c>
      <c r="W331" s="914">
        <f t="shared" si="83"/>
        <v>16.027878961691133</v>
      </c>
      <c r="X331" s="913">
        <f t="shared" si="84"/>
        <v>0.92328873101562481</v>
      </c>
      <c r="Y331" s="913">
        <f t="shared" si="85"/>
        <v>13.817137035940632</v>
      </c>
      <c r="Z331" s="95">
        <f t="shared" si="86"/>
        <v>18707</v>
      </c>
      <c r="AA331" s="50" t="str">
        <f t="shared" si="87"/>
        <v>MOQ OK</v>
      </c>
      <c r="AB331" s="923">
        <f t="shared" si="88"/>
        <v>0.66049155775901069</v>
      </c>
      <c r="AC331" s="924">
        <f t="shared" si="89"/>
        <v>0.76617020700045235</v>
      </c>
      <c r="AD331" s="203">
        <f t="shared" si="90"/>
        <v>660491.5577590107</v>
      </c>
      <c r="AE331" s="912">
        <f t="shared" si="91"/>
        <v>766170.20700045233</v>
      </c>
      <c r="AF331" s="923" cm="1">
        <f t="array" ref="AF331">IF(O331="Quantum",IFERROR(_xlfn.LET(_xlpm.b,_xlfn.SWITCH(LOWER(B331),"zipper bag","Zipper pouch","open bag","Open pouch","sup with zipper","Stand-up pouch","stand-up pouch","Stand-up pouch",B331),_xlpm.w,G331,_xlpm.q,K331,_xlpm.types,'Converting-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missing"),IFERROR(_xlfn.LET(_xlpm.s,O331,_xlpm.b,_xlfn.SWITCH(LOWER(B331),"zipper bag","Zipper pouch","open bag","Open pouch",B331),_xlpm.w,G331,_xlpm.q,K331,_xlpm.src,'Converting-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31" s="923">
        <f>IFERROR(IF(OR(B331="Zipper pouch",B331="SUP with zipper"),HELPER!$DE$2*(AH331+AI331)/K331,HELPER!$DE$2*AH331/K331),"Data is missing")</f>
        <v>5.885332386093748E-4</v>
      </c>
      <c r="AH331" s="923">
        <f t="shared" si="92"/>
        <v>0.92328873101562481</v>
      </c>
      <c r="AI331" s="923">
        <f>IF(OR(B331="Zipper pouch",B331="SUP with zipper"),HELPER!$DC$2*G331/1000,"")</f>
        <v>5.7599999999999991E-2</v>
      </c>
      <c r="AJ331" s="923" cm="1">
        <f t="array" ref="AJ331">IF(INDEX('Laminates- copilot'!$E$6:$E$257,ROUNDUP((ROW()-5)/3,0))+50&gt;IF(O331="Quantum",760,1220),"Width exceeds supplier maximum",IFERROR(AF331+AG331+N(AI331)+AH331*G331/1000/MAX(1,MIN(MAX(2,INT(900/INDEX('Laminates- copilot'!$E$6:$E$257,ROUNDUP((ROW()-5)/3,0)))),INT((IF(O331="Quantum",760,1220)-50)/INDEX('Laminates- copilot'!$E$6:$E$257,ROUNDUP((ROW()-5)/3,0))))),"Data is missing"))</f>
        <v>0.49536866831925802</v>
      </c>
      <c r="AK331" s="203">
        <f t="shared" si="93"/>
        <v>660.49155775901067</v>
      </c>
      <c r="AL331" t="str">
        <f t="shared" si="94"/>
        <v>PASS</v>
      </c>
      <c r="AM331" s="50" t="str">
        <f t="shared" si="95"/>
        <v/>
      </c>
    </row>
    <row r="332" spans="1:39" hidden="1">
      <c r="A332" t="s">
        <v>1960</v>
      </c>
      <c r="B332" t="s">
        <v>262</v>
      </c>
      <c r="C332" s="50" t="s">
        <v>1626</v>
      </c>
      <c r="D332" t="str">
        <f>'Laminates- copilot'!B114</f>
        <v>818W</v>
      </c>
      <c r="E332" s="858">
        <f>'Laminates- copilot'!D114</f>
        <v>103</v>
      </c>
      <c r="F332" s="858">
        <v>250</v>
      </c>
      <c r="G332" s="858">
        <v>400</v>
      </c>
      <c r="H332" s="858">
        <v>0</v>
      </c>
      <c r="I332" s="858">
        <v>15</v>
      </c>
      <c r="J332" s="858">
        <v>515</v>
      </c>
      <c r="K332" s="858">
        <v>1000000</v>
      </c>
      <c r="L332" s="858" t="str">
        <f>'Laminates- copilot'!K114</f>
        <v>Printed</v>
      </c>
      <c r="M332" s="858" t="str">
        <f>'Laminates- copilot'!L114</f>
        <v>3-4</v>
      </c>
      <c r="N332" s="858">
        <f>'Laminates- copilot'!M114</f>
        <v>4</v>
      </c>
      <c r="O332" s="858" t="str">
        <f>'Laminates- copilot'!O114</f>
        <v>Marma</v>
      </c>
      <c r="P332" s="858" t="str">
        <f>'Laminates- copilot'!N114</f>
        <v>Europe to Europe</v>
      </c>
      <c r="Q332" s="858">
        <f t="shared" si="80"/>
        <v>400000</v>
      </c>
      <c r="R332" s="858">
        <f t="shared" si="81"/>
        <v>400000</v>
      </c>
      <c r="S332" s="858">
        <f>IFERROR('Laminates- copilot'!Q114/'Laminates- copilot'!P114*Q332,"")</f>
        <v>26728.799999999996</v>
      </c>
      <c r="T332" s="203">
        <f>IFERROR('Laminates- copilot'!R114/'Laminates- copilot'!P114*Q332,"")</f>
        <v>369315.49240624992</v>
      </c>
      <c r="U332" s="912">
        <f>IFERROR('Laminates- copilot'!S114/'Laminates- copilot'!P114*Q332,"")</f>
        <v>428405.9711912499</v>
      </c>
      <c r="V332" s="913">
        <f t="shared" si="82"/>
        <v>13.817137035940632</v>
      </c>
      <c r="W332" s="914">
        <f t="shared" si="83"/>
        <v>16.027878961691133</v>
      </c>
      <c r="X332" s="913">
        <f t="shared" si="84"/>
        <v>0.92328873101562481</v>
      </c>
      <c r="Y332" s="913">
        <f t="shared" si="85"/>
        <v>13.817137035940632</v>
      </c>
      <c r="Z332" s="95">
        <f t="shared" si="86"/>
        <v>18707</v>
      </c>
      <c r="AA332" s="50" t="str">
        <f t="shared" si="87"/>
        <v>MOQ OK</v>
      </c>
      <c r="AB332" s="923">
        <f t="shared" si="88"/>
        <v>0.5735470174609939</v>
      </c>
      <c r="AC332" s="924">
        <f t="shared" si="89"/>
        <v>0.6653145402547529</v>
      </c>
      <c r="AD332" s="203">
        <f t="shared" si="90"/>
        <v>573547.01746099396</v>
      </c>
      <c r="AE332" s="912">
        <f t="shared" si="91"/>
        <v>665314.54025475297</v>
      </c>
      <c r="AF332" s="923" cm="1">
        <f t="array" ref="AF332">IF(O332="Quantum",IFERROR(_xlfn.LET(_xlpm.b,_xlfn.SWITCH(LOWER(B332),"zipper bag","Zipper pouch","open bag","Open pouch","sup with zipper","Stand-up pouch","stand-up pouch","Stand-up pouch",B332),_xlpm.w,G332,_xlpm.q,K332,_xlpm.types,'Converting-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missing"),IFERROR(_xlfn.LET(_xlpm.s,O332,_xlpm.b,_xlfn.SWITCH(LOWER(B332),"zipper bag","Zipper pouch","open bag","Open pouch",B332),_xlpm.w,G332,_xlpm.q,K332,_xlpm.src,'Converting-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32" s="923">
        <f>IFERROR(IF(OR(B332="Zipper pouch",B332="SUP with zipper"),HELPER!$DE$2*(AH332+AI332)/K332,HELPER!$DE$2*AH332/K332),"Data is missing")</f>
        <v>5.5397323860937491E-4</v>
      </c>
      <c r="AH332" s="923">
        <f t="shared" si="92"/>
        <v>0.92328873101562481</v>
      </c>
      <c r="AI332" s="923" t="str">
        <f>IF(OR(B332="Zipper pouch",B332="SUP with zipper"),HELPER!$DC$2*G332/1000,"")</f>
        <v/>
      </c>
      <c r="AJ332" s="923" cm="1">
        <f t="array" ref="AJ332">IF(INDEX('Laminates- copilot'!$E$6:$E$257,ROUNDUP((ROW()-5)/3,0))+50&gt;IF(O332="Quantum",760,1220),"Width exceeds supplier maximum",IFERROR(AF332+AG332+N(AI332)+AH332*G332/1000/MAX(1,MIN(MAX(2,INT(900/INDEX('Laminates- copilot'!$E$6:$E$257,ROUNDUP((ROW()-5)/3,0)))),INT((IF(O332="Quantum",760,1220)-50)/INDEX('Laminates- copilot'!$E$6:$E$257,ROUNDUP((ROW()-5)/3,0))))),"Data is missing"))</f>
        <v>0.4301602630957454</v>
      </c>
      <c r="AK332" s="203">
        <f t="shared" si="93"/>
        <v>573.54701746099386</v>
      </c>
      <c r="AL332" t="str">
        <f t="shared" si="94"/>
        <v>PASS</v>
      </c>
      <c r="AM332" s="50" t="str">
        <f t="shared" si="95"/>
        <v/>
      </c>
    </row>
    <row r="333" spans="1:39" hidden="1">
      <c r="A333" t="s">
        <v>1961</v>
      </c>
      <c r="B333" t="s">
        <v>251</v>
      </c>
      <c r="C333" s="50" t="s">
        <v>1627</v>
      </c>
      <c r="D333" t="str">
        <f>'Laminates- copilot'!B115</f>
        <v>818W</v>
      </c>
      <c r="E333" s="858">
        <f>'Laminates- copilot'!D115</f>
        <v>103</v>
      </c>
      <c r="F333" s="858">
        <v>350</v>
      </c>
      <c r="G333" s="858">
        <v>500</v>
      </c>
      <c r="H333" s="858">
        <v>100</v>
      </c>
      <c r="I333" s="858">
        <v>0</v>
      </c>
      <c r="J333" s="858">
        <v>900</v>
      </c>
      <c r="K333" s="858">
        <v>1600000</v>
      </c>
      <c r="L333" s="858" t="str">
        <f>'Laminates- copilot'!K115</f>
        <v>Printed</v>
      </c>
      <c r="M333" s="858" t="str">
        <f>'Laminates- copilot'!L115</f>
        <v>1-2</v>
      </c>
      <c r="N333" s="858">
        <f>'Laminates- copilot'!M115</f>
        <v>2</v>
      </c>
      <c r="O333" s="858" t="str">
        <f>'Laminates- copilot'!O115</f>
        <v>Quantum</v>
      </c>
      <c r="P333" s="858" t="str">
        <f>'Laminates- copilot'!N115</f>
        <v>Europe to Europe</v>
      </c>
      <c r="Q333" s="858">
        <f t="shared" si="80"/>
        <v>800000</v>
      </c>
      <c r="R333" s="858">
        <f t="shared" si="81"/>
        <v>800000</v>
      </c>
      <c r="S333" s="858">
        <f>IFERROR('Laminates- copilot'!Q115/'Laminates- copilot'!P115*Q333,"")</f>
        <v>40093.200000000004</v>
      </c>
      <c r="T333" s="203">
        <f>IFERROR('Laminates- copilot'!R115/'Laminates- copilot'!P115*Q333,"")</f>
        <v>1168214.6954955242</v>
      </c>
      <c r="U333" s="912">
        <f>IFERROR('Laminates- copilot'!S115/'Laminates- copilot'!P115*Q333,"")</f>
        <v>1355129.0467748081</v>
      </c>
      <c r="V333" s="913">
        <f t="shared" si="82"/>
        <v>29.137477065824729</v>
      </c>
      <c r="W333" s="914">
        <f t="shared" si="83"/>
        <v>33.799473396356689</v>
      </c>
      <c r="X333" s="913">
        <f t="shared" si="84"/>
        <v>1.4602683693694052</v>
      </c>
      <c r="Y333" s="913">
        <f t="shared" si="85"/>
        <v>29.137477065824729</v>
      </c>
      <c r="Z333" s="95">
        <f t="shared" si="86"/>
        <v>19954</v>
      </c>
      <c r="AA333" s="50" t="str">
        <f t="shared" si="87"/>
        <v>MOQ OK</v>
      </c>
      <c r="AB333" s="923">
        <f t="shared" si="88"/>
        <v>1.4257289267627271</v>
      </c>
      <c r="AC333" s="924">
        <f t="shared" si="89"/>
        <v>1.6538455550447633</v>
      </c>
      <c r="AD333" s="203">
        <f t="shared" si="90"/>
        <v>2281166.2828203635</v>
      </c>
      <c r="AE333" s="912">
        <f t="shared" si="91"/>
        <v>2646152.8880716213</v>
      </c>
      <c r="AF333" s="923" cm="1">
        <f t="array" ref="AF333">IF(O333="Quantum",IFERROR(_xlfn.LET(_xlpm.b,_xlfn.SWITCH(LOWER(B333),"zipper bag","Zipper pouch","open bag","Open pouch","sup with zipper","Stand-up pouch","stand-up pouch","Stand-up pouch",B333),_xlpm.w,G333,_xlpm.q,K333,_xlpm.types,'Converting-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missing"),IFERROR(_xlfn.LET(_xlpm.s,O333,_xlpm.b,_xlfn.SWITCH(LOWER(B333),"zipper bag","Zipper pouch","open bag","Open pouch",B333),_xlpm.w,G333,_xlpm.q,K333,_xlpm.src,'Converting-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333" s="923">
        <f>IFERROR(IF(OR(B333="Zipper pouch",B333="SUP with zipper"),HELPER!$DE$2*(AH333+AI333)/K333,HELPER!$DE$2*AH333/K333),"Data is missing")</f>
        <v>5.7460063851352697E-4</v>
      </c>
      <c r="AH333" s="923">
        <f t="shared" si="92"/>
        <v>1.4602683693694052</v>
      </c>
      <c r="AI333" s="923">
        <f>IF(OR(B333="Zipper pouch",B333="SUP with zipper"),HELPER!$DC$2*G333/1000,"")</f>
        <v>7.1999999999999995E-2</v>
      </c>
      <c r="AJ333" s="923" cm="1">
        <f t="array" ref="AJ333">IF(INDEX('Laminates- copilot'!$E$6:$E$257,ROUNDUP((ROW()-5)/3,0))+50&gt;IF(O333="Quantum",760,1220),"Width exceeds supplier maximum",IFERROR(AF333+AG333+N(AI333)+AH333*G333/1000/MAX(1,MIN(MAX(2,INT(900/INDEX('Laminates- copilot'!$E$6:$E$257,ROUNDUP((ROW()-5)/3,0)))),INT((IF(O333="Quantum",760,1220)-50)/INDEX('Laminates- copilot'!$E$6:$E$257,ROUNDUP((ROW()-5)/3,0))))),"Data is missing"))</f>
        <v>1.0692966950720453</v>
      </c>
      <c r="AK333" s="203">
        <f t="shared" si="93"/>
        <v>1425.728926762727</v>
      </c>
      <c r="AL333" t="str">
        <f t="shared" si="94"/>
        <v>PASS</v>
      </c>
      <c r="AM333" s="50" t="str">
        <f t="shared" si="95"/>
        <v/>
      </c>
    </row>
    <row r="334" spans="1:39" hidden="1">
      <c r="A334" t="s">
        <v>1962</v>
      </c>
      <c r="B334" t="s">
        <v>261</v>
      </c>
      <c r="C334" s="50" t="s">
        <v>1627</v>
      </c>
      <c r="D334" t="str">
        <f>'Laminates- copilot'!B115</f>
        <v>818W</v>
      </c>
      <c r="E334" s="858">
        <f>'Laminates- copilot'!D115</f>
        <v>103</v>
      </c>
      <c r="F334" s="858">
        <v>350</v>
      </c>
      <c r="G334" s="858">
        <v>500</v>
      </c>
      <c r="H334" s="858">
        <v>100</v>
      </c>
      <c r="I334" s="858">
        <v>0</v>
      </c>
      <c r="J334" s="858">
        <v>900</v>
      </c>
      <c r="K334" s="858">
        <v>1600000</v>
      </c>
      <c r="L334" s="858" t="str">
        <f>'Laminates- copilot'!K115</f>
        <v>Printed</v>
      </c>
      <c r="M334" s="858" t="str">
        <f>'Laminates- copilot'!L115</f>
        <v>1-2</v>
      </c>
      <c r="N334" s="858">
        <f>'Laminates- copilot'!M115</f>
        <v>2</v>
      </c>
      <c r="O334" s="858" t="str">
        <f>'Laminates- copilot'!O115</f>
        <v>Quantum</v>
      </c>
      <c r="P334" s="858" t="str">
        <f>'Laminates- copilot'!N115</f>
        <v>Europe to Europe</v>
      </c>
      <c r="Q334" s="858">
        <f t="shared" si="80"/>
        <v>800000</v>
      </c>
      <c r="R334" s="858">
        <f t="shared" si="81"/>
        <v>800000</v>
      </c>
      <c r="S334" s="858">
        <f>IFERROR('Laminates- copilot'!Q115/'Laminates- copilot'!P115*Q334,"")</f>
        <v>40093.200000000004</v>
      </c>
      <c r="T334" s="203">
        <f>IFERROR('Laminates- copilot'!R115/'Laminates- copilot'!P115*Q334,"")</f>
        <v>1168214.6954955242</v>
      </c>
      <c r="U334" s="912">
        <f>IFERROR('Laminates- copilot'!S115/'Laminates- copilot'!P115*Q334,"")</f>
        <v>1355129.0467748081</v>
      </c>
      <c r="V334" s="913">
        <f t="shared" si="82"/>
        <v>29.137477065824729</v>
      </c>
      <c r="W334" s="914">
        <f t="shared" si="83"/>
        <v>33.799473396356689</v>
      </c>
      <c r="X334" s="913">
        <f t="shared" si="84"/>
        <v>1.4602683693694052</v>
      </c>
      <c r="Y334" s="913">
        <f t="shared" si="85"/>
        <v>29.137477065824729</v>
      </c>
      <c r="Z334" s="95">
        <f t="shared" si="86"/>
        <v>19954</v>
      </c>
      <c r="AA334" s="50" t="str">
        <f t="shared" si="87"/>
        <v>MOQ OK</v>
      </c>
      <c r="AB334" s="923">
        <f t="shared" si="88"/>
        <v>1.3863110499672429</v>
      </c>
      <c r="AC334" s="924">
        <f t="shared" si="89"/>
        <v>1.6081208179620017</v>
      </c>
      <c r="AD334" s="203">
        <f t="shared" si="90"/>
        <v>2218097.6799475886</v>
      </c>
      <c r="AE334" s="912">
        <f t="shared" si="91"/>
        <v>2572993.3087392026</v>
      </c>
      <c r="AF334" s="923" cm="1">
        <f t="array" ref="AF334">IF(O334="Quantum",IFERROR(_xlfn.LET(_xlpm.b,_xlfn.SWITCH(LOWER(B334),"zipper bag","Zipper pouch","open bag","Open pouch","sup with zipper","Stand-up pouch","stand-up pouch","Stand-up pouch",B334),_xlpm.w,G334,_xlpm.q,K334,_xlpm.types,'Converting-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missing"),IFERROR(_xlfn.LET(_xlpm.s,O334,_xlpm.b,_xlfn.SWITCH(LOWER(B334),"zipper bag","Zipper pouch","open bag","Open pouch",B334),_xlpm.w,G334,_xlpm.q,K334,_xlpm.src,'Converting-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334" s="923">
        <f>IFERROR(IF(OR(B334="Zipper pouch",B334="SUP with zipper"),HELPER!$DE$2*(AH334+AI334)/K334,HELPER!$DE$2*AH334/K334),"Data is missing")</f>
        <v>5.7460063851352697E-4</v>
      </c>
      <c r="AH334" s="923">
        <f t="shared" si="92"/>
        <v>1.4602683693694052</v>
      </c>
      <c r="AI334" s="923">
        <f>IF(OR(B334="Zipper pouch",B334="SUP with zipper"),HELPER!$DC$2*G334/1000,"")</f>
        <v>7.1999999999999995E-2</v>
      </c>
      <c r="AJ334" s="923" cm="1">
        <f t="array" ref="AJ334">IF(INDEX('Laminates- copilot'!$E$6:$E$257,ROUNDUP((ROW()-5)/3,0))+50&gt;IF(O334="Quantum",760,1220),"Width exceeds supplier maximum",IFERROR(AF334+AG334+N(AI334)+AH334*G334/1000/MAX(1,MIN(MAX(2,INT(900/INDEX('Laminates- copilot'!$E$6:$E$257,ROUNDUP((ROW()-5)/3,0)))),INT((IF(O334="Quantum",760,1220)-50)/INDEX('Laminates- copilot'!$E$6:$E$257,ROUNDUP((ROW()-5)/3,0))))),"Data is missing"))</f>
        <v>1.0397332874754321</v>
      </c>
      <c r="AK334" s="203">
        <f t="shared" si="93"/>
        <v>1386.3110499672428</v>
      </c>
      <c r="AL334" t="str">
        <f t="shared" si="94"/>
        <v>PASS</v>
      </c>
      <c r="AM334" s="50" t="str">
        <f t="shared" si="95"/>
        <v/>
      </c>
    </row>
    <row r="335" spans="1:39" hidden="1">
      <c r="A335" t="s">
        <v>1963</v>
      </c>
      <c r="B335" t="s">
        <v>262</v>
      </c>
      <c r="C335" s="50" t="s">
        <v>1627</v>
      </c>
      <c r="D335" t="str">
        <f>'Laminates- copilot'!B115</f>
        <v>818W</v>
      </c>
      <c r="E335" s="858">
        <f>'Laminates- copilot'!D115</f>
        <v>103</v>
      </c>
      <c r="F335" s="858">
        <v>350</v>
      </c>
      <c r="G335" s="858">
        <v>500</v>
      </c>
      <c r="H335" s="858">
        <v>0</v>
      </c>
      <c r="I335" s="858">
        <v>25</v>
      </c>
      <c r="J335" s="858">
        <v>725</v>
      </c>
      <c r="K335" s="858">
        <v>1600000</v>
      </c>
      <c r="L335" s="858" t="str">
        <f>'Laminates- copilot'!K115</f>
        <v>Printed</v>
      </c>
      <c r="M335" s="858" t="str">
        <f>'Laminates- copilot'!L115</f>
        <v>1-2</v>
      </c>
      <c r="N335" s="858">
        <f>'Laminates- copilot'!M115</f>
        <v>2</v>
      </c>
      <c r="O335" s="858" t="str">
        <f>'Laminates- copilot'!O115</f>
        <v>Quantum</v>
      </c>
      <c r="P335" s="858" t="str">
        <f>'Laminates- copilot'!N115</f>
        <v>Europe to Europe</v>
      </c>
      <c r="Q335" s="858">
        <f t="shared" si="80"/>
        <v>800000</v>
      </c>
      <c r="R335" s="858">
        <f t="shared" si="81"/>
        <v>800000</v>
      </c>
      <c r="S335" s="858">
        <f>IFERROR('Laminates- copilot'!Q115/'Laminates- copilot'!P115*Q335,"")</f>
        <v>40093.200000000004</v>
      </c>
      <c r="T335" s="203">
        <f>IFERROR('Laminates- copilot'!R115/'Laminates- copilot'!P115*Q335,"")</f>
        <v>1168214.6954955242</v>
      </c>
      <c r="U335" s="912">
        <f>IFERROR('Laminates- copilot'!S115/'Laminates- copilot'!P115*Q335,"")</f>
        <v>1355129.0467748081</v>
      </c>
      <c r="V335" s="913">
        <f t="shared" si="82"/>
        <v>29.137477065824729</v>
      </c>
      <c r="W335" s="914">
        <f t="shared" si="83"/>
        <v>33.799473396356689</v>
      </c>
      <c r="X335" s="913">
        <f t="shared" si="84"/>
        <v>1.4602683693694052</v>
      </c>
      <c r="Y335" s="913">
        <f t="shared" si="85"/>
        <v>29.137477065824729</v>
      </c>
      <c r="Z335" s="95">
        <f t="shared" si="86"/>
        <v>19954</v>
      </c>
      <c r="AA335" s="50" t="str">
        <f t="shared" si="87"/>
        <v>MOQ OK</v>
      </c>
      <c r="AB335" s="923">
        <f t="shared" si="88"/>
        <v>1.2585108634733844</v>
      </c>
      <c r="AC335" s="924">
        <f t="shared" si="89"/>
        <v>1.4598726016291257</v>
      </c>
      <c r="AD335" s="203">
        <f t="shared" si="90"/>
        <v>2013617.381557415</v>
      </c>
      <c r="AE335" s="912">
        <f t="shared" si="91"/>
        <v>2335796.1626066011</v>
      </c>
      <c r="AF335" s="923" cm="1">
        <f t="array" ref="AF335">IF(O335="Quantum",IFERROR(_xlfn.LET(_xlpm.b,_xlfn.SWITCH(LOWER(B335),"zipper bag","Zipper pouch","open bag","Open pouch","sup with zipper","Stand-up pouch","stand-up pouch","Stand-up pouch",B335),_xlpm.w,G335,_xlpm.q,K335,_xlpm.types,'Converting-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missing"),IFERROR(_xlfn.LET(_xlpm.s,O335,_xlpm.b,_xlfn.SWITCH(LOWER(B335),"zipper bag","Zipper pouch","open bag","Open pouch",B335),_xlpm.w,G335,_xlpm.q,K335,_xlpm.src,'Converting-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335" s="923">
        <f>IFERROR(IF(OR(B335="Zipper pouch",B335="SUP with zipper"),HELPER!$DE$2*(AH335+AI335)/K335,HELPER!$DE$2*AH335/K335),"Data is missing")</f>
        <v>5.4760063851352697E-4</v>
      </c>
      <c r="AH335" s="923">
        <f t="shared" si="92"/>
        <v>1.4602683693694052</v>
      </c>
      <c r="AI335" s="923" t="str">
        <f>IF(OR(B335="Zipper pouch",B335="SUP with zipper"),HELPER!$DC$2*G335/1000,"")</f>
        <v/>
      </c>
      <c r="AJ335" s="923" cm="1">
        <f t="array" ref="AJ335">IF(INDEX('Laminates- copilot'!$E$6:$E$257,ROUNDUP((ROW()-5)/3,0))+50&gt;IF(O335="Quantum",760,1220),"Width exceeds supplier maximum",IFERROR(AF335+AG335+N(AI335)+AH335*G335/1000/MAX(1,MIN(MAX(2,INT(900/INDEX('Laminates- copilot'!$E$6:$E$257,ROUNDUP((ROW()-5)/3,0)))),INT((IF(O335="Quantum",760,1220)-50)/INDEX('Laminates- copilot'!$E$6:$E$257,ROUNDUP((ROW()-5)/3,0))))),"Data is missing"))</f>
        <v>0.94388314760503822</v>
      </c>
      <c r="AK335" s="203">
        <f t="shared" si="93"/>
        <v>1258.5108634733845</v>
      </c>
      <c r="AL335" t="str">
        <f t="shared" si="94"/>
        <v>PASS</v>
      </c>
      <c r="AM335" s="50" t="str">
        <f t="shared" si="95"/>
        <v/>
      </c>
    </row>
    <row r="336" spans="1:39" hidden="1">
      <c r="A336" t="s">
        <v>1964</v>
      </c>
      <c r="B336" t="s">
        <v>251</v>
      </c>
      <c r="C336" s="50" t="s">
        <v>2203</v>
      </c>
      <c r="D336">
        <f>'Laminates- copilot'!B116</f>
        <v>819</v>
      </c>
      <c r="E336" s="858">
        <f>'Laminates- copilot'!D116</f>
        <v>121</v>
      </c>
      <c r="F336" s="858">
        <v>100</v>
      </c>
      <c r="G336" s="858">
        <v>100</v>
      </c>
      <c r="H336" s="858">
        <v>20</v>
      </c>
      <c r="I336" s="858">
        <v>0</v>
      </c>
      <c r="J336" s="858">
        <v>240</v>
      </c>
      <c r="K336" s="858">
        <v>25000</v>
      </c>
      <c r="L336" s="858" t="str">
        <f>'Laminates- copilot'!K116</f>
        <v>Not Printed</v>
      </c>
      <c r="M336" s="858" t="str">
        <f>'Laminates- copilot'!L116</f>
        <v>0</v>
      </c>
      <c r="N336" s="858">
        <f>'Laminates- copilot'!M116</f>
        <v>1</v>
      </c>
      <c r="O336" s="858" t="str">
        <f>'Laminates- copilot'!O116</f>
        <v>Marma</v>
      </c>
      <c r="P336" s="858" t="str">
        <f>'Laminates- copilot'!N116</f>
        <v>Europe to Europe</v>
      </c>
      <c r="Q336" s="858">
        <f t="shared" si="80"/>
        <v>2500</v>
      </c>
      <c r="R336" s="858">
        <f t="shared" si="81"/>
        <v>2500</v>
      </c>
      <c r="S336" s="858">
        <f>IFERROR('Laminates- copilot'!Q116/'Laminates- copilot'!P116*Q336,"")</f>
        <v>33.710999999999999</v>
      </c>
      <c r="T336" s="203">
        <f>IFERROR('Laminates- copilot'!R116/'Laminates- copilot'!P116*Q336,"")</f>
        <v>272.14531626815466</v>
      </c>
      <c r="U336" s="912">
        <f>IFERROR('Laminates- copilot'!S116/'Laminates- copilot'!P116*Q336,"")</f>
        <v>315.68856687105932</v>
      </c>
      <c r="V336" s="913">
        <f t="shared" si="82"/>
        <v>8.0728936035167944</v>
      </c>
      <c r="W336" s="914">
        <f t="shared" si="83"/>
        <v>9.3645565800794799</v>
      </c>
      <c r="X336" s="913">
        <f t="shared" si="84"/>
        <v>0.10885812650726186</v>
      </c>
      <c r="Y336" s="913">
        <f t="shared" si="85"/>
        <v>8.0728936035167944</v>
      </c>
      <c r="Z336" s="95">
        <f t="shared" si="86"/>
        <v>370799</v>
      </c>
      <c r="AA336" s="50" t="str">
        <f t="shared" si="87"/>
        <v>Below MOQ by 345,799 bags</v>
      </c>
      <c r="AB336" s="923">
        <f t="shared" si="88"/>
        <v>7.6148502307307783E-2</v>
      </c>
      <c r="AC336" s="924">
        <f t="shared" si="89"/>
        <v>8.8332262676477022E-2</v>
      </c>
      <c r="AD336" s="203">
        <f t="shared" si="90"/>
        <v>1903.7125576826945</v>
      </c>
      <c r="AE336" s="912">
        <f t="shared" si="91"/>
        <v>2208.3065669119255</v>
      </c>
      <c r="AF336" s="923" cm="1">
        <f t="array" ref="AF336">IF(O336="Quantum",IFERROR(_xlfn.LET(_xlpm.b,_xlfn.SWITCH(LOWER(B336),"zipper bag","Zipper pouch","open bag","Open pouch","sup with zipper","Stand-up pouch","stand-up pouch","Stand-up pouch",B336),_xlpm.w,G336,_xlpm.q,K336,_xlpm.types,'Converting-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missing"),IFERROR(_xlfn.LET(_xlpm.s,O336,_xlpm.b,_xlfn.SWITCH(LOWER(B336),"zipper bag","Zipper pouch","open bag","Open pouch",B336),_xlpm.w,G336,_xlpm.q,K336,_xlpm.src,'Converting-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36" s="923">
        <f>IFERROR(IF(OR(B336="Zipper pouch",B336="SUP with zipper"),HELPER!$DE$2*(AH336+AI336)/K336,HELPER!$DE$2*AH336/K336),"Data is missing")</f>
        <v>2.9581950361742843E-3</v>
      </c>
      <c r="AH336" s="923">
        <f t="shared" si="92"/>
        <v>0.10885812650726186</v>
      </c>
      <c r="AI336" s="923">
        <f>IF(OR(B336="Zipper pouch",B336="SUP with zipper"),HELPER!$DC$2*G336/1000,"")</f>
        <v>1.4399999999999998E-2</v>
      </c>
      <c r="AJ336" s="923" cm="1">
        <f t="array" ref="AJ336">IF(INDEX('Laminates- copilot'!$E$6:$E$257,ROUNDUP((ROW()-5)/3,0))+50&gt;IF(O336="Quantum",760,1220),"Width exceeds supplier maximum",IFERROR(AF336+AG336+N(AI336)+AH336*G336/1000/MAX(1,MIN(MAX(2,INT(900/INDEX('Laminates- copilot'!$E$6:$E$257,ROUNDUP((ROW()-5)/3,0)))),INT((IF(O336="Quantum",760,1220)-50)/INDEX('Laminates- copilot'!$E$6:$E$257,ROUNDUP((ROW()-5)/3,0))))),"Data is missing"))</f>
        <v>5.7111376730480841E-2</v>
      </c>
      <c r="AK336" s="203">
        <f t="shared" si="93"/>
        <v>76.14850230730778</v>
      </c>
      <c r="AL336" t="str">
        <f t="shared" si="94"/>
        <v>PASS</v>
      </c>
      <c r="AM336" s="50" t="str">
        <f t="shared" si="95"/>
        <v/>
      </c>
    </row>
    <row r="337" spans="1:39" hidden="1">
      <c r="A337" t="s">
        <v>1965</v>
      </c>
      <c r="B337" t="s">
        <v>261</v>
      </c>
      <c r="C337" s="50" t="s">
        <v>2203</v>
      </c>
      <c r="D337">
        <f>'Laminates- copilot'!B116</f>
        <v>819</v>
      </c>
      <c r="E337" s="858">
        <f>'Laminates- copilot'!D116</f>
        <v>121</v>
      </c>
      <c r="F337" s="858">
        <v>100</v>
      </c>
      <c r="G337" s="858">
        <v>100</v>
      </c>
      <c r="H337" s="858">
        <v>20</v>
      </c>
      <c r="I337" s="858">
        <v>0</v>
      </c>
      <c r="J337" s="858">
        <v>240</v>
      </c>
      <c r="K337" s="858">
        <v>25000</v>
      </c>
      <c r="L337" s="858" t="str">
        <f>'Laminates- copilot'!K116</f>
        <v>Not Printed</v>
      </c>
      <c r="M337" s="858" t="str">
        <f>'Laminates- copilot'!L116</f>
        <v>0</v>
      </c>
      <c r="N337" s="858">
        <f>'Laminates- copilot'!M116</f>
        <v>1</v>
      </c>
      <c r="O337" s="858" t="str">
        <f>'Laminates- copilot'!O116</f>
        <v>Marma</v>
      </c>
      <c r="P337" s="858" t="str">
        <f>'Laminates- copilot'!N116</f>
        <v>Europe to Europe</v>
      </c>
      <c r="Q337" s="858">
        <f t="shared" si="80"/>
        <v>2500</v>
      </c>
      <c r="R337" s="858">
        <f t="shared" si="81"/>
        <v>2500</v>
      </c>
      <c r="S337" s="858">
        <f>IFERROR('Laminates- copilot'!Q116/'Laminates- copilot'!P116*Q337,"")</f>
        <v>33.710999999999999</v>
      </c>
      <c r="T337" s="203">
        <f>IFERROR('Laminates- copilot'!R116/'Laminates- copilot'!P116*Q337,"")</f>
        <v>272.14531626815466</v>
      </c>
      <c r="U337" s="912">
        <f>IFERROR('Laminates- copilot'!S116/'Laminates- copilot'!P116*Q337,"")</f>
        <v>315.68856687105932</v>
      </c>
      <c r="V337" s="913">
        <f t="shared" si="82"/>
        <v>8.0728936035167944</v>
      </c>
      <c r="W337" s="914">
        <f t="shared" si="83"/>
        <v>9.3645565800794799</v>
      </c>
      <c r="X337" s="913">
        <f t="shared" si="84"/>
        <v>0.10885812650726186</v>
      </c>
      <c r="Y337" s="913">
        <f t="shared" si="85"/>
        <v>8.0728936035167944</v>
      </c>
      <c r="Z337" s="95">
        <f t="shared" si="86"/>
        <v>370799</v>
      </c>
      <c r="AA337" s="50" t="str">
        <f t="shared" si="87"/>
        <v>Below MOQ by 345,799 bags</v>
      </c>
      <c r="AB337" s="923">
        <f t="shared" si="88"/>
        <v>7.2723163978689387E-2</v>
      </c>
      <c r="AC337" s="924">
        <f t="shared" si="89"/>
        <v>8.4358870215279685E-2</v>
      </c>
      <c r="AD337" s="203">
        <f t="shared" si="90"/>
        <v>1818.0790994672348</v>
      </c>
      <c r="AE337" s="912">
        <f t="shared" si="91"/>
        <v>2108.9717553819924</v>
      </c>
      <c r="AF337" s="923" cm="1">
        <f t="array" ref="AF337">IF(O337="Quantum",IFERROR(_xlfn.LET(_xlpm.b,_xlfn.SWITCH(LOWER(B337),"zipper bag","Zipper pouch","open bag","Open pouch","sup with zipper","Stand-up pouch","stand-up pouch","Stand-up pouch",B337),_xlpm.w,G337,_xlpm.q,K337,_xlpm.types,'Converting-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missing"),IFERROR(_xlfn.LET(_xlpm.s,O337,_xlpm.b,_xlfn.SWITCH(LOWER(B337),"zipper bag","Zipper pouch","open bag","Open pouch",B337),_xlpm.w,G337,_xlpm.q,K337,_xlpm.src,'Converting-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37" s="923">
        <f>IFERROR(IF(OR(B337="Zipper pouch",B337="SUP with zipper"),HELPER!$DE$2*(AH337+AI337)/K337,HELPER!$DE$2*AH337/K337),"Data is missing")</f>
        <v>2.9581950361742843E-3</v>
      </c>
      <c r="AH337" s="923">
        <f t="shared" si="92"/>
        <v>0.10885812650726186</v>
      </c>
      <c r="AI337" s="923">
        <f>IF(OR(B337="Zipper pouch",B337="SUP with zipper"),HELPER!$DC$2*G337/1000,"")</f>
        <v>1.4399999999999998E-2</v>
      </c>
      <c r="AJ337" s="923" cm="1">
        <f t="array" ref="AJ337">IF(INDEX('Laminates- copilot'!$E$6:$E$257,ROUNDUP((ROW()-5)/3,0))+50&gt;IF(O337="Quantum",760,1220),"Width exceeds supplier maximum",IFERROR(AF337+AG337+N(AI337)+AH337*G337/1000/MAX(1,MIN(MAX(2,INT(900/INDEX('Laminates- copilot'!$E$6:$E$257,ROUNDUP((ROW()-5)/3,0)))),INT((IF(O337="Quantum",760,1220)-50)/INDEX('Laminates- copilot'!$E$6:$E$257,ROUNDUP((ROW()-5)/3,0))))),"Data is missing"))</f>
        <v>5.454237298401704E-2</v>
      </c>
      <c r="AK337" s="203">
        <f t="shared" si="93"/>
        <v>72.723163978689385</v>
      </c>
      <c r="AL337" t="str">
        <f t="shared" si="94"/>
        <v>PASS</v>
      </c>
      <c r="AM337" s="50" t="str">
        <f t="shared" si="95"/>
        <v/>
      </c>
    </row>
    <row r="338" spans="1:39" hidden="1">
      <c r="A338" t="s">
        <v>1966</v>
      </c>
      <c r="B338" t="s">
        <v>262</v>
      </c>
      <c r="C338" s="50" t="s">
        <v>2203</v>
      </c>
      <c r="D338">
        <f>'Laminates- copilot'!B116</f>
        <v>819</v>
      </c>
      <c r="E338" s="858">
        <f>'Laminates- copilot'!D116</f>
        <v>121</v>
      </c>
      <c r="F338" s="858">
        <v>100</v>
      </c>
      <c r="G338" s="858">
        <v>100</v>
      </c>
      <c r="H338" s="858">
        <v>0</v>
      </c>
      <c r="I338" s="858">
        <v>0</v>
      </c>
      <c r="J338" s="858">
        <v>200</v>
      </c>
      <c r="K338" s="858">
        <v>25000</v>
      </c>
      <c r="L338" s="858" t="str">
        <f>'Laminates- copilot'!K116</f>
        <v>Not Printed</v>
      </c>
      <c r="M338" s="858" t="str">
        <f>'Laminates- copilot'!L116</f>
        <v>0</v>
      </c>
      <c r="N338" s="858">
        <f>'Laminates- copilot'!M116</f>
        <v>1</v>
      </c>
      <c r="O338" s="858" t="str">
        <f>'Laminates- copilot'!O116</f>
        <v>Marma</v>
      </c>
      <c r="P338" s="858" t="str">
        <f>'Laminates- copilot'!N116</f>
        <v>Europe to Europe</v>
      </c>
      <c r="Q338" s="858">
        <f t="shared" si="80"/>
        <v>2500</v>
      </c>
      <c r="R338" s="858">
        <f t="shared" si="81"/>
        <v>2500</v>
      </c>
      <c r="S338" s="858">
        <f>IFERROR('Laminates- copilot'!Q116/'Laminates- copilot'!P116*Q338,"")</f>
        <v>33.710999999999999</v>
      </c>
      <c r="T338" s="203">
        <f>IFERROR('Laminates- copilot'!R116/'Laminates- copilot'!P116*Q338,"")</f>
        <v>272.14531626815466</v>
      </c>
      <c r="U338" s="912">
        <f>IFERROR('Laminates- copilot'!S116/'Laminates- copilot'!P116*Q338,"")</f>
        <v>315.68856687105932</v>
      </c>
      <c r="V338" s="913">
        <f t="shared" si="82"/>
        <v>8.0728936035167944</v>
      </c>
      <c r="W338" s="914">
        <f t="shared" si="83"/>
        <v>9.3645565800794799</v>
      </c>
      <c r="X338" s="913">
        <f t="shared" si="84"/>
        <v>0.10885812650726186</v>
      </c>
      <c r="Y338" s="913">
        <f t="shared" si="85"/>
        <v>8.0728936035167944</v>
      </c>
      <c r="Z338" s="95">
        <f t="shared" si="86"/>
        <v>370799</v>
      </c>
      <c r="AA338" s="50" t="str">
        <f t="shared" si="87"/>
        <v>Below MOQ by 345,799 bags</v>
      </c>
      <c r="AB338" s="923">
        <f t="shared" si="88"/>
        <v>4.9291759630823773E-2</v>
      </c>
      <c r="AC338" s="924">
        <f t="shared" si="89"/>
        <v>5.7178441171755572E-2</v>
      </c>
      <c r="AD338" s="203">
        <f t="shared" si="90"/>
        <v>1232.2939907705943</v>
      </c>
      <c r="AE338" s="912">
        <f t="shared" si="91"/>
        <v>1429.4610292938892</v>
      </c>
      <c r="AF338" s="923" cm="1">
        <f t="array" ref="AF338">IF(O338="Quantum",IFERROR(_xlfn.LET(_xlpm.b,_xlfn.SWITCH(LOWER(B338),"zipper bag","Zipper pouch","open bag","Open pouch","sup with zipper","Stand-up pouch","stand-up pouch","Stand-up pouch",B338),_xlpm.w,G338,_xlpm.q,K338,_xlpm.types,'Converting-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missing"),IFERROR(_xlfn.LET(_xlpm.s,O338,_xlpm.b,_xlfn.SWITCH(LOWER(B338),"zipper bag","Zipper pouch","open bag","Open pouch",B338),_xlpm.w,G338,_xlpm.q,K338,_xlpm.src,'Converting-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38" s="923">
        <f>IFERROR(IF(OR(B338="Zipper pouch",B338="SUP with zipper"),HELPER!$DE$2*(AH338+AI338)/K338,HELPER!$DE$2*AH338/K338),"Data is missing")</f>
        <v>2.6125950361742842E-3</v>
      </c>
      <c r="AH338" s="923">
        <f t="shared" si="92"/>
        <v>0.10885812650726186</v>
      </c>
      <c r="AI338" s="923" t="str">
        <f>IF(OR(B338="Zipper pouch",B338="SUP with zipper"),HELPER!$DC$2*G338/1000,"")</f>
        <v/>
      </c>
      <c r="AJ338" s="923" cm="1">
        <f t="array" ref="AJ338">IF(INDEX('Laminates- copilot'!$E$6:$E$257,ROUNDUP((ROW()-5)/3,0))+50&gt;IF(O338="Quantum",760,1220),"Width exceeds supplier maximum",IFERROR(AF338+AG338+N(AI338)+AH338*G338/1000/MAX(1,MIN(MAX(2,INT(900/INDEX('Laminates- copilot'!$E$6:$E$257,ROUNDUP((ROW()-5)/3,0)))),INT((IF(O338="Quantum",760,1220)-50)/INDEX('Laminates- copilot'!$E$6:$E$257,ROUNDUP((ROW()-5)/3,0))))),"Data is missing"))</f>
        <v>3.6968819723117829E-2</v>
      </c>
      <c r="AK338" s="203">
        <f t="shared" si="93"/>
        <v>49.291759630823776</v>
      </c>
      <c r="AL338" t="str">
        <f t="shared" si="94"/>
        <v>PASS</v>
      </c>
      <c r="AM338" s="50" t="str">
        <f t="shared" si="95"/>
        <v/>
      </c>
    </row>
    <row r="339" spans="1:39" hidden="1">
      <c r="A339" t="s">
        <v>1967</v>
      </c>
      <c r="B339" t="s">
        <v>251</v>
      </c>
      <c r="C339" s="50" t="s">
        <v>2204</v>
      </c>
      <c r="D339">
        <f>'Laminates- copilot'!B117</f>
        <v>819</v>
      </c>
      <c r="E339" s="858">
        <f>'Laminates- copilot'!D117</f>
        <v>121</v>
      </c>
      <c r="F339" s="858">
        <v>150</v>
      </c>
      <c r="G339" s="858">
        <v>150</v>
      </c>
      <c r="H339" s="858">
        <v>25</v>
      </c>
      <c r="I339" s="858">
        <v>0</v>
      </c>
      <c r="J339" s="858">
        <v>350</v>
      </c>
      <c r="K339" s="858">
        <v>25000</v>
      </c>
      <c r="L339" s="858" t="str">
        <f>'Laminates- copilot'!K117</f>
        <v>Printed</v>
      </c>
      <c r="M339" s="858" t="str">
        <f>'Laminates- copilot'!L117</f>
        <v>1-2</v>
      </c>
      <c r="N339" s="858">
        <f>'Laminates- copilot'!M117</f>
        <v>1</v>
      </c>
      <c r="O339" s="858" t="str">
        <f>'Laminates- copilot'!O117</f>
        <v>Bastin</v>
      </c>
      <c r="P339" s="858" t="str">
        <f>'Laminates- copilot'!N117</f>
        <v>Europe to US</v>
      </c>
      <c r="Q339" s="858">
        <f t="shared" si="80"/>
        <v>3750</v>
      </c>
      <c r="R339" s="858">
        <f t="shared" si="81"/>
        <v>3750</v>
      </c>
      <c r="S339" s="858">
        <f>IFERROR('Laminates- copilot'!Q117/'Laminates- copilot'!P117*Q339,"")</f>
        <v>50.566500000000012</v>
      </c>
      <c r="T339" s="203">
        <f>IFERROR('Laminates- copilot'!R117/'Laminates- copilot'!P117*Q339,"")</f>
        <v>11502.672109834821</v>
      </c>
      <c r="U339" s="912">
        <f>IFERROR('Laminates- copilot'!S117/'Laminates- copilot'!P117*Q339,"")</f>
        <v>13343.099647408391</v>
      </c>
      <c r="V339" s="913">
        <f t="shared" si="82"/>
        <v>227.47613755816238</v>
      </c>
      <c r="W339" s="914">
        <f t="shared" si="83"/>
        <v>263.87231956746837</v>
      </c>
      <c r="X339" s="913">
        <f t="shared" si="84"/>
        <v>3.0673792292892856</v>
      </c>
      <c r="Y339" s="913">
        <f t="shared" si="85"/>
        <v>227.47613755816238</v>
      </c>
      <c r="Z339" s="95">
        <f t="shared" si="86"/>
        <v>247200</v>
      </c>
      <c r="AA339" s="50" t="str">
        <f t="shared" si="87"/>
        <v>Below MOQ by 222,200 bags</v>
      </c>
      <c r="AB339" s="923">
        <f t="shared" si="88"/>
        <v>0.29056695869054766</v>
      </c>
      <c r="AC339" s="924">
        <f t="shared" si="89"/>
        <v>0.33705767208103526</v>
      </c>
      <c r="AD339" s="203">
        <f t="shared" si="90"/>
        <v>7264.1739672636913</v>
      </c>
      <c r="AE339" s="912">
        <f t="shared" si="91"/>
        <v>8426.4418020258818</v>
      </c>
      <c r="AF339" s="923" cm="1">
        <f t="array" ref="AF339">IF(O339="Quantum",IFERROR(_xlfn.LET(_xlpm.b,_xlfn.SWITCH(LOWER(B339),"zipper bag","Zipper pouch","open bag","Open pouch","sup with zipper","Stand-up pouch","stand-up pouch","Stand-up pouch",B339),_xlpm.w,G339,_xlpm.q,K339,_xlpm.types,'Converting-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missing"),IFERROR(_xlfn.LET(_xlpm.s,O339,_xlpm.b,_xlfn.SWITCH(LOWER(B339),"zipper bag","Zipper pouch","open bag","Open pouch",B339),_xlpm.w,G339,_xlpm.q,K339,_xlpm.src,'Converting-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39" s="923">
        <f>IFERROR(IF(OR(B339="Zipper pouch",B339="SUP with zipper"),HELPER!$DE$2*(AH339+AI339)/K339,HELPER!$DE$2*AH339/K339),"Data is missing")</f>
        <v>7.4135501502942847E-2</v>
      </c>
      <c r="AH339" s="923">
        <f t="shared" si="92"/>
        <v>3.0673792292892856</v>
      </c>
      <c r="AI339" s="923">
        <f>IF(OR(B339="Zipper pouch",B339="SUP with zipper"),HELPER!$DC$2*G339/1000,"")</f>
        <v>2.1599999999999998E-2</v>
      </c>
      <c r="AJ339" s="923" cm="1">
        <f t="array" ref="AJ339">IF(INDEX('Laminates- copilot'!$E$6:$E$257,ROUNDUP((ROW()-5)/3,0))+50&gt;IF(O339="Quantum",760,1220),"Width exceeds supplier maximum",IFERROR(AF339+AG339+N(AI339)+AH339*G339/1000/MAX(1,MIN(MAX(2,INT(900/INDEX('Laminates- copilot'!$E$6:$E$257,ROUNDUP((ROW()-5)/3,0)))),INT((IF(O339="Quantum",760,1220)-50)/INDEX('Laminates- copilot'!$E$6:$E$257,ROUNDUP((ROW()-5)/3,0))))),"Data is missing"))</f>
        <v>0.21792521901791073</v>
      </c>
      <c r="AK339" s="203">
        <f t="shared" si="93"/>
        <v>290.56695869054766</v>
      </c>
      <c r="AL339" t="str">
        <f t="shared" si="94"/>
        <v>PASS</v>
      </c>
      <c r="AM339" s="50" t="str">
        <f t="shared" si="95"/>
        <v/>
      </c>
    </row>
    <row r="340" spans="1:39" hidden="1">
      <c r="A340" t="s">
        <v>1968</v>
      </c>
      <c r="B340" t="s">
        <v>261</v>
      </c>
      <c r="C340" s="50" t="s">
        <v>2204</v>
      </c>
      <c r="D340">
        <f>'Laminates- copilot'!B117</f>
        <v>819</v>
      </c>
      <c r="E340" s="858">
        <f>'Laminates- copilot'!D117</f>
        <v>121</v>
      </c>
      <c r="F340" s="858">
        <v>150</v>
      </c>
      <c r="G340" s="858">
        <v>150</v>
      </c>
      <c r="H340" s="858">
        <v>25</v>
      </c>
      <c r="I340" s="858">
        <v>0</v>
      </c>
      <c r="J340" s="858">
        <v>350</v>
      </c>
      <c r="K340" s="858">
        <v>25000</v>
      </c>
      <c r="L340" s="858" t="str">
        <f>'Laminates- copilot'!K117</f>
        <v>Printed</v>
      </c>
      <c r="M340" s="858" t="str">
        <f>'Laminates- copilot'!L117</f>
        <v>1-2</v>
      </c>
      <c r="N340" s="858">
        <f>'Laminates- copilot'!M117</f>
        <v>1</v>
      </c>
      <c r="O340" s="858" t="str">
        <f>'Laminates- copilot'!O117</f>
        <v>Bastin</v>
      </c>
      <c r="P340" s="858" t="str">
        <f>'Laminates- copilot'!N117</f>
        <v>Europe to US</v>
      </c>
      <c r="Q340" s="858">
        <f t="shared" si="80"/>
        <v>3750</v>
      </c>
      <c r="R340" s="858">
        <f t="shared" si="81"/>
        <v>3750</v>
      </c>
      <c r="S340" s="858">
        <f>IFERROR('Laminates- copilot'!Q117/'Laminates- copilot'!P117*Q340,"")</f>
        <v>50.566500000000012</v>
      </c>
      <c r="T340" s="203">
        <f>IFERROR('Laminates- copilot'!R117/'Laminates- copilot'!P117*Q340,"")</f>
        <v>11502.672109834821</v>
      </c>
      <c r="U340" s="912">
        <f>IFERROR('Laminates- copilot'!S117/'Laminates- copilot'!P117*Q340,"")</f>
        <v>13343.099647408391</v>
      </c>
      <c r="V340" s="913">
        <f t="shared" si="82"/>
        <v>227.47613755816238</v>
      </c>
      <c r="W340" s="914">
        <f t="shared" si="83"/>
        <v>263.87231956746837</v>
      </c>
      <c r="X340" s="913">
        <f t="shared" si="84"/>
        <v>3.0673792292892856</v>
      </c>
      <c r="Y340" s="913">
        <f t="shared" si="85"/>
        <v>227.47613755816238</v>
      </c>
      <c r="Z340" s="95">
        <f t="shared" si="86"/>
        <v>247200</v>
      </c>
      <c r="AA340" s="50" t="str">
        <f t="shared" si="87"/>
        <v>Below MOQ by 222,200 bags</v>
      </c>
      <c r="AB340" s="923">
        <f t="shared" si="88"/>
        <v>0.28540154849099109</v>
      </c>
      <c r="AC340" s="924">
        <f t="shared" si="89"/>
        <v>0.33106579624954963</v>
      </c>
      <c r="AD340" s="203">
        <f t="shared" si="90"/>
        <v>7135.038712274777</v>
      </c>
      <c r="AE340" s="912">
        <f t="shared" si="91"/>
        <v>8276.6449062387401</v>
      </c>
      <c r="AF340" s="923" cm="1">
        <f t="array" ref="AF340">IF(O340="Quantum",IFERROR(_xlfn.LET(_xlpm.b,_xlfn.SWITCH(LOWER(B340),"zipper bag","Zipper pouch","open bag","Open pouch","sup with zipper","Stand-up pouch","stand-up pouch","Stand-up pouch",B340),_xlpm.w,G340,_xlpm.q,K340,_xlpm.types,'Converting-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missing"),IFERROR(_xlfn.LET(_xlpm.s,O340,_xlpm.b,_xlfn.SWITCH(LOWER(B340),"zipper bag","Zipper pouch","open bag","Open pouch",B340),_xlpm.w,G340,_xlpm.q,K340,_xlpm.src,'Converting-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340" s="923">
        <f>IFERROR(IF(OR(B340="Zipper pouch",B340="SUP with zipper"),HELPER!$DE$2*(AH340+AI340)/K340,HELPER!$DE$2*AH340/K340),"Data is missing")</f>
        <v>7.4135501502942847E-2</v>
      </c>
      <c r="AH340" s="923">
        <f t="shared" si="92"/>
        <v>3.0673792292892856</v>
      </c>
      <c r="AI340" s="923">
        <f>IF(OR(B340="Zipper pouch",B340="SUP with zipper"),HELPER!$DC$2*G340/1000,"")</f>
        <v>2.1599999999999998E-2</v>
      </c>
      <c r="AJ340" s="923" cm="1">
        <f t="array" ref="AJ340">IF(INDEX('Laminates- copilot'!$E$6:$E$257,ROUNDUP((ROW()-5)/3,0))+50&gt;IF(O340="Quantum",760,1220),"Width exceeds supplier maximum",IFERROR(AF340+AG340+N(AI340)+AH340*G340/1000/MAX(1,MIN(MAX(2,INT(900/INDEX('Laminates- copilot'!$E$6:$E$257,ROUNDUP((ROW()-5)/3,0)))),INT((IF(O340="Quantum",760,1220)-50)/INDEX('Laminates- copilot'!$E$6:$E$257,ROUNDUP((ROW()-5)/3,0))))),"Data is missing"))</f>
        <v>0.21405116136824331</v>
      </c>
      <c r="AK340" s="203">
        <f t="shared" si="93"/>
        <v>285.4015484909911</v>
      </c>
      <c r="AL340" t="str">
        <f t="shared" si="94"/>
        <v>PASS</v>
      </c>
      <c r="AM340" s="50" t="str">
        <f t="shared" si="95"/>
        <v/>
      </c>
    </row>
    <row r="341" spans="1:39" hidden="1">
      <c r="A341" t="s">
        <v>1969</v>
      </c>
      <c r="B341" t="s">
        <v>262</v>
      </c>
      <c r="C341" s="50" t="s">
        <v>2204</v>
      </c>
      <c r="D341">
        <f>'Laminates- copilot'!B117</f>
        <v>819</v>
      </c>
      <c r="E341" s="858">
        <f>'Laminates- copilot'!D117</f>
        <v>121</v>
      </c>
      <c r="F341" s="858">
        <v>150</v>
      </c>
      <c r="G341" s="858">
        <v>150</v>
      </c>
      <c r="H341" s="858">
        <v>0</v>
      </c>
      <c r="I341" s="858">
        <v>0</v>
      </c>
      <c r="J341" s="858">
        <v>300</v>
      </c>
      <c r="K341" s="858">
        <v>25000</v>
      </c>
      <c r="L341" s="858" t="str">
        <f>'Laminates- copilot'!K117</f>
        <v>Printed</v>
      </c>
      <c r="M341" s="858" t="str">
        <f>'Laminates- copilot'!L117</f>
        <v>1-2</v>
      </c>
      <c r="N341" s="858">
        <f>'Laminates- copilot'!M117</f>
        <v>1</v>
      </c>
      <c r="O341" s="858" t="str">
        <f>'Laminates- copilot'!O117</f>
        <v>Bastin</v>
      </c>
      <c r="P341" s="858" t="str">
        <f>'Laminates- copilot'!N117</f>
        <v>Europe to US</v>
      </c>
      <c r="Q341" s="858">
        <f t="shared" si="80"/>
        <v>3750</v>
      </c>
      <c r="R341" s="858">
        <f t="shared" si="81"/>
        <v>3750</v>
      </c>
      <c r="S341" s="858">
        <f>IFERROR('Laminates- copilot'!Q117/'Laminates- copilot'!P117*Q341,"")</f>
        <v>50.566500000000012</v>
      </c>
      <c r="T341" s="203">
        <f>IFERROR('Laminates- copilot'!R117/'Laminates- copilot'!P117*Q341,"")</f>
        <v>11502.672109834821</v>
      </c>
      <c r="U341" s="912">
        <f>IFERROR('Laminates- copilot'!S117/'Laminates- copilot'!P117*Q341,"")</f>
        <v>13343.099647408391</v>
      </c>
      <c r="V341" s="913">
        <f t="shared" si="82"/>
        <v>227.47613755816238</v>
      </c>
      <c r="W341" s="914">
        <f t="shared" si="83"/>
        <v>263.87231956746837</v>
      </c>
      <c r="X341" s="913">
        <f t="shared" si="84"/>
        <v>3.0673792292892856</v>
      </c>
      <c r="Y341" s="913">
        <f t="shared" si="85"/>
        <v>227.47613755816238</v>
      </c>
      <c r="Z341" s="95">
        <f t="shared" si="86"/>
        <v>247200</v>
      </c>
      <c r="AA341" s="50" t="str">
        <f t="shared" si="87"/>
        <v>Below MOQ by 222,200 bags</v>
      </c>
      <c r="AB341" s="923">
        <f t="shared" si="88"/>
        <v>0.25007630965473493</v>
      </c>
      <c r="AC341" s="924">
        <f t="shared" si="89"/>
        <v>0.29008851919949252</v>
      </c>
      <c r="AD341" s="203">
        <f t="shared" si="90"/>
        <v>6251.9077413683735</v>
      </c>
      <c r="AE341" s="912">
        <f t="shared" si="91"/>
        <v>7252.2129799873128</v>
      </c>
      <c r="AF341" s="923" cm="1">
        <f t="array" ref="AF341">IF(O341="Quantum",IFERROR(_xlfn.LET(_xlpm.b,_xlfn.SWITCH(LOWER(B341),"zipper bag","Zipper pouch","open bag","Open pouch","sup with zipper","Stand-up pouch","stand-up pouch","Stand-up pouch",B341),_xlpm.w,G341,_xlpm.q,K341,_xlpm.types,'Converting-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missing"),IFERROR(_xlfn.LET(_xlpm.s,O341,_xlpm.b,_xlfn.SWITCH(LOWER(B341),"zipper bag","Zipper pouch","open bag","Open pouch",B341),_xlpm.w,G341,_xlpm.q,K341,_xlpm.src,'Converting-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341" s="923">
        <f>IFERROR(IF(OR(B341="Zipper pouch",B341="SUP with zipper"),HELPER!$DE$2*(AH341+AI341)/K341,HELPER!$DE$2*AH341/K341),"Data is missing")</f>
        <v>7.3617101502942844E-2</v>
      </c>
      <c r="AH341" s="923">
        <f t="shared" si="92"/>
        <v>3.0673792292892856</v>
      </c>
      <c r="AI341" s="923" t="str">
        <f>IF(OR(B341="Zipper pouch",B341="SUP with zipper"),HELPER!$DC$2*G341/1000,"")</f>
        <v/>
      </c>
      <c r="AJ341" s="923" cm="1">
        <f t="array" ref="AJ341">IF(INDEX('Laminates- copilot'!$E$6:$E$257,ROUNDUP((ROW()-5)/3,0))+50&gt;IF(O341="Quantum",760,1220),"Width exceeds supplier maximum",IFERROR(AF341+AG341+N(AI341)+AH341*G341/1000/MAX(1,MIN(MAX(2,INT(900/INDEX('Laminates- copilot'!$E$6:$E$257,ROUNDUP((ROW()-5)/3,0)))),INT((IF(O341="Quantum",760,1220)-50)/INDEX('Laminates- copilot'!$E$6:$E$257,ROUNDUP((ROW()-5)/3,0))))),"Data is missing"))</f>
        <v>0.1875572322410512</v>
      </c>
      <c r="AK341" s="203">
        <f t="shared" si="93"/>
        <v>250.07630965473493</v>
      </c>
      <c r="AL341" t="str">
        <f t="shared" si="94"/>
        <v>PASS</v>
      </c>
      <c r="AM341" s="50" t="str">
        <f t="shared" si="95"/>
        <v/>
      </c>
    </row>
    <row r="342" spans="1:39" hidden="1">
      <c r="A342" t="s">
        <v>1970</v>
      </c>
      <c r="B342" t="s">
        <v>251</v>
      </c>
      <c r="C342" s="50" t="s">
        <v>2205</v>
      </c>
      <c r="D342">
        <f>'Laminates- copilot'!B118</f>
        <v>819</v>
      </c>
      <c r="E342" s="858">
        <f>'Laminates- copilot'!D118</f>
        <v>121</v>
      </c>
      <c r="F342" s="858">
        <v>250</v>
      </c>
      <c r="G342" s="858">
        <v>200</v>
      </c>
      <c r="H342" s="858">
        <v>40</v>
      </c>
      <c r="I342" s="858">
        <v>0</v>
      </c>
      <c r="J342" s="858">
        <v>580</v>
      </c>
      <c r="K342" s="858">
        <v>50000</v>
      </c>
      <c r="L342" s="858" t="str">
        <f>'Laminates- copilot'!K118</f>
        <v>Printed</v>
      </c>
      <c r="M342" s="858" t="str">
        <f>'Laminates- copilot'!L118</f>
        <v>3-4</v>
      </c>
      <c r="N342" s="858">
        <f>'Laminates- copilot'!M118</f>
        <v>4</v>
      </c>
      <c r="O342" s="858" t="str">
        <f>'Laminates- copilot'!O118</f>
        <v>Quantum</v>
      </c>
      <c r="P342" s="858" t="str">
        <f>'Laminates- copilot'!N118</f>
        <v>Europe to Europe</v>
      </c>
      <c r="Q342" s="858">
        <f t="shared" si="80"/>
        <v>10000</v>
      </c>
      <c r="R342" s="858">
        <f t="shared" si="81"/>
        <v>10000</v>
      </c>
      <c r="S342" s="858">
        <f>IFERROR('Laminates- copilot'!Q118/'Laminates- copilot'!P118*Q342,"")</f>
        <v>393.29500000000002</v>
      </c>
      <c r="T342" s="203">
        <f>IFERROR('Laminates- copilot'!R118/'Laminates- copilot'!P118*Q342,"")</f>
        <v>7209.164187414236</v>
      </c>
      <c r="U342" s="912">
        <f>IFERROR('Laminates- copilot'!S118/'Laminates- copilot'!P118*Q342,"")</f>
        <v>8362.6304574005135</v>
      </c>
      <c r="V342" s="913">
        <f t="shared" si="82"/>
        <v>18.330169942191574</v>
      </c>
      <c r="W342" s="914">
        <f t="shared" si="83"/>
        <v>21.262997132942228</v>
      </c>
      <c r="X342" s="913">
        <f t="shared" si="84"/>
        <v>0.72091641874142365</v>
      </c>
      <c r="Y342" s="913">
        <f t="shared" si="85"/>
        <v>18.330169942191574</v>
      </c>
      <c r="Z342" s="95">
        <f t="shared" si="86"/>
        <v>63566</v>
      </c>
      <c r="AA342" s="50" t="str">
        <f t="shared" si="87"/>
        <v>Below MOQ by 13,566 bags</v>
      </c>
      <c r="AB342" s="923">
        <f t="shared" si="88"/>
        <v>0.30221511177740523</v>
      </c>
      <c r="AC342" s="924">
        <f t="shared" si="89"/>
        <v>0.35056952966179006</v>
      </c>
      <c r="AD342" s="203">
        <f t="shared" si="90"/>
        <v>15110.755588870261</v>
      </c>
      <c r="AE342" s="912">
        <f t="shared" si="91"/>
        <v>17528.4764830895</v>
      </c>
      <c r="AF342" s="923" cm="1">
        <f t="array" ref="AF342">IF(O342="Quantum",IFERROR(_xlfn.LET(_xlpm.b,_xlfn.SWITCH(LOWER(B342),"zipper bag","Zipper pouch","open bag","Open pouch","sup with zipper","Stand-up pouch","stand-up pouch","Stand-up pouch",B342),_xlpm.w,G342,_xlpm.q,K342,_xlpm.types,'Converting-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missing"),IFERROR(_xlfn.LET(_xlpm.s,O342,_xlpm.b,_xlfn.SWITCH(LOWER(B342),"zipper bag","Zipper pouch","open bag","Open pouch",B342),_xlpm.w,G342,_xlpm.q,K342,_xlpm.src,'Converting-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342" s="923">
        <f>IFERROR(IF(OR(B342="Zipper pouch",B342="SUP with zipper"),HELPER!$DE$2*(AH342+AI342)/K342,HELPER!$DE$2*AH342/K342),"Data is missing")</f>
        <v>8.9965970248970847E-3</v>
      </c>
      <c r="AH342" s="923">
        <f t="shared" si="92"/>
        <v>0.72091641874142365</v>
      </c>
      <c r="AI342" s="923">
        <f>IF(OR(B342="Zipper pouch",B342="SUP with zipper"),HELPER!$DC$2*G342/1000,"")</f>
        <v>2.8799999999999996E-2</v>
      </c>
      <c r="AJ342" s="923" cm="1">
        <f t="array" ref="AJ342">IF(INDEX('Laminates- copilot'!$E$6:$E$257,ROUNDUP((ROW()-5)/3,0))+50&gt;IF(O342="Quantum",760,1220),"Width exceeds supplier maximum",IFERROR(AF342+AG342+N(AI342)+AH342*G342/1000/MAX(1,MIN(MAX(2,INT(900/INDEX('Laminates- copilot'!$E$6:$E$257,ROUNDUP((ROW()-5)/3,0)))),INT((IF(O342="Quantum",760,1220)-50)/INDEX('Laminates- copilot'!$E$6:$E$257,ROUNDUP((ROW()-5)/3,0))))),"Data is missing"))</f>
        <v>0.22666133383305392</v>
      </c>
      <c r="AK342" s="203">
        <f t="shared" si="93"/>
        <v>302.21511177740524</v>
      </c>
      <c r="AL342" t="str">
        <f t="shared" si="94"/>
        <v>PASS</v>
      </c>
      <c r="AM342" s="50" t="str">
        <f t="shared" si="95"/>
        <v/>
      </c>
    </row>
    <row r="343" spans="1:39" hidden="1">
      <c r="A343" t="s">
        <v>1971</v>
      </c>
      <c r="B343" t="s">
        <v>261</v>
      </c>
      <c r="C343" s="50" t="s">
        <v>2205</v>
      </c>
      <c r="D343">
        <f>'Laminates- copilot'!B118</f>
        <v>819</v>
      </c>
      <c r="E343" s="858">
        <f>'Laminates- copilot'!D118</f>
        <v>121</v>
      </c>
      <c r="F343" s="858">
        <v>250</v>
      </c>
      <c r="G343" s="858">
        <v>200</v>
      </c>
      <c r="H343" s="858">
        <v>40</v>
      </c>
      <c r="I343" s="858">
        <v>0</v>
      </c>
      <c r="J343" s="858">
        <v>580</v>
      </c>
      <c r="K343" s="858">
        <v>50000</v>
      </c>
      <c r="L343" s="858" t="str">
        <f>'Laminates- copilot'!K118</f>
        <v>Printed</v>
      </c>
      <c r="M343" s="858" t="str">
        <f>'Laminates- copilot'!L118</f>
        <v>3-4</v>
      </c>
      <c r="N343" s="858">
        <f>'Laminates- copilot'!M118</f>
        <v>4</v>
      </c>
      <c r="O343" s="858" t="str">
        <f>'Laminates- copilot'!O118</f>
        <v>Quantum</v>
      </c>
      <c r="P343" s="858" t="str">
        <f>'Laminates- copilot'!N118</f>
        <v>Europe to Europe</v>
      </c>
      <c r="Q343" s="858">
        <f t="shared" si="80"/>
        <v>10000</v>
      </c>
      <c r="R343" s="858">
        <f t="shared" si="81"/>
        <v>10000</v>
      </c>
      <c r="S343" s="858">
        <f>IFERROR('Laminates- copilot'!Q118/'Laminates- copilot'!P118*Q343,"")</f>
        <v>393.29500000000002</v>
      </c>
      <c r="T343" s="203">
        <f>IFERROR('Laminates- copilot'!R118/'Laminates- copilot'!P118*Q343,"")</f>
        <v>7209.164187414236</v>
      </c>
      <c r="U343" s="912">
        <f>IFERROR('Laminates- copilot'!S118/'Laminates- copilot'!P118*Q343,"")</f>
        <v>8362.6304574005135</v>
      </c>
      <c r="V343" s="913">
        <f t="shared" si="82"/>
        <v>18.330169942191574</v>
      </c>
      <c r="W343" s="914">
        <f t="shared" si="83"/>
        <v>21.262997132942228</v>
      </c>
      <c r="X343" s="913">
        <f t="shared" si="84"/>
        <v>0.72091641874142365</v>
      </c>
      <c r="Y343" s="913">
        <f t="shared" si="85"/>
        <v>18.330169942191574</v>
      </c>
      <c r="Z343" s="95">
        <f t="shared" si="86"/>
        <v>63566</v>
      </c>
      <c r="AA343" s="50" t="str">
        <f t="shared" si="87"/>
        <v>Below MOQ by 13,566 bags</v>
      </c>
      <c r="AB343" s="923">
        <f t="shared" si="88"/>
        <v>0.2864479610592115</v>
      </c>
      <c r="AC343" s="924">
        <f t="shared" si="89"/>
        <v>0.33227963482868533</v>
      </c>
      <c r="AD343" s="203">
        <f t="shared" si="90"/>
        <v>14322.398052960574</v>
      </c>
      <c r="AE343" s="912">
        <f t="shared" si="91"/>
        <v>16613.981741434265</v>
      </c>
      <c r="AF343" s="923" cm="1">
        <f t="array" ref="AF343">IF(O343="Quantum",IFERROR(_xlfn.LET(_xlpm.b,_xlfn.SWITCH(LOWER(B343),"zipper bag","Zipper pouch","open bag","Open pouch","sup with zipper","Stand-up pouch","stand-up pouch","Stand-up pouch",B343),_xlpm.w,G343,_xlpm.q,K343,_xlpm.types,'Converting-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missing"),IFERROR(_xlfn.LET(_xlpm.s,O343,_xlpm.b,_xlfn.SWITCH(LOWER(B343),"zipper bag","Zipper pouch","open bag","Open pouch",B343),_xlpm.w,G343,_xlpm.q,K343,_xlpm.src,'Converting-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343" s="923">
        <f>IFERROR(IF(OR(B343="Zipper pouch",B343="SUP with zipper"),HELPER!$DE$2*(AH343+AI343)/K343,HELPER!$DE$2*AH343/K343),"Data is missing")</f>
        <v>8.9965970248970847E-3</v>
      </c>
      <c r="AH343" s="923">
        <f t="shared" si="92"/>
        <v>0.72091641874142365</v>
      </c>
      <c r="AI343" s="923">
        <f>IF(OR(B343="Zipper pouch",B343="SUP with zipper"),HELPER!$DC$2*G343/1000,"")</f>
        <v>2.8799999999999996E-2</v>
      </c>
      <c r="AJ343" s="923" cm="1">
        <f t="array" ref="AJ343">IF(INDEX('Laminates- copilot'!$E$6:$E$257,ROUNDUP((ROW()-5)/3,0))+50&gt;IF(O343="Quantum",760,1220),"Width exceeds supplier maximum",IFERROR(AF343+AG343+N(AI343)+AH343*G343/1000/MAX(1,MIN(MAX(2,INT(900/INDEX('Laminates- copilot'!$E$6:$E$257,ROUNDUP((ROW()-5)/3,0)))),INT((IF(O343="Quantum",760,1220)-50)/INDEX('Laminates- copilot'!$E$6:$E$257,ROUNDUP((ROW()-5)/3,0))))),"Data is missing"))</f>
        <v>0.21483597079440864</v>
      </c>
      <c r="AK343" s="203">
        <f t="shared" si="93"/>
        <v>286.44796105921148</v>
      </c>
      <c r="AL343" t="str">
        <f t="shared" si="94"/>
        <v>PASS</v>
      </c>
      <c r="AM343" s="50" t="str">
        <f t="shared" si="95"/>
        <v/>
      </c>
    </row>
    <row r="344" spans="1:39" hidden="1">
      <c r="A344" t="s">
        <v>1972</v>
      </c>
      <c r="B344" t="s">
        <v>262</v>
      </c>
      <c r="C344" s="50" t="s">
        <v>2205</v>
      </c>
      <c r="D344">
        <f>'Laminates- copilot'!B118</f>
        <v>819</v>
      </c>
      <c r="E344" s="858">
        <f>'Laminates- copilot'!D118</f>
        <v>121</v>
      </c>
      <c r="F344" s="858">
        <v>250</v>
      </c>
      <c r="G344" s="858">
        <v>200</v>
      </c>
      <c r="H344" s="858">
        <v>0</v>
      </c>
      <c r="I344" s="858">
        <v>0</v>
      </c>
      <c r="J344" s="858">
        <v>500</v>
      </c>
      <c r="K344" s="858">
        <v>50000</v>
      </c>
      <c r="L344" s="858" t="str">
        <f>'Laminates- copilot'!K118</f>
        <v>Printed</v>
      </c>
      <c r="M344" s="858" t="str">
        <f>'Laminates- copilot'!L118</f>
        <v>3-4</v>
      </c>
      <c r="N344" s="858">
        <f>'Laminates- copilot'!M118</f>
        <v>4</v>
      </c>
      <c r="O344" s="858" t="str">
        <f>'Laminates- copilot'!O118</f>
        <v>Quantum</v>
      </c>
      <c r="P344" s="858" t="str">
        <f>'Laminates- copilot'!N118</f>
        <v>Europe to Europe</v>
      </c>
      <c r="Q344" s="858">
        <f t="shared" si="80"/>
        <v>10000</v>
      </c>
      <c r="R344" s="858">
        <f t="shared" si="81"/>
        <v>10000</v>
      </c>
      <c r="S344" s="858">
        <f>IFERROR('Laminates- copilot'!Q118/'Laminates- copilot'!P118*Q344,"")</f>
        <v>393.29500000000002</v>
      </c>
      <c r="T344" s="203">
        <f>IFERROR('Laminates- copilot'!R118/'Laminates- copilot'!P118*Q344,"")</f>
        <v>7209.164187414236</v>
      </c>
      <c r="U344" s="912">
        <f>IFERROR('Laminates- copilot'!S118/'Laminates- copilot'!P118*Q344,"")</f>
        <v>8362.6304574005135</v>
      </c>
      <c r="V344" s="913">
        <f t="shared" si="82"/>
        <v>18.330169942191574</v>
      </c>
      <c r="W344" s="914">
        <f t="shared" si="83"/>
        <v>21.262997132942228</v>
      </c>
      <c r="X344" s="913">
        <f t="shared" si="84"/>
        <v>0.72091641874142365</v>
      </c>
      <c r="Y344" s="913">
        <f t="shared" si="85"/>
        <v>18.330169942191574</v>
      </c>
      <c r="Z344" s="95">
        <f t="shared" si="86"/>
        <v>63566</v>
      </c>
      <c r="AA344" s="50" t="str">
        <f t="shared" si="87"/>
        <v>Below MOQ by 13,566 bags</v>
      </c>
      <c r="AB344" s="923">
        <f t="shared" si="88"/>
        <v>0.23037573933523126</v>
      </c>
      <c r="AC344" s="924">
        <f t="shared" si="89"/>
        <v>0.26723585762886826</v>
      </c>
      <c r="AD344" s="203">
        <f t="shared" si="90"/>
        <v>11518.786966761563</v>
      </c>
      <c r="AE344" s="912">
        <f t="shared" si="91"/>
        <v>13361.792881443413</v>
      </c>
      <c r="AF344" s="923" cm="1">
        <f t="array" ref="AF344">IF(O344="Quantum",IFERROR(_xlfn.LET(_xlpm.b,_xlfn.SWITCH(LOWER(B344),"zipper bag","Zipper pouch","open bag","Open pouch","sup with zipper","Stand-up pouch","stand-up pouch","Stand-up pouch",B344),_xlpm.w,G344,_xlpm.q,K344,_xlpm.types,'Converting-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missing"),IFERROR(_xlfn.LET(_xlpm.s,O344,_xlpm.b,_xlfn.SWITCH(LOWER(B344),"zipper bag","Zipper pouch","open bag","Open pouch",B344),_xlpm.w,G344,_xlpm.q,K344,_xlpm.src,'Converting-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344" s="923">
        <f>IFERROR(IF(OR(B344="Zipper pouch",B344="SUP with zipper"),HELPER!$DE$2*(AH344+AI344)/K344,HELPER!$DE$2*AH344/K344),"Data is missing")</f>
        <v>8.6509970248970849E-3</v>
      </c>
      <c r="AH344" s="923">
        <f t="shared" si="92"/>
        <v>0.72091641874142365</v>
      </c>
      <c r="AI344" s="923" t="str">
        <f>IF(OR(B344="Zipper pouch",B344="SUP with zipper"),HELPER!$DC$2*G344/1000,"")</f>
        <v/>
      </c>
      <c r="AJ344" s="923" cm="1">
        <f t="array" ref="AJ344">IF(INDEX('Laminates- copilot'!$E$6:$E$257,ROUNDUP((ROW()-5)/3,0))+50&gt;IF(O344="Quantum",760,1220),"Width exceeds supplier maximum",IFERROR(AF344+AG344+N(AI344)+AH344*G344/1000/MAX(1,MIN(MAX(2,INT(900/INDEX('Laminates- copilot'!$E$6:$E$257,ROUNDUP((ROW()-5)/3,0)))),INT((IF(O344="Quantum",760,1220)-50)/INDEX('Laminates- copilot'!$E$6:$E$257,ROUNDUP((ROW()-5)/3,0))))),"Data is missing"))</f>
        <v>0.17278180450142344</v>
      </c>
      <c r="AK344" s="203">
        <f t="shared" si="93"/>
        <v>230.37573933523126</v>
      </c>
      <c r="AL344" t="str">
        <f t="shared" si="94"/>
        <v>PASS</v>
      </c>
      <c r="AM344" s="50" t="str">
        <f t="shared" si="95"/>
        <v/>
      </c>
    </row>
    <row r="345" spans="1:39">
      <c r="A345" t="s">
        <v>1973</v>
      </c>
      <c r="B345" t="s">
        <v>251</v>
      </c>
      <c r="C345" s="50" t="s">
        <v>2206</v>
      </c>
      <c r="D345">
        <f>'Laminates- copilot'!B119</f>
        <v>819</v>
      </c>
      <c r="E345" s="858">
        <f>'Laminates- copilot'!D119</f>
        <v>121</v>
      </c>
      <c r="F345" s="858">
        <v>300</v>
      </c>
      <c r="G345" s="858">
        <v>300</v>
      </c>
      <c r="H345" s="858">
        <v>50</v>
      </c>
      <c r="I345" s="858">
        <v>0</v>
      </c>
      <c r="J345" s="858">
        <v>700</v>
      </c>
      <c r="K345" s="95">
        <v>50000</v>
      </c>
      <c r="L345" s="858" t="str">
        <f>'Laminates- copilot'!K119</f>
        <v>Printed</v>
      </c>
      <c r="M345" s="858" t="str">
        <f>'Laminates- copilot'!L119</f>
        <v>5-8</v>
      </c>
      <c r="N345" s="858">
        <f>'Laminates- copilot'!M119</f>
        <v>8</v>
      </c>
      <c r="O345" s="858" t="str">
        <f>'Laminates- copilot'!O119</f>
        <v>Marma</v>
      </c>
      <c r="P345" s="858" t="str">
        <f>'Laminates- copilot'!N119</f>
        <v>Europe to US</v>
      </c>
      <c r="Q345" s="858">
        <f t="shared" si="80"/>
        <v>15000</v>
      </c>
      <c r="R345" s="858">
        <f t="shared" si="81"/>
        <v>15000</v>
      </c>
      <c r="S345" s="858">
        <f>IFERROR('Laminates- copilot'!Q119/'Laminates- copilot'!P119*Q345,"")</f>
        <v>1516.9950000000001</v>
      </c>
      <c r="T345" s="203">
        <f>IFERROR('Laminates- copilot'!R119/'Laminates- copilot'!P119*Q345,"")</f>
        <v>21256.13037832818</v>
      </c>
      <c r="U345" s="912">
        <f>IFERROR('Laminates- copilot'!S119/'Laminates- copilot'!P119*Q345,"")</f>
        <v>24657.111238860689</v>
      </c>
      <c r="V345" s="913">
        <f t="shared" si="82"/>
        <v>14.011997652153223</v>
      </c>
      <c r="W345" s="914">
        <f t="shared" si="83"/>
        <v>16.253917276497738</v>
      </c>
      <c r="X345" s="913">
        <f t="shared" si="84"/>
        <v>1.4170753585552121</v>
      </c>
      <c r="Y345" s="913">
        <f t="shared" si="85"/>
        <v>14.011997652153223</v>
      </c>
      <c r="Z345" s="95">
        <f t="shared" si="86"/>
        <v>16480</v>
      </c>
      <c r="AA345" s="50" t="str">
        <f t="shared" si="87"/>
        <v>MOQ OK</v>
      </c>
      <c r="AB345" s="923">
        <f t="shared" si="88"/>
        <v>0.72444941923708084</v>
      </c>
      <c r="AC345" s="924">
        <f t="shared" si="89"/>
        <v>0.8403613263150137</v>
      </c>
      <c r="AD345" s="203">
        <f t="shared" si="90"/>
        <v>36222.470961854044</v>
      </c>
      <c r="AE345" s="912">
        <f t="shared" si="91"/>
        <v>42018.066315750686</v>
      </c>
      <c r="AF345" s="923" cm="1">
        <f t="array" ref="AF345">IF(O345="Quantum",IFERROR(_xlfn.LET(_xlpm.b,_xlfn.SWITCH(LOWER(B345),"zipper bag","Zipper pouch","open bag","Open pouch","sup with zipper","Stand-up pouch","stand-up pouch","Stand-up pouch",B345),_xlpm.w,G345,_xlpm.q,K345,_xlpm.types,'Converting-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missing"),IFERROR(_xlfn.LET(_xlpm.s,O345,_xlpm.b,_xlfn.SWITCH(LOWER(B345),"zipper bag","Zipper pouch","open bag","Open pouch",B345),_xlpm.w,G345,_xlpm.q,K345,_xlpm.src,'Converting-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345" s="923">
        <f>IFERROR(IF(OR(B345="Zipper pouch",B345="SUP with zipper"),HELPER!$DE$2*(AH345+AI345)/K345,HELPER!$DE$2*AH345/K345),"Data is missing")</f>
        <v>1.7523304302662544E-2</v>
      </c>
      <c r="AH345" s="923">
        <f t="shared" si="92"/>
        <v>1.4170753585552121</v>
      </c>
      <c r="AI345" s="923">
        <f>IF(OR(B345="Zipper pouch",B345="SUP with zipper"),HELPER!$DC$2*G345/1000,"")</f>
        <v>4.3199999999999995E-2</v>
      </c>
      <c r="AJ345" s="923" cm="1">
        <f t="array" ref="AJ345">IF(INDEX('Laminates- copilot'!$E$6:$E$257,ROUNDUP((ROW()-5)/3,0))+50&gt;IF(O345="Quantum",760,1220),"Width exceeds supplier maximum",IFERROR(AF345+AG345+N(AI345)+AH345*G345/1000/MAX(1,MIN(MAX(2,INT(900/INDEX('Laminates- copilot'!$E$6:$E$257,ROUNDUP((ROW()-5)/3,0)))),INT((IF(O345="Quantum",760,1220)-50)/INDEX('Laminates- copilot'!$E$6:$E$257,ROUNDUP((ROW()-5)/3,0))))),"Data is missing"))</f>
        <v>0.5433370644278106</v>
      </c>
      <c r="AK345" s="203">
        <f t="shared" si="93"/>
        <v>724.44941923708086</v>
      </c>
      <c r="AL345" t="str">
        <f t="shared" si="94"/>
        <v>PASS</v>
      </c>
      <c r="AM345" s="50" t="str">
        <f t="shared" si="95"/>
        <v/>
      </c>
    </row>
    <row r="346" spans="1:39">
      <c r="A346" t="s">
        <v>1974</v>
      </c>
      <c r="B346" t="s">
        <v>261</v>
      </c>
      <c r="C346" s="50" t="s">
        <v>2206</v>
      </c>
      <c r="D346">
        <f>'Laminates- copilot'!B119</f>
        <v>819</v>
      </c>
      <c r="E346" s="858">
        <f>'Laminates- copilot'!D119</f>
        <v>121</v>
      </c>
      <c r="F346" s="858">
        <v>300</v>
      </c>
      <c r="G346" s="858">
        <v>300</v>
      </c>
      <c r="H346" s="858">
        <v>50</v>
      </c>
      <c r="I346" s="858">
        <v>0</v>
      </c>
      <c r="J346" s="858">
        <v>700</v>
      </c>
      <c r="K346" s="858">
        <v>50000</v>
      </c>
      <c r="L346" s="858" t="str">
        <f>'Laminates- copilot'!K119</f>
        <v>Printed</v>
      </c>
      <c r="M346" s="858" t="str">
        <f>'Laminates- copilot'!L119</f>
        <v>5-8</v>
      </c>
      <c r="N346" s="858">
        <f>'Laminates- copilot'!M119</f>
        <v>8</v>
      </c>
      <c r="O346" s="858" t="str">
        <f>'Laminates- copilot'!O119</f>
        <v>Marma</v>
      </c>
      <c r="P346" s="858" t="str">
        <f>'Laminates- copilot'!N119</f>
        <v>Europe to US</v>
      </c>
      <c r="Q346" s="858">
        <f t="shared" si="80"/>
        <v>15000</v>
      </c>
      <c r="R346" s="858">
        <f t="shared" si="81"/>
        <v>15000</v>
      </c>
      <c r="S346" s="858">
        <f>IFERROR('Laminates- copilot'!Q119/'Laminates- copilot'!P119*Q346,"")</f>
        <v>1516.9950000000001</v>
      </c>
      <c r="T346" s="203">
        <f>IFERROR('Laminates- copilot'!R119/'Laminates- copilot'!P119*Q346,"")</f>
        <v>21256.13037832818</v>
      </c>
      <c r="U346" s="912">
        <f>IFERROR('Laminates- copilot'!S119/'Laminates- copilot'!P119*Q346,"")</f>
        <v>24657.111238860689</v>
      </c>
      <c r="V346" s="913">
        <f t="shared" si="82"/>
        <v>14.011997652153223</v>
      </c>
      <c r="W346" s="914">
        <f t="shared" si="83"/>
        <v>16.253917276497738</v>
      </c>
      <c r="X346" s="913">
        <f t="shared" si="84"/>
        <v>1.4170753585552121</v>
      </c>
      <c r="Y346" s="913">
        <f t="shared" si="85"/>
        <v>14.011997652153223</v>
      </c>
      <c r="Z346" s="95">
        <f t="shared" si="86"/>
        <v>16480</v>
      </c>
      <c r="AA346" s="50" t="str">
        <f t="shared" si="87"/>
        <v>MOQ OK</v>
      </c>
      <c r="AB346" s="923">
        <f t="shared" si="88"/>
        <v>0.71860619502943768</v>
      </c>
      <c r="AC346" s="924">
        <f t="shared" si="89"/>
        <v>0.83358318623414762</v>
      </c>
      <c r="AD346" s="203">
        <f t="shared" si="90"/>
        <v>35930.309751471883</v>
      </c>
      <c r="AE346" s="912">
        <f t="shared" si="91"/>
        <v>41679.159311707379</v>
      </c>
      <c r="AF346" s="923" cm="1">
        <f t="array" ref="AF346">IF(O346="Quantum",IFERROR(_xlfn.LET(_xlpm.b,_xlfn.SWITCH(LOWER(B346),"zipper bag","Zipper pouch","open bag","Open pouch","sup with zipper","Stand-up pouch","stand-up pouch","Stand-up pouch",B346),_xlpm.w,G346,_xlpm.q,K346,_xlpm.types,'Converting-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missing"),IFERROR(_xlfn.LET(_xlpm.s,O346,_xlpm.b,_xlfn.SWITCH(LOWER(B346),"zipper bag","Zipper pouch","open bag","Open pouch",B346),_xlpm.w,G346,_xlpm.q,K346,_xlpm.src,'Converting-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346" s="923">
        <f>IFERROR(IF(OR(B346="Zipper pouch",B346="SUP with zipper"),HELPER!$DE$2*(AH346+AI346)/K346,HELPER!$DE$2*AH346/K346),"Data is missing")</f>
        <v>1.7523304302662544E-2</v>
      </c>
      <c r="AH346" s="923">
        <f t="shared" si="92"/>
        <v>1.4170753585552121</v>
      </c>
      <c r="AI346" s="923">
        <f>IF(OR(B346="Zipper pouch",B346="SUP with zipper"),HELPER!$DC$2*G346/1000,"")</f>
        <v>4.3199999999999995E-2</v>
      </c>
      <c r="AJ346" s="923" cm="1">
        <f t="array" ref="AJ346">IF(INDEX('Laminates- copilot'!$E$6:$E$257,ROUNDUP((ROW()-5)/3,0))+50&gt;IF(O346="Quantum",760,1220),"Width exceeds supplier maximum",IFERROR(AF346+AG346+N(AI346)+AH346*G346/1000/MAX(1,MIN(MAX(2,INT(900/INDEX('Laminates- copilot'!$E$6:$E$257,ROUNDUP((ROW()-5)/3,0)))),INT((IF(O346="Quantum",760,1220)-50)/INDEX('Laminates- copilot'!$E$6:$E$257,ROUNDUP((ROW()-5)/3,0))))),"Data is missing"))</f>
        <v>0.53895464627207823</v>
      </c>
      <c r="AK346" s="203">
        <f t="shared" si="93"/>
        <v>718.60619502943769</v>
      </c>
      <c r="AL346" t="str">
        <f t="shared" si="94"/>
        <v>PASS</v>
      </c>
      <c r="AM346" s="50" t="str">
        <f t="shared" si="95"/>
        <v/>
      </c>
    </row>
    <row r="347" spans="1:39">
      <c r="A347" t="s">
        <v>1975</v>
      </c>
      <c r="B347" t="s">
        <v>262</v>
      </c>
      <c r="C347" s="50" t="s">
        <v>2206</v>
      </c>
      <c r="D347">
        <f>'Laminates- copilot'!B119</f>
        <v>819</v>
      </c>
      <c r="E347" s="858">
        <f>'Laminates- copilot'!D119</f>
        <v>121</v>
      </c>
      <c r="F347" s="858">
        <v>300</v>
      </c>
      <c r="G347" s="858">
        <v>300</v>
      </c>
      <c r="H347" s="858">
        <v>0</v>
      </c>
      <c r="I347" s="858">
        <v>10</v>
      </c>
      <c r="J347" s="858">
        <v>610</v>
      </c>
      <c r="K347" s="858">
        <v>50000</v>
      </c>
      <c r="L347" s="858" t="str">
        <f>'Laminates- copilot'!K119</f>
        <v>Printed</v>
      </c>
      <c r="M347" s="858" t="str">
        <f>'Laminates- copilot'!L119</f>
        <v>5-8</v>
      </c>
      <c r="N347" s="858">
        <f>'Laminates- copilot'!M119</f>
        <v>8</v>
      </c>
      <c r="O347" s="858" t="str">
        <f>'Laminates- copilot'!O119</f>
        <v>Marma</v>
      </c>
      <c r="P347" s="858" t="str">
        <f>'Laminates- copilot'!N119</f>
        <v>Europe to US</v>
      </c>
      <c r="Q347" s="858">
        <f t="shared" si="80"/>
        <v>15000</v>
      </c>
      <c r="R347" s="858">
        <f t="shared" si="81"/>
        <v>15000</v>
      </c>
      <c r="S347" s="858">
        <f>IFERROR('Laminates- copilot'!Q119/'Laminates- copilot'!P119*Q347,"")</f>
        <v>1516.9950000000001</v>
      </c>
      <c r="T347" s="203">
        <f>IFERROR('Laminates- copilot'!R119/'Laminates- copilot'!P119*Q347,"")</f>
        <v>21256.13037832818</v>
      </c>
      <c r="U347" s="912">
        <f>IFERROR('Laminates- copilot'!S119/'Laminates- copilot'!P119*Q347,"")</f>
        <v>24657.111238860689</v>
      </c>
      <c r="V347" s="913">
        <f t="shared" si="82"/>
        <v>14.011997652153223</v>
      </c>
      <c r="W347" s="914">
        <f t="shared" si="83"/>
        <v>16.253917276497738</v>
      </c>
      <c r="X347" s="913">
        <f t="shared" si="84"/>
        <v>1.4170753585552121</v>
      </c>
      <c r="Y347" s="913">
        <f t="shared" si="85"/>
        <v>14.011997652153223</v>
      </c>
      <c r="Z347" s="95">
        <f t="shared" si="86"/>
        <v>16480</v>
      </c>
      <c r="AA347" s="50" t="str">
        <f t="shared" si="87"/>
        <v>MOQ OK</v>
      </c>
      <c r="AB347" s="923">
        <f t="shared" si="88"/>
        <v>0.65342698803187016</v>
      </c>
      <c r="AC347" s="924">
        <f t="shared" si="89"/>
        <v>0.75797530611696928</v>
      </c>
      <c r="AD347" s="203">
        <f t="shared" si="90"/>
        <v>32671.349401593507</v>
      </c>
      <c r="AE347" s="912">
        <f t="shared" si="91"/>
        <v>37898.765305848465</v>
      </c>
      <c r="AF347" s="923" cm="1">
        <f t="array" ref="AF347">IF(O347="Quantum",IFERROR(_xlfn.LET(_xlpm.b,_xlfn.SWITCH(LOWER(B347),"zipper bag","Zipper pouch","open bag","Open pouch","sup with zipper","Stand-up pouch","stand-up pouch","Stand-up pouch",B347),_xlpm.w,G347,_xlpm.q,K347,_xlpm.types,'Converting-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missing"),IFERROR(_xlfn.LET(_xlpm.s,O347,_xlpm.b,_xlfn.SWITCH(LOWER(B347),"zipper bag","Zipper pouch","open bag","Open pouch",B347),_xlpm.w,G347,_xlpm.q,K347,_xlpm.src,'Converting-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347" s="923">
        <f>IFERROR(IF(OR(B347="Zipper pouch",B347="SUP with zipper"),HELPER!$DE$2*(AH347+AI347)/K347,HELPER!$DE$2*AH347/K347),"Data is missing")</f>
        <v>1.7004904302662546E-2</v>
      </c>
      <c r="AH347" s="923">
        <f t="shared" si="92"/>
        <v>1.4170753585552121</v>
      </c>
      <c r="AI347" s="923" t="str">
        <f>IF(OR(B347="Zipper pouch",B347="SUP with zipper"),HELPER!$DC$2*G347/1000,"")</f>
        <v/>
      </c>
      <c r="AJ347" s="923" cm="1">
        <f t="array" ref="AJ347">IF(INDEX('Laminates- copilot'!$E$6:$E$257,ROUNDUP((ROW()-5)/3,0))+50&gt;IF(O347="Quantum",760,1220),"Width exceeds supplier maximum",IFERROR(AF347+AG347+N(AI347)+AH347*G347/1000/MAX(1,MIN(MAX(2,INT(900/INDEX('Laminates- copilot'!$E$6:$E$257,ROUNDUP((ROW()-5)/3,0)))),INT((IF(O347="Quantum",760,1220)-50)/INDEX('Laminates- copilot'!$E$6:$E$257,ROUNDUP((ROW()-5)/3,0))))),"Data is missing"))</f>
        <v>0.49007024102390262</v>
      </c>
      <c r="AK347" s="203">
        <f t="shared" si="93"/>
        <v>653.42698803187011</v>
      </c>
      <c r="AL347" t="str">
        <f t="shared" si="94"/>
        <v>PASS</v>
      </c>
      <c r="AM347" s="50" t="str">
        <f t="shared" si="95"/>
        <v/>
      </c>
    </row>
    <row r="348" spans="1:39" hidden="1">
      <c r="A348" t="s">
        <v>1976</v>
      </c>
      <c r="B348" t="s">
        <v>251</v>
      </c>
      <c r="C348" s="50" t="s">
        <v>2207</v>
      </c>
      <c r="D348">
        <f>'Laminates- copilot'!B120</f>
        <v>819</v>
      </c>
      <c r="E348" s="858">
        <f>'Laminates- copilot'!D120</f>
        <v>121</v>
      </c>
      <c r="F348" s="858">
        <v>350</v>
      </c>
      <c r="G348" s="858">
        <v>400</v>
      </c>
      <c r="H348" s="858">
        <v>60</v>
      </c>
      <c r="I348" s="858">
        <v>0</v>
      </c>
      <c r="J348" s="858">
        <v>820</v>
      </c>
      <c r="K348" s="858">
        <v>100000</v>
      </c>
      <c r="L348" s="858" t="str">
        <f>'Laminates- copilot'!K120</f>
        <v>Not Printed</v>
      </c>
      <c r="M348" s="858" t="str">
        <f>'Laminates- copilot'!L120</f>
        <v>0</v>
      </c>
      <c r="N348" s="858">
        <f>'Laminates- copilot'!M120</f>
        <v>1</v>
      </c>
      <c r="O348" s="858" t="str">
        <f>'Laminates- copilot'!O120</f>
        <v>Bastin</v>
      </c>
      <c r="P348" s="858" t="str">
        <f>'Laminates- copilot'!N120</f>
        <v>Europe to Europe</v>
      </c>
      <c r="Q348" s="858">
        <f t="shared" si="80"/>
        <v>40000</v>
      </c>
      <c r="R348" s="858">
        <f t="shared" si="81"/>
        <v>40000</v>
      </c>
      <c r="S348" s="858">
        <f>IFERROR('Laminates- copilot'!Q120/'Laminates- copilot'!P120*Q348,"")</f>
        <v>1573.18</v>
      </c>
      <c r="T348" s="203">
        <f>IFERROR('Laminates- copilot'!R120/'Laminates- copilot'!P120*Q348,"")</f>
        <v>16408.218933750002</v>
      </c>
      <c r="U348" s="912">
        <f>IFERROR('Laminates- copilot'!S120/'Laminates- copilot'!P120*Q348,"")</f>
        <v>19033.533963149999</v>
      </c>
      <c r="V348" s="913">
        <f t="shared" si="82"/>
        <v>10.429969192177628</v>
      </c>
      <c r="W348" s="914">
        <f t="shared" si="83"/>
        <v>12.098764262926046</v>
      </c>
      <c r="X348" s="913">
        <f t="shared" si="84"/>
        <v>0.41020547334375007</v>
      </c>
      <c r="Y348" s="913">
        <f t="shared" si="85"/>
        <v>10.429969192177628</v>
      </c>
      <c r="Z348" s="95">
        <f t="shared" si="86"/>
        <v>31783</v>
      </c>
      <c r="AA348" s="50" t="str">
        <f t="shared" si="87"/>
        <v>MOQ OK</v>
      </c>
      <c r="AB348" s="923">
        <f t="shared" si="88"/>
        <v>0.32056254833153325</v>
      </c>
      <c r="AC348" s="924">
        <f t="shared" si="89"/>
        <v>0.37185255606457857</v>
      </c>
      <c r="AD348" s="203">
        <f t="shared" si="90"/>
        <v>32056.254833153325</v>
      </c>
      <c r="AE348" s="912">
        <f t="shared" si="91"/>
        <v>37185.255606457853</v>
      </c>
      <c r="AF348" s="923" cm="1">
        <f t="array" ref="AF348">IF(O348="Quantum",IFERROR(_xlfn.LET(_xlpm.b,_xlfn.SWITCH(LOWER(B348),"zipper bag","Zipper pouch","open bag","Open pouch","sup with zipper","Stand-up pouch","stand-up pouch","Stand-up pouch",B348),_xlpm.w,G348,_xlpm.q,K348,_xlpm.types,'Converting-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missing"),IFERROR(_xlfn.LET(_xlpm.s,O348,_xlpm.b,_xlfn.SWITCH(LOWER(B348),"zipper bag","Zipper pouch","open bag","Open pouch",B348),_xlpm.w,G348,_xlpm.q,K348,_xlpm.src,'Converting-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348" s="923">
        <f>IFERROR(IF(OR(B348="Zipper pouch",B348="SUP with zipper"),HELPER!$DE$2*(AH348+AI348)/K348,HELPER!$DE$2*AH348/K348),"Data is missing")</f>
        <v>2.8068328400625E-3</v>
      </c>
      <c r="AH348" s="923">
        <f t="shared" si="92"/>
        <v>0.41020547334375007</v>
      </c>
      <c r="AI348" s="923">
        <f>IF(OR(B348="Zipper pouch",B348="SUP with zipper"),HELPER!$DC$2*G348/1000,"")</f>
        <v>5.7599999999999991E-2</v>
      </c>
      <c r="AJ348" s="923" cm="1">
        <f t="array" ref="AJ348">IF(INDEX('Laminates- copilot'!$E$6:$E$257,ROUNDUP((ROW()-5)/3,0))+50&gt;IF(O348="Quantum",760,1220),"Width exceeds supplier maximum",IFERROR(AF348+AG348+N(AI348)+AH348*G348/1000/MAX(1,MIN(MAX(2,INT(900/INDEX('Laminates- copilot'!$E$6:$E$257,ROUNDUP((ROW()-5)/3,0)))),INT((IF(O348="Quantum",760,1220)-50)/INDEX('Laminates- copilot'!$E$6:$E$257,ROUNDUP((ROW()-5)/3,0))))),"Data is missing"))</f>
        <v>0.24042191124864992</v>
      </c>
      <c r="AK348" s="203">
        <f t="shared" si="93"/>
        <v>320.56254833153326</v>
      </c>
      <c r="AL348" t="str">
        <f t="shared" si="94"/>
        <v>PASS</v>
      </c>
      <c r="AM348" s="50" t="str">
        <f t="shared" si="95"/>
        <v/>
      </c>
    </row>
    <row r="349" spans="1:39" hidden="1">
      <c r="A349" t="s">
        <v>1977</v>
      </c>
      <c r="B349" t="s">
        <v>261</v>
      </c>
      <c r="C349" s="50" t="s">
        <v>2207</v>
      </c>
      <c r="D349">
        <f>'Laminates- copilot'!B120</f>
        <v>819</v>
      </c>
      <c r="E349" s="858">
        <f>'Laminates- copilot'!D120</f>
        <v>121</v>
      </c>
      <c r="F349" s="858">
        <v>350</v>
      </c>
      <c r="G349" s="858">
        <v>400</v>
      </c>
      <c r="H349" s="858">
        <v>60</v>
      </c>
      <c r="I349" s="858">
        <v>0</v>
      </c>
      <c r="J349" s="858">
        <v>820</v>
      </c>
      <c r="K349" s="858">
        <v>100000</v>
      </c>
      <c r="L349" s="858" t="str">
        <f>'Laminates- copilot'!K120</f>
        <v>Not Printed</v>
      </c>
      <c r="M349" s="858" t="str">
        <f>'Laminates- copilot'!L120</f>
        <v>0</v>
      </c>
      <c r="N349" s="858">
        <f>'Laminates- copilot'!M120</f>
        <v>1</v>
      </c>
      <c r="O349" s="858" t="str">
        <f>'Laminates- copilot'!O120</f>
        <v>Bastin</v>
      </c>
      <c r="P349" s="858" t="str">
        <f>'Laminates- copilot'!N120</f>
        <v>Europe to Europe</v>
      </c>
      <c r="Q349" s="858">
        <f t="shared" si="80"/>
        <v>40000</v>
      </c>
      <c r="R349" s="858">
        <f t="shared" si="81"/>
        <v>40000</v>
      </c>
      <c r="S349" s="858">
        <f>IFERROR('Laminates- copilot'!Q120/'Laminates- copilot'!P120*Q349,"")</f>
        <v>1573.18</v>
      </c>
      <c r="T349" s="203">
        <f>IFERROR('Laminates- copilot'!R120/'Laminates- copilot'!P120*Q349,"")</f>
        <v>16408.218933750002</v>
      </c>
      <c r="U349" s="912">
        <f>IFERROR('Laminates- copilot'!S120/'Laminates- copilot'!P120*Q349,"")</f>
        <v>19033.533963149999</v>
      </c>
      <c r="V349" s="913">
        <f t="shared" si="82"/>
        <v>10.429969192177628</v>
      </c>
      <c r="W349" s="914">
        <f t="shared" si="83"/>
        <v>12.098764262926046</v>
      </c>
      <c r="X349" s="913">
        <f t="shared" si="84"/>
        <v>0.41020547334375007</v>
      </c>
      <c r="Y349" s="913">
        <f t="shared" si="85"/>
        <v>10.429969192177628</v>
      </c>
      <c r="Z349" s="95">
        <f t="shared" si="86"/>
        <v>31783</v>
      </c>
      <c r="AA349" s="50" t="str">
        <f t="shared" si="87"/>
        <v>MOQ OK</v>
      </c>
      <c r="AB349" s="923">
        <f t="shared" si="88"/>
        <v>0.31062906717853989</v>
      </c>
      <c r="AC349" s="924">
        <f t="shared" si="89"/>
        <v>0.36032971792710622</v>
      </c>
      <c r="AD349" s="203">
        <f t="shared" si="90"/>
        <v>31062.906717853988</v>
      </c>
      <c r="AE349" s="912">
        <f t="shared" si="91"/>
        <v>36032.971792710625</v>
      </c>
      <c r="AF349" s="923" cm="1">
        <f t="array" ref="AF349">IF(O349="Quantum",IFERROR(_xlfn.LET(_xlpm.b,_xlfn.SWITCH(LOWER(B349),"zipper bag","Zipper pouch","open bag","Open pouch","sup with zipper","Stand-up pouch","stand-up pouch","Stand-up pouch",B349),_xlpm.w,G349,_xlpm.q,K349,_xlpm.types,'Converting-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missing"),IFERROR(_xlfn.LET(_xlpm.s,O349,_xlpm.b,_xlfn.SWITCH(LOWER(B349),"zipper bag","Zipper pouch","open bag","Open pouch",B349),_xlpm.w,G349,_xlpm.q,K349,_xlpm.src,'Converting-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349" s="923">
        <f>IFERROR(IF(OR(B349="Zipper pouch",B349="SUP with zipper"),HELPER!$DE$2*(AH349+AI349)/K349,HELPER!$DE$2*AH349/K349),"Data is missing")</f>
        <v>2.8068328400625E-3</v>
      </c>
      <c r="AH349" s="923">
        <f t="shared" si="92"/>
        <v>0.41020547334375007</v>
      </c>
      <c r="AI349" s="923">
        <f>IF(OR(B349="Zipper pouch",B349="SUP with zipper"),HELPER!$DC$2*G349/1000,"")</f>
        <v>5.7599999999999991E-2</v>
      </c>
      <c r="AJ349" s="923" cm="1">
        <f t="array" ref="AJ349">IF(INDEX('Laminates- copilot'!$E$6:$E$257,ROUNDUP((ROW()-5)/3,0))+50&gt;IF(O349="Quantum",760,1220),"Width exceeds supplier maximum",IFERROR(AF349+AG349+N(AI349)+AH349*G349/1000/MAX(1,MIN(MAX(2,INT(900/INDEX('Laminates- copilot'!$E$6:$E$257,ROUNDUP((ROW()-5)/3,0)))),INT((IF(O349="Quantum",760,1220)-50)/INDEX('Laminates- copilot'!$E$6:$E$257,ROUNDUP((ROW()-5)/3,0))))),"Data is missing"))</f>
        <v>0.23297180038390491</v>
      </c>
      <c r="AK349" s="203">
        <f t="shared" si="93"/>
        <v>310.62906717853991</v>
      </c>
      <c r="AL349" t="str">
        <f t="shared" si="94"/>
        <v>PASS</v>
      </c>
      <c r="AM349" s="50" t="str">
        <f t="shared" si="95"/>
        <v/>
      </c>
    </row>
    <row r="350" spans="1:39" hidden="1">
      <c r="A350" t="s">
        <v>1978</v>
      </c>
      <c r="B350" t="s">
        <v>262</v>
      </c>
      <c r="C350" s="50" t="s">
        <v>2207</v>
      </c>
      <c r="D350">
        <f>'Laminates- copilot'!B120</f>
        <v>819</v>
      </c>
      <c r="E350" s="858">
        <f>'Laminates- copilot'!D120</f>
        <v>121</v>
      </c>
      <c r="F350" s="858">
        <v>350</v>
      </c>
      <c r="G350" s="858">
        <v>400</v>
      </c>
      <c r="H350" s="858">
        <v>0</v>
      </c>
      <c r="I350" s="858">
        <v>0</v>
      </c>
      <c r="J350" s="858">
        <v>700</v>
      </c>
      <c r="K350" s="858">
        <v>100000</v>
      </c>
      <c r="L350" s="858" t="str">
        <f>'Laminates- copilot'!K120</f>
        <v>Not Printed</v>
      </c>
      <c r="M350" s="858" t="str">
        <f>'Laminates- copilot'!L120</f>
        <v>0</v>
      </c>
      <c r="N350" s="858">
        <f>'Laminates- copilot'!M120</f>
        <v>1</v>
      </c>
      <c r="O350" s="858" t="str">
        <f>'Laminates- copilot'!O120</f>
        <v>Bastin</v>
      </c>
      <c r="P350" s="858" t="str">
        <f>'Laminates- copilot'!N120</f>
        <v>Europe to Europe</v>
      </c>
      <c r="Q350" s="858">
        <f t="shared" si="80"/>
        <v>40000</v>
      </c>
      <c r="R350" s="858">
        <f t="shared" si="81"/>
        <v>40000</v>
      </c>
      <c r="S350" s="858">
        <f>IFERROR('Laminates- copilot'!Q120/'Laminates- copilot'!P120*Q350,"")</f>
        <v>1573.18</v>
      </c>
      <c r="T350" s="203">
        <f>IFERROR('Laminates- copilot'!R120/'Laminates- copilot'!P120*Q350,"")</f>
        <v>16408.218933750002</v>
      </c>
      <c r="U350" s="912">
        <f>IFERROR('Laminates- copilot'!S120/'Laminates- copilot'!P120*Q350,"")</f>
        <v>19033.533963149999</v>
      </c>
      <c r="V350" s="913">
        <f t="shared" si="82"/>
        <v>10.429969192177628</v>
      </c>
      <c r="W350" s="914">
        <f t="shared" si="83"/>
        <v>12.098764262926046</v>
      </c>
      <c r="X350" s="913">
        <f t="shared" si="84"/>
        <v>0.41020547334375007</v>
      </c>
      <c r="Y350" s="913">
        <f t="shared" si="85"/>
        <v>10.429969192177628</v>
      </c>
      <c r="Z350" s="95">
        <f t="shared" si="86"/>
        <v>31783</v>
      </c>
      <c r="AA350" s="50" t="str">
        <f t="shared" si="87"/>
        <v>MOQ OK</v>
      </c>
      <c r="AB350" s="923">
        <f t="shared" si="88"/>
        <v>0.22024026879111799</v>
      </c>
      <c r="AC350" s="924">
        <f t="shared" si="89"/>
        <v>0.25547871179769688</v>
      </c>
      <c r="AD350" s="203">
        <f t="shared" si="90"/>
        <v>22024.0268791118</v>
      </c>
      <c r="AE350" s="912">
        <f t="shared" si="91"/>
        <v>25547.871179769685</v>
      </c>
      <c r="AF350" s="923" cm="1">
        <f t="array" ref="AF350">IF(O350="Quantum",IFERROR(_xlfn.LET(_xlpm.b,_xlfn.SWITCH(LOWER(B350),"zipper bag","Zipper pouch","open bag","Open pouch","sup with zipper","Stand-up pouch","stand-up pouch","Stand-up pouch",B350),_xlpm.w,G350,_xlpm.q,K350,_xlpm.types,'Converting-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missing"),IFERROR(_xlfn.LET(_xlpm.s,O350,_xlpm.b,_xlfn.SWITCH(LOWER(B350),"zipper bag","Zipper pouch","open bag","Open pouch",B350),_xlpm.w,G350,_xlpm.q,K350,_xlpm.src,'Converting-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350" s="923">
        <f>IFERROR(IF(OR(B350="Zipper pouch",B350="SUP with zipper"),HELPER!$DE$2*(AH350+AI350)/K350,HELPER!$DE$2*AH350/K350),"Data is missing")</f>
        <v>2.4612328400625003E-3</v>
      </c>
      <c r="AH350" s="923">
        <f t="shared" si="92"/>
        <v>0.41020547334375007</v>
      </c>
      <c r="AI350" s="923" t="str">
        <f>IF(OR(B350="Zipper pouch",B350="SUP with zipper"),HELPER!$DC$2*G350/1000,"")</f>
        <v/>
      </c>
      <c r="AJ350" s="923" cm="1">
        <f t="array" ref="AJ350">IF(INDEX('Laminates- copilot'!$E$6:$E$257,ROUNDUP((ROW()-5)/3,0))+50&gt;IF(O350="Quantum",760,1220),"Width exceeds supplier maximum",IFERROR(AF350+AG350+N(AI350)+AH350*G350/1000/MAX(1,MIN(MAX(2,INT(900/INDEX('Laminates- copilot'!$E$6:$E$257,ROUNDUP((ROW()-5)/3,0)))),INT((IF(O350="Quantum",760,1220)-50)/INDEX('Laminates- copilot'!$E$6:$E$257,ROUNDUP((ROW()-5)/3,0))))),"Data is missing"))</f>
        <v>0.16518020159333849</v>
      </c>
      <c r="AK350" s="203">
        <f t="shared" si="93"/>
        <v>220.24026879111798</v>
      </c>
      <c r="AL350" t="str">
        <f t="shared" si="94"/>
        <v>PASS</v>
      </c>
      <c r="AM350" s="50" t="str">
        <f t="shared" si="95"/>
        <v/>
      </c>
    </row>
    <row r="351" spans="1:39" hidden="1">
      <c r="A351" t="s">
        <v>1979</v>
      </c>
      <c r="B351" t="s">
        <v>251</v>
      </c>
      <c r="C351" s="50" t="s">
        <v>2208</v>
      </c>
      <c r="D351">
        <f>'Laminates- copilot'!B121</f>
        <v>819</v>
      </c>
      <c r="E351" s="858">
        <f>'Laminates- copilot'!D121</f>
        <v>121</v>
      </c>
      <c r="F351" s="858">
        <v>400</v>
      </c>
      <c r="G351" s="858">
        <v>500</v>
      </c>
      <c r="H351" s="858">
        <v>80</v>
      </c>
      <c r="I351" s="858">
        <v>0</v>
      </c>
      <c r="J351" s="858">
        <v>960</v>
      </c>
      <c r="K351" s="858">
        <v>100000</v>
      </c>
      <c r="L351" s="858" t="str">
        <f>'Laminates- copilot'!K121</f>
        <v>Printed</v>
      </c>
      <c r="M351" s="858" t="str">
        <f>'Laminates- copilot'!L121</f>
        <v>3-4</v>
      </c>
      <c r="N351" s="858">
        <f>'Laminates- copilot'!M121</f>
        <v>4</v>
      </c>
      <c r="O351" s="858" t="str">
        <f>'Laminates- copilot'!O121</f>
        <v>Quantum</v>
      </c>
      <c r="P351" s="858" t="str">
        <f>'Laminates- copilot'!N121</f>
        <v>Europe to US</v>
      </c>
      <c r="Q351" s="858">
        <f t="shared" si="80"/>
        <v>50000</v>
      </c>
      <c r="R351" s="858">
        <f t="shared" si="81"/>
        <v>50000</v>
      </c>
      <c r="S351" s="858">
        <f>IFERROR('Laminates- copilot'!Q121/'Laminates- copilot'!P121*Q351,"")</f>
        <v>3371.1</v>
      </c>
      <c r="T351" s="203">
        <f>IFERROR('Laminates- copilot'!R121/'Laminates- copilot'!P121*Q351,"")</f>
        <v>85514.738158543099</v>
      </c>
      <c r="U351" s="912">
        <f>IFERROR('Laminates- copilot'!S121/'Laminates- copilot'!P121*Q351,"")</f>
        <v>99197.096263909989</v>
      </c>
      <c r="V351" s="913">
        <f t="shared" si="82"/>
        <v>25.367013188141289</v>
      </c>
      <c r="W351" s="914">
        <f t="shared" si="83"/>
        <v>29.425735298243893</v>
      </c>
      <c r="X351" s="913">
        <f t="shared" si="84"/>
        <v>1.710294763170862</v>
      </c>
      <c r="Y351" s="913">
        <f t="shared" si="85"/>
        <v>25.367013188141289</v>
      </c>
      <c r="Z351" s="95">
        <f t="shared" si="86"/>
        <v>14832</v>
      </c>
      <c r="AA351" s="50" t="str">
        <f t="shared" si="87"/>
        <v>MOQ OK</v>
      </c>
      <c r="AB351" s="923">
        <f t="shared" si="88"/>
        <v>1.6121123097694381</v>
      </c>
      <c r="AC351" s="924">
        <f t="shared" si="89"/>
        <v>1.870050279332548</v>
      </c>
      <c r="AD351" s="203">
        <f t="shared" si="90"/>
        <v>161211.2309769438</v>
      </c>
      <c r="AE351" s="912">
        <f t="shared" si="91"/>
        <v>187005.02793325481</v>
      </c>
      <c r="AF351" s="923" cm="1">
        <f t="array" ref="AF351">IF(O351="Quantum",IFERROR(_xlfn.LET(_xlpm.b,_xlfn.SWITCH(LOWER(B351),"zipper bag","Zipper pouch","open bag","Open pouch","sup with zipper","Stand-up pouch","stand-up pouch","Stand-up pouch",B351),_xlpm.w,G351,_xlpm.q,K351,_xlpm.types,'Converting-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missing"),IFERROR(_xlfn.LET(_xlpm.s,O351,_xlpm.b,_xlfn.SWITCH(LOWER(B351),"zipper bag","Zipper pouch","open bag","Open pouch",B351),_xlpm.w,G351,_xlpm.q,K351,_xlpm.src,'Converting-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351" s="923">
        <f>IFERROR(IF(OR(B351="Zipper pouch",B351="SUP with zipper"),HELPER!$DE$2*(AH351+AI351)/K351,HELPER!$DE$2*AH351/K351),"Data is missing")</f>
        <v>1.0693768579025173E-2</v>
      </c>
      <c r="AH351" s="923">
        <f t="shared" si="92"/>
        <v>1.710294763170862</v>
      </c>
      <c r="AI351" s="923">
        <f>IF(OR(B351="Zipper pouch",B351="SUP with zipper"),HELPER!$DC$2*G351/1000,"")</f>
        <v>7.1999999999999995E-2</v>
      </c>
      <c r="AJ351" s="923" cm="1">
        <f t="array" ref="AJ351">IF(INDEX('Laminates- copilot'!$E$6:$E$257,ROUNDUP((ROW()-5)/3,0))+50&gt;IF(O351="Quantum",760,1220),"Width exceeds supplier maximum",IFERROR(AF351+AG351+N(AI351)+AH351*G351/1000/MAX(1,MIN(MAX(2,INT(900/INDEX('Laminates- copilot'!$E$6:$E$257,ROUNDUP((ROW()-5)/3,0)))),INT((IF(O351="Quantum",760,1220)-50)/INDEX('Laminates- copilot'!$E$6:$E$257,ROUNDUP((ROW()-5)/3,0))))),"Data is missing"))</f>
        <v>1.2090842323270785</v>
      </c>
      <c r="AK351" s="203">
        <f t="shared" si="93"/>
        <v>1612.1123097694381</v>
      </c>
      <c r="AL351" t="str">
        <f t="shared" si="94"/>
        <v>PASS</v>
      </c>
      <c r="AM351" s="50" t="str">
        <f t="shared" si="95"/>
        <v/>
      </c>
    </row>
    <row r="352" spans="1:39" hidden="1">
      <c r="A352" t="s">
        <v>1980</v>
      </c>
      <c r="B352" t="s">
        <v>261</v>
      </c>
      <c r="C352" s="50" t="s">
        <v>2208</v>
      </c>
      <c r="D352">
        <f>'Laminates- copilot'!B121</f>
        <v>819</v>
      </c>
      <c r="E352" s="858">
        <f>'Laminates- copilot'!D121</f>
        <v>121</v>
      </c>
      <c r="F352" s="858">
        <v>400</v>
      </c>
      <c r="G352" s="858">
        <v>500</v>
      </c>
      <c r="H352" s="858">
        <v>80</v>
      </c>
      <c r="I352" s="858">
        <v>0</v>
      </c>
      <c r="J352" s="858">
        <v>960</v>
      </c>
      <c r="K352" s="858">
        <v>100000</v>
      </c>
      <c r="L352" s="858" t="str">
        <f>'Laminates- copilot'!K121</f>
        <v>Printed</v>
      </c>
      <c r="M352" s="858" t="str">
        <f>'Laminates- copilot'!L121</f>
        <v>3-4</v>
      </c>
      <c r="N352" s="858">
        <f>'Laminates- copilot'!M121</f>
        <v>4</v>
      </c>
      <c r="O352" s="858" t="str">
        <f>'Laminates- copilot'!O121</f>
        <v>Quantum</v>
      </c>
      <c r="P352" s="858" t="str">
        <f>'Laminates- copilot'!N121</f>
        <v>Europe to US</v>
      </c>
      <c r="Q352" s="858">
        <f t="shared" si="80"/>
        <v>50000</v>
      </c>
      <c r="R352" s="858">
        <f t="shared" si="81"/>
        <v>50000</v>
      </c>
      <c r="S352" s="858">
        <f>IFERROR('Laminates- copilot'!Q121/'Laminates- copilot'!P121*Q352,"")</f>
        <v>3371.1</v>
      </c>
      <c r="T352" s="203">
        <f>IFERROR('Laminates- copilot'!R121/'Laminates- copilot'!P121*Q352,"")</f>
        <v>85514.738158543099</v>
      </c>
      <c r="U352" s="912">
        <f>IFERROR('Laminates- copilot'!S121/'Laminates- copilot'!P121*Q352,"")</f>
        <v>99197.096263909989</v>
      </c>
      <c r="V352" s="913">
        <f t="shared" si="82"/>
        <v>25.367013188141289</v>
      </c>
      <c r="W352" s="914">
        <f t="shared" si="83"/>
        <v>29.425735298243893</v>
      </c>
      <c r="X352" s="913">
        <f t="shared" si="84"/>
        <v>1.710294763170862</v>
      </c>
      <c r="Y352" s="913">
        <f t="shared" si="85"/>
        <v>25.367013188141289</v>
      </c>
      <c r="Z352" s="95">
        <f t="shared" si="86"/>
        <v>14832</v>
      </c>
      <c r="AA352" s="50" t="str">
        <f t="shared" si="87"/>
        <v>MOQ OK</v>
      </c>
      <c r="AB352" s="923">
        <f t="shared" si="88"/>
        <v>1.5726944329739538</v>
      </c>
      <c r="AC352" s="924">
        <f t="shared" si="89"/>
        <v>1.8243255422497864</v>
      </c>
      <c r="AD352" s="203">
        <f t="shared" si="90"/>
        <v>157269.4432973954</v>
      </c>
      <c r="AE352" s="912">
        <f t="shared" si="91"/>
        <v>182432.55422497864</v>
      </c>
      <c r="AF352" s="923" cm="1">
        <f t="array" ref="AF352">IF(O352="Quantum",IFERROR(_xlfn.LET(_xlpm.b,_xlfn.SWITCH(LOWER(B352),"zipper bag","Zipper pouch","open bag","Open pouch","sup with zipper","Stand-up pouch","stand-up pouch","Stand-up pouch",B352),_xlpm.w,G352,_xlpm.q,K352,_xlpm.types,'Converting-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missing"),IFERROR(_xlfn.LET(_xlpm.s,O352,_xlpm.b,_xlfn.SWITCH(LOWER(B352),"zipper bag","Zipper pouch","open bag","Open pouch",B352),_xlpm.w,G352,_xlpm.q,K352,_xlpm.src,'Converting-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352" s="923">
        <f>IFERROR(IF(OR(B352="Zipper pouch",B352="SUP with zipper"),HELPER!$DE$2*(AH352+AI352)/K352,HELPER!$DE$2*AH352/K352),"Data is missing")</f>
        <v>1.0693768579025173E-2</v>
      </c>
      <c r="AH352" s="923">
        <f t="shared" si="92"/>
        <v>1.710294763170862</v>
      </c>
      <c r="AI352" s="923">
        <f>IF(OR(B352="Zipper pouch",B352="SUP with zipper"),HELPER!$DC$2*G352/1000,"")</f>
        <v>7.1999999999999995E-2</v>
      </c>
      <c r="AJ352" s="923" cm="1">
        <f t="array" ref="AJ352">IF(INDEX('Laminates- copilot'!$E$6:$E$257,ROUNDUP((ROW()-5)/3,0))+50&gt;IF(O352="Quantum",760,1220),"Width exceeds supplier maximum",IFERROR(AF352+AG352+N(AI352)+AH352*G352/1000/MAX(1,MIN(MAX(2,INT(900/INDEX('Laminates- copilot'!$E$6:$E$257,ROUNDUP((ROW()-5)/3,0)))),INT((IF(O352="Quantum",760,1220)-50)/INDEX('Laminates- copilot'!$E$6:$E$257,ROUNDUP((ROW()-5)/3,0))))),"Data is missing"))</f>
        <v>1.1795208247304654</v>
      </c>
      <c r="AK352" s="203">
        <f t="shared" si="93"/>
        <v>1572.6944329739538</v>
      </c>
      <c r="AL352" t="str">
        <f t="shared" si="94"/>
        <v>PASS</v>
      </c>
      <c r="AM352" s="50" t="str">
        <f t="shared" si="95"/>
        <v/>
      </c>
    </row>
    <row r="353" spans="1:39" hidden="1">
      <c r="A353" t="s">
        <v>1981</v>
      </c>
      <c r="B353" t="s">
        <v>262</v>
      </c>
      <c r="C353" s="50" t="s">
        <v>2208</v>
      </c>
      <c r="D353">
        <f>'Laminates- copilot'!B121</f>
        <v>819</v>
      </c>
      <c r="E353" s="858">
        <f>'Laminates- copilot'!D121</f>
        <v>121</v>
      </c>
      <c r="F353" s="858">
        <v>400</v>
      </c>
      <c r="G353" s="858">
        <v>500</v>
      </c>
      <c r="H353" s="858">
        <v>0</v>
      </c>
      <c r="I353" s="858">
        <v>20</v>
      </c>
      <c r="J353" s="858">
        <v>820</v>
      </c>
      <c r="K353" s="858">
        <v>100000</v>
      </c>
      <c r="L353" s="858" t="str">
        <f>'Laminates- copilot'!K121</f>
        <v>Printed</v>
      </c>
      <c r="M353" s="858" t="str">
        <f>'Laminates- copilot'!L121</f>
        <v>3-4</v>
      </c>
      <c r="N353" s="858">
        <f>'Laminates- copilot'!M121</f>
        <v>4</v>
      </c>
      <c r="O353" s="858" t="str">
        <f>'Laminates- copilot'!O121</f>
        <v>Quantum</v>
      </c>
      <c r="P353" s="858" t="str">
        <f>'Laminates- copilot'!N121</f>
        <v>Europe to US</v>
      </c>
      <c r="Q353" s="858">
        <f t="shared" si="80"/>
        <v>50000</v>
      </c>
      <c r="R353" s="858">
        <f t="shared" si="81"/>
        <v>50000</v>
      </c>
      <c r="S353" s="858">
        <f>IFERROR('Laminates- copilot'!Q121/'Laminates- copilot'!P121*Q353,"")</f>
        <v>3371.1</v>
      </c>
      <c r="T353" s="203">
        <f>IFERROR('Laminates- copilot'!R121/'Laminates- copilot'!P121*Q353,"")</f>
        <v>85514.738158543099</v>
      </c>
      <c r="U353" s="912">
        <f>IFERROR('Laminates- copilot'!S121/'Laminates- copilot'!P121*Q353,"")</f>
        <v>99197.096263909989</v>
      </c>
      <c r="V353" s="913">
        <f t="shared" si="82"/>
        <v>25.367013188141289</v>
      </c>
      <c r="W353" s="914">
        <f t="shared" si="83"/>
        <v>29.425735298243893</v>
      </c>
      <c r="X353" s="913">
        <f t="shared" si="84"/>
        <v>1.710294763170862</v>
      </c>
      <c r="Y353" s="913">
        <f t="shared" si="85"/>
        <v>25.367013188141289</v>
      </c>
      <c r="Z353" s="95">
        <f t="shared" si="86"/>
        <v>14832</v>
      </c>
      <c r="AA353" s="50" t="str">
        <f t="shared" si="87"/>
        <v>MOQ OK</v>
      </c>
      <c r="AB353" s="923">
        <f t="shared" si="88"/>
        <v>1.4422852809628537</v>
      </c>
      <c r="AC353" s="924">
        <f t="shared" si="89"/>
        <v>1.6730509259169102</v>
      </c>
      <c r="AD353" s="203">
        <f t="shared" si="90"/>
        <v>144228.52809628536</v>
      </c>
      <c r="AE353" s="912">
        <f t="shared" si="91"/>
        <v>167305.09259169101</v>
      </c>
      <c r="AF353" s="923" cm="1">
        <f t="array" ref="AF353">IF(O353="Quantum",IFERROR(_xlfn.LET(_xlpm.b,_xlfn.SWITCH(LOWER(B353),"zipper bag","Zipper pouch","open bag","Open pouch","sup with zipper","Stand-up pouch","stand-up pouch","Stand-up pouch",B353),_xlpm.w,G353,_xlpm.q,K353,_xlpm.types,'Converting-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missing"),IFERROR(_xlfn.LET(_xlpm.s,O353,_xlpm.b,_xlfn.SWITCH(LOWER(B353),"zipper bag","Zipper pouch","open bag","Open pouch",B353),_xlpm.w,G353,_xlpm.q,K353,_xlpm.src,'Converting-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353" s="923">
        <f>IFERROR(IF(OR(B353="Zipper pouch",B353="SUP with zipper"),HELPER!$DE$2*(AH353+AI353)/K353,HELPER!$DE$2*AH353/K353),"Data is missing")</f>
        <v>1.0261768579025173E-2</v>
      </c>
      <c r="AH353" s="923">
        <f t="shared" si="92"/>
        <v>1.710294763170862</v>
      </c>
      <c r="AI353" s="923" t="str">
        <f>IF(OR(B353="Zipper pouch",B353="SUP with zipper"),HELPER!$DC$2*G353/1000,"")</f>
        <v/>
      </c>
      <c r="AJ353" s="923" cm="1">
        <f t="array" ref="AJ353">IF(INDEX('Laminates- copilot'!$E$6:$E$257,ROUNDUP((ROW()-5)/3,0))+50&gt;IF(O353="Quantum",760,1220),"Width exceeds supplier maximum",IFERROR(AF353+AG353+N(AI353)+AH353*G353/1000/MAX(1,MIN(MAX(2,INT(900/INDEX('Laminates- copilot'!$E$6:$E$257,ROUNDUP((ROW()-5)/3,0)))),INT((IF(O353="Quantum",760,1220)-50)/INDEX('Laminates- copilot'!$E$6:$E$257,ROUNDUP((ROW()-5)/3,0))))),"Data is missing"))</f>
        <v>1.0817139607221402</v>
      </c>
      <c r="AK353" s="203">
        <f t="shared" si="93"/>
        <v>1442.2852809628537</v>
      </c>
      <c r="AL353" t="str">
        <f t="shared" si="94"/>
        <v>PASS</v>
      </c>
      <c r="AM353" s="50" t="str">
        <f t="shared" si="95"/>
        <v/>
      </c>
    </row>
    <row r="354" spans="1:39" hidden="1">
      <c r="A354" t="s">
        <v>1982</v>
      </c>
      <c r="B354" t="s">
        <v>251</v>
      </c>
      <c r="C354" s="50" t="s">
        <v>2209</v>
      </c>
      <c r="D354">
        <f>'Laminates- copilot'!B122</f>
        <v>819</v>
      </c>
      <c r="E354" s="858">
        <f>'Laminates- copilot'!D122</f>
        <v>121</v>
      </c>
      <c r="F354" s="858">
        <v>600</v>
      </c>
      <c r="G354" s="858">
        <v>200</v>
      </c>
      <c r="H354" s="858">
        <v>50</v>
      </c>
      <c r="I354" s="858">
        <v>0</v>
      </c>
      <c r="J354" s="858">
        <v>1300</v>
      </c>
      <c r="K354" s="858">
        <v>200000</v>
      </c>
      <c r="L354" s="858" t="str">
        <f>'Laminates- copilot'!K122</f>
        <v>Printed</v>
      </c>
      <c r="M354" s="858" t="str">
        <f>'Laminates- copilot'!L122</f>
        <v>5-8</v>
      </c>
      <c r="N354" s="858">
        <f>'Laminates- copilot'!M122</f>
        <v>8</v>
      </c>
      <c r="O354" s="858" t="str">
        <f>'Laminates- copilot'!O122</f>
        <v>Marma</v>
      </c>
      <c r="P354" s="858" t="str">
        <f>'Laminates- copilot'!N122</f>
        <v>Europe to Europe</v>
      </c>
      <c r="Q354" s="858">
        <f t="shared" si="80"/>
        <v>40000</v>
      </c>
      <c r="R354" s="858">
        <f t="shared" si="81"/>
        <v>40000</v>
      </c>
      <c r="S354" s="858">
        <f>IFERROR('Laminates- copilot'!Q122/'Laminates- copilot'!P122*Q354,"")</f>
        <v>4045.32</v>
      </c>
      <c r="T354" s="203">
        <f>IFERROR('Laminates- copilot'!R122/'Laminates- copilot'!P122*Q354,"")</f>
        <v>49695.573417798034</v>
      </c>
      <c r="U354" s="912">
        <f>IFERROR('Laminates- copilot'!S122/'Laminates- copilot'!P122*Q354,"")</f>
        <v>57646.865164645715</v>
      </c>
      <c r="V354" s="913">
        <f t="shared" si="82"/>
        <v>12.28470761714723</v>
      </c>
      <c r="W354" s="914">
        <f t="shared" si="83"/>
        <v>14.250260835890785</v>
      </c>
      <c r="X354" s="913">
        <f t="shared" si="84"/>
        <v>1.2423893354449509</v>
      </c>
      <c r="Y354" s="913">
        <f t="shared" si="85"/>
        <v>12.28470761714723</v>
      </c>
      <c r="Z354" s="95">
        <f t="shared" si="86"/>
        <v>24720</v>
      </c>
      <c r="AA354" s="50" t="str">
        <f t="shared" si="87"/>
        <v>MOQ OK</v>
      </c>
      <c r="AB354" s="923">
        <f t="shared" si="88"/>
        <v>0.43275443378563661</v>
      </c>
      <c r="AC354" s="924">
        <f t="shared" si="89"/>
        <v>0.50199514319133842</v>
      </c>
      <c r="AD354" s="203">
        <f t="shared" si="90"/>
        <v>86550.886757127315</v>
      </c>
      <c r="AE354" s="912">
        <f t="shared" si="91"/>
        <v>100399.02863826767</v>
      </c>
      <c r="AF354" s="923" cm="1">
        <f t="array" ref="AF354">IF(O354="Quantum",IFERROR(_xlfn.LET(_xlpm.b,_xlfn.SWITCH(LOWER(B354),"zipper bag","Zipper pouch","open bag","Open pouch","sup with zipper","Stand-up pouch","stand-up pouch","Stand-up pouch",B354),_xlpm.w,G354,_xlpm.q,K354,_xlpm.types,'Converting-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missing"),IFERROR(_xlfn.LET(_xlpm.s,O354,_xlpm.b,_xlfn.SWITCH(LOWER(B354),"zipper bag","Zipper pouch","open bag","Open pouch",B354),_xlpm.w,G354,_xlpm.q,K354,_xlpm.src,'Converting-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354" s="923">
        <f>IFERROR(IF(OR(B354="Zipper pouch",B354="SUP with zipper"),HELPER!$DE$2*(AH354+AI354)/K354,HELPER!$DE$2*AH354/K354),"Data is missing")</f>
        <v>3.8135680063348526E-3</v>
      </c>
      <c r="AH354" s="923">
        <f t="shared" si="92"/>
        <v>1.2423893354449509</v>
      </c>
      <c r="AI354" s="923">
        <f>IF(OR(B354="Zipper pouch",B354="SUP with zipper"),HELPER!$DC$2*G354/1000,"")</f>
        <v>2.8799999999999996E-2</v>
      </c>
      <c r="AJ354" s="923" cm="1">
        <f t="array" ref="AJ354">IF(INDEX('Laminates- copilot'!$E$6:$E$257,ROUNDUP((ROW()-5)/3,0))+50&gt;IF(O354="Quantum",760,1220),"Width exceeds supplier maximum",IFERROR(AF354+AG354+N(AI354)+AH354*G354/1000/MAX(1,MIN(MAX(2,INT(900/INDEX('Laminates- copilot'!$E$6:$E$257,ROUNDUP((ROW()-5)/3,0)))),INT((IF(O354="Quantum",760,1220)-50)/INDEX('Laminates- copilot'!$E$6:$E$257,ROUNDUP((ROW()-5)/3,0))))),"Data is missing"))</f>
        <v>0.32456582533922745</v>
      </c>
      <c r="AK354" s="203">
        <f t="shared" si="93"/>
        <v>432.75443378563659</v>
      </c>
      <c r="AL354" t="str">
        <f t="shared" si="94"/>
        <v>PASS</v>
      </c>
      <c r="AM354" s="50" t="str">
        <f t="shared" si="95"/>
        <v/>
      </c>
    </row>
    <row r="355" spans="1:39" hidden="1">
      <c r="A355" t="s">
        <v>1983</v>
      </c>
      <c r="B355" t="s">
        <v>261</v>
      </c>
      <c r="C355" s="50" t="s">
        <v>2209</v>
      </c>
      <c r="D355">
        <f>'Laminates- copilot'!B122</f>
        <v>819</v>
      </c>
      <c r="E355" s="858">
        <f>'Laminates- copilot'!D122</f>
        <v>121</v>
      </c>
      <c r="F355" s="858">
        <v>600</v>
      </c>
      <c r="G355" s="858">
        <v>200</v>
      </c>
      <c r="H355" s="858">
        <v>50</v>
      </c>
      <c r="I355" s="858">
        <v>0</v>
      </c>
      <c r="J355" s="858">
        <v>1300</v>
      </c>
      <c r="K355" s="858">
        <v>200000</v>
      </c>
      <c r="L355" s="858" t="str">
        <f>'Laminates- copilot'!K122</f>
        <v>Printed</v>
      </c>
      <c r="M355" s="858" t="str">
        <f>'Laminates- copilot'!L122</f>
        <v>5-8</v>
      </c>
      <c r="N355" s="858">
        <f>'Laminates- copilot'!M122</f>
        <v>8</v>
      </c>
      <c r="O355" s="858" t="str">
        <f>'Laminates- copilot'!O122</f>
        <v>Marma</v>
      </c>
      <c r="P355" s="858" t="str">
        <f>'Laminates- copilot'!N122</f>
        <v>Europe to Europe</v>
      </c>
      <c r="Q355" s="858">
        <f t="shared" si="80"/>
        <v>40000</v>
      </c>
      <c r="R355" s="858">
        <f t="shared" si="81"/>
        <v>40000</v>
      </c>
      <c r="S355" s="858">
        <f>IFERROR('Laminates- copilot'!Q122/'Laminates- copilot'!P122*Q355,"")</f>
        <v>4045.32</v>
      </c>
      <c r="T355" s="203">
        <f>IFERROR('Laminates- copilot'!R122/'Laminates- copilot'!P122*Q355,"")</f>
        <v>49695.573417798034</v>
      </c>
      <c r="U355" s="912">
        <f>IFERROR('Laminates- copilot'!S122/'Laminates- copilot'!P122*Q355,"")</f>
        <v>57646.865164645715</v>
      </c>
      <c r="V355" s="913">
        <f t="shared" si="82"/>
        <v>12.28470761714723</v>
      </c>
      <c r="W355" s="914">
        <f t="shared" si="83"/>
        <v>14.250260835890785</v>
      </c>
      <c r="X355" s="913">
        <f t="shared" si="84"/>
        <v>1.2423893354449509</v>
      </c>
      <c r="Y355" s="913">
        <f t="shared" si="85"/>
        <v>12.28470761714723</v>
      </c>
      <c r="Z355" s="95">
        <f t="shared" si="86"/>
        <v>24720</v>
      </c>
      <c r="AA355" s="50" t="str">
        <f t="shared" si="87"/>
        <v>MOQ OK</v>
      </c>
      <c r="AB355" s="923">
        <f t="shared" si="88"/>
        <v>0.42802420466516361</v>
      </c>
      <c r="AC355" s="924">
        <f t="shared" si="89"/>
        <v>0.49650807741158975</v>
      </c>
      <c r="AD355" s="203">
        <f t="shared" si="90"/>
        <v>85604.840933032727</v>
      </c>
      <c r="AE355" s="912">
        <f t="shared" si="91"/>
        <v>99301.615482317953</v>
      </c>
      <c r="AF355" s="923" cm="1">
        <f t="array" ref="AF355">IF(O355="Quantum",IFERROR(_xlfn.LET(_xlpm.b,_xlfn.SWITCH(LOWER(B355),"zipper bag","Zipper pouch","open bag","Open pouch","sup with zipper","Stand-up pouch","stand-up pouch","Stand-up pouch",B355),_xlpm.w,G355,_xlpm.q,K355,_xlpm.types,'Converting-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missing"),IFERROR(_xlfn.LET(_xlpm.s,O355,_xlpm.b,_xlfn.SWITCH(LOWER(B355),"zipper bag","Zipper pouch","open bag","Open pouch",B355),_xlpm.w,G355,_xlpm.q,K355,_xlpm.src,'Converting-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355" s="923">
        <f>IFERROR(IF(OR(B355="Zipper pouch",B355="SUP with zipper"),HELPER!$DE$2*(AH355+AI355)/K355,HELPER!$DE$2*AH355/K355),"Data is missing")</f>
        <v>3.8135680063348526E-3</v>
      </c>
      <c r="AH355" s="923">
        <f t="shared" si="92"/>
        <v>1.2423893354449509</v>
      </c>
      <c r="AI355" s="923">
        <f>IF(OR(B355="Zipper pouch",B355="SUP with zipper"),HELPER!$DC$2*G355/1000,"")</f>
        <v>2.8799999999999996E-2</v>
      </c>
      <c r="AJ355" s="923" cm="1">
        <f t="array" ref="AJ355">IF(INDEX('Laminates- copilot'!$E$6:$E$257,ROUNDUP((ROW()-5)/3,0))+50&gt;IF(O355="Quantum",760,1220),"Width exceeds supplier maximum",IFERROR(AF355+AG355+N(AI355)+AH355*G355/1000/MAX(1,MIN(MAX(2,INT(900/INDEX('Laminates- copilot'!$E$6:$E$257,ROUNDUP((ROW()-5)/3,0)))),INT((IF(O355="Quantum",760,1220)-50)/INDEX('Laminates- copilot'!$E$6:$E$257,ROUNDUP((ROW()-5)/3,0))))),"Data is missing"))</f>
        <v>0.32101815349887269</v>
      </c>
      <c r="AK355" s="203">
        <f t="shared" si="93"/>
        <v>428.02420466516361</v>
      </c>
      <c r="AL355" t="str">
        <f t="shared" si="94"/>
        <v>PASS</v>
      </c>
      <c r="AM355" s="50" t="str">
        <f t="shared" si="95"/>
        <v/>
      </c>
    </row>
    <row r="356" spans="1:39" hidden="1">
      <c r="A356" t="s">
        <v>1984</v>
      </c>
      <c r="B356" t="s">
        <v>262</v>
      </c>
      <c r="C356" s="50" t="s">
        <v>2209</v>
      </c>
      <c r="D356">
        <f>'Laminates- copilot'!B122</f>
        <v>819</v>
      </c>
      <c r="E356" s="858">
        <f>'Laminates- copilot'!D122</f>
        <v>121</v>
      </c>
      <c r="F356" s="858">
        <v>600</v>
      </c>
      <c r="G356" s="858">
        <v>200</v>
      </c>
      <c r="H356" s="858">
        <v>0</v>
      </c>
      <c r="I356" s="858">
        <v>0</v>
      </c>
      <c r="J356" s="858">
        <v>1200</v>
      </c>
      <c r="K356" s="858">
        <v>200000</v>
      </c>
      <c r="L356" s="858" t="str">
        <f>'Laminates- copilot'!K122</f>
        <v>Printed</v>
      </c>
      <c r="M356" s="858" t="str">
        <f>'Laminates- copilot'!L122</f>
        <v>5-8</v>
      </c>
      <c r="N356" s="858">
        <f>'Laminates- copilot'!M122</f>
        <v>8</v>
      </c>
      <c r="O356" s="858" t="str">
        <f>'Laminates- copilot'!O122</f>
        <v>Marma</v>
      </c>
      <c r="P356" s="858" t="str">
        <f>'Laminates- copilot'!N122</f>
        <v>Europe to Europe</v>
      </c>
      <c r="Q356" s="858">
        <f t="shared" si="80"/>
        <v>40000</v>
      </c>
      <c r="R356" s="858">
        <f t="shared" si="81"/>
        <v>40000</v>
      </c>
      <c r="S356" s="858">
        <f>IFERROR('Laminates- copilot'!Q122/'Laminates- copilot'!P122*Q356,"")</f>
        <v>4045.32</v>
      </c>
      <c r="T356" s="203">
        <f>IFERROR('Laminates- copilot'!R122/'Laminates- copilot'!P122*Q356,"")</f>
        <v>49695.573417798034</v>
      </c>
      <c r="U356" s="912">
        <f>IFERROR('Laminates- copilot'!S122/'Laminates- copilot'!P122*Q356,"")</f>
        <v>57646.865164645715</v>
      </c>
      <c r="V356" s="913">
        <f t="shared" si="82"/>
        <v>12.28470761714723</v>
      </c>
      <c r="W356" s="914">
        <f t="shared" si="83"/>
        <v>14.250260835890785</v>
      </c>
      <c r="X356" s="913">
        <f t="shared" si="84"/>
        <v>1.2423893354449509</v>
      </c>
      <c r="Y356" s="913">
        <f t="shared" si="85"/>
        <v>12.28470761714723</v>
      </c>
      <c r="Z356" s="95">
        <f t="shared" si="86"/>
        <v>24720</v>
      </c>
      <c r="AA356" s="50" t="str">
        <f t="shared" si="87"/>
        <v>MOQ OK</v>
      </c>
      <c r="AB356" s="923">
        <f t="shared" si="88"/>
        <v>0.38422380575468756</v>
      </c>
      <c r="AC356" s="924">
        <f t="shared" si="89"/>
        <v>0.44569961467543756</v>
      </c>
      <c r="AD356" s="203">
        <f t="shared" si="90"/>
        <v>76844.761150937513</v>
      </c>
      <c r="AE356" s="912">
        <f t="shared" si="91"/>
        <v>89139.92293508751</v>
      </c>
      <c r="AF356" s="923" cm="1">
        <f t="array" ref="AF356">IF(O356="Quantum",IFERROR(_xlfn.LET(_xlpm.b,_xlfn.SWITCH(LOWER(B356),"zipper bag","Zipper pouch","open bag","Open pouch","sup with zipper","Stand-up pouch","stand-up pouch","Stand-up pouch",B356),_xlpm.w,G356,_xlpm.q,K356,_xlpm.types,'Converting-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missing"),IFERROR(_xlfn.LET(_xlpm.s,O356,_xlpm.b,_xlfn.SWITCH(LOWER(B356),"zipper bag","Zipper pouch","open bag","Open pouch",B356),_xlpm.w,G356,_xlpm.q,K356,_xlpm.src,'Converting-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356" s="923">
        <f>IFERROR(IF(OR(B356="Zipper pouch",B356="SUP with zipper"),HELPER!$DE$2*(AH356+AI356)/K356,HELPER!$DE$2*AH356/K356),"Data is missing")</f>
        <v>3.7271680063348527E-3</v>
      </c>
      <c r="AH356" s="923">
        <f t="shared" si="92"/>
        <v>1.2423893354449509</v>
      </c>
      <c r="AI356" s="923" t="str">
        <f>IF(OR(B356="Zipper pouch",B356="SUP with zipper"),HELPER!$DC$2*G356/1000,"")</f>
        <v/>
      </c>
      <c r="AJ356" s="923" cm="1">
        <f t="array" ref="AJ356">IF(INDEX('Laminates- copilot'!$E$6:$E$257,ROUNDUP((ROW()-5)/3,0))+50&gt;IF(O356="Quantum",760,1220),"Width exceeds supplier maximum",IFERROR(AF356+AG356+N(AI356)+AH356*G356/1000/MAX(1,MIN(MAX(2,INT(900/INDEX('Laminates- copilot'!$E$6:$E$257,ROUNDUP((ROW()-5)/3,0)))),INT((IF(O356="Quantum",760,1220)-50)/INDEX('Laminates- copilot'!$E$6:$E$257,ROUNDUP((ROW()-5)/3,0))))),"Data is missing"))</f>
        <v>0.28816785431601566</v>
      </c>
      <c r="AK356" s="203">
        <f t="shared" si="93"/>
        <v>384.22380575468759</v>
      </c>
      <c r="AL356" t="str">
        <f t="shared" si="94"/>
        <v>PASS</v>
      </c>
      <c r="AM356" s="50" t="str">
        <f t="shared" si="95"/>
        <v/>
      </c>
    </row>
    <row r="357" spans="1:39" hidden="1">
      <c r="A357" t="s">
        <v>1985</v>
      </c>
      <c r="B357" t="s">
        <v>251</v>
      </c>
      <c r="C357" s="50" t="s">
        <v>2210</v>
      </c>
      <c r="D357">
        <f>'Laminates- copilot'!B123</f>
        <v>819</v>
      </c>
      <c r="E357" s="858">
        <f>'Laminates- copilot'!D123</f>
        <v>121</v>
      </c>
      <c r="F357" s="858">
        <v>700</v>
      </c>
      <c r="G357" s="858">
        <v>300</v>
      </c>
      <c r="H357" s="858">
        <v>75</v>
      </c>
      <c r="I357" s="858">
        <v>0</v>
      </c>
      <c r="J357" s="858">
        <v>1550</v>
      </c>
      <c r="K357" s="858">
        <v>200000</v>
      </c>
      <c r="L357" s="858" t="str">
        <f>'Laminates- copilot'!K123</f>
        <v>Not Printed</v>
      </c>
      <c r="M357" s="858" t="str">
        <f>'Laminates- copilot'!L123</f>
        <v>0</v>
      </c>
      <c r="N357" s="858">
        <f>'Laminates- copilot'!M123</f>
        <v>1</v>
      </c>
      <c r="O357" s="858" t="str">
        <f>'Laminates- copilot'!O123</f>
        <v>Bastin</v>
      </c>
      <c r="P357" s="858" t="str">
        <f>'Laminates- copilot'!N123</f>
        <v>Europe to US</v>
      </c>
      <c r="Q357" s="858">
        <f t="shared" si="80"/>
        <v>60000</v>
      </c>
      <c r="R357" s="858">
        <f t="shared" si="81"/>
        <v>60000</v>
      </c>
      <c r="S357" s="858">
        <f>IFERROR('Laminates- copilot'!Q123/'Laminates- copilot'!P123*Q357,"")</f>
        <v>1685.5500000000002</v>
      </c>
      <c r="T357" s="203">
        <f>IFERROR('Laminates- copilot'!R123/'Laminates- copilot'!P123*Q357,"")</f>
        <v>23380.005795839537</v>
      </c>
      <c r="U357" s="912">
        <f>IFERROR('Laminates- copilot'!S123/'Laminates- copilot'!P123*Q357,"")</f>
        <v>27120.806723173864</v>
      </c>
      <c r="V357" s="913">
        <f t="shared" si="82"/>
        <v>13.870846783447263</v>
      </c>
      <c r="W357" s="914">
        <f t="shared" si="83"/>
        <v>16.090182268798827</v>
      </c>
      <c r="X357" s="913">
        <f t="shared" si="84"/>
        <v>0.3896667632639923</v>
      </c>
      <c r="Y357" s="913">
        <f t="shared" si="85"/>
        <v>13.870846783447263</v>
      </c>
      <c r="Z357" s="95">
        <f t="shared" si="86"/>
        <v>59328</v>
      </c>
      <c r="AA357" s="50" t="str">
        <f t="shared" si="87"/>
        <v>MOQ OK</v>
      </c>
      <c r="AB357" s="923">
        <f t="shared" si="88"/>
        <v>0.20588774328356818</v>
      </c>
      <c r="AC357" s="924">
        <f t="shared" si="89"/>
        <v>0.23882978220893908</v>
      </c>
      <c r="AD357" s="203">
        <f t="shared" si="90"/>
        <v>41177.54865671364</v>
      </c>
      <c r="AE357" s="912">
        <f t="shared" si="91"/>
        <v>47765.956441787821</v>
      </c>
      <c r="AF357" s="923" cm="1">
        <f t="array" ref="AF357">IF(O357="Quantum",IFERROR(_xlfn.LET(_xlpm.b,_xlfn.SWITCH(LOWER(B357),"zipper bag","Zipper pouch","open bag","Open pouch","sup with zipper","Stand-up pouch","stand-up pouch","Stand-up pouch",B357),_xlpm.w,G357,_xlpm.q,K357,_xlpm.types,'Converting-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missing"),IFERROR(_xlfn.LET(_xlpm.s,O357,_xlpm.b,_xlfn.SWITCH(LOWER(B357),"zipper bag","Zipper pouch","open bag","Open pouch",B357),_xlpm.w,G357,_xlpm.q,K357,_xlpm.src,'Converting-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357" s="923">
        <f>IFERROR(IF(OR(B357="Zipper pouch",B357="SUP with zipper"),HELPER!$DE$2*(AH357+AI357)/K357,HELPER!$DE$2*AH357/K357),"Data is missing")</f>
        <v>1.2986002897919769E-3</v>
      </c>
      <c r="AH357" s="923">
        <f t="shared" si="92"/>
        <v>0.3896667632639923</v>
      </c>
      <c r="AI357" s="923">
        <f>IF(OR(B357="Zipper pouch",B357="SUP with zipper"),HELPER!$DC$2*G357/1000,"")</f>
        <v>4.3199999999999995E-2</v>
      </c>
      <c r="AJ357" s="923" cm="1">
        <f t="array" ref="AJ357">IF(INDEX('Laminates- copilot'!$E$6:$E$257,ROUNDUP((ROW()-5)/3,0))+50&gt;IF(O357="Quantum",760,1220),"Width exceeds supplier maximum",IFERROR(AF357+AG357+N(AI357)+AH357*G357/1000/MAX(1,MIN(MAX(2,INT(900/INDEX('Laminates- copilot'!$E$6:$E$257,ROUNDUP((ROW()-5)/3,0)))),INT((IF(O357="Quantum",760,1220)-50)/INDEX('Laminates- copilot'!$E$6:$E$257,ROUNDUP((ROW()-5)/3,0))))),"Data is missing"))</f>
        <v>0.15441580746267614</v>
      </c>
      <c r="AK357" s="203">
        <f t="shared" si="93"/>
        <v>205.88774328356817</v>
      </c>
      <c r="AL357" t="str">
        <f t="shared" si="94"/>
        <v>PASS</v>
      </c>
      <c r="AM357" s="50" t="str">
        <f t="shared" si="95"/>
        <v/>
      </c>
    </row>
    <row r="358" spans="1:39" hidden="1">
      <c r="A358" t="s">
        <v>1986</v>
      </c>
      <c r="B358" t="s">
        <v>261</v>
      </c>
      <c r="C358" s="50" t="s">
        <v>2210</v>
      </c>
      <c r="D358">
        <f>'Laminates- copilot'!B123</f>
        <v>819</v>
      </c>
      <c r="E358" s="858">
        <f>'Laminates- copilot'!D123</f>
        <v>121</v>
      </c>
      <c r="F358" s="858">
        <v>700</v>
      </c>
      <c r="G358" s="858">
        <v>300</v>
      </c>
      <c r="H358" s="858">
        <v>75</v>
      </c>
      <c r="I358" s="858">
        <v>0</v>
      </c>
      <c r="J358" s="858">
        <v>1550</v>
      </c>
      <c r="K358" s="858">
        <v>200000</v>
      </c>
      <c r="L358" s="858" t="str">
        <f>'Laminates- copilot'!K123</f>
        <v>Not Printed</v>
      </c>
      <c r="M358" s="858" t="str">
        <f>'Laminates- copilot'!L123</f>
        <v>0</v>
      </c>
      <c r="N358" s="858">
        <f>'Laminates- copilot'!M123</f>
        <v>1</v>
      </c>
      <c r="O358" s="858" t="str">
        <f>'Laminates- copilot'!O123</f>
        <v>Bastin</v>
      </c>
      <c r="P358" s="858" t="str">
        <f>'Laminates- copilot'!N123</f>
        <v>Europe to US</v>
      </c>
      <c r="Q358" s="858">
        <f t="shared" si="80"/>
        <v>60000</v>
      </c>
      <c r="R358" s="858">
        <f t="shared" si="81"/>
        <v>60000</v>
      </c>
      <c r="S358" s="858">
        <f>IFERROR('Laminates- copilot'!Q123/'Laminates- copilot'!P123*Q358,"")</f>
        <v>1685.5500000000002</v>
      </c>
      <c r="T358" s="203">
        <f>IFERROR('Laminates- copilot'!R123/'Laminates- copilot'!P123*Q358,"")</f>
        <v>23380.005795839537</v>
      </c>
      <c r="U358" s="912">
        <f>IFERROR('Laminates- copilot'!S123/'Laminates- copilot'!P123*Q358,"")</f>
        <v>27120.806723173864</v>
      </c>
      <c r="V358" s="913">
        <f t="shared" si="82"/>
        <v>13.870846783447263</v>
      </c>
      <c r="W358" s="914">
        <f t="shared" si="83"/>
        <v>16.090182268798827</v>
      </c>
      <c r="X358" s="913">
        <f t="shared" si="84"/>
        <v>0.3896667632639923</v>
      </c>
      <c r="Y358" s="913">
        <f t="shared" si="85"/>
        <v>13.870846783447263</v>
      </c>
      <c r="Z358" s="95">
        <f t="shared" si="86"/>
        <v>59328</v>
      </c>
      <c r="AA358" s="50" t="str">
        <f t="shared" si="87"/>
        <v>MOQ OK</v>
      </c>
      <c r="AB358" s="923">
        <f t="shared" si="88"/>
        <v>0.19829155181363212</v>
      </c>
      <c r="AC358" s="924">
        <f t="shared" si="89"/>
        <v>0.23001820010381324</v>
      </c>
      <c r="AD358" s="203">
        <f t="shared" si="90"/>
        <v>39658.310362726421</v>
      </c>
      <c r="AE358" s="912">
        <f t="shared" si="91"/>
        <v>46003.640020762643</v>
      </c>
      <c r="AF358" s="923" cm="1">
        <f t="array" ref="AF358">IF(O358="Quantum",IFERROR(_xlfn.LET(_xlpm.b,_xlfn.SWITCH(LOWER(B358),"zipper bag","Zipper pouch","open bag","Open pouch","sup with zipper","Stand-up pouch","stand-up pouch","Stand-up pouch",B358),_xlpm.w,G358,_xlpm.q,K358,_xlpm.types,'Converting-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missing"),IFERROR(_xlfn.LET(_xlpm.s,O358,_xlpm.b,_xlfn.SWITCH(LOWER(B358),"zipper bag","Zipper pouch","open bag","Open pouch",B358),_xlpm.w,G358,_xlpm.q,K358,_xlpm.src,'Converting-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358" s="923">
        <f>IFERROR(IF(OR(B358="Zipper pouch",B358="SUP with zipper"),HELPER!$DE$2*(AH358+AI358)/K358,HELPER!$DE$2*AH358/K358),"Data is missing")</f>
        <v>1.2986002897919769E-3</v>
      </c>
      <c r="AH358" s="923">
        <f t="shared" si="92"/>
        <v>0.3896667632639923</v>
      </c>
      <c r="AI358" s="923">
        <f>IF(OR(B358="Zipper pouch",B358="SUP with zipper"),HELPER!$DC$2*G358/1000,"")</f>
        <v>4.3199999999999995E-2</v>
      </c>
      <c r="AJ358" s="923" cm="1">
        <f t="array" ref="AJ358">IF(INDEX('Laminates- copilot'!$E$6:$E$257,ROUNDUP((ROW()-5)/3,0))+50&gt;IF(O358="Quantum",760,1220),"Width exceeds supplier maximum",IFERROR(AF358+AG358+N(AI358)+AH358*G358/1000/MAX(1,MIN(MAX(2,INT(900/INDEX('Laminates- copilot'!$E$6:$E$257,ROUNDUP((ROW()-5)/3,0)))),INT((IF(O358="Quantum",760,1220)-50)/INDEX('Laminates- copilot'!$E$6:$E$257,ROUNDUP((ROW()-5)/3,0))))),"Data is missing"))</f>
        <v>0.14871866386022409</v>
      </c>
      <c r="AK358" s="203">
        <f t="shared" si="93"/>
        <v>198.29155181363211</v>
      </c>
      <c r="AL358" t="str">
        <f t="shared" si="94"/>
        <v>PASS</v>
      </c>
      <c r="AM358" s="50" t="str">
        <f t="shared" si="95"/>
        <v/>
      </c>
    </row>
    <row r="359" spans="1:39" hidden="1">
      <c r="A359" t="s">
        <v>1987</v>
      </c>
      <c r="B359" t="s">
        <v>262</v>
      </c>
      <c r="C359" s="50" t="s">
        <v>2210</v>
      </c>
      <c r="D359">
        <f>'Laminates- copilot'!B123</f>
        <v>819</v>
      </c>
      <c r="E359" s="858">
        <f>'Laminates- copilot'!D123</f>
        <v>121</v>
      </c>
      <c r="F359" s="858">
        <v>700</v>
      </c>
      <c r="G359" s="858">
        <v>300</v>
      </c>
      <c r="H359" s="858">
        <v>0</v>
      </c>
      <c r="I359" s="858">
        <v>0</v>
      </c>
      <c r="J359" s="858">
        <v>1400</v>
      </c>
      <c r="K359" s="858">
        <v>200000</v>
      </c>
      <c r="L359" s="858" t="str">
        <f>'Laminates- copilot'!K123</f>
        <v>Not Printed</v>
      </c>
      <c r="M359" s="858" t="str">
        <f>'Laminates- copilot'!L123</f>
        <v>0</v>
      </c>
      <c r="N359" s="858">
        <f>'Laminates- copilot'!M123</f>
        <v>1</v>
      </c>
      <c r="O359" s="858" t="str">
        <f>'Laminates- copilot'!O123</f>
        <v>Bastin</v>
      </c>
      <c r="P359" s="858" t="str">
        <f>'Laminates- copilot'!N123</f>
        <v>Europe to US</v>
      </c>
      <c r="Q359" s="858">
        <f t="shared" si="80"/>
        <v>60000</v>
      </c>
      <c r="R359" s="858">
        <f t="shared" si="81"/>
        <v>60000</v>
      </c>
      <c r="S359" s="858">
        <f>IFERROR('Laminates- copilot'!Q123/'Laminates- copilot'!P123*Q359,"")</f>
        <v>1685.5500000000002</v>
      </c>
      <c r="T359" s="203">
        <f>IFERROR('Laminates- copilot'!R123/'Laminates- copilot'!P123*Q359,"")</f>
        <v>23380.005795839537</v>
      </c>
      <c r="U359" s="912">
        <f>IFERROR('Laminates- copilot'!S123/'Laminates- copilot'!P123*Q359,"")</f>
        <v>27120.806723173864</v>
      </c>
      <c r="V359" s="913">
        <f t="shared" si="82"/>
        <v>13.870846783447263</v>
      </c>
      <c r="W359" s="914">
        <f t="shared" si="83"/>
        <v>16.090182268798827</v>
      </c>
      <c r="X359" s="913">
        <f t="shared" si="84"/>
        <v>0.3896667632639923</v>
      </c>
      <c r="Y359" s="913">
        <f t="shared" si="85"/>
        <v>13.870846783447263</v>
      </c>
      <c r="Z359" s="95">
        <f t="shared" si="86"/>
        <v>59328</v>
      </c>
      <c r="AA359" s="50" t="str">
        <f t="shared" si="87"/>
        <v>MOQ OK</v>
      </c>
      <c r="AB359" s="923">
        <f t="shared" si="88"/>
        <v>0.13156434271679443</v>
      </c>
      <c r="AC359" s="924">
        <f t="shared" si="89"/>
        <v>0.15261463755148152</v>
      </c>
      <c r="AD359" s="203">
        <f t="shared" si="90"/>
        <v>26312.868543358887</v>
      </c>
      <c r="AE359" s="912">
        <f t="shared" si="91"/>
        <v>30522.927510296307</v>
      </c>
      <c r="AF359" s="923" cm="1">
        <f t="array" ref="AF359">IF(O359="Quantum",IFERROR(_xlfn.LET(_xlpm.b,_xlfn.SWITCH(LOWER(B359),"zipper bag","Zipper pouch","open bag","Open pouch","sup with zipper","Stand-up pouch","stand-up pouch","Stand-up pouch",B359),_xlpm.w,G359,_xlpm.q,K359,_xlpm.types,'Converting-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missing"),IFERROR(_xlfn.LET(_xlpm.s,O359,_xlpm.b,_xlfn.SWITCH(LOWER(B359),"zipper bag","Zipper pouch","open bag","Open pouch",B359),_xlpm.w,G359,_xlpm.q,K359,_xlpm.src,'Converting-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359" s="923">
        <f>IFERROR(IF(OR(B359="Zipper pouch",B359="SUP with zipper"),HELPER!$DE$2*(AH359+AI359)/K359,HELPER!$DE$2*AH359/K359),"Data is missing")</f>
        <v>1.1690002897919768E-3</v>
      </c>
      <c r="AH359" s="923">
        <f t="shared" si="92"/>
        <v>0.3896667632639923</v>
      </c>
      <c r="AI359" s="923" t="str">
        <f>IF(OR(B359="Zipper pouch",B359="SUP with zipper"),HELPER!$DC$2*G359/1000,"")</f>
        <v/>
      </c>
      <c r="AJ359" s="923" cm="1">
        <f t="array" ref="AJ359">IF(INDEX('Laminates- copilot'!$E$6:$E$257,ROUNDUP((ROW()-5)/3,0))+50&gt;IF(O359="Quantum",760,1220),"Width exceeds supplier maximum",IFERROR(AF359+AG359+N(AI359)+AH359*G359/1000/MAX(1,MIN(MAX(2,INT(900/INDEX('Laminates- copilot'!$E$6:$E$257,ROUNDUP((ROW()-5)/3,0)))),INT((IF(O359="Quantum",760,1220)-50)/INDEX('Laminates- copilot'!$E$6:$E$257,ROUNDUP((ROW()-5)/3,0))))),"Data is missing"))</f>
        <v>9.8673257037595816E-2</v>
      </c>
      <c r="AK359" s="203">
        <f t="shared" si="93"/>
        <v>131.56434271679444</v>
      </c>
      <c r="AL359" t="str">
        <f t="shared" si="94"/>
        <v>PASS</v>
      </c>
      <c r="AM359" s="50" t="str">
        <f t="shared" si="95"/>
        <v/>
      </c>
    </row>
    <row r="360" spans="1:39" hidden="1">
      <c r="A360" t="s">
        <v>1988</v>
      </c>
      <c r="B360" t="s">
        <v>251</v>
      </c>
      <c r="C360" s="50" t="s">
        <v>1626</v>
      </c>
      <c r="D360">
        <f>'Laminates- copilot'!B124</f>
        <v>819</v>
      </c>
      <c r="E360" s="858">
        <f>'Laminates- copilot'!D124</f>
        <v>121</v>
      </c>
      <c r="F360" s="858">
        <v>250</v>
      </c>
      <c r="G360" s="858">
        <v>400</v>
      </c>
      <c r="H360" s="858">
        <v>50</v>
      </c>
      <c r="I360" s="858">
        <v>0</v>
      </c>
      <c r="J360" s="858">
        <v>600</v>
      </c>
      <c r="K360" s="858">
        <v>1000000</v>
      </c>
      <c r="L360" s="858" t="str">
        <f>'Laminates- copilot'!K124</f>
        <v>Printed</v>
      </c>
      <c r="M360" s="858" t="str">
        <f>'Laminates- copilot'!L124</f>
        <v>3-4</v>
      </c>
      <c r="N360" s="858">
        <f>'Laminates- copilot'!M124</f>
        <v>4</v>
      </c>
      <c r="O360" s="858" t="str">
        <f>'Laminates- copilot'!O124</f>
        <v>Marma</v>
      </c>
      <c r="P360" s="858" t="str">
        <f>'Laminates- copilot'!N124</f>
        <v>Europe to Europe</v>
      </c>
      <c r="Q360" s="858">
        <f t="shared" si="80"/>
        <v>400000</v>
      </c>
      <c r="R360" s="858">
        <f t="shared" si="81"/>
        <v>400000</v>
      </c>
      <c r="S360" s="858">
        <f>IFERROR('Laminates- copilot'!Q124/'Laminates- copilot'!P124*Q360,"")</f>
        <v>26968.799999999999</v>
      </c>
      <c r="T360" s="203">
        <f>IFERROR('Laminates- copilot'!R124/'Laminates- copilot'!P124*Q360,"")</f>
        <v>349803.44734999997</v>
      </c>
      <c r="U360" s="912">
        <f>IFERROR('Laminates- copilot'!S124/'Laminates- copilot'!P124*Q360,"")</f>
        <v>405771.99892599997</v>
      </c>
      <c r="V360" s="913">
        <f t="shared" si="82"/>
        <v>12.970671566773456</v>
      </c>
      <c r="W360" s="914">
        <f t="shared" si="83"/>
        <v>15.04597901745721</v>
      </c>
      <c r="X360" s="913">
        <f t="shared" si="84"/>
        <v>0.87450861837499994</v>
      </c>
      <c r="Y360" s="913">
        <f t="shared" si="85"/>
        <v>12.970671566773456</v>
      </c>
      <c r="Z360" s="95">
        <f t="shared" si="86"/>
        <v>18540</v>
      </c>
      <c r="AA360" s="50" t="str">
        <f t="shared" si="87"/>
        <v>MOQ OK</v>
      </c>
      <c r="AB360" s="923">
        <f t="shared" si="88"/>
        <v>0.64207761294235477</v>
      </c>
      <c r="AC360" s="924">
        <f t="shared" si="89"/>
        <v>0.74481003101313148</v>
      </c>
      <c r="AD360" s="203">
        <f t="shared" si="90"/>
        <v>642077.61294235475</v>
      </c>
      <c r="AE360" s="912">
        <f t="shared" si="91"/>
        <v>744810.03101313149</v>
      </c>
      <c r="AF360" s="923" cm="1">
        <f t="array" ref="AF360">IF(O360="Quantum",IFERROR(_xlfn.LET(_xlpm.b,_xlfn.SWITCH(LOWER(B360),"zipper bag","Zipper pouch","open bag","Open pouch","sup with zipper","Stand-up pouch","stand-up pouch","Stand-up pouch",B360),_xlpm.w,G360,_xlpm.q,K360,_xlpm.types,'Converting-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missing"),IFERROR(_xlfn.LET(_xlpm.s,O360,_xlpm.b,_xlfn.SWITCH(LOWER(B360),"zipper bag","Zipper pouch","open bag","Open pouch",B360),_xlpm.w,G360,_xlpm.q,K360,_xlpm.src,'Converting-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60" s="923">
        <f>IFERROR(IF(OR(B360="Zipper pouch",B360="SUP with zipper"),HELPER!$DE$2*(AH360+AI360)/K360,HELPER!$DE$2*AH360/K360),"Data is missing")</f>
        <v>5.5926517102500002E-4</v>
      </c>
      <c r="AH360" s="923">
        <f t="shared" si="92"/>
        <v>0.87450861837499994</v>
      </c>
      <c r="AI360" s="923">
        <f>IF(OR(B360="Zipper pouch",B360="SUP with zipper"),HELPER!$DC$2*G360/1000,"")</f>
        <v>5.7599999999999991E-2</v>
      </c>
      <c r="AJ360" s="923" cm="1">
        <f t="array" ref="AJ360">IF(INDEX('Laminates- copilot'!$E$6:$E$257,ROUNDUP((ROW()-5)/3,0))+50&gt;IF(O360="Quantum",760,1220),"Width exceeds supplier maximum",IFERROR(AF360+AG360+N(AI360)+AH360*G360/1000/MAX(1,MIN(MAX(2,INT(900/INDEX('Laminates- copilot'!$E$6:$E$257,ROUNDUP((ROW()-5)/3,0)))),INT((IF(O360="Quantum",760,1220)-50)/INDEX('Laminates- copilot'!$E$6:$E$257,ROUNDUP((ROW()-5)/3,0))))),"Data is missing"))</f>
        <v>0.4815582097067661</v>
      </c>
      <c r="AK360" s="203">
        <f t="shared" si="93"/>
        <v>642.07761294235479</v>
      </c>
      <c r="AL360" t="str">
        <f t="shared" si="94"/>
        <v>PASS</v>
      </c>
      <c r="AM360" s="50" t="str">
        <f t="shared" si="95"/>
        <v/>
      </c>
    </row>
    <row r="361" spans="1:39" hidden="1">
      <c r="A361" t="s">
        <v>1989</v>
      </c>
      <c r="B361" t="s">
        <v>261</v>
      </c>
      <c r="C361" s="50" t="s">
        <v>1626</v>
      </c>
      <c r="D361">
        <f>'Laminates- copilot'!B124</f>
        <v>819</v>
      </c>
      <c r="E361" s="858">
        <f>'Laminates- copilot'!D124</f>
        <v>121</v>
      </c>
      <c r="F361" s="858">
        <v>250</v>
      </c>
      <c r="G361" s="858">
        <v>400</v>
      </c>
      <c r="H361" s="858">
        <v>50</v>
      </c>
      <c r="I361" s="858">
        <v>0</v>
      </c>
      <c r="J361" s="858">
        <v>600</v>
      </c>
      <c r="K361" s="858">
        <v>1000000</v>
      </c>
      <c r="L361" s="858" t="str">
        <f>'Laminates- copilot'!K124</f>
        <v>Printed</v>
      </c>
      <c r="M361" s="858" t="str">
        <f>'Laminates- copilot'!L124</f>
        <v>3-4</v>
      </c>
      <c r="N361" s="858">
        <f>'Laminates- copilot'!M124</f>
        <v>4</v>
      </c>
      <c r="O361" s="858" t="str">
        <f>'Laminates- copilot'!O124</f>
        <v>Marma</v>
      </c>
      <c r="P361" s="858" t="str">
        <f>'Laminates- copilot'!N124</f>
        <v>Europe to Europe</v>
      </c>
      <c r="Q361" s="858">
        <f t="shared" si="80"/>
        <v>400000</v>
      </c>
      <c r="R361" s="858">
        <f t="shared" si="81"/>
        <v>400000</v>
      </c>
      <c r="S361" s="858">
        <f>IFERROR('Laminates- copilot'!Q124/'Laminates- copilot'!P124*Q361,"")</f>
        <v>26968.799999999999</v>
      </c>
      <c r="T361" s="203">
        <f>IFERROR('Laminates- copilot'!R124/'Laminates- copilot'!P124*Q361,"")</f>
        <v>349803.44734999997</v>
      </c>
      <c r="U361" s="912">
        <f>IFERROR('Laminates- copilot'!S124/'Laminates- copilot'!P124*Q361,"")</f>
        <v>405771.99892599997</v>
      </c>
      <c r="V361" s="913">
        <f t="shared" si="82"/>
        <v>12.970671566773456</v>
      </c>
      <c r="W361" s="914">
        <f t="shared" si="83"/>
        <v>15.04597901745721</v>
      </c>
      <c r="X361" s="913">
        <f t="shared" si="84"/>
        <v>0.87450861837499994</v>
      </c>
      <c r="Y361" s="913">
        <f t="shared" si="85"/>
        <v>12.970671566773456</v>
      </c>
      <c r="Z361" s="95">
        <f t="shared" si="86"/>
        <v>18540</v>
      </c>
      <c r="AA361" s="50" t="str">
        <f t="shared" si="87"/>
        <v>MOQ OK</v>
      </c>
      <c r="AB361" s="923">
        <f t="shared" si="88"/>
        <v>0.63443647359389843</v>
      </c>
      <c r="AC361" s="924">
        <f t="shared" si="89"/>
        <v>0.73594630936892214</v>
      </c>
      <c r="AD361" s="203">
        <f t="shared" si="90"/>
        <v>634436.47359389847</v>
      </c>
      <c r="AE361" s="912">
        <f t="shared" si="91"/>
        <v>735946.30936892214</v>
      </c>
      <c r="AF361" s="923" cm="1">
        <f t="array" ref="AF361">IF(O361="Quantum",IFERROR(_xlfn.LET(_xlpm.b,_xlfn.SWITCH(LOWER(B361),"zipper bag","Zipper pouch","open bag","Open pouch","sup with zipper","Stand-up pouch","stand-up pouch","Stand-up pouch",B361),_xlpm.w,G361,_xlpm.q,K361,_xlpm.types,'Converting-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missing"),IFERROR(_xlfn.LET(_xlpm.s,O361,_xlpm.b,_xlfn.SWITCH(LOWER(B361),"zipper bag","Zipper pouch","open bag","Open pouch",B361),_xlpm.w,G361,_xlpm.q,K361,_xlpm.src,'Converting-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61" s="923">
        <f>IFERROR(IF(OR(B361="Zipper pouch",B361="SUP with zipper"),HELPER!$DE$2*(AH361+AI361)/K361,HELPER!$DE$2*AH361/K361),"Data is missing")</f>
        <v>5.5926517102500002E-4</v>
      </c>
      <c r="AH361" s="923">
        <f t="shared" si="92"/>
        <v>0.87450861837499994</v>
      </c>
      <c r="AI361" s="923">
        <f>IF(OR(B361="Zipper pouch",B361="SUP with zipper"),HELPER!$DC$2*G361/1000,"")</f>
        <v>5.7599999999999991E-2</v>
      </c>
      <c r="AJ361" s="923" cm="1">
        <f t="array" ref="AJ361">IF(INDEX('Laminates- copilot'!$E$6:$E$257,ROUNDUP((ROW()-5)/3,0))+50&gt;IF(O361="Quantum",760,1220),"Width exceeds supplier maximum",IFERROR(AF361+AG361+N(AI361)+AH361*G361/1000/MAX(1,MIN(MAX(2,INT(900/INDEX('Laminates- copilot'!$E$6:$E$257,ROUNDUP((ROW()-5)/3,0)))),INT((IF(O361="Quantum",760,1220)-50)/INDEX('Laminates- copilot'!$E$6:$E$257,ROUNDUP((ROW()-5)/3,0))))),"Data is missing"))</f>
        <v>0.4758273551954238</v>
      </c>
      <c r="AK361" s="203">
        <f t="shared" si="93"/>
        <v>634.43647359389843</v>
      </c>
      <c r="AL361" t="str">
        <f t="shared" si="94"/>
        <v>PASS</v>
      </c>
      <c r="AM361" s="50" t="str">
        <f t="shared" si="95"/>
        <v/>
      </c>
    </row>
    <row r="362" spans="1:39" hidden="1">
      <c r="A362" t="s">
        <v>1990</v>
      </c>
      <c r="B362" t="s">
        <v>262</v>
      </c>
      <c r="C362" s="50" t="s">
        <v>1626</v>
      </c>
      <c r="D362">
        <f>'Laminates- copilot'!B124</f>
        <v>819</v>
      </c>
      <c r="E362" s="858">
        <f>'Laminates- copilot'!D124</f>
        <v>121</v>
      </c>
      <c r="F362" s="858">
        <v>250</v>
      </c>
      <c r="G362" s="858">
        <v>400</v>
      </c>
      <c r="H362" s="858">
        <v>0</v>
      </c>
      <c r="I362" s="858">
        <v>15</v>
      </c>
      <c r="J362" s="858">
        <v>515</v>
      </c>
      <c r="K362" s="858">
        <v>1000000</v>
      </c>
      <c r="L362" s="858" t="str">
        <f>'Laminates- copilot'!K124</f>
        <v>Printed</v>
      </c>
      <c r="M362" s="858" t="str">
        <f>'Laminates- copilot'!L124</f>
        <v>3-4</v>
      </c>
      <c r="N362" s="858">
        <f>'Laminates- copilot'!M124</f>
        <v>4</v>
      </c>
      <c r="O362" s="858" t="str">
        <f>'Laminates- copilot'!O124</f>
        <v>Marma</v>
      </c>
      <c r="P362" s="858" t="str">
        <f>'Laminates- copilot'!N124</f>
        <v>Europe to Europe</v>
      </c>
      <c r="Q362" s="858">
        <f t="shared" si="80"/>
        <v>400000</v>
      </c>
      <c r="R362" s="858">
        <f t="shared" si="81"/>
        <v>400000</v>
      </c>
      <c r="S362" s="858">
        <f>IFERROR('Laminates- copilot'!Q124/'Laminates- copilot'!P124*Q362,"")</f>
        <v>26968.799999999999</v>
      </c>
      <c r="T362" s="203">
        <f>IFERROR('Laminates- copilot'!R124/'Laminates- copilot'!P124*Q362,"")</f>
        <v>349803.44734999997</v>
      </c>
      <c r="U362" s="912">
        <f>IFERROR('Laminates- copilot'!S124/'Laminates- copilot'!P124*Q362,"")</f>
        <v>405771.99892599997</v>
      </c>
      <c r="V362" s="913">
        <f t="shared" si="82"/>
        <v>12.970671566773456</v>
      </c>
      <c r="W362" s="914">
        <f t="shared" si="83"/>
        <v>15.04597901745721</v>
      </c>
      <c r="X362" s="913">
        <f t="shared" si="84"/>
        <v>0.87450861837499994</v>
      </c>
      <c r="Y362" s="913">
        <f t="shared" si="85"/>
        <v>12.970671566773456</v>
      </c>
      <c r="Z362" s="95">
        <f t="shared" si="86"/>
        <v>18540</v>
      </c>
      <c r="AA362" s="50" t="str">
        <f t="shared" si="87"/>
        <v>MOQ OK</v>
      </c>
      <c r="AB362" s="923">
        <f t="shared" si="88"/>
        <v>0.54749193329588153</v>
      </c>
      <c r="AC362" s="924">
        <f t="shared" si="89"/>
        <v>0.63509064262322257</v>
      </c>
      <c r="AD362" s="203">
        <f t="shared" si="90"/>
        <v>547491.93329588149</v>
      </c>
      <c r="AE362" s="912">
        <f t="shared" si="91"/>
        <v>635090.64262322243</v>
      </c>
      <c r="AF362" s="923" cm="1">
        <f t="array" ref="AF362">IF(O362="Quantum",IFERROR(_xlfn.LET(_xlpm.b,_xlfn.SWITCH(LOWER(B362),"zipper bag","Zipper pouch","open bag","Open pouch","sup with zipper","Stand-up pouch","stand-up pouch","Stand-up pouch",B362),_xlpm.w,G362,_xlpm.q,K362,_xlpm.types,'Converting-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missing"),IFERROR(_xlfn.LET(_xlpm.s,O362,_xlpm.b,_xlfn.SWITCH(LOWER(B362),"zipper bag","Zipper pouch","open bag","Open pouch",B362),_xlpm.w,G362,_xlpm.q,K362,_xlpm.src,'Converting-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62" s="923">
        <f>IFERROR(IF(OR(B362="Zipper pouch",B362="SUP with zipper"),HELPER!$DE$2*(AH362+AI362)/K362,HELPER!$DE$2*AH362/K362),"Data is missing")</f>
        <v>5.2470517102499992E-4</v>
      </c>
      <c r="AH362" s="923">
        <f t="shared" si="92"/>
        <v>0.87450861837499994</v>
      </c>
      <c r="AI362" s="923" t="str">
        <f>IF(OR(B362="Zipper pouch",B362="SUP with zipper"),HELPER!$DC$2*G362/1000,"")</f>
        <v/>
      </c>
      <c r="AJ362" s="923" cm="1">
        <f t="array" ref="AJ362">IF(INDEX('Laminates- copilot'!$E$6:$E$257,ROUNDUP((ROW()-5)/3,0))+50&gt;IF(O362="Quantum",760,1220),"Width exceeds supplier maximum",IFERROR(AF362+AG362+N(AI362)+AH362*G362/1000/MAX(1,MIN(MAX(2,INT(900/INDEX('Laminates- copilot'!$E$6:$E$257,ROUNDUP((ROW()-5)/3,0)))),INT((IF(O362="Quantum",760,1220)-50)/INDEX('Laminates- copilot'!$E$6:$E$257,ROUNDUP((ROW()-5)/3,0))))),"Data is missing"))</f>
        <v>0.41061894997191117</v>
      </c>
      <c r="AK362" s="203">
        <f t="shared" si="93"/>
        <v>547.49193329588149</v>
      </c>
      <c r="AL362" t="str">
        <f t="shared" si="94"/>
        <v>PASS</v>
      </c>
      <c r="AM362" s="50" t="str">
        <f t="shared" si="95"/>
        <v/>
      </c>
    </row>
    <row r="363" spans="1:39" hidden="1">
      <c r="A363" t="s">
        <v>1991</v>
      </c>
      <c r="B363" t="s">
        <v>251</v>
      </c>
      <c r="C363" s="50" t="s">
        <v>1627</v>
      </c>
      <c r="D363">
        <f>'Laminates- copilot'!B125</f>
        <v>819</v>
      </c>
      <c r="E363" s="858">
        <f>'Laminates- copilot'!D125</f>
        <v>121</v>
      </c>
      <c r="F363" s="858">
        <v>350</v>
      </c>
      <c r="G363" s="858">
        <v>500</v>
      </c>
      <c r="H363" s="858">
        <v>100</v>
      </c>
      <c r="I363" s="858">
        <v>0</v>
      </c>
      <c r="J363" s="858">
        <v>900</v>
      </c>
      <c r="K363" s="858">
        <v>1600000</v>
      </c>
      <c r="L363" s="858" t="str">
        <f>'Laminates- copilot'!K125</f>
        <v>Printed</v>
      </c>
      <c r="M363" s="858" t="str">
        <f>'Laminates- copilot'!L125</f>
        <v>1-2</v>
      </c>
      <c r="N363" s="858">
        <f>'Laminates- copilot'!M125</f>
        <v>2</v>
      </c>
      <c r="O363" s="858" t="str">
        <f>'Laminates- copilot'!O125</f>
        <v>Quantum</v>
      </c>
      <c r="P363" s="858" t="str">
        <f>'Laminates- copilot'!N125</f>
        <v>Europe to Europe</v>
      </c>
      <c r="Q363" s="858">
        <f t="shared" si="80"/>
        <v>800000</v>
      </c>
      <c r="R363" s="858">
        <f t="shared" si="81"/>
        <v>800000</v>
      </c>
      <c r="S363" s="858">
        <f>IFERROR('Laminates- copilot'!Q125/'Laminates- copilot'!P125*Q363,"")</f>
        <v>40453.199999999997</v>
      </c>
      <c r="T363" s="203">
        <f>IFERROR('Laminates- copilot'!R125/'Laminates- copilot'!P125*Q363,"")</f>
        <v>1139292.3239209575</v>
      </c>
      <c r="U363" s="912">
        <f>IFERROR('Laminates- copilot'!S125/'Laminates- copilot'!P125*Q363,"")</f>
        <v>1321579.0957483107</v>
      </c>
      <c r="V363" s="913">
        <f t="shared" si="82"/>
        <v>28.163218828694827</v>
      </c>
      <c r="W363" s="914">
        <f t="shared" si="83"/>
        <v>32.669333841285997</v>
      </c>
      <c r="X363" s="913">
        <f t="shared" si="84"/>
        <v>1.4241154049011968</v>
      </c>
      <c r="Y363" s="913">
        <f t="shared" si="85"/>
        <v>28.163218828694827</v>
      </c>
      <c r="Z363" s="95">
        <f t="shared" si="86"/>
        <v>19776</v>
      </c>
      <c r="AA363" s="50" t="str">
        <f t="shared" si="87"/>
        <v>MOQ OK</v>
      </c>
      <c r="AB363" s="923">
        <f t="shared" si="88"/>
        <v>1.4016088739683541</v>
      </c>
      <c r="AC363" s="924">
        <f t="shared" si="89"/>
        <v>1.6258662938032906</v>
      </c>
      <c r="AD363" s="203">
        <f t="shared" si="90"/>
        <v>2242574.1983493664</v>
      </c>
      <c r="AE363" s="912">
        <f t="shared" si="91"/>
        <v>2601386.0700852647</v>
      </c>
      <c r="AF363" s="923" cm="1">
        <f t="array" ref="AF363">IF(O363="Quantum",IFERROR(_xlfn.LET(_xlpm.b,_xlfn.SWITCH(LOWER(B363),"zipper bag","Zipper pouch","open bag","Open pouch","sup with zipper","Stand-up pouch","stand-up pouch","Stand-up pouch",B363),_xlpm.w,G363,_xlpm.q,K363,_xlpm.types,'Converting-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missing"),IFERROR(_xlfn.LET(_xlpm.s,O363,_xlpm.b,_xlfn.SWITCH(LOWER(B363),"zipper bag","Zipper pouch","open bag","Open pouch",B363),_xlpm.w,G363,_xlpm.q,K363,_xlpm.src,'Converting-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363" s="923">
        <f>IFERROR(IF(OR(B363="Zipper pouch",B363="SUP with zipper"),HELPER!$DE$2*(AH363+AI363)/K363,HELPER!$DE$2*AH363/K363),"Data is missing")</f>
        <v>5.6104327683794883E-4</v>
      </c>
      <c r="AH363" s="923">
        <f t="shared" si="92"/>
        <v>1.4241154049011968</v>
      </c>
      <c r="AI363" s="923">
        <f>IF(OR(B363="Zipper pouch",B363="SUP with zipper"),HELPER!$DC$2*G363/1000,"")</f>
        <v>7.1999999999999995E-2</v>
      </c>
      <c r="AJ363" s="923" cm="1">
        <f t="array" ref="AJ363">IF(INDEX('Laminates- copilot'!$E$6:$E$257,ROUNDUP((ROW()-5)/3,0))+50&gt;IF(O363="Quantum",760,1220),"Width exceeds supplier maximum",IFERROR(AF363+AG363+N(AI363)+AH363*G363/1000/MAX(1,MIN(MAX(2,INT(900/INDEX('Laminates- copilot'!$E$6:$E$257,ROUNDUP((ROW()-5)/3,0)))),INT((IF(O363="Quantum",760,1220)-50)/INDEX('Laminates- copilot'!$E$6:$E$257,ROUNDUP((ROW()-5)/3,0))))),"Data is missing"))</f>
        <v>1.0512066554762656</v>
      </c>
      <c r="AK363" s="203">
        <f t="shared" si="93"/>
        <v>1401.6088739683541</v>
      </c>
      <c r="AL363" t="str">
        <f t="shared" si="94"/>
        <v>PASS</v>
      </c>
      <c r="AM363" s="50" t="str">
        <f t="shared" si="95"/>
        <v/>
      </c>
    </row>
    <row r="364" spans="1:39" hidden="1">
      <c r="A364" t="s">
        <v>1992</v>
      </c>
      <c r="B364" t="s">
        <v>261</v>
      </c>
      <c r="C364" s="50" t="s">
        <v>1627</v>
      </c>
      <c r="D364">
        <f>'Laminates- copilot'!B125</f>
        <v>819</v>
      </c>
      <c r="E364" s="858">
        <f>'Laminates- copilot'!D125</f>
        <v>121</v>
      </c>
      <c r="F364" s="858">
        <v>350</v>
      </c>
      <c r="G364" s="858">
        <v>500</v>
      </c>
      <c r="H364" s="858">
        <v>100</v>
      </c>
      <c r="I364" s="858">
        <v>0</v>
      </c>
      <c r="J364" s="858">
        <v>900</v>
      </c>
      <c r="K364" s="858">
        <v>1600000</v>
      </c>
      <c r="L364" s="858" t="str">
        <f>'Laminates- copilot'!K125</f>
        <v>Printed</v>
      </c>
      <c r="M364" s="858" t="str">
        <f>'Laminates- copilot'!L125</f>
        <v>1-2</v>
      </c>
      <c r="N364" s="858">
        <f>'Laminates- copilot'!M125</f>
        <v>2</v>
      </c>
      <c r="O364" s="858" t="str">
        <f>'Laminates- copilot'!O125</f>
        <v>Quantum</v>
      </c>
      <c r="P364" s="858" t="str">
        <f>'Laminates- copilot'!N125</f>
        <v>Europe to Europe</v>
      </c>
      <c r="Q364" s="858">
        <f t="shared" si="80"/>
        <v>800000</v>
      </c>
      <c r="R364" s="858">
        <f t="shared" si="81"/>
        <v>800000</v>
      </c>
      <c r="S364" s="858">
        <f>IFERROR('Laminates- copilot'!Q125/'Laminates- copilot'!P125*Q364,"")</f>
        <v>40453.199999999997</v>
      </c>
      <c r="T364" s="203">
        <f>IFERROR('Laminates- copilot'!R125/'Laminates- copilot'!P125*Q364,"")</f>
        <v>1139292.3239209575</v>
      </c>
      <c r="U364" s="912">
        <f>IFERROR('Laminates- copilot'!S125/'Laminates- copilot'!P125*Q364,"")</f>
        <v>1321579.0957483107</v>
      </c>
      <c r="V364" s="913">
        <f t="shared" si="82"/>
        <v>28.163218828694827</v>
      </c>
      <c r="W364" s="914">
        <f t="shared" si="83"/>
        <v>32.669333841285997</v>
      </c>
      <c r="X364" s="913">
        <f t="shared" si="84"/>
        <v>1.4241154049011968</v>
      </c>
      <c r="Y364" s="913">
        <f t="shared" si="85"/>
        <v>28.163218828694827</v>
      </c>
      <c r="Z364" s="95">
        <f t="shared" si="86"/>
        <v>19776</v>
      </c>
      <c r="AA364" s="50" t="str">
        <f t="shared" si="87"/>
        <v>MOQ OK</v>
      </c>
      <c r="AB364" s="923">
        <f t="shared" si="88"/>
        <v>1.3621909971728698</v>
      </c>
      <c r="AC364" s="924">
        <f t="shared" si="89"/>
        <v>1.5801415567205288</v>
      </c>
      <c r="AD364" s="203">
        <f t="shared" si="90"/>
        <v>2179505.595476592</v>
      </c>
      <c r="AE364" s="912">
        <f t="shared" si="91"/>
        <v>2528226.4907528465</v>
      </c>
      <c r="AF364" s="923" cm="1">
        <f t="array" ref="AF364">IF(O364="Quantum",IFERROR(_xlfn.LET(_xlpm.b,_xlfn.SWITCH(LOWER(B364),"zipper bag","Zipper pouch","open bag","Open pouch","sup with zipper","Stand-up pouch","stand-up pouch","Stand-up pouch",B364),_xlpm.w,G364,_xlpm.q,K364,_xlpm.types,'Converting-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missing"),IFERROR(_xlfn.LET(_xlpm.s,O364,_xlpm.b,_xlfn.SWITCH(LOWER(B364),"zipper bag","Zipper pouch","open bag","Open pouch",B364),_xlpm.w,G364,_xlpm.q,K364,_xlpm.src,'Converting-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364" s="923">
        <f>IFERROR(IF(OR(B364="Zipper pouch",B364="SUP with zipper"),HELPER!$DE$2*(AH364+AI364)/K364,HELPER!$DE$2*AH364/K364),"Data is missing")</f>
        <v>5.6104327683794883E-4</v>
      </c>
      <c r="AH364" s="923">
        <f t="shared" si="92"/>
        <v>1.4241154049011968</v>
      </c>
      <c r="AI364" s="923">
        <f>IF(OR(B364="Zipper pouch",B364="SUP with zipper"),HELPER!$DC$2*G364/1000,"")</f>
        <v>7.1999999999999995E-2</v>
      </c>
      <c r="AJ364" s="923" cm="1">
        <f t="array" ref="AJ364">IF(INDEX('Laminates- copilot'!$E$6:$E$257,ROUNDUP((ROW()-5)/3,0))+50&gt;IF(O364="Quantum",760,1220),"Width exceeds supplier maximum",IFERROR(AF364+AG364+N(AI364)+AH364*G364/1000/MAX(1,MIN(MAX(2,INT(900/INDEX('Laminates- copilot'!$E$6:$E$257,ROUNDUP((ROW()-5)/3,0)))),INT((IF(O364="Quantum",760,1220)-50)/INDEX('Laminates- copilot'!$E$6:$E$257,ROUNDUP((ROW()-5)/3,0))))),"Data is missing"))</f>
        <v>1.0216432478796524</v>
      </c>
      <c r="AK364" s="203">
        <f t="shared" si="93"/>
        <v>1362.1909971728699</v>
      </c>
      <c r="AL364" t="str">
        <f t="shared" si="94"/>
        <v>PASS</v>
      </c>
      <c r="AM364" s="50" t="str">
        <f t="shared" si="95"/>
        <v/>
      </c>
    </row>
    <row r="365" spans="1:39" hidden="1">
      <c r="A365" t="s">
        <v>1993</v>
      </c>
      <c r="B365" t="s">
        <v>262</v>
      </c>
      <c r="C365" s="50" t="s">
        <v>1627</v>
      </c>
      <c r="D365">
        <f>'Laminates- copilot'!B125</f>
        <v>819</v>
      </c>
      <c r="E365" s="858">
        <f>'Laminates- copilot'!D125</f>
        <v>121</v>
      </c>
      <c r="F365" s="858">
        <v>350</v>
      </c>
      <c r="G365" s="858">
        <v>500</v>
      </c>
      <c r="H365" s="858">
        <v>0</v>
      </c>
      <c r="I365" s="858">
        <v>25</v>
      </c>
      <c r="J365" s="858">
        <v>725</v>
      </c>
      <c r="K365" s="858">
        <v>1600000</v>
      </c>
      <c r="L365" s="858" t="str">
        <f>'Laminates- copilot'!K125</f>
        <v>Printed</v>
      </c>
      <c r="M365" s="858" t="str">
        <f>'Laminates- copilot'!L125</f>
        <v>1-2</v>
      </c>
      <c r="N365" s="858">
        <f>'Laminates- copilot'!M125</f>
        <v>2</v>
      </c>
      <c r="O365" s="858" t="str">
        <f>'Laminates- copilot'!O125</f>
        <v>Quantum</v>
      </c>
      <c r="P365" s="858" t="str">
        <f>'Laminates- copilot'!N125</f>
        <v>Europe to Europe</v>
      </c>
      <c r="Q365" s="858">
        <f t="shared" si="80"/>
        <v>800000</v>
      </c>
      <c r="R365" s="858">
        <f t="shared" si="81"/>
        <v>800000</v>
      </c>
      <c r="S365" s="858">
        <f>IFERROR('Laminates- copilot'!Q125/'Laminates- copilot'!P125*Q365,"")</f>
        <v>40453.199999999997</v>
      </c>
      <c r="T365" s="203">
        <f>IFERROR('Laminates- copilot'!R125/'Laminates- copilot'!P125*Q365,"")</f>
        <v>1139292.3239209575</v>
      </c>
      <c r="U365" s="912">
        <f>IFERROR('Laminates- copilot'!S125/'Laminates- copilot'!P125*Q365,"")</f>
        <v>1321579.0957483107</v>
      </c>
      <c r="V365" s="913">
        <f t="shared" si="82"/>
        <v>28.163218828694827</v>
      </c>
      <c r="W365" s="914">
        <f t="shared" si="83"/>
        <v>32.669333841285997</v>
      </c>
      <c r="X365" s="913">
        <f t="shared" si="84"/>
        <v>1.4241154049011968</v>
      </c>
      <c r="Y365" s="913">
        <f t="shared" si="85"/>
        <v>28.163218828694827</v>
      </c>
      <c r="Z365" s="95">
        <f t="shared" si="86"/>
        <v>19776</v>
      </c>
      <c r="AA365" s="50" t="str">
        <f t="shared" si="87"/>
        <v>MOQ OK</v>
      </c>
      <c r="AB365" s="923">
        <f t="shared" si="88"/>
        <v>1.2343908106790111</v>
      </c>
      <c r="AC365" s="924">
        <f t="shared" si="89"/>
        <v>1.4318933403876528</v>
      </c>
      <c r="AD365" s="203">
        <f t="shared" si="90"/>
        <v>1975025.2970864179</v>
      </c>
      <c r="AE365" s="912">
        <f t="shared" si="91"/>
        <v>2291029.3446202446</v>
      </c>
      <c r="AF365" s="923" cm="1">
        <f t="array" ref="AF365">IF(O365="Quantum",IFERROR(_xlfn.LET(_xlpm.b,_xlfn.SWITCH(LOWER(B365),"zipper bag","Zipper pouch","open bag","Open pouch","sup with zipper","Stand-up pouch","stand-up pouch","Stand-up pouch",B365),_xlpm.w,G365,_xlpm.q,K365,_xlpm.types,'Converting-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missing"),IFERROR(_xlfn.LET(_xlpm.s,O365,_xlpm.b,_xlfn.SWITCH(LOWER(B365),"zipper bag","Zipper pouch","open bag","Open pouch",B365),_xlpm.w,G365,_xlpm.q,K365,_xlpm.src,'Converting-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365" s="923">
        <f>IFERROR(IF(OR(B365="Zipper pouch",B365="SUP with zipper"),HELPER!$DE$2*(AH365+AI365)/K365,HELPER!$DE$2*AH365/K365),"Data is missing")</f>
        <v>5.3404327683794883E-4</v>
      </c>
      <c r="AH365" s="923">
        <f t="shared" si="92"/>
        <v>1.4241154049011968</v>
      </c>
      <c r="AI365" s="923" t="str">
        <f>IF(OR(B365="Zipper pouch",B365="SUP with zipper"),HELPER!$DC$2*G365/1000,"")</f>
        <v/>
      </c>
      <c r="AJ365" s="923" cm="1">
        <f t="array" ref="AJ365">IF(INDEX('Laminates- copilot'!$E$6:$E$257,ROUNDUP((ROW()-5)/3,0))+50&gt;IF(O365="Quantum",760,1220),"Width exceeds supplier maximum",IFERROR(AF365+AG365+N(AI365)+AH365*G365/1000/MAX(1,MIN(MAX(2,INT(900/INDEX('Laminates- copilot'!$E$6:$E$257,ROUNDUP((ROW()-5)/3,0)))),INT((IF(O365="Quantum",760,1220)-50)/INDEX('Laminates- copilot'!$E$6:$E$257,ROUNDUP((ROW()-5)/3,0))))),"Data is missing"))</f>
        <v>0.9257931080092584</v>
      </c>
      <c r="AK365" s="203">
        <f t="shared" si="93"/>
        <v>1234.3908106790111</v>
      </c>
      <c r="AL365" t="str">
        <f t="shared" si="94"/>
        <v>PASS</v>
      </c>
      <c r="AM365" s="50" t="str">
        <f t="shared" si="95"/>
        <v/>
      </c>
    </row>
    <row r="366" spans="1:39" hidden="1">
      <c r="A366" t="s">
        <v>1994</v>
      </c>
      <c r="B366" t="s">
        <v>251</v>
      </c>
      <c r="C366" s="50" t="s">
        <v>2203</v>
      </c>
      <c r="D366" t="str">
        <f>'Laminates- copilot'!B126</f>
        <v>821M</v>
      </c>
      <c r="E366" s="858">
        <f>'Laminates- copilot'!D126</f>
        <v>79</v>
      </c>
      <c r="F366" s="858">
        <v>100</v>
      </c>
      <c r="G366" s="858">
        <v>100</v>
      </c>
      <c r="H366" s="858">
        <v>20</v>
      </c>
      <c r="I366" s="858">
        <v>0</v>
      </c>
      <c r="J366" s="858">
        <v>240</v>
      </c>
      <c r="K366" s="858">
        <v>25000</v>
      </c>
      <c r="L366" s="858" t="str">
        <f>'Laminates- copilot'!K126</f>
        <v>Not Printed</v>
      </c>
      <c r="M366" s="858" t="str">
        <f>'Laminates- copilot'!L126</f>
        <v>0</v>
      </c>
      <c r="N366" s="858">
        <f>'Laminates- copilot'!M126</f>
        <v>1</v>
      </c>
      <c r="O366" s="858" t="str">
        <f>'Laminates- copilot'!O126</f>
        <v>Marma</v>
      </c>
      <c r="P366" s="858" t="str">
        <f>'Laminates- copilot'!N126</f>
        <v>Europe to Europe</v>
      </c>
      <c r="Q366" s="858">
        <f t="shared" si="80"/>
        <v>2500</v>
      </c>
      <c r="R366" s="858">
        <f t="shared" si="81"/>
        <v>2500</v>
      </c>
      <c r="S366" s="858">
        <f>IFERROR('Laminates- copilot'!Q126/'Laminates- copilot'!P126*Q366,"")</f>
        <v>31.479000000000003</v>
      </c>
      <c r="T366" s="203">
        <f>IFERROR('Laminates- copilot'!R126/'Laminates- copilot'!P126*Q366,"")</f>
        <v>365.41315884185457</v>
      </c>
      <c r="U366" s="912">
        <f>IFERROR('Laminates- copilot'!S126/'Laminates- copilot'!P126*Q366,"")</f>
        <v>423.87926425655127</v>
      </c>
      <c r="V366" s="913">
        <f t="shared" si="82"/>
        <v>11.608156512019267</v>
      </c>
      <c r="W366" s="914">
        <f t="shared" si="83"/>
        <v>13.465461553942349</v>
      </c>
      <c r="X366" s="913">
        <f t="shared" si="84"/>
        <v>0.14616526353674184</v>
      </c>
      <c r="Y366" s="913">
        <f t="shared" si="85"/>
        <v>11.608156512019267</v>
      </c>
      <c r="Z366" s="95">
        <f t="shared" si="86"/>
        <v>397091</v>
      </c>
      <c r="AA366" s="50" t="str">
        <f t="shared" si="87"/>
        <v>Below MOQ by 372,091 bags</v>
      </c>
      <c r="AB366" s="923">
        <f t="shared" si="88"/>
        <v>7.8052942826146013E-2</v>
      </c>
      <c r="AC366" s="924">
        <f t="shared" si="89"/>
        <v>9.0541413678329366E-2</v>
      </c>
      <c r="AD366" s="203">
        <f t="shared" si="90"/>
        <v>1951.3235706536502</v>
      </c>
      <c r="AE366" s="912">
        <f t="shared" si="91"/>
        <v>2263.5353419582343</v>
      </c>
      <c r="AF366" s="923" cm="1">
        <f t="array" ref="AF366">IF(O366="Quantum",IFERROR(_xlfn.LET(_xlpm.b,_xlfn.SWITCH(LOWER(B366),"zipper bag","Zipper pouch","open bag","Open pouch","sup with zipper","Stand-up pouch","stand-up pouch","Stand-up pouch",B366),_xlpm.w,G366,_xlpm.q,K366,_xlpm.types,'Converting-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missing"),IFERROR(_xlfn.LET(_xlpm.s,O366,_xlpm.b,_xlfn.SWITCH(LOWER(B366),"zipper bag","Zipper pouch","open bag","Open pouch",B366),_xlpm.w,G366,_xlpm.q,K366,_xlpm.src,'Converting-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66" s="923">
        <f>IFERROR(IF(OR(B366="Zipper pouch",B366="SUP with zipper"),HELPER!$DE$2*(AH366+AI366)/K366,HELPER!$DE$2*AH366/K366),"Data is missing")</f>
        <v>3.8535663248818039E-3</v>
      </c>
      <c r="AH366" s="923">
        <f t="shared" si="92"/>
        <v>0.14616526353674184</v>
      </c>
      <c r="AI366" s="923">
        <f>IF(OR(B366="Zipper pouch",B366="SUP with zipper"),HELPER!$DC$2*G366/1000,"")</f>
        <v>1.4399999999999998E-2</v>
      </c>
      <c r="AJ366" s="923" cm="1">
        <f t="array" ref="AJ366">IF(INDEX('Laminates- copilot'!$E$6:$E$257,ROUNDUP((ROW()-5)/3,0))+50&gt;IF(O366="Quantum",760,1220),"Width exceeds supplier maximum",IFERROR(AF366+AG366+N(AI366)+AH366*G366/1000/MAX(1,MIN(MAX(2,INT(900/INDEX('Laminates- copilot'!$E$6:$E$257,ROUNDUP((ROW()-5)/3,0)))),INT((IF(O366="Quantum",760,1220)-50)/INDEX('Laminates- copilot'!$E$6:$E$257,ROUNDUP((ROW()-5)/3,0))))),"Data is missing"))</f>
        <v>5.8539707119609506E-2</v>
      </c>
      <c r="AK366" s="203">
        <f t="shared" si="93"/>
        <v>78.052942826146008</v>
      </c>
      <c r="AL366" t="str">
        <f t="shared" si="94"/>
        <v>PASS</v>
      </c>
      <c r="AM366" s="50" t="str">
        <f t="shared" si="95"/>
        <v/>
      </c>
    </row>
    <row r="367" spans="1:39" hidden="1">
      <c r="A367" t="s">
        <v>1995</v>
      </c>
      <c r="B367" t="s">
        <v>261</v>
      </c>
      <c r="C367" s="50" t="s">
        <v>2203</v>
      </c>
      <c r="D367" t="str">
        <f>'Laminates- copilot'!B126</f>
        <v>821M</v>
      </c>
      <c r="E367" s="858">
        <f>'Laminates- copilot'!D126</f>
        <v>79</v>
      </c>
      <c r="F367" s="858">
        <v>100</v>
      </c>
      <c r="G367" s="858">
        <v>100</v>
      </c>
      <c r="H367" s="858">
        <v>20</v>
      </c>
      <c r="I367" s="858">
        <v>0</v>
      </c>
      <c r="J367" s="858">
        <v>240</v>
      </c>
      <c r="K367" s="858">
        <v>25000</v>
      </c>
      <c r="L367" s="858" t="str">
        <f>'Laminates- copilot'!K126</f>
        <v>Not Printed</v>
      </c>
      <c r="M367" s="858" t="str">
        <f>'Laminates- copilot'!L126</f>
        <v>0</v>
      </c>
      <c r="N367" s="858">
        <f>'Laminates- copilot'!M126</f>
        <v>1</v>
      </c>
      <c r="O367" s="858" t="str">
        <f>'Laminates- copilot'!O126</f>
        <v>Marma</v>
      </c>
      <c r="P367" s="858" t="str">
        <f>'Laminates- copilot'!N126</f>
        <v>Europe to Europe</v>
      </c>
      <c r="Q367" s="858">
        <f t="shared" si="80"/>
        <v>2500</v>
      </c>
      <c r="R367" s="858">
        <f t="shared" si="81"/>
        <v>2500</v>
      </c>
      <c r="S367" s="858">
        <f>IFERROR('Laminates- copilot'!Q126/'Laminates- copilot'!P126*Q367,"")</f>
        <v>31.479000000000003</v>
      </c>
      <c r="T367" s="203">
        <f>IFERROR('Laminates- copilot'!R126/'Laminates- copilot'!P126*Q367,"")</f>
        <v>365.41315884185457</v>
      </c>
      <c r="U367" s="912">
        <f>IFERROR('Laminates- copilot'!S126/'Laminates- copilot'!P126*Q367,"")</f>
        <v>423.87926425655127</v>
      </c>
      <c r="V367" s="913">
        <f t="shared" si="82"/>
        <v>11.608156512019267</v>
      </c>
      <c r="W367" s="914">
        <f t="shared" si="83"/>
        <v>13.465461553942349</v>
      </c>
      <c r="X367" s="913">
        <f t="shared" si="84"/>
        <v>0.14616526353674184</v>
      </c>
      <c r="Y367" s="913">
        <f t="shared" si="85"/>
        <v>11.608156512019267</v>
      </c>
      <c r="Z367" s="95">
        <f t="shared" si="86"/>
        <v>397091</v>
      </c>
      <c r="AA367" s="50" t="str">
        <f t="shared" si="87"/>
        <v>Below MOQ by 372,091 bags</v>
      </c>
      <c r="AB367" s="923">
        <f t="shared" si="88"/>
        <v>7.4627604497527603E-2</v>
      </c>
      <c r="AC367" s="924">
        <f t="shared" si="89"/>
        <v>8.6568021217132016E-2</v>
      </c>
      <c r="AD367" s="203">
        <f t="shared" si="90"/>
        <v>1865.69011243819</v>
      </c>
      <c r="AE367" s="912">
        <f t="shared" si="91"/>
        <v>2164.2005304283002</v>
      </c>
      <c r="AF367" s="923" cm="1">
        <f t="array" ref="AF367">IF(O367="Quantum",IFERROR(_xlfn.LET(_xlpm.b,_xlfn.SWITCH(LOWER(B367),"zipper bag","Zipper pouch","open bag","Open pouch","sup with zipper","Stand-up pouch","stand-up pouch","Stand-up pouch",B367),_xlpm.w,G367,_xlpm.q,K367,_xlpm.types,'Converting-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missing"),IFERROR(_xlfn.LET(_xlpm.s,O367,_xlpm.b,_xlfn.SWITCH(LOWER(B367),"zipper bag","Zipper pouch","open bag","Open pouch",B367),_xlpm.w,G367,_xlpm.q,K367,_xlpm.src,'Converting-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67" s="923">
        <f>IFERROR(IF(OR(B367="Zipper pouch",B367="SUP with zipper"),HELPER!$DE$2*(AH367+AI367)/K367,HELPER!$DE$2*AH367/K367),"Data is missing")</f>
        <v>3.8535663248818039E-3</v>
      </c>
      <c r="AH367" s="923">
        <f t="shared" si="92"/>
        <v>0.14616526353674184</v>
      </c>
      <c r="AI367" s="923">
        <f>IF(OR(B367="Zipper pouch",B367="SUP with zipper"),HELPER!$DC$2*G367/1000,"")</f>
        <v>1.4399999999999998E-2</v>
      </c>
      <c r="AJ367" s="923" cm="1">
        <f t="array" ref="AJ367">IF(INDEX('Laminates- copilot'!$E$6:$E$257,ROUNDUP((ROW()-5)/3,0))+50&gt;IF(O367="Quantum",760,1220),"Width exceeds supplier maximum",IFERROR(AF367+AG367+N(AI367)+AH367*G367/1000/MAX(1,MIN(MAX(2,INT(900/INDEX('Laminates- copilot'!$E$6:$E$257,ROUNDUP((ROW()-5)/3,0)))),INT((IF(O367="Quantum",760,1220)-50)/INDEX('Laminates- copilot'!$E$6:$E$257,ROUNDUP((ROW()-5)/3,0))))),"Data is missing"))</f>
        <v>5.5970703373145705E-2</v>
      </c>
      <c r="AK367" s="203">
        <f t="shared" si="93"/>
        <v>74.627604497527599</v>
      </c>
      <c r="AL367" t="str">
        <f t="shared" si="94"/>
        <v>PASS</v>
      </c>
      <c r="AM367" s="50" t="str">
        <f t="shared" si="95"/>
        <v/>
      </c>
    </row>
    <row r="368" spans="1:39" hidden="1">
      <c r="A368" t="s">
        <v>1996</v>
      </c>
      <c r="B368" t="s">
        <v>262</v>
      </c>
      <c r="C368" s="50" t="s">
        <v>2203</v>
      </c>
      <c r="D368" t="str">
        <f>'Laminates- copilot'!B126</f>
        <v>821M</v>
      </c>
      <c r="E368" s="858">
        <f>'Laminates- copilot'!D126</f>
        <v>79</v>
      </c>
      <c r="F368" s="858">
        <v>100</v>
      </c>
      <c r="G368" s="858">
        <v>100</v>
      </c>
      <c r="H368" s="858">
        <v>0</v>
      </c>
      <c r="I368" s="858">
        <v>0</v>
      </c>
      <c r="J368" s="858">
        <v>200</v>
      </c>
      <c r="K368" s="858">
        <v>25000</v>
      </c>
      <c r="L368" s="858" t="str">
        <f>'Laminates- copilot'!K126</f>
        <v>Not Printed</v>
      </c>
      <c r="M368" s="858" t="str">
        <f>'Laminates- copilot'!L126</f>
        <v>0</v>
      </c>
      <c r="N368" s="858">
        <f>'Laminates- copilot'!M126</f>
        <v>1</v>
      </c>
      <c r="O368" s="858" t="str">
        <f>'Laminates- copilot'!O126</f>
        <v>Marma</v>
      </c>
      <c r="P368" s="858" t="str">
        <f>'Laminates- copilot'!N126</f>
        <v>Europe to Europe</v>
      </c>
      <c r="Q368" s="858">
        <f t="shared" si="80"/>
        <v>2500</v>
      </c>
      <c r="R368" s="858">
        <f t="shared" si="81"/>
        <v>2500</v>
      </c>
      <c r="S368" s="858">
        <f>IFERROR('Laminates- copilot'!Q126/'Laminates- copilot'!P126*Q368,"")</f>
        <v>31.479000000000003</v>
      </c>
      <c r="T368" s="203">
        <f>IFERROR('Laminates- copilot'!R126/'Laminates- copilot'!P126*Q368,"")</f>
        <v>365.41315884185457</v>
      </c>
      <c r="U368" s="912">
        <f>IFERROR('Laminates- copilot'!S126/'Laminates- copilot'!P126*Q368,"")</f>
        <v>423.87926425655127</v>
      </c>
      <c r="V368" s="913">
        <f t="shared" si="82"/>
        <v>11.608156512019267</v>
      </c>
      <c r="W368" s="914">
        <f t="shared" si="83"/>
        <v>13.465461553942349</v>
      </c>
      <c r="X368" s="913">
        <f t="shared" si="84"/>
        <v>0.14616526353674184</v>
      </c>
      <c r="Y368" s="913">
        <f t="shared" si="85"/>
        <v>11.608156512019267</v>
      </c>
      <c r="Z368" s="95">
        <f t="shared" si="86"/>
        <v>397091</v>
      </c>
      <c r="AA368" s="50" t="str">
        <f t="shared" si="87"/>
        <v>Below MOQ by 372,091 bags</v>
      </c>
      <c r="AB368" s="923">
        <f t="shared" si="88"/>
        <v>5.1196200149661995E-2</v>
      </c>
      <c r="AC368" s="924">
        <f t="shared" si="89"/>
        <v>5.9387592173607909E-2</v>
      </c>
      <c r="AD368" s="203">
        <f t="shared" si="90"/>
        <v>1279.90500374155</v>
      </c>
      <c r="AE368" s="912">
        <f t="shared" si="91"/>
        <v>1484.689804340198</v>
      </c>
      <c r="AF368" s="923" cm="1">
        <f t="array" ref="AF368">IF(O368="Quantum",IFERROR(_xlfn.LET(_xlpm.b,_xlfn.SWITCH(LOWER(B368),"zipper bag","Zipper pouch","open bag","Open pouch","sup with zipper","Stand-up pouch","stand-up pouch","Stand-up pouch",B368),_xlpm.w,G368,_xlpm.q,K368,_xlpm.types,'Converting-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missing"),IFERROR(_xlfn.LET(_xlpm.s,O368,_xlpm.b,_xlfn.SWITCH(LOWER(B368),"zipper bag","Zipper pouch","open bag","Open pouch",B368),_xlpm.w,G368,_xlpm.q,K368,_xlpm.src,'Converting-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68" s="923">
        <f>IFERROR(IF(OR(B368="Zipper pouch",B368="SUP with zipper"),HELPER!$DE$2*(AH368+AI368)/K368,HELPER!$DE$2*AH368/K368),"Data is missing")</f>
        <v>3.5079663248818041E-3</v>
      </c>
      <c r="AH368" s="923">
        <f t="shared" si="92"/>
        <v>0.14616526353674184</v>
      </c>
      <c r="AI368" s="923" t="str">
        <f>IF(OR(B368="Zipper pouch",B368="SUP with zipper"),HELPER!$DC$2*G368/1000,"")</f>
        <v/>
      </c>
      <c r="AJ368" s="923" cm="1">
        <f t="array" ref="AJ368">IF(INDEX('Laminates- copilot'!$E$6:$E$257,ROUNDUP((ROW()-5)/3,0))+50&gt;IF(O368="Quantum",760,1220),"Width exceeds supplier maximum",IFERROR(AF368+AG368+N(AI368)+AH368*G368/1000/MAX(1,MIN(MAX(2,INT(900/INDEX('Laminates- copilot'!$E$6:$E$257,ROUNDUP((ROW()-5)/3,0)))),INT((IF(O368="Quantum",760,1220)-50)/INDEX('Laminates- copilot'!$E$6:$E$257,ROUNDUP((ROW()-5)/3,0))))),"Data is missing"))</f>
        <v>3.8397150112246495E-2</v>
      </c>
      <c r="AK368" s="203">
        <f t="shared" si="93"/>
        <v>51.196200149661998</v>
      </c>
      <c r="AL368" t="str">
        <f t="shared" si="94"/>
        <v>PASS</v>
      </c>
      <c r="AM368" s="50" t="str">
        <f t="shared" si="95"/>
        <v/>
      </c>
    </row>
    <row r="369" spans="1:39" hidden="1">
      <c r="A369" t="s">
        <v>1997</v>
      </c>
      <c r="B369" t="s">
        <v>251</v>
      </c>
      <c r="C369" s="50" t="s">
        <v>2204</v>
      </c>
      <c r="D369" t="str">
        <f>'Laminates- copilot'!B127</f>
        <v>821M</v>
      </c>
      <c r="E369" s="858">
        <f>'Laminates- copilot'!D127</f>
        <v>79</v>
      </c>
      <c r="F369" s="858">
        <v>150</v>
      </c>
      <c r="G369" s="858">
        <v>150</v>
      </c>
      <c r="H369" s="858">
        <v>25</v>
      </c>
      <c r="I369" s="858">
        <v>0</v>
      </c>
      <c r="J369" s="858">
        <v>350</v>
      </c>
      <c r="K369" s="858">
        <v>25000</v>
      </c>
      <c r="L369" s="858" t="str">
        <f>'Laminates- copilot'!K127</f>
        <v>Printed</v>
      </c>
      <c r="M369" s="858" t="str">
        <f>'Laminates- copilot'!L127</f>
        <v>1-2</v>
      </c>
      <c r="N369" s="858">
        <f>'Laminates- copilot'!M127</f>
        <v>1</v>
      </c>
      <c r="O369" s="858" t="str">
        <f>'Laminates- copilot'!O127</f>
        <v>Bastin</v>
      </c>
      <c r="P369" s="858" t="str">
        <f>'Laminates- copilot'!N127</f>
        <v>Europe to US</v>
      </c>
      <c r="Q369" s="858">
        <f t="shared" si="80"/>
        <v>3750</v>
      </c>
      <c r="R369" s="858">
        <f t="shared" si="81"/>
        <v>3750</v>
      </c>
      <c r="S369" s="858">
        <f>IFERROR('Laminates- copilot'!Q127/'Laminates- copilot'!P127*Q369,"")</f>
        <v>47.218500000000013</v>
      </c>
      <c r="T369" s="203">
        <f>IFERROR('Laminates- copilot'!R127/'Laminates- copilot'!P127*Q369,"")</f>
        <v>21873.160870834821</v>
      </c>
      <c r="U369" s="912">
        <f>IFERROR('Laminates- copilot'!S127/'Laminates- copilot'!P127*Q369,"")</f>
        <v>25372.866610168392</v>
      </c>
      <c r="V369" s="913">
        <f t="shared" si="82"/>
        <v>463.23286150205564</v>
      </c>
      <c r="W369" s="914">
        <f t="shared" si="83"/>
        <v>537.35011934238457</v>
      </c>
      <c r="X369" s="913">
        <f t="shared" si="84"/>
        <v>5.832842898889286</v>
      </c>
      <c r="Y369" s="913">
        <f t="shared" si="85"/>
        <v>463.23286150205564</v>
      </c>
      <c r="Z369" s="95">
        <f t="shared" si="86"/>
        <v>264727</v>
      </c>
      <c r="AA369" s="50" t="str">
        <f t="shared" si="87"/>
        <v>Below MOQ by 239,727 bags</v>
      </c>
      <c r="AB369" s="923">
        <f t="shared" si="88"/>
        <v>0.45807504382060477</v>
      </c>
      <c r="AC369" s="924">
        <f t="shared" si="89"/>
        <v>0.5313670508319015</v>
      </c>
      <c r="AD369" s="203">
        <f t="shared" si="90"/>
        <v>11451.876095515119</v>
      </c>
      <c r="AE369" s="912">
        <f t="shared" si="91"/>
        <v>13284.176270797538</v>
      </c>
      <c r="AF369" s="923" cm="1">
        <f t="array" ref="AF369">IF(O369="Quantum",IFERROR(_xlfn.LET(_xlpm.b,_xlfn.SWITCH(LOWER(B369),"zipper bag","Zipper pouch","open bag","Open pouch","sup with zipper","Stand-up pouch","stand-up pouch","Stand-up pouch",B369),_xlpm.w,G369,_xlpm.q,K369,_xlpm.types,'Converting-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missing"),IFERROR(_xlfn.LET(_xlpm.s,O369,_xlpm.b,_xlfn.SWITCH(LOWER(B369),"zipper bag","Zipper pouch","open bag","Open pouch",B369),_xlpm.w,G369,_xlpm.q,K369,_xlpm.src,'Converting-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69" s="923">
        <f>IFERROR(IF(OR(B369="Zipper pouch",B369="SUP with zipper"),HELPER!$DE$2*(AH369+AI369)/K369,HELPER!$DE$2*AH369/K369),"Data is missing")</f>
        <v>0.14050662957334287</v>
      </c>
      <c r="AH369" s="923">
        <f t="shared" si="92"/>
        <v>5.832842898889286</v>
      </c>
      <c r="AI369" s="923">
        <f>IF(OR(B369="Zipper pouch",B369="SUP with zipper"),HELPER!$DC$2*G369/1000,"")</f>
        <v>2.1599999999999998E-2</v>
      </c>
      <c r="AJ369" s="923" cm="1">
        <f t="array" ref="AJ369">IF(INDEX('Laminates- copilot'!$E$6:$E$257,ROUNDUP((ROW()-5)/3,0))+50&gt;IF(O369="Quantum",760,1220),"Width exceeds supplier maximum",IFERROR(AF369+AG369+N(AI369)+AH369*G369/1000/MAX(1,MIN(MAX(2,INT(900/INDEX('Laminates- copilot'!$E$6:$E$257,ROUNDUP((ROW()-5)/3,0)))),INT((IF(O369="Quantum",760,1220)-50)/INDEX('Laminates- copilot'!$E$6:$E$257,ROUNDUP((ROW()-5)/3,0))))),"Data is missing"))</f>
        <v>0.34355628286545359</v>
      </c>
      <c r="AK369" s="203">
        <f t="shared" si="93"/>
        <v>458.07504382060478</v>
      </c>
      <c r="AL369" t="str">
        <f t="shared" si="94"/>
        <v>PASS</v>
      </c>
      <c r="AM369" s="50" t="str">
        <f t="shared" si="95"/>
        <v/>
      </c>
    </row>
    <row r="370" spans="1:39" hidden="1">
      <c r="A370" t="s">
        <v>1998</v>
      </c>
      <c r="B370" t="s">
        <v>261</v>
      </c>
      <c r="C370" s="50" t="s">
        <v>2204</v>
      </c>
      <c r="D370" t="str">
        <f>'Laminates- copilot'!B127</f>
        <v>821M</v>
      </c>
      <c r="E370" s="858">
        <f>'Laminates- copilot'!D127</f>
        <v>79</v>
      </c>
      <c r="F370" s="858">
        <v>150</v>
      </c>
      <c r="G370" s="858">
        <v>150</v>
      </c>
      <c r="H370" s="858">
        <v>25</v>
      </c>
      <c r="I370" s="858">
        <v>0</v>
      </c>
      <c r="J370" s="858">
        <v>350</v>
      </c>
      <c r="K370" s="858">
        <v>25000</v>
      </c>
      <c r="L370" s="858" t="str">
        <f>'Laminates- copilot'!K127</f>
        <v>Printed</v>
      </c>
      <c r="M370" s="858" t="str">
        <f>'Laminates- copilot'!L127</f>
        <v>1-2</v>
      </c>
      <c r="N370" s="858">
        <f>'Laminates- copilot'!M127</f>
        <v>1</v>
      </c>
      <c r="O370" s="858" t="str">
        <f>'Laminates- copilot'!O127</f>
        <v>Bastin</v>
      </c>
      <c r="P370" s="858" t="str">
        <f>'Laminates- copilot'!N127</f>
        <v>Europe to US</v>
      </c>
      <c r="Q370" s="858">
        <f t="shared" si="80"/>
        <v>3750</v>
      </c>
      <c r="R370" s="858">
        <f t="shared" si="81"/>
        <v>3750</v>
      </c>
      <c r="S370" s="858">
        <f>IFERROR('Laminates- copilot'!Q127/'Laminates- copilot'!P127*Q370,"")</f>
        <v>47.218500000000013</v>
      </c>
      <c r="T370" s="203">
        <f>IFERROR('Laminates- copilot'!R127/'Laminates- copilot'!P127*Q370,"")</f>
        <v>21873.160870834821</v>
      </c>
      <c r="U370" s="912">
        <f>IFERROR('Laminates- copilot'!S127/'Laminates- copilot'!P127*Q370,"")</f>
        <v>25372.866610168392</v>
      </c>
      <c r="V370" s="913">
        <f t="shared" si="82"/>
        <v>463.23286150205564</v>
      </c>
      <c r="W370" s="914">
        <f t="shared" si="83"/>
        <v>537.35011934238457</v>
      </c>
      <c r="X370" s="913">
        <f t="shared" si="84"/>
        <v>5.832842898889286</v>
      </c>
      <c r="Y370" s="913">
        <f t="shared" si="85"/>
        <v>463.23286150205564</v>
      </c>
      <c r="Z370" s="95">
        <f t="shared" si="86"/>
        <v>264727</v>
      </c>
      <c r="AA370" s="50" t="str">
        <f t="shared" si="87"/>
        <v>Below MOQ by 239,727 bags</v>
      </c>
      <c r="AB370" s="923">
        <f t="shared" si="88"/>
        <v>0.45290963362104825</v>
      </c>
      <c r="AC370" s="924">
        <f t="shared" si="89"/>
        <v>0.52537517500041597</v>
      </c>
      <c r="AD370" s="203">
        <f t="shared" si="90"/>
        <v>11322.740840526207</v>
      </c>
      <c r="AE370" s="912">
        <f t="shared" si="91"/>
        <v>13134.3793750104</v>
      </c>
      <c r="AF370" s="923" cm="1">
        <f t="array" ref="AF370">IF(O370="Quantum",IFERROR(_xlfn.LET(_xlpm.b,_xlfn.SWITCH(LOWER(B370),"zipper bag","Zipper pouch","open bag","Open pouch","sup with zipper","Stand-up pouch","stand-up pouch","Stand-up pouch",B370),_xlpm.w,G370,_xlpm.q,K370,_xlpm.types,'Converting-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missing"),IFERROR(_xlfn.LET(_xlpm.s,O370,_xlpm.b,_xlfn.SWITCH(LOWER(B370),"zipper bag","Zipper pouch","open bag","Open pouch",B370),_xlpm.w,G370,_xlpm.q,K370,_xlpm.src,'Converting-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370" s="923">
        <f>IFERROR(IF(OR(B370="Zipper pouch",B370="SUP with zipper"),HELPER!$DE$2*(AH370+AI370)/K370,HELPER!$DE$2*AH370/K370),"Data is missing")</f>
        <v>0.14050662957334287</v>
      </c>
      <c r="AH370" s="923">
        <f t="shared" si="92"/>
        <v>5.832842898889286</v>
      </c>
      <c r="AI370" s="923">
        <f>IF(OR(B370="Zipper pouch",B370="SUP with zipper"),HELPER!$DC$2*G370/1000,"")</f>
        <v>2.1599999999999998E-2</v>
      </c>
      <c r="AJ370" s="923" cm="1">
        <f t="array" ref="AJ370">IF(INDEX('Laminates- copilot'!$E$6:$E$257,ROUNDUP((ROW()-5)/3,0))+50&gt;IF(O370="Quantum",760,1220),"Width exceeds supplier maximum",IFERROR(AF370+AG370+N(AI370)+AH370*G370/1000/MAX(1,MIN(MAX(2,INT(900/INDEX('Laminates- copilot'!$E$6:$E$257,ROUNDUP((ROW()-5)/3,0)))),INT((IF(O370="Quantum",760,1220)-50)/INDEX('Laminates- copilot'!$E$6:$E$257,ROUNDUP((ROW()-5)/3,0))))),"Data is missing"))</f>
        <v>0.33968222521578617</v>
      </c>
      <c r="AK370" s="203">
        <f t="shared" si="93"/>
        <v>452.90963362104827</v>
      </c>
      <c r="AL370" t="str">
        <f t="shared" si="94"/>
        <v>PASS</v>
      </c>
      <c r="AM370" s="50" t="str">
        <f t="shared" si="95"/>
        <v/>
      </c>
    </row>
    <row r="371" spans="1:39" hidden="1">
      <c r="A371" t="s">
        <v>1999</v>
      </c>
      <c r="B371" t="s">
        <v>262</v>
      </c>
      <c r="C371" s="50" t="s">
        <v>2204</v>
      </c>
      <c r="D371" t="str">
        <f>'Laminates- copilot'!B127</f>
        <v>821M</v>
      </c>
      <c r="E371" s="858">
        <f>'Laminates- copilot'!D127</f>
        <v>79</v>
      </c>
      <c r="F371" s="858">
        <v>150</v>
      </c>
      <c r="G371" s="858">
        <v>150</v>
      </c>
      <c r="H371" s="858">
        <v>0</v>
      </c>
      <c r="I371" s="858">
        <v>0</v>
      </c>
      <c r="J371" s="858">
        <v>300</v>
      </c>
      <c r="K371" s="858">
        <v>25000</v>
      </c>
      <c r="L371" s="858" t="str">
        <f>'Laminates- copilot'!K127</f>
        <v>Printed</v>
      </c>
      <c r="M371" s="858" t="str">
        <f>'Laminates- copilot'!L127</f>
        <v>1-2</v>
      </c>
      <c r="N371" s="858">
        <f>'Laminates- copilot'!M127</f>
        <v>1</v>
      </c>
      <c r="O371" s="858" t="str">
        <f>'Laminates- copilot'!O127</f>
        <v>Bastin</v>
      </c>
      <c r="P371" s="858" t="str">
        <f>'Laminates- copilot'!N127</f>
        <v>Europe to US</v>
      </c>
      <c r="Q371" s="858">
        <f t="shared" si="80"/>
        <v>3750</v>
      </c>
      <c r="R371" s="858">
        <f t="shared" si="81"/>
        <v>3750</v>
      </c>
      <c r="S371" s="858">
        <f>IFERROR('Laminates- copilot'!Q127/'Laminates- copilot'!P127*Q371,"")</f>
        <v>47.218500000000013</v>
      </c>
      <c r="T371" s="203">
        <f>IFERROR('Laminates- copilot'!R127/'Laminates- copilot'!P127*Q371,"")</f>
        <v>21873.160870834821</v>
      </c>
      <c r="U371" s="912">
        <f>IFERROR('Laminates- copilot'!S127/'Laminates- copilot'!P127*Q371,"")</f>
        <v>25372.866610168392</v>
      </c>
      <c r="V371" s="913">
        <f t="shared" si="82"/>
        <v>463.23286150205564</v>
      </c>
      <c r="W371" s="914">
        <f t="shared" si="83"/>
        <v>537.35011934238457</v>
      </c>
      <c r="X371" s="913">
        <f t="shared" si="84"/>
        <v>5.832842898889286</v>
      </c>
      <c r="Y371" s="913">
        <f t="shared" si="85"/>
        <v>463.23286150205564</v>
      </c>
      <c r="Z371" s="95">
        <f t="shared" si="86"/>
        <v>264727</v>
      </c>
      <c r="AA371" s="50" t="str">
        <f t="shared" si="87"/>
        <v>Below MOQ by 239,727 bags</v>
      </c>
      <c r="AB371" s="923">
        <f t="shared" si="88"/>
        <v>0.41758439478479215</v>
      </c>
      <c r="AC371" s="924">
        <f t="shared" si="89"/>
        <v>0.48439789795035887</v>
      </c>
      <c r="AD371" s="203">
        <f t="shared" si="90"/>
        <v>10439.609869619804</v>
      </c>
      <c r="AE371" s="912">
        <f t="shared" si="91"/>
        <v>12109.947448758972</v>
      </c>
      <c r="AF371" s="923" cm="1">
        <f t="array" ref="AF371">IF(O371="Quantum",IFERROR(_xlfn.LET(_xlpm.b,_xlfn.SWITCH(LOWER(B371),"zipper bag","Zipper pouch","open bag","Open pouch","sup with zipper","Stand-up pouch","stand-up pouch","Stand-up pouch",B371),_xlpm.w,G371,_xlpm.q,K371,_xlpm.types,'Converting-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missing"),IFERROR(_xlfn.LET(_xlpm.s,O371,_xlpm.b,_xlfn.SWITCH(LOWER(B371),"zipper bag","Zipper pouch","open bag","Open pouch",B371),_xlpm.w,G371,_xlpm.q,K371,_xlpm.src,'Converting-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371" s="923">
        <f>IFERROR(IF(OR(B371="Zipper pouch",B371="SUP with zipper"),HELPER!$DE$2*(AH371+AI371)/K371,HELPER!$DE$2*AH371/K371),"Data is missing")</f>
        <v>0.13998822957334286</v>
      </c>
      <c r="AH371" s="923">
        <f t="shared" si="92"/>
        <v>5.832842898889286</v>
      </c>
      <c r="AI371" s="923" t="str">
        <f>IF(OR(B371="Zipper pouch",B371="SUP with zipper"),HELPER!$DC$2*G371/1000,"")</f>
        <v/>
      </c>
      <c r="AJ371" s="923" cm="1">
        <f t="array" ref="AJ371">IF(INDEX('Laminates- copilot'!$E$6:$E$257,ROUNDUP((ROW()-5)/3,0))+50&gt;IF(O371="Quantum",760,1220),"Width exceeds supplier maximum",IFERROR(AF371+AG371+N(AI371)+AH371*G371/1000/MAX(1,MIN(MAX(2,INT(900/INDEX('Laminates- copilot'!$E$6:$E$257,ROUNDUP((ROW()-5)/3,0)))),INT((IF(O371="Quantum",760,1220)-50)/INDEX('Laminates- copilot'!$E$6:$E$257,ROUNDUP((ROW()-5)/3,0))))),"Data is missing"))</f>
        <v>0.31318829608859411</v>
      </c>
      <c r="AK371" s="203">
        <f t="shared" si="93"/>
        <v>417.58439478479215</v>
      </c>
      <c r="AL371" t="str">
        <f t="shared" si="94"/>
        <v>PASS</v>
      </c>
      <c r="AM371" s="50" t="str">
        <f t="shared" si="95"/>
        <v/>
      </c>
    </row>
    <row r="372" spans="1:39" hidden="1">
      <c r="A372" t="s">
        <v>2000</v>
      </c>
      <c r="B372" t="s">
        <v>251</v>
      </c>
      <c r="C372" s="50" t="s">
        <v>2205</v>
      </c>
      <c r="D372" t="str">
        <f>'Laminates- copilot'!B128</f>
        <v>821M</v>
      </c>
      <c r="E372" s="858">
        <f>'Laminates- copilot'!D128</f>
        <v>79</v>
      </c>
      <c r="F372" s="858">
        <v>250</v>
      </c>
      <c r="G372" s="858">
        <v>200</v>
      </c>
      <c r="H372" s="858">
        <v>40</v>
      </c>
      <c r="I372" s="858">
        <v>0</v>
      </c>
      <c r="J372" s="858">
        <v>580</v>
      </c>
      <c r="K372" s="858">
        <v>50000</v>
      </c>
      <c r="L372" s="858" t="str">
        <f>'Laminates- copilot'!K128</f>
        <v>Printed</v>
      </c>
      <c r="M372" s="858" t="str">
        <f>'Laminates- copilot'!L128</f>
        <v>3-4</v>
      </c>
      <c r="N372" s="858">
        <f>'Laminates- copilot'!M128</f>
        <v>4</v>
      </c>
      <c r="O372" s="858" t="str">
        <f>'Laminates- copilot'!O128</f>
        <v>Quantum</v>
      </c>
      <c r="P372" s="858" t="str">
        <f>'Laminates- copilot'!N128</f>
        <v>Europe to Europe</v>
      </c>
      <c r="Q372" s="858">
        <f t="shared" si="80"/>
        <v>10000</v>
      </c>
      <c r="R372" s="858">
        <f t="shared" si="81"/>
        <v>10000</v>
      </c>
      <c r="S372" s="858">
        <f>IFERROR('Laminates- copilot'!Q128/'Laminates- copilot'!P128*Q372,"")</f>
        <v>367.255</v>
      </c>
      <c r="T372" s="203">
        <f>IFERROR('Laminates- copilot'!R128/'Laminates- copilot'!P128*Q372,"")</f>
        <v>8385.9274353324472</v>
      </c>
      <c r="U372" s="912">
        <f>IFERROR('Laminates- copilot'!S128/'Laminates- copilot'!P128*Q372,"")</f>
        <v>9727.6758249856393</v>
      </c>
      <c r="V372" s="913">
        <f t="shared" si="82"/>
        <v>22.834072879422873</v>
      </c>
      <c r="W372" s="914">
        <f t="shared" si="83"/>
        <v>26.487524540130533</v>
      </c>
      <c r="X372" s="913">
        <f t="shared" si="84"/>
        <v>0.83859274353324476</v>
      </c>
      <c r="Y372" s="913">
        <f t="shared" si="85"/>
        <v>22.834072879422873</v>
      </c>
      <c r="Z372" s="95">
        <f t="shared" si="86"/>
        <v>68073</v>
      </c>
      <c r="AA372" s="50" t="str">
        <f t="shared" si="87"/>
        <v>Below MOQ by 18,073 bags</v>
      </c>
      <c r="AB372" s="923">
        <f t="shared" si="88"/>
        <v>0.31978810961298382</v>
      </c>
      <c r="AC372" s="924">
        <f t="shared" si="89"/>
        <v>0.3709542071510612</v>
      </c>
      <c r="AD372" s="203">
        <f t="shared" si="90"/>
        <v>15989.405480649191</v>
      </c>
      <c r="AE372" s="912">
        <f t="shared" si="91"/>
        <v>18547.71035755306</v>
      </c>
      <c r="AF372" s="923" cm="1">
        <f t="array" ref="AF372">IF(O372="Quantum",IFERROR(_xlfn.LET(_xlpm.b,_xlfn.SWITCH(LOWER(B372),"zipper bag","Zipper pouch","open bag","Open pouch","sup with zipper","Stand-up pouch","stand-up pouch","Stand-up pouch",B372),_xlpm.w,G372,_xlpm.q,K372,_xlpm.types,'Converting-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missing"),IFERROR(_xlfn.LET(_xlpm.s,O372,_xlpm.b,_xlfn.SWITCH(LOWER(B372),"zipper bag","Zipper pouch","open bag","Open pouch",B372),_xlpm.w,G372,_xlpm.q,K372,_xlpm.src,'Converting-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372" s="923">
        <f>IFERROR(IF(OR(B372="Zipper pouch",B372="SUP with zipper"),HELPER!$DE$2*(AH372+AI372)/K372,HELPER!$DE$2*AH372/K372),"Data is missing")</f>
        <v>1.0408712922398939E-2</v>
      </c>
      <c r="AH372" s="923">
        <f t="shared" si="92"/>
        <v>0.83859274353324476</v>
      </c>
      <c r="AI372" s="923">
        <f>IF(OR(B372="Zipper pouch",B372="SUP with zipper"),HELPER!$DC$2*G372/1000,"")</f>
        <v>2.8799999999999996E-2</v>
      </c>
      <c r="AJ372" s="923" cm="1">
        <f t="array" ref="AJ372">IF(INDEX('Laminates- copilot'!$E$6:$E$257,ROUNDUP((ROW()-5)/3,0))+50&gt;IF(O372="Quantum",760,1220),"Width exceeds supplier maximum",IFERROR(AF372+AG372+N(AI372)+AH372*G372/1000/MAX(1,MIN(MAX(2,INT(900/INDEX('Laminates- copilot'!$E$6:$E$257,ROUNDUP((ROW()-5)/3,0)))),INT((IF(O372="Quantum",760,1220)-50)/INDEX('Laminates- copilot'!$E$6:$E$257,ROUNDUP((ROW()-5)/3,0))))),"Data is missing"))</f>
        <v>0.23984108220973788</v>
      </c>
      <c r="AK372" s="203">
        <f t="shared" si="93"/>
        <v>319.78810961298382</v>
      </c>
      <c r="AL372" t="str">
        <f t="shared" si="94"/>
        <v>PASS</v>
      </c>
      <c r="AM372" s="50" t="str">
        <f t="shared" si="95"/>
        <v/>
      </c>
    </row>
    <row r="373" spans="1:39" hidden="1">
      <c r="A373" t="s">
        <v>2001</v>
      </c>
      <c r="B373" t="s">
        <v>261</v>
      </c>
      <c r="C373" s="50" t="s">
        <v>2205</v>
      </c>
      <c r="D373" t="str">
        <f>'Laminates- copilot'!B128</f>
        <v>821M</v>
      </c>
      <c r="E373" s="858">
        <f>'Laminates- copilot'!D128</f>
        <v>79</v>
      </c>
      <c r="F373" s="858">
        <v>250</v>
      </c>
      <c r="G373" s="858">
        <v>200</v>
      </c>
      <c r="H373" s="858">
        <v>40</v>
      </c>
      <c r="I373" s="858">
        <v>0</v>
      </c>
      <c r="J373" s="858">
        <v>580</v>
      </c>
      <c r="K373" s="858">
        <v>50000</v>
      </c>
      <c r="L373" s="858" t="str">
        <f>'Laminates- copilot'!K128</f>
        <v>Printed</v>
      </c>
      <c r="M373" s="858" t="str">
        <f>'Laminates- copilot'!L128</f>
        <v>3-4</v>
      </c>
      <c r="N373" s="858">
        <f>'Laminates- copilot'!M128</f>
        <v>4</v>
      </c>
      <c r="O373" s="858" t="str">
        <f>'Laminates- copilot'!O128</f>
        <v>Quantum</v>
      </c>
      <c r="P373" s="858" t="str">
        <f>'Laminates- copilot'!N128</f>
        <v>Europe to Europe</v>
      </c>
      <c r="Q373" s="858">
        <f t="shared" si="80"/>
        <v>10000</v>
      </c>
      <c r="R373" s="858">
        <f t="shared" si="81"/>
        <v>10000</v>
      </c>
      <c r="S373" s="858">
        <f>IFERROR('Laminates- copilot'!Q128/'Laminates- copilot'!P128*Q373,"")</f>
        <v>367.255</v>
      </c>
      <c r="T373" s="203">
        <f>IFERROR('Laminates- copilot'!R128/'Laminates- copilot'!P128*Q373,"")</f>
        <v>8385.9274353324472</v>
      </c>
      <c r="U373" s="912">
        <f>IFERROR('Laminates- copilot'!S128/'Laminates- copilot'!P128*Q373,"")</f>
        <v>9727.6758249856393</v>
      </c>
      <c r="V373" s="913">
        <f t="shared" si="82"/>
        <v>22.834072879422873</v>
      </c>
      <c r="W373" s="914">
        <f t="shared" si="83"/>
        <v>26.487524540130533</v>
      </c>
      <c r="X373" s="913">
        <f t="shared" si="84"/>
        <v>0.83859274353324476</v>
      </c>
      <c r="Y373" s="913">
        <f t="shared" si="85"/>
        <v>22.834072879422873</v>
      </c>
      <c r="Z373" s="95">
        <f t="shared" si="86"/>
        <v>68073</v>
      </c>
      <c r="AA373" s="50" t="str">
        <f t="shared" si="87"/>
        <v>Below MOQ by 18,073 bags</v>
      </c>
      <c r="AB373" s="923">
        <f t="shared" si="88"/>
        <v>0.30402095889479014</v>
      </c>
      <c r="AC373" s="924">
        <f t="shared" si="89"/>
        <v>0.35266431231795653</v>
      </c>
      <c r="AD373" s="203">
        <f t="shared" si="90"/>
        <v>15201.047944739506</v>
      </c>
      <c r="AE373" s="912">
        <f t="shared" si="91"/>
        <v>17633.215615897825</v>
      </c>
      <c r="AF373" s="923" cm="1">
        <f t="array" ref="AF373">IF(O373="Quantum",IFERROR(_xlfn.LET(_xlpm.b,_xlfn.SWITCH(LOWER(B373),"zipper bag","Zipper pouch","open bag","Open pouch","sup with zipper","Stand-up pouch","stand-up pouch","Stand-up pouch",B373),_xlpm.w,G373,_xlpm.q,K373,_xlpm.types,'Converting-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missing"),IFERROR(_xlfn.LET(_xlpm.s,O373,_xlpm.b,_xlfn.SWITCH(LOWER(B373),"zipper bag","Zipper pouch","open bag","Open pouch",B373),_xlpm.w,G373,_xlpm.q,K373,_xlpm.src,'Converting-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373" s="923">
        <f>IFERROR(IF(OR(B373="Zipper pouch",B373="SUP with zipper"),HELPER!$DE$2*(AH373+AI373)/K373,HELPER!$DE$2*AH373/K373),"Data is missing")</f>
        <v>1.0408712922398939E-2</v>
      </c>
      <c r="AH373" s="923">
        <f t="shared" si="92"/>
        <v>0.83859274353324476</v>
      </c>
      <c r="AI373" s="923">
        <f>IF(OR(B373="Zipper pouch",B373="SUP with zipper"),HELPER!$DC$2*G373/1000,"")</f>
        <v>2.8799999999999996E-2</v>
      </c>
      <c r="AJ373" s="923" cm="1">
        <f t="array" ref="AJ373">IF(INDEX('Laminates- copilot'!$E$6:$E$257,ROUNDUP((ROW()-5)/3,0))+50&gt;IF(O373="Quantum",760,1220),"Width exceeds supplier maximum",IFERROR(AF373+AG373+N(AI373)+AH373*G373/1000/MAX(1,MIN(MAX(2,INT(900/INDEX('Laminates- copilot'!$E$6:$E$257,ROUNDUP((ROW()-5)/3,0)))),INT((IF(O373="Quantum",760,1220)-50)/INDEX('Laminates- copilot'!$E$6:$E$257,ROUNDUP((ROW()-5)/3,0))))),"Data is missing"))</f>
        <v>0.22801571917109259</v>
      </c>
      <c r="AK373" s="203">
        <f t="shared" si="93"/>
        <v>304.02095889479011</v>
      </c>
      <c r="AL373" t="str">
        <f t="shared" si="94"/>
        <v>PASS</v>
      </c>
      <c r="AM373" s="50" t="str">
        <f t="shared" si="95"/>
        <v/>
      </c>
    </row>
    <row r="374" spans="1:39" hidden="1">
      <c r="A374" t="s">
        <v>2002</v>
      </c>
      <c r="B374" t="s">
        <v>262</v>
      </c>
      <c r="C374" s="50" t="s">
        <v>2205</v>
      </c>
      <c r="D374" t="str">
        <f>'Laminates- copilot'!B128</f>
        <v>821M</v>
      </c>
      <c r="E374" s="858">
        <f>'Laminates- copilot'!D128</f>
        <v>79</v>
      </c>
      <c r="F374" s="858">
        <v>250</v>
      </c>
      <c r="G374" s="858">
        <v>200</v>
      </c>
      <c r="H374" s="858">
        <v>0</v>
      </c>
      <c r="I374" s="858">
        <v>0</v>
      </c>
      <c r="J374" s="858">
        <v>500</v>
      </c>
      <c r="K374" s="858">
        <v>50000</v>
      </c>
      <c r="L374" s="858" t="str">
        <f>'Laminates- copilot'!K128</f>
        <v>Printed</v>
      </c>
      <c r="M374" s="858" t="str">
        <f>'Laminates- copilot'!L128</f>
        <v>3-4</v>
      </c>
      <c r="N374" s="858">
        <f>'Laminates- copilot'!M128</f>
        <v>4</v>
      </c>
      <c r="O374" s="858" t="str">
        <f>'Laminates- copilot'!O128</f>
        <v>Quantum</v>
      </c>
      <c r="P374" s="858" t="str">
        <f>'Laminates- copilot'!N128</f>
        <v>Europe to Europe</v>
      </c>
      <c r="Q374" s="858">
        <f t="shared" si="80"/>
        <v>10000</v>
      </c>
      <c r="R374" s="858">
        <f t="shared" si="81"/>
        <v>10000</v>
      </c>
      <c r="S374" s="858">
        <f>IFERROR('Laminates- copilot'!Q128/'Laminates- copilot'!P128*Q374,"")</f>
        <v>367.255</v>
      </c>
      <c r="T374" s="203">
        <f>IFERROR('Laminates- copilot'!R128/'Laminates- copilot'!P128*Q374,"")</f>
        <v>8385.9274353324472</v>
      </c>
      <c r="U374" s="912">
        <f>IFERROR('Laminates- copilot'!S128/'Laminates- copilot'!P128*Q374,"")</f>
        <v>9727.6758249856393</v>
      </c>
      <c r="V374" s="913">
        <f t="shared" si="82"/>
        <v>22.834072879422873</v>
      </c>
      <c r="W374" s="914">
        <f t="shared" si="83"/>
        <v>26.487524540130533</v>
      </c>
      <c r="X374" s="913">
        <f t="shared" si="84"/>
        <v>0.83859274353324476</v>
      </c>
      <c r="Y374" s="913">
        <f t="shared" si="85"/>
        <v>22.834072879422873</v>
      </c>
      <c r="Z374" s="95">
        <f t="shared" si="86"/>
        <v>68073</v>
      </c>
      <c r="AA374" s="50" t="str">
        <f t="shared" si="87"/>
        <v>Below MOQ by 18,073 bags</v>
      </c>
      <c r="AB374" s="923">
        <f t="shared" si="88"/>
        <v>0.24794873717080987</v>
      </c>
      <c r="AC374" s="924">
        <f t="shared" si="89"/>
        <v>0.28762053511813945</v>
      </c>
      <c r="AD374" s="203">
        <f t="shared" si="90"/>
        <v>12397.436858540494</v>
      </c>
      <c r="AE374" s="912">
        <f t="shared" si="91"/>
        <v>14381.026755906971</v>
      </c>
      <c r="AF374" s="923" cm="1">
        <f t="array" ref="AF374">IF(O374="Quantum",IFERROR(_xlfn.LET(_xlpm.b,_xlfn.SWITCH(LOWER(B374),"zipper bag","Zipper pouch","open bag","Open pouch","sup with zipper","Stand-up pouch","stand-up pouch","Stand-up pouch",B374),_xlpm.w,G374,_xlpm.q,K374,_xlpm.types,'Converting-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missing"),IFERROR(_xlfn.LET(_xlpm.s,O374,_xlpm.b,_xlfn.SWITCH(LOWER(B374),"zipper bag","Zipper pouch","open bag","Open pouch",B374),_xlpm.w,G374,_xlpm.q,K374,_xlpm.src,'Converting-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374" s="923">
        <f>IFERROR(IF(OR(B374="Zipper pouch",B374="SUP with zipper"),HELPER!$DE$2*(AH374+AI374)/K374,HELPER!$DE$2*AH374/K374),"Data is missing")</f>
        <v>1.0063112922398938E-2</v>
      </c>
      <c r="AH374" s="923">
        <f t="shared" si="92"/>
        <v>0.83859274353324476</v>
      </c>
      <c r="AI374" s="923" t="str">
        <f>IF(OR(B374="Zipper pouch",B374="SUP with zipper"),HELPER!$DC$2*G374/1000,"")</f>
        <v/>
      </c>
      <c r="AJ374" s="923" cm="1">
        <f t="array" ref="AJ374">IF(INDEX('Laminates- copilot'!$E$6:$E$257,ROUNDUP((ROW()-5)/3,0))+50&gt;IF(O374="Quantum",760,1220),"Width exceeds supplier maximum",IFERROR(AF374+AG374+N(AI374)+AH374*G374/1000/MAX(1,MIN(MAX(2,INT(900/INDEX('Laminates- copilot'!$E$6:$E$257,ROUNDUP((ROW()-5)/3,0)))),INT((IF(O374="Quantum",760,1220)-50)/INDEX('Laminates- copilot'!$E$6:$E$257,ROUNDUP((ROW()-5)/3,0))))),"Data is missing"))</f>
        <v>0.18596155287810739</v>
      </c>
      <c r="AK374" s="203">
        <f t="shared" si="93"/>
        <v>247.94873717080986</v>
      </c>
      <c r="AL374" t="str">
        <f t="shared" si="94"/>
        <v>PASS</v>
      </c>
      <c r="AM374" s="50" t="str">
        <f t="shared" si="95"/>
        <v/>
      </c>
    </row>
    <row r="375" spans="1:39">
      <c r="A375" t="s">
        <v>2003</v>
      </c>
      <c r="B375" t="s">
        <v>251</v>
      </c>
      <c r="C375" s="50" t="s">
        <v>2206</v>
      </c>
      <c r="D375" t="str">
        <f>'Laminates- copilot'!B129</f>
        <v>821M</v>
      </c>
      <c r="E375" s="858">
        <f>'Laminates- copilot'!D129</f>
        <v>79</v>
      </c>
      <c r="F375" s="858">
        <v>300</v>
      </c>
      <c r="G375" s="858">
        <v>300</v>
      </c>
      <c r="H375" s="858">
        <v>50</v>
      </c>
      <c r="I375" s="858">
        <v>0</v>
      </c>
      <c r="J375" s="858">
        <v>700</v>
      </c>
      <c r="K375" s="858">
        <v>50000</v>
      </c>
      <c r="L375" s="858" t="str">
        <f>'Laminates- copilot'!K129</f>
        <v>Printed</v>
      </c>
      <c r="M375" s="858" t="str">
        <f>'Laminates- copilot'!L129</f>
        <v>5-8</v>
      </c>
      <c r="N375" s="858">
        <f>'Laminates- copilot'!M129</f>
        <v>8</v>
      </c>
      <c r="O375" s="858" t="str">
        <f>'Laminates- copilot'!O129</f>
        <v>Marma</v>
      </c>
      <c r="P375" s="858" t="str">
        <f>'Laminates- copilot'!N129</f>
        <v>Europe to US</v>
      </c>
      <c r="Q375" s="858">
        <f t="shared" si="80"/>
        <v>15000</v>
      </c>
      <c r="R375" s="858">
        <f t="shared" si="81"/>
        <v>15000</v>
      </c>
      <c r="S375" s="858">
        <f>IFERROR('Laminates- copilot'!Q129/'Laminates- copilot'!P129*Q375,"")</f>
        <v>1416.5550000000001</v>
      </c>
      <c r="T375" s="203">
        <f>IFERROR('Laminates- copilot'!R129/'Laminates- copilot'!P129*Q375,"")</f>
        <v>25123.094820402675</v>
      </c>
      <c r="U375" s="912">
        <f>IFERROR('Laminates- copilot'!S129/'Laminates- copilot'!P129*Q375,"")</f>
        <v>29142.789991667101</v>
      </c>
      <c r="V375" s="913">
        <f t="shared" si="82"/>
        <v>17.735347247655525</v>
      </c>
      <c r="W375" s="914">
        <f t="shared" si="83"/>
        <v>20.57300280728041</v>
      </c>
      <c r="X375" s="913">
        <f t="shared" si="84"/>
        <v>1.6748729880268449</v>
      </c>
      <c r="Y375" s="913">
        <f t="shared" si="85"/>
        <v>17.735347247655525</v>
      </c>
      <c r="Z375" s="95">
        <f t="shared" si="86"/>
        <v>17649</v>
      </c>
      <c r="AA375" s="50" t="str">
        <f t="shared" si="87"/>
        <v>MOQ OK</v>
      </c>
      <c r="AB375" s="923">
        <f t="shared" si="88"/>
        <v>0.83169323309728005</v>
      </c>
      <c r="AC375" s="924">
        <f t="shared" si="89"/>
        <v>0.9647641503928448</v>
      </c>
      <c r="AD375" s="203">
        <f t="shared" si="90"/>
        <v>41584.661654864001</v>
      </c>
      <c r="AE375" s="912">
        <f t="shared" si="91"/>
        <v>48238.207519642237</v>
      </c>
      <c r="AF375" s="923" cm="1">
        <f t="array" ref="AF375">IF(O375="Quantum",IFERROR(_xlfn.LET(_xlpm.b,_xlfn.SWITCH(LOWER(B375),"zipper bag","Zipper pouch","open bag","Open pouch","sup with zipper","Stand-up pouch","stand-up pouch","Stand-up pouch",B375),_xlpm.w,G375,_xlpm.q,K375,_xlpm.types,'Converting-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missing"),IFERROR(_xlfn.LET(_xlpm.s,O375,_xlpm.b,_xlfn.SWITCH(LOWER(B375),"zipper bag","Zipper pouch","open bag","Open pouch",B375),_xlpm.w,G375,_xlpm.q,K375,_xlpm.src,'Converting-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375" s="923">
        <f>IFERROR(IF(OR(B375="Zipper pouch",B375="SUP with zipper"),HELPER!$DE$2*(AH375+AI375)/K375,HELPER!$DE$2*AH375/K375),"Data is missing")</f>
        <v>2.0616875856322141E-2</v>
      </c>
      <c r="AH375" s="923">
        <f t="shared" si="92"/>
        <v>1.6748729880268449</v>
      </c>
      <c r="AI375" s="923">
        <f>IF(OR(B375="Zipper pouch",B375="SUP with zipper"),HELPER!$DC$2*G375/1000,"")</f>
        <v>4.3199999999999995E-2</v>
      </c>
      <c r="AJ375" s="923" cm="1">
        <f t="array" ref="AJ375">IF(INDEX('Laminates- copilot'!$E$6:$E$257,ROUNDUP((ROW()-5)/3,0))+50&gt;IF(O375="Quantum",760,1220),"Width exceeds supplier maximum",IFERROR(AF375+AG375+N(AI375)+AH375*G375/1000/MAX(1,MIN(MAX(2,INT(900/INDEX('Laminates- copilot'!$E$6:$E$257,ROUNDUP((ROW()-5)/3,0)))),INT((IF(O375="Quantum",760,1220)-50)/INDEX('Laminates- copilot'!$E$6:$E$257,ROUNDUP((ROW()-5)/3,0))))),"Data is missing"))</f>
        <v>0.62376992482296001</v>
      </c>
      <c r="AK375" s="203">
        <f t="shared" si="93"/>
        <v>831.69323309728009</v>
      </c>
      <c r="AL375" t="str">
        <f t="shared" si="94"/>
        <v>PASS</v>
      </c>
      <c r="AM375" s="50" t="str">
        <f t="shared" si="95"/>
        <v/>
      </c>
    </row>
    <row r="376" spans="1:39">
      <c r="A376" t="s">
        <v>2004</v>
      </c>
      <c r="B376" t="s">
        <v>261</v>
      </c>
      <c r="C376" s="50" t="s">
        <v>2206</v>
      </c>
      <c r="D376" t="str">
        <f>'Laminates- copilot'!B129</f>
        <v>821M</v>
      </c>
      <c r="E376" s="858">
        <f>'Laminates- copilot'!D129</f>
        <v>79</v>
      </c>
      <c r="F376" s="858">
        <v>300</v>
      </c>
      <c r="G376" s="858">
        <v>300</v>
      </c>
      <c r="H376" s="858">
        <v>50</v>
      </c>
      <c r="I376" s="858">
        <v>0</v>
      </c>
      <c r="J376" s="858">
        <v>700</v>
      </c>
      <c r="K376" s="858">
        <v>50000</v>
      </c>
      <c r="L376" s="858" t="str">
        <f>'Laminates- copilot'!K129</f>
        <v>Printed</v>
      </c>
      <c r="M376" s="858" t="str">
        <f>'Laminates- copilot'!L129</f>
        <v>5-8</v>
      </c>
      <c r="N376" s="858">
        <f>'Laminates- copilot'!M129</f>
        <v>8</v>
      </c>
      <c r="O376" s="858" t="str">
        <f>'Laminates- copilot'!O129</f>
        <v>Marma</v>
      </c>
      <c r="P376" s="858" t="str">
        <f>'Laminates- copilot'!N129</f>
        <v>Europe to US</v>
      </c>
      <c r="Q376" s="858">
        <f t="shared" si="80"/>
        <v>15000</v>
      </c>
      <c r="R376" s="858">
        <f t="shared" si="81"/>
        <v>15000</v>
      </c>
      <c r="S376" s="858">
        <f>IFERROR('Laminates- copilot'!Q129/'Laminates- copilot'!P129*Q376,"")</f>
        <v>1416.5550000000001</v>
      </c>
      <c r="T376" s="203">
        <f>IFERROR('Laminates- copilot'!R129/'Laminates- copilot'!P129*Q376,"")</f>
        <v>25123.094820402675</v>
      </c>
      <c r="U376" s="912">
        <f>IFERROR('Laminates- copilot'!S129/'Laminates- copilot'!P129*Q376,"")</f>
        <v>29142.789991667101</v>
      </c>
      <c r="V376" s="913">
        <f t="shared" si="82"/>
        <v>17.735347247655525</v>
      </c>
      <c r="W376" s="914">
        <f t="shared" si="83"/>
        <v>20.57300280728041</v>
      </c>
      <c r="X376" s="913">
        <f t="shared" si="84"/>
        <v>1.6748729880268449</v>
      </c>
      <c r="Y376" s="913">
        <f t="shared" si="85"/>
        <v>17.735347247655525</v>
      </c>
      <c r="Z376" s="95">
        <f t="shared" si="86"/>
        <v>17649</v>
      </c>
      <c r="AA376" s="50" t="str">
        <f t="shared" si="87"/>
        <v>MOQ OK</v>
      </c>
      <c r="AB376" s="923">
        <f t="shared" si="88"/>
        <v>0.82585000888963689</v>
      </c>
      <c r="AC376" s="924">
        <f t="shared" si="89"/>
        <v>0.95798601031197872</v>
      </c>
      <c r="AD376" s="203">
        <f t="shared" si="90"/>
        <v>41292.500444481848</v>
      </c>
      <c r="AE376" s="912">
        <f t="shared" si="91"/>
        <v>47899.300515598938</v>
      </c>
      <c r="AF376" s="923" cm="1">
        <f t="array" ref="AF376">IF(O376="Quantum",IFERROR(_xlfn.LET(_xlpm.b,_xlfn.SWITCH(LOWER(B376),"zipper bag","Zipper pouch","open bag","Open pouch","sup with zipper","Stand-up pouch","stand-up pouch","Stand-up pouch",B376),_xlpm.w,G376,_xlpm.q,K376,_xlpm.types,'Converting-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missing"),IFERROR(_xlfn.LET(_xlpm.s,O376,_xlpm.b,_xlfn.SWITCH(LOWER(B376),"zipper bag","Zipper pouch","open bag","Open pouch",B376),_xlpm.w,G376,_xlpm.q,K376,_xlpm.src,'Converting-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376" s="923">
        <f>IFERROR(IF(OR(B376="Zipper pouch",B376="SUP with zipper"),HELPER!$DE$2*(AH376+AI376)/K376,HELPER!$DE$2*AH376/K376),"Data is missing")</f>
        <v>2.0616875856322141E-2</v>
      </c>
      <c r="AH376" s="923">
        <f t="shared" si="92"/>
        <v>1.6748729880268449</v>
      </c>
      <c r="AI376" s="923">
        <f>IF(OR(B376="Zipper pouch",B376="SUP with zipper"),HELPER!$DC$2*G376/1000,"")</f>
        <v>4.3199999999999995E-2</v>
      </c>
      <c r="AJ376" s="923" cm="1">
        <f t="array" ref="AJ376">IF(INDEX('Laminates- copilot'!$E$6:$E$257,ROUNDUP((ROW()-5)/3,0))+50&gt;IF(O376="Quantum",760,1220),"Width exceeds supplier maximum",IFERROR(AF376+AG376+N(AI376)+AH376*G376/1000/MAX(1,MIN(MAX(2,INT(900/INDEX('Laminates- copilot'!$E$6:$E$257,ROUNDUP((ROW()-5)/3,0)))),INT((IF(O376="Quantum",760,1220)-50)/INDEX('Laminates- copilot'!$E$6:$E$257,ROUNDUP((ROW()-5)/3,0))))),"Data is missing"))</f>
        <v>0.61938750666722764</v>
      </c>
      <c r="AK376" s="203">
        <f t="shared" si="93"/>
        <v>825.85000888963691</v>
      </c>
      <c r="AL376" t="str">
        <f t="shared" si="94"/>
        <v>PASS</v>
      </c>
      <c r="AM376" s="50" t="str">
        <f t="shared" si="95"/>
        <v/>
      </c>
    </row>
    <row r="377" spans="1:39">
      <c r="A377" t="s">
        <v>2005</v>
      </c>
      <c r="B377" t="s">
        <v>262</v>
      </c>
      <c r="C377" s="50" t="s">
        <v>2206</v>
      </c>
      <c r="D377" t="str">
        <f>'Laminates- copilot'!B129</f>
        <v>821M</v>
      </c>
      <c r="E377" s="858">
        <f>'Laminates- copilot'!D129</f>
        <v>79</v>
      </c>
      <c r="F377" s="858">
        <v>300</v>
      </c>
      <c r="G377" s="858">
        <v>300</v>
      </c>
      <c r="H377" s="858">
        <v>0</v>
      </c>
      <c r="I377" s="858">
        <v>10</v>
      </c>
      <c r="J377" s="858">
        <v>610</v>
      </c>
      <c r="K377" s="858">
        <v>50000</v>
      </c>
      <c r="L377" s="858" t="str">
        <f>'Laminates- copilot'!K129</f>
        <v>Printed</v>
      </c>
      <c r="M377" s="858" t="str">
        <f>'Laminates- copilot'!L129</f>
        <v>5-8</v>
      </c>
      <c r="N377" s="858">
        <f>'Laminates- copilot'!M129</f>
        <v>8</v>
      </c>
      <c r="O377" s="858" t="str">
        <f>'Laminates- copilot'!O129</f>
        <v>Marma</v>
      </c>
      <c r="P377" s="858" t="str">
        <f>'Laminates- copilot'!N129</f>
        <v>Europe to US</v>
      </c>
      <c r="Q377" s="858">
        <f t="shared" si="80"/>
        <v>15000</v>
      </c>
      <c r="R377" s="858">
        <f t="shared" si="81"/>
        <v>15000</v>
      </c>
      <c r="S377" s="858">
        <f>IFERROR('Laminates- copilot'!Q129/'Laminates- copilot'!P129*Q377,"")</f>
        <v>1416.5550000000001</v>
      </c>
      <c r="T377" s="203">
        <f>IFERROR('Laminates- copilot'!R129/'Laminates- copilot'!P129*Q377,"")</f>
        <v>25123.094820402675</v>
      </c>
      <c r="U377" s="912">
        <f>IFERROR('Laminates- copilot'!S129/'Laminates- copilot'!P129*Q377,"")</f>
        <v>29142.789991667101</v>
      </c>
      <c r="V377" s="913">
        <f t="shared" si="82"/>
        <v>17.735347247655525</v>
      </c>
      <c r="W377" s="914">
        <f t="shared" si="83"/>
        <v>20.57300280728041</v>
      </c>
      <c r="X377" s="913">
        <f t="shared" si="84"/>
        <v>1.6748729880268449</v>
      </c>
      <c r="Y377" s="913">
        <f t="shared" si="85"/>
        <v>17.735347247655525</v>
      </c>
      <c r="Z377" s="95">
        <f t="shared" si="86"/>
        <v>17649</v>
      </c>
      <c r="AA377" s="50" t="str">
        <f t="shared" si="87"/>
        <v>MOQ OK</v>
      </c>
      <c r="AB377" s="923">
        <f t="shared" si="88"/>
        <v>0.76067080189206948</v>
      </c>
      <c r="AC377" s="924">
        <f t="shared" si="89"/>
        <v>0.88237813019480049</v>
      </c>
      <c r="AD377" s="203">
        <f t="shared" si="90"/>
        <v>38033.540094603472</v>
      </c>
      <c r="AE377" s="912">
        <f t="shared" si="91"/>
        <v>44118.906509740023</v>
      </c>
      <c r="AF377" s="923" cm="1">
        <f t="array" ref="AF377">IF(O377="Quantum",IFERROR(_xlfn.LET(_xlpm.b,_xlfn.SWITCH(LOWER(B377),"zipper bag","Zipper pouch","open bag","Open pouch","sup with zipper","Stand-up pouch","stand-up pouch","Stand-up pouch",B377),_xlpm.w,G377,_xlpm.q,K377,_xlpm.types,'Converting-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missing"),IFERROR(_xlfn.LET(_xlpm.s,O377,_xlpm.b,_xlfn.SWITCH(LOWER(B377),"zipper bag","Zipper pouch","open bag","Open pouch",B377),_xlpm.w,G377,_xlpm.q,K377,_xlpm.src,'Converting-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377" s="923">
        <f>IFERROR(IF(OR(B377="Zipper pouch",B377="SUP with zipper"),HELPER!$DE$2*(AH377+AI377)/K377,HELPER!$DE$2*AH377/K377),"Data is missing")</f>
        <v>2.0098475856322139E-2</v>
      </c>
      <c r="AH377" s="923">
        <f t="shared" si="92"/>
        <v>1.6748729880268449</v>
      </c>
      <c r="AI377" s="923" t="str">
        <f>IF(OR(B377="Zipper pouch",B377="SUP with zipper"),HELPER!$DC$2*G377/1000,"")</f>
        <v/>
      </c>
      <c r="AJ377" s="923" cm="1">
        <f t="array" ref="AJ377">IF(INDEX('Laminates- copilot'!$E$6:$E$257,ROUNDUP((ROW()-5)/3,0))+50&gt;IF(O377="Quantum",760,1220),"Width exceeds supplier maximum",IFERROR(AF377+AG377+N(AI377)+AH377*G377/1000/MAX(1,MIN(MAX(2,INT(900/INDEX('Laminates- copilot'!$E$6:$E$257,ROUNDUP((ROW()-5)/3,0)))),INT((IF(O377="Quantum",760,1220)-50)/INDEX('Laminates- copilot'!$E$6:$E$257,ROUNDUP((ROW()-5)/3,0))))),"Data is missing"))</f>
        <v>0.57050310141905214</v>
      </c>
      <c r="AK377" s="203">
        <f t="shared" si="93"/>
        <v>760.67080189206945</v>
      </c>
      <c r="AL377" t="str">
        <f t="shared" si="94"/>
        <v>PASS</v>
      </c>
      <c r="AM377" s="50" t="str">
        <f t="shared" si="95"/>
        <v/>
      </c>
    </row>
    <row r="378" spans="1:39" hidden="1">
      <c r="A378" t="s">
        <v>2006</v>
      </c>
      <c r="B378" t="s">
        <v>251</v>
      </c>
      <c r="C378" s="50" t="s">
        <v>2207</v>
      </c>
      <c r="D378" t="str">
        <f>'Laminates- copilot'!B130</f>
        <v>821M</v>
      </c>
      <c r="E378" s="858">
        <f>'Laminates- copilot'!D130</f>
        <v>79</v>
      </c>
      <c r="F378" s="858">
        <v>350</v>
      </c>
      <c r="G378" s="858">
        <v>400</v>
      </c>
      <c r="H378" s="858">
        <v>60</v>
      </c>
      <c r="I378" s="858">
        <v>0</v>
      </c>
      <c r="J378" s="858">
        <v>820</v>
      </c>
      <c r="K378" s="858">
        <v>100000</v>
      </c>
      <c r="L378" s="858" t="str">
        <f>'Laminates- copilot'!K130</f>
        <v>Not Printed</v>
      </c>
      <c r="M378" s="858" t="str">
        <f>'Laminates- copilot'!L130</f>
        <v>0</v>
      </c>
      <c r="N378" s="858">
        <f>'Laminates- copilot'!M130</f>
        <v>1</v>
      </c>
      <c r="O378" s="858" t="str">
        <f>'Laminates- copilot'!O130</f>
        <v>Bastin</v>
      </c>
      <c r="P378" s="858" t="str">
        <f>'Laminates- copilot'!N130</f>
        <v>Europe to Europe</v>
      </c>
      <c r="Q378" s="858">
        <f t="shared" si="80"/>
        <v>40000</v>
      </c>
      <c r="R378" s="858">
        <f t="shared" si="81"/>
        <v>40000</v>
      </c>
      <c r="S378" s="858">
        <f>IFERROR('Laminates- copilot'!Q130/'Laminates- copilot'!P130*Q378,"")</f>
        <v>1469.02</v>
      </c>
      <c r="T378" s="203">
        <f>IFERROR('Laminates- copilot'!R130/'Laminates- copilot'!P130*Q378,"")</f>
        <v>21157.715853749996</v>
      </c>
      <c r="U378" s="912">
        <f>IFERROR('Laminates- copilot'!S130/'Laminates- copilot'!P130*Q378,"")</f>
        <v>24542.950390349994</v>
      </c>
      <c r="V378" s="913">
        <f t="shared" si="82"/>
        <v>14.402605719289047</v>
      </c>
      <c r="W378" s="914">
        <f t="shared" si="83"/>
        <v>16.707022634375292</v>
      </c>
      <c r="X378" s="913">
        <f t="shared" si="84"/>
        <v>0.52894289634374991</v>
      </c>
      <c r="Y378" s="913">
        <f t="shared" si="85"/>
        <v>14.402605719289047</v>
      </c>
      <c r="Z378" s="95">
        <f t="shared" si="86"/>
        <v>34037</v>
      </c>
      <c r="AA378" s="50" t="str">
        <f t="shared" si="87"/>
        <v>MOQ OK</v>
      </c>
      <c r="AB378" s="923">
        <f t="shared" si="88"/>
        <v>0.35317576051553318</v>
      </c>
      <c r="AC378" s="924">
        <f t="shared" si="89"/>
        <v>0.40968388219801843</v>
      </c>
      <c r="AD378" s="203">
        <f t="shared" si="90"/>
        <v>35317.576051553318</v>
      </c>
      <c r="AE378" s="912">
        <f t="shared" si="91"/>
        <v>40968.388219801847</v>
      </c>
      <c r="AF378" s="923" cm="1">
        <f t="array" ref="AF378">IF(O378="Quantum",IFERROR(_xlfn.LET(_xlpm.b,_xlfn.SWITCH(LOWER(B378),"zipper bag","Zipper pouch","open bag","Open pouch","sup with zipper","Stand-up pouch","stand-up pouch","Stand-up pouch",B378),_xlpm.w,G378,_xlpm.q,K378,_xlpm.types,'Converting-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missing"),IFERROR(_xlfn.LET(_xlpm.s,O378,_xlpm.b,_xlfn.SWITCH(LOWER(B378),"zipper bag","Zipper pouch","open bag","Open pouch",B378),_xlpm.w,G378,_xlpm.q,K378,_xlpm.src,'Converting-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378" s="923">
        <f>IFERROR(IF(OR(B378="Zipper pouch",B378="SUP with zipper"),HELPER!$DE$2*(AH378+AI378)/K378,HELPER!$DE$2*AH378/K378),"Data is missing")</f>
        <v>3.5192573780624993E-3</v>
      </c>
      <c r="AH378" s="923">
        <f t="shared" si="92"/>
        <v>0.52894289634374991</v>
      </c>
      <c r="AI378" s="923">
        <f>IF(OR(B378="Zipper pouch",B378="SUP with zipper"),HELPER!$DC$2*G378/1000,"")</f>
        <v>5.7599999999999991E-2</v>
      </c>
      <c r="AJ378" s="923" cm="1">
        <f t="array" ref="AJ378">IF(INDEX('Laminates- copilot'!$E$6:$E$257,ROUNDUP((ROW()-5)/3,0))+50&gt;IF(O378="Quantum",760,1220),"Width exceeds supplier maximum",IFERROR(AF378+AG378+N(AI378)+AH378*G378/1000/MAX(1,MIN(MAX(2,INT(900/INDEX('Laminates- copilot'!$E$6:$E$257,ROUNDUP((ROW()-5)/3,0)))),INT((IF(O378="Quantum",760,1220)-50)/INDEX('Laminates- copilot'!$E$6:$E$257,ROUNDUP((ROW()-5)/3,0))))),"Data is missing"))</f>
        <v>0.26488182038664987</v>
      </c>
      <c r="AK378" s="203">
        <f t="shared" si="93"/>
        <v>353.17576051553317</v>
      </c>
      <c r="AL378" t="str">
        <f t="shared" si="94"/>
        <v>PASS</v>
      </c>
      <c r="AM378" s="50" t="str">
        <f t="shared" si="95"/>
        <v/>
      </c>
    </row>
    <row r="379" spans="1:39" hidden="1">
      <c r="A379" t="s">
        <v>2007</v>
      </c>
      <c r="B379" t="s">
        <v>261</v>
      </c>
      <c r="C379" s="50" t="s">
        <v>2207</v>
      </c>
      <c r="D379" t="str">
        <f>'Laminates- copilot'!B130</f>
        <v>821M</v>
      </c>
      <c r="E379" s="858">
        <f>'Laminates- copilot'!D130</f>
        <v>79</v>
      </c>
      <c r="F379" s="858">
        <v>350</v>
      </c>
      <c r="G379" s="858">
        <v>400</v>
      </c>
      <c r="H379" s="858">
        <v>60</v>
      </c>
      <c r="I379" s="858">
        <v>0</v>
      </c>
      <c r="J379" s="858">
        <v>820</v>
      </c>
      <c r="K379" s="858">
        <v>100000</v>
      </c>
      <c r="L379" s="858" t="str">
        <f>'Laminates- copilot'!K130</f>
        <v>Not Printed</v>
      </c>
      <c r="M379" s="858" t="str">
        <f>'Laminates- copilot'!L130</f>
        <v>0</v>
      </c>
      <c r="N379" s="858">
        <f>'Laminates- copilot'!M130</f>
        <v>1</v>
      </c>
      <c r="O379" s="858" t="str">
        <f>'Laminates- copilot'!O130</f>
        <v>Bastin</v>
      </c>
      <c r="P379" s="858" t="str">
        <f>'Laminates- copilot'!N130</f>
        <v>Europe to Europe</v>
      </c>
      <c r="Q379" s="858">
        <f t="shared" si="80"/>
        <v>40000</v>
      </c>
      <c r="R379" s="858">
        <f t="shared" si="81"/>
        <v>40000</v>
      </c>
      <c r="S379" s="858">
        <f>IFERROR('Laminates- copilot'!Q130/'Laminates- copilot'!P130*Q379,"")</f>
        <v>1469.02</v>
      </c>
      <c r="T379" s="203">
        <f>IFERROR('Laminates- copilot'!R130/'Laminates- copilot'!P130*Q379,"")</f>
        <v>21157.715853749996</v>
      </c>
      <c r="U379" s="912">
        <f>IFERROR('Laminates- copilot'!S130/'Laminates- copilot'!P130*Q379,"")</f>
        <v>24542.950390349994</v>
      </c>
      <c r="V379" s="913">
        <f t="shared" si="82"/>
        <v>14.402605719289047</v>
      </c>
      <c r="W379" s="914">
        <f t="shared" si="83"/>
        <v>16.707022634375292</v>
      </c>
      <c r="X379" s="913">
        <f t="shared" si="84"/>
        <v>0.52894289634374991</v>
      </c>
      <c r="Y379" s="913">
        <f t="shared" si="85"/>
        <v>14.402605719289047</v>
      </c>
      <c r="Z379" s="95">
        <f t="shared" si="86"/>
        <v>34037</v>
      </c>
      <c r="AA379" s="50" t="str">
        <f t="shared" si="87"/>
        <v>MOQ OK</v>
      </c>
      <c r="AB379" s="923">
        <f t="shared" si="88"/>
        <v>0.34324227936253981</v>
      </c>
      <c r="AC379" s="924">
        <f t="shared" si="89"/>
        <v>0.39816104406054614</v>
      </c>
      <c r="AD379" s="203">
        <f t="shared" si="90"/>
        <v>34324.227936253985</v>
      </c>
      <c r="AE379" s="912">
        <f t="shared" si="91"/>
        <v>39816.104406054619</v>
      </c>
      <c r="AF379" s="923" cm="1">
        <f t="array" ref="AF379">IF(O379="Quantum",IFERROR(_xlfn.LET(_xlpm.b,_xlfn.SWITCH(LOWER(B379),"zipper bag","Zipper pouch","open bag","Open pouch","sup with zipper","Stand-up pouch","stand-up pouch","Stand-up pouch",B379),_xlpm.w,G379,_xlpm.q,K379,_xlpm.types,'Converting-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missing"),IFERROR(_xlfn.LET(_xlpm.s,O379,_xlpm.b,_xlfn.SWITCH(LOWER(B379),"zipper bag","Zipper pouch","open bag","Open pouch",B379),_xlpm.w,G379,_xlpm.q,K379,_xlpm.src,'Converting-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379" s="923">
        <f>IFERROR(IF(OR(B379="Zipper pouch",B379="SUP with zipper"),HELPER!$DE$2*(AH379+AI379)/K379,HELPER!$DE$2*AH379/K379),"Data is missing")</f>
        <v>3.5192573780624993E-3</v>
      </c>
      <c r="AH379" s="923">
        <f t="shared" si="92"/>
        <v>0.52894289634374991</v>
      </c>
      <c r="AI379" s="923">
        <f>IF(OR(B379="Zipper pouch",B379="SUP with zipper"),HELPER!$DC$2*G379/1000,"")</f>
        <v>5.7599999999999991E-2</v>
      </c>
      <c r="AJ379" s="923" cm="1">
        <f t="array" ref="AJ379">IF(INDEX('Laminates- copilot'!$E$6:$E$257,ROUNDUP((ROW()-5)/3,0))+50&gt;IF(O379="Quantum",760,1220),"Width exceeds supplier maximum",IFERROR(AF379+AG379+N(AI379)+AH379*G379/1000/MAX(1,MIN(MAX(2,INT(900/INDEX('Laminates- copilot'!$E$6:$E$257,ROUNDUP((ROW()-5)/3,0)))),INT((IF(O379="Quantum",760,1220)-50)/INDEX('Laminates- copilot'!$E$6:$E$257,ROUNDUP((ROW()-5)/3,0))))),"Data is missing"))</f>
        <v>0.25743170952190486</v>
      </c>
      <c r="AK379" s="203">
        <f t="shared" si="93"/>
        <v>343.24227936253982</v>
      </c>
      <c r="AL379" t="str">
        <f t="shared" si="94"/>
        <v>PASS</v>
      </c>
      <c r="AM379" s="50" t="str">
        <f t="shared" si="95"/>
        <v/>
      </c>
    </row>
    <row r="380" spans="1:39" hidden="1">
      <c r="A380" t="s">
        <v>2008</v>
      </c>
      <c r="B380" t="s">
        <v>262</v>
      </c>
      <c r="C380" s="50" t="s">
        <v>2207</v>
      </c>
      <c r="D380" t="str">
        <f>'Laminates- copilot'!B130</f>
        <v>821M</v>
      </c>
      <c r="E380" s="858">
        <f>'Laminates- copilot'!D130</f>
        <v>79</v>
      </c>
      <c r="F380" s="858">
        <v>350</v>
      </c>
      <c r="G380" s="858">
        <v>400</v>
      </c>
      <c r="H380" s="858">
        <v>0</v>
      </c>
      <c r="I380" s="858">
        <v>0</v>
      </c>
      <c r="J380" s="858">
        <v>700</v>
      </c>
      <c r="K380" s="858">
        <v>100000</v>
      </c>
      <c r="L380" s="858" t="str">
        <f>'Laminates- copilot'!K130</f>
        <v>Not Printed</v>
      </c>
      <c r="M380" s="858" t="str">
        <f>'Laminates- copilot'!L130</f>
        <v>0</v>
      </c>
      <c r="N380" s="858">
        <f>'Laminates- copilot'!M130</f>
        <v>1</v>
      </c>
      <c r="O380" s="858" t="str">
        <f>'Laminates- copilot'!O130</f>
        <v>Bastin</v>
      </c>
      <c r="P380" s="858" t="str">
        <f>'Laminates- copilot'!N130</f>
        <v>Europe to Europe</v>
      </c>
      <c r="Q380" s="858">
        <f t="shared" si="80"/>
        <v>40000</v>
      </c>
      <c r="R380" s="858">
        <f t="shared" si="81"/>
        <v>40000</v>
      </c>
      <c r="S380" s="858">
        <f>IFERROR('Laminates- copilot'!Q130/'Laminates- copilot'!P130*Q380,"")</f>
        <v>1469.02</v>
      </c>
      <c r="T380" s="203">
        <f>IFERROR('Laminates- copilot'!R130/'Laminates- copilot'!P130*Q380,"")</f>
        <v>21157.715853749996</v>
      </c>
      <c r="U380" s="912">
        <f>IFERROR('Laminates- copilot'!S130/'Laminates- copilot'!P130*Q380,"")</f>
        <v>24542.950390349994</v>
      </c>
      <c r="V380" s="913">
        <f t="shared" si="82"/>
        <v>14.402605719289047</v>
      </c>
      <c r="W380" s="914">
        <f t="shared" si="83"/>
        <v>16.707022634375292</v>
      </c>
      <c r="X380" s="913">
        <f t="shared" si="84"/>
        <v>0.52894289634374991</v>
      </c>
      <c r="Y380" s="913">
        <f t="shared" si="85"/>
        <v>14.402605719289047</v>
      </c>
      <c r="Z380" s="95">
        <f t="shared" si="86"/>
        <v>34037</v>
      </c>
      <c r="AA380" s="50" t="str">
        <f t="shared" si="87"/>
        <v>MOQ OK</v>
      </c>
      <c r="AB380" s="923">
        <f t="shared" si="88"/>
        <v>0.25285348097511795</v>
      </c>
      <c r="AC380" s="924">
        <f t="shared" si="89"/>
        <v>0.2933100379311368</v>
      </c>
      <c r="AD380" s="203">
        <f t="shared" si="90"/>
        <v>25285.348097511796</v>
      </c>
      <c r="AE380" s="912">
        <f t="shared" si="91"/>
        <v>29331.003793113683</v>
      </c>
      <c r="AF380" s="923" cm="1">
        <f t="array" ref="AF380">IF(O380="Quantum",IFERROR(_xlfn.LET(_xlpm.b,_xlfn.SWITCH(LOWER(B380),"zipper bag","Zipper pouch","open bag","Open pouch","sup with zipper","Stand-up pouch","stand-up pouch","Stand-up pouch",B380),_xlpm.w,G380,_xlpm.q,K380,_xlpm.types,'Converting-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missing"),IFERROR(_xlfn.LET(_xlpm.s,O380,_xlpm.b,_xlfn.SWITCH(LOWER(B380),"zipper bag","Zipper pouch","open bag","Open pouch",B380),_xlpm.w,G380,_xlpm.q,K380,_xlpm.src,'Converting-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380" s="923">
        <f>IFERROR(IF(OR(B380="Zipper pouch",B380="SUP with zipper"),HELPER!$DE$2*(AH380+AI380)/K380,HELPER!$DE$2*AH380/K380),"Data is missing")</f>
        <v>3.1736573780624996E-3</v>
      </c>
      <c r="AH380" s="923">
        <f t="shared" si="92"/>
        <v>0.52894289634374991</v>
      </c>
      <c r="AI380" s="923" t="str">
        <f>IF(OR(B380="Zipper pouch",B380="SUP with zipper"),HELPER!$DC$2*G380/1000,"")</f>
        <v/>
      </c>
      <c r="AJ380" s="923" cm="1">
        <f t="array" ref="AJ380">IF(INDEX('Laminates- copilot'!$E$6:$E$257,ROUNDUP((ROW()-5)/3,0))+50&gt;IF(O380="Quantum",760,1220),"Width exceeds supplier maximum",IFERROR(AF380+AG380+N(AI380)+AH380*G380/1000/MAX(1,MIN(MAX(2,INT(900/INDEX('Laminates- copilot'!$E$6:$E$257,ROUNDUP((ROW()-5)/3,0)))),INT((IF(O380="Quantum",760,1220)-50)/INDEX('Laminates- copilot'!$E$6:$E$257,ROUNDUP((ROW()-5)/3,0))))),"Data is missing"))</f>
        <v>0.18964011073133846</v>
      </c>
      <c r="AK380" s="203">
        <f t="shared" si="93"/>
        <v>252.85348097511795</v>
      </c>
      <c r="AL380" t="str">
        <f t="shared" si="94"/>
        <v>PASS</v>
      </c>
      <c r="AM380" s="50" t="str">
        <f t="shared" si="95"/>
        <v/>
      </c>
    </row>
    <row r="381" spans="1:39" hidden="1">
      <c r="A381" t="s">
        <v>2009</v>
      </c>
      <c r="B381" t="s">
        <v>251</v>
      </c>
      <c r="C381" s="50" t="s">
        <v>2208</v>
      </c>
      <c r="D381" t="str">
        <f>'Laminates- copilot'!B131</f>
        <v>821M</v>
      </c>
      <c r="E381" s="858">
        <f>'Laminates- copilot'!D131</f>
        <v>79</v>
      </c>
      <c r="F381" s="858">
        <v>400</v>
      </c>
      <c r="G381" s="858">
        <v>500</v>
      </c>
      <c r="H381" s="858">
        <v>80</v>
      </c>
      <c r="I381" s="858">
        <v>0</v>
      </c>
      <c r="J381" s="858">
        <v>960</v>
      </c>
      <c r="K381" s="858">
        <v>100000</v>
      </c>
      <c r="L381" s="858" t="str">
        <f>'Laminates- copilot'!K131</f>
        <v>Printed</v>
      </c>
      <c r="M381" s="858" t="str">
        <f>'Laminates- copilot'!L131</f>
        <v>3-4</v>
      </c>
      <c r="N381" s="858">
        <f>'Laminates- copilot'!M131</f>
        <v>4</v>
      </c>
      <c r="O381" s="858" t="str">
        <f>'Laminates- copilot'!O131</f>
        <v>Quantum</v>
      </c>
      <c r="P381" s="858" t="str">
        <f>'Laminates- copilot'!N131</f>
        <v>Europe to US</v>
      </c>
      <c r="Q381" s="858">
        <f t="shared" si="80"/>
        <v>50000</v>
      </c>
      <c r="R381" s="858">
        <f t="shared" si="81"/>
        <v>50000</v>
      </c>
      <c r="S381" s="858">
        <f>IFERROR('Laminates- copilot'!Q131/'Laminates- copilot'!P131*Q381,"")</f>
        <v>3147.9</v>
      </c>
      <c r="T381" s="203">
        <f>IFERROR('Laminates- copilot'!R131/'Laminates- copilot'!P131*Q381,"")</f>
        <v>93788.830246543104</v>
      </c>
      <c r="U381" s="912">
        <f>IFERROR('Laminates- copilot'!S131/'Laminates- copilot'!P131*Q381,"")</f>
        <v>108795.04308598999</v>
      </c>
      <c r="V381" s="913">
        <f t="shared" si="82"/>
        <v>29.794094554002065</v>
      </c>
      <c r="W381" s="914">
        <f t="shared" si="83"/>
        <v>34.561149682642395</v>
      </c>
      <c r="X381" s="913">
        <f t="shared" si="84"/>
        <v>1.8757766049308622</v>
      </c>
      <c r="Y381" s="913">
        <f t="shared" si="85"/>
        <v>29.794094554002065</v>
      </c>
      <c r="Z381" s="95">
        <f t="shared" si="86"/>
        <v>15884</v>
      </c>
      <c r="AA381" s="50" t="str">
        <f t="shared" si="87"/>
        <v>MOQ OK</v>
      </c>
      <c r="AB381" s="923">
        <f t="shared" si="88"/>
        <v>1.7237573923435183</v>
      </c>
      <c r="AC381" s="924">
        <f t="shared" si="89"/>
        <v>1.999558575118481</v>
      </c>
      <c r="AD381" s="203">
        <f t="shared" si="90"/>
        <v>172375.73923435184</v>
      </c>
      <c r="AE381" s="912">
        <f t="shared" si="91"/>
        <v>199955.85751184812</v>
      </c>
      <c r="AF381" s="923" cm="1">
        <f t="array" ref="AF381">IF(O381="Quantum",IFERROR(_xlfn.LET(_xlpm.b,_xlfn.SWITCH(LOWER(B381),"zipper bag","Zipper pouch","open bag","Open pouch","sup with zipper","Stand-up pouch","stand-up pouch","Stand-up pouch",B381),_xlpm.w,G381,_xlpm.q,K381,_xlpm.types,'Converting-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missing"),IFERROR(_xlfn.LET(_xlpm.s,O381,_xlpm.b,_xlfn.SWITCH(LOWER(B381),"zipper bag","Zipper pouch","open bag","Open pouch",B381),_xlpm.w,G381,_xlpm.q,K381,_xlpm.src,'Converting-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381" s="923">
        <f>IFERROR(IF(OR(B381="Zipper pouch",B381="SUP with zipper"),HELPER!$DE$2*(AH381+AI381)/K381,HELPER!$DE$2*AH381/K381),"Data is missing")</f>
        <v>1.1686659629585174E-2</v>
      </c>
      <c r="AH381" s="923">
        <f t="shared" si="92"/>
        <v>1.8757766049308622</v>
      </c>
      <c r="AI381" s="923">
        <f>IF(OR(B381="Zipper pouch",B381="SUP with zipper"),HELPER!$DC$2*G381/1000,"")</f>
        <v>7.1999999999999995E-2</v>
      </c>
      <c r="AJ381" s="923" cm="1">
        <f t="array" ref="AJ381">IF(INDEX('Laminates- copilot'!$E$6:$E$257,ROUNDUP((ROW()-5)/3,0))+50&gt;IF(O381="Quantum",760,1220),"Width exceeds supplier maximum",IFERROR(AF381+AG381+N(AI381)+AH381*G381/1000/MAX(1,MIN(MAX(2,INT(900/INDEX('Laminates- copilot'!$E$6:$E$257,ROUNDUP((ROW()-5)/3,0)))),INT((IF(O381="Quantum",760,1220)-50)/INDEX('Laminates- copilot'!$E$6:$E$257,ROUNDUP((ROW()-5)/3,0))))),"Data is missing"))</f>
        <v>1.2928180442576387</v>
      </c>
      <c r="AK381" s="203">
        <f t="shared" si="93"/>
        <v>1723.7573923435184</v>
      </c>
      <c r="AL381" t="str">
        <f t="shared" si="94"/>
        <v>PASS</v>
      </c>
      <c r="AM381" s="50" t="str">
        <f t="shared" si="95"/>
        <v/>
      </c>
    </row>
    <row r="382" spans="1:39" hidden="1">
      <c r="A382" t="s">
        <v>2010</v>
      </c>
      <c r="B382" t="s">
        <v>261</v>
      </c>
      <c r="C382" s="50" t="s">
        <v>2208</v>
      </c>
      <c r="D382" t="str">
        <f>'Laminates- copilot'!B131</f>
        <v>821M</v>
      </c>
      <c r="E382" s="858">
        <f>'Laminates- copilot'!D131</f>
        <v>79</v>
      </c>
      <c r="F382" s="858">
        <v>400</v>
      </c>
      <c r="G382" s="858">
        <v>500</v>
      </c>
      <c r="H382" s="858">
        <v>80</v>
      </c>
      <c r="I382" s="858">
        <v>0</v>
      </c>
      <c r="J382" s="858">
        <v>960</v>
      </c>
      <c r="K382" s="858">
        <v>100000</v>
      </c>
      <c r="L382" s="858" t="str">
        <f>'Laminates- copilot'!K131</f>
        <v>Printed</v>
      </c>
      <c r="M382" s="858" t="str">
        <f>'Laminates- copilot'!L131</f>
        <v>3-4</v>
      </c>
      <c r="N382" s="858">
        <f>'Laminates- copilot'!M131</f>
        <v>4</v>
      </c>
      <c r="O382" s="858" t="str">
        <f>'Laminates- copilot'!O131</f>
        <v>Quantum</v>
      </c>
      <c r="P382" s="858" t="str">
        <f>'Laminates- copilot'!N131</f>
        <v>Europe to US</v>
      </c>
      <c r="Q382" s="858">
        <f t="shared" si="80"/>
        <v>50000</v>
      </c>
      <c r="R382" s="858">
        <f t="shared" si="81"/>
        <v>50000</v>
      </c>
      <c r="S382" s="858">
        <f>IFERROR('Laminates- copilot'!Q131/'Laminates- copilot'!P131*Q382,"")</f>
        <v>3147.9</v>
      </c>
      <c r="T382" s="203">
        <f>IFERROR('Laminates- copilot'!R131/'Laminates- copilot'!P131*Q382,"")</f>
        <v>93788.830246543104</v>
      </c>
      <c r="U382" s="912">
        <f>IFERROR('Laminates- copilot'!S131/'Laminates- copilot'!P131*Q382,"")</f>
        <v>108795.04308598999</v>
      </c>
      <c r="V382" s="913">
        <f t="shared" si="82"/>
        <v>29.794094554002065</v>
      </c>
      <c r="W382" s="914">
        <f t="shared" si="83"/>
        <v>34.561149682642395</v>
      </c>
      <c r="X382" s="913">
        <f t="shared" si="84"/>
        <v>1.8757766049308622</v>
      </c>
      <c r="Y382" s="913">
        <f t="shared" si="85"/>
        <v>29.794094554002065</v>
      </c>
      <c r="Z382" s="95">
        <f t="shared" si="86"/>
        <v>15884</v>
      </c>
      <c r="AA382" s="50" t="str">
        <f t="shared" si="87"/>
        <v>MOQ OK</v>
      </c>
      <c r="AB382" s="923">
        <f t="shared" si="88"/>
        <v>1.6843395155480341</v>
      </c>
      <c r="AC382" s="924">
        <f t="shared" si="89"/>
        <v>1.9538338380357194</v>
      </c>
      <c r="AD382" s="203">
        <f t="shared" si="90"/>
        <v>168433.95155480341</v>
      </c>
      <c r="AE382" s="912">
        <f t="shared" si="91"/>
        <v>195383.38380357195</v>
      </c>
      <c r="AF382" s="923" cm="1">
        <f t="array" ref="AF382">IF(O382="Quantum",IFERROR(_xlfn.LET(_xlpm.b,_xlfn.SWITCH(LOWER(B382),"zipper bag","Zipper pouch","open bag","Open pouch","sup with zipper","Stand-up pouch","stand-up pouch","Stand-up pouch",B382),_xlpm.w,G382,_xlpm.q,K382,_xlpm.types,'Converting-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missing"),IFERROR(_xlfn.LET(_xlpm.s,O382,_xlpm.b,_xlfn.SWITCH(LOWER(B382),"zipper bag","Zipper pouch","open bag","Open pouch",B382),_xlpm.w,G382,_xlpm.q,K382,_xlpm.src,'Converting-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382" s="923">
        <f>IFERROR(IF(OR(B382="Zipper pouch",B382="SUP with zipper"),HELPER!$DE$2*(AH382+AI382)/K382,HELPER!$DE$2*AH382/K382),"Data is missing")</f>
        <v>1.1686659629585174E-2</v>
      </c>
      <c r="AH382" s="923">
        <f t="shared" si="92"/>
        <v>1.8757766049308622</v>
      </c>
      <c r="AI382" s="923">
        <f>IF(OR(B382="Zipper pouch",B382="SUP with zipper"),HELPER!$DC$2*G382/1000,"")</f>
        <v>7.1999999999999995E-2</v>
      </c>
      <c r="AJ382" s="923" cm="1">
        <f t="array" ref="AJ382">IF(INDEX('Laminates- copilot'!$E$6:$E$257,ROUNDUP((ROW()-5)/3,0))+50&gt;IF(O382="Quantum",760,1220),"Width exceeds supplier maximum",IFERROR(AF382+AG382+N(AI382)+AH382*G382/1000/MAX(1,MIN(MAX(2,INT(900/INDEX('Laminates- copilot'!$E$6:$E$257,ROUNDUP((ROW()-5)/3,0)))),INT((IF(O382="Quantum",760,1220)-50)/INDEX('Laminates- copilot'!$E$6:$E$257,ROUNDUP((ROW()-5)/3,0))))),"Data is missing"))</f>
        <v>1.2632546366610256</v>
      </c>
      <c r="AK382" s="203">
        <f t="shared" si="93"/>
        <v>1684.3395155480341</v>
      </c>
      <c r="AL382" t="str">
        <f t="shared" si="94"/>
        <v>PASS</v>
      </c>
      <c r="AM382" s="50" t="str">
        <f t="shared" si="95"/>
        <v/>
      </c>
    </row>
    <row r="383" spans="1:39" hidden="1">
      <c r="A383" t="s">
        <v>2011</v>
      </c>
      <c r="B383" t="s">
        <v>262</v>
      </c>
      <c r="C383" s="50" t="s">
        <v>2208</v>
      </c>
      <c r="D383" t="str">
        <f>'Laminates- copilot'!B131</f>
        <v>821M</v>
      </c>
      <c r="E383" s="858">
        <f>'Laminates- copilot'!D131</f>
        <v>79</v>
      </c>
      <c r="F383" s="858">
        <v>400</v>
      </c>
      <c r="G383" s="858">
        <v>500</v>
      </c>
      <c r="H383" s="858">
        <v>0</v>
      </c>
      <c r="I383" s="858">
        <v>20</v>
      </c>
      <c r="J383" s="858">
        <v>820</v>
      </c>
      <c r="K383" s="858">
        <v>100000</v>
      </c>
      <c r="L383" s="858" t="str">
        <f>'Laminates- copilot'!K131</f>
        <v>Printed</v>
      </c>
      <c r="M383" s="858" t="str">
        <f>'Laminates- copilot'!L131</f>
        <v>3-4</v>
      </c>
      <c r="N383" s="858">
        <f>'Laminates- copilot'!M131</f>
        <v>4</v>
      </c>
      <c r="O383" s="858" t="str">
        <f>'Laminates- copilot'!O131</f>
        <v>Quantum</v>
      </c>
      <c r="P383" s="858" t="str">
        <f>'Laminates- copilot'!N131</f>
        <v>Europe to US</v>
      </c>
      <c r="Q383" s="858">
        <f t="shared" si="80"/>
        <v>50000</v>
      </c>
      <c r="R383" s="858">
        <f t="shared" si="81"/>
        <v>50000</v>
      </c>
      <c r="S383" s="858">
        <f>IFERROR('Laminates- copilot'!Q131/'Laminates- copilot'!P131*Q383,"")</f>
        <v>3147.9</v>
      </c>
      <c r="T383" s="203">
        <f>IFERROR('Laminates- copilot'!R131/'Laminates- copilot'!P131*Q383,"")</f>
        <v>93788.830246543104</v>
      </c>
      <c r="U383" s="912">
        <f>IFERROR('Laminates- copilot'!S131/'Laminates- copilot'!P131*Q383,"")</f>
        <v>108795.04308598999</v>
      </c>
      <c r="V383" s="913">
        <f t="shared" si="82"/>
        <v>29.794094554002065</v>
      </c>
      <c r="W383" s="914">
        <f t="shared" si="83"/>
        <v>34.561149682642395</v>
      </c>
      <c r="X383" s="913">
        <f t="shared" si="84"/>
        <v>1.8757766049308622</v>
      </c>
      <c r="Y383" s="913">
        <f t="shared" si="85"/>
        <v>29.794094554002065</v>
      </c>
      <c r="Z383" s="95">
        <f t="shared" si="86"/>
        <v>15884</v>
      </c>
      <c r="AA383" s="50" t="str">
        <f t="shared" si="87"/>
        <v>MOQ OK</v>
      </c>
      <c r="AB383" s="923">
        <f t="shared" si="88"/>
        <v>1.5539303635369339</v>
      </c>
      <c r="AC383" s="924">
        <f t="shared" si="89"/>
        <v>1.8025592217028432</v>
      </c>
      <c r="AD383" s="203">
        <f t="shared" si="90"/>
        <v>155393.0363536934</v>
      </c>
      <c r="AE383" s="912">
        <f t="shared" si="91"/>
        <v>180255.92217028432</v>
      </c>
      <c r="AF383" s="923" cm="1">
        <f t="array" ref="AF383">IF(O383="Quantum",IFERROR(_xlfn.LET(_xlpm.b,_xlfn.SWITCH(LOWER(B383),"zipper bag","Zipper pouch","open bag","Open pouch","sup with zipper","Stand-up pouch","stand-up pouch","Stand-up pouch",B383),_xlpm.w,G383,_xlpm.q,K383,_xlpm.types,'Converting-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missing"),IFERROR(_xlfn.LET(_xlpm.s,O383,_xlpm.b,_xlfn.SWITCH(LOWER(B383),"zipper bag","Zipper pouch","open bag","Open pouch",B383),_xlpm.w,G383,_xlpm.q,K383,_xlpm.src,'Converting-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383" s="923">
        <f>IFERROR(IF(OR(B383="Zipper pouch",B383="SUP with zipper"),HELPER!$DE$2*(AH383+AI383)/K383,HELPER!$DE$2*AH383/K383),"Data is missing")</f>
        <v>1.1254659629585174E-2</v>
      </c>
      <c r="AH383" s="923">
        <f t="shared" si="92"/>
        <v>1.8757766049308622</v>
      </c>
      <c r="AI383" s="923" t="str">
        <f>IF(OR(B383="Zipper pouch",B383="SUP with zipper"),HELPER!$DC$2*G383/1000,"")</f>
        <v/>
      </c>
      <c r="AJ383" s="923" cm="1">
        <f t="array" ref="AJ383">IF(INDEX('Laminates- copilot'!$E$6:$E$257,ROUNDUP((ROW()-5)/3,0))+50&gt;IF(O383="Quantum",760,1220),"Width exceeds supplier maximum",IFERROR(AF383+AG383+N(AI383)+AH383*G383/1000/MAX(1,MIN(MAX(2,INT(900/INDEX('Laminates- copilot'!$E$6:$E$257,ROUNDUP((ROW()-5)/3,0)))),INT((IF(O383="Quantum",760,1220)-50)/INDEX('Laminates- copilot'!$E$6:$E$257,ROUNDUP((ROW()-5)/3,0))))),"Data is missing"))</f>
        <v>1.1654477726527004</v>
      </c>
      <c r="AK383" s="203">
        <f t="shared" si="93"/>
        <v>1553.930363536934</v>
      </c>
      <c r="AL383" t="str">
        <f t="shared" si="94"/>
        <v>PASS</v>
      </c>
      <c r="AM383" s="50" t="str">
        <f t="shared" si="95"/>
        <v/>
      </c>
    </row>
    <row r="384" spans="1:39" hidden="1">
      <c r="A384" t="s">
        <v>2012</v>
      </c>
      <c r="B384" t="s">
        <v>251</v>
      </c>
      <c r="C384" s="50" t="s">
        <v>2209</v>
      </c>
      <c r="D384" t="str">
        <f>'Laminates- copilot'!B132</f>
        <v>821M</v>
      </c>
      <c r="E384" s="858">
        <f>'Laminates- copilot'!D132</f>
        <v>79</v>
      </c>
      <c r="F384" s="858">
        <v>600</v>
      </c>
      <c r="G384" s="858">
        <v>200</v>
      </c>
      <c r="H384" s="858">
        <v>50</v>
      </c>
      <c r="I384" s="858">
        <v>0</v>
      </c>
      <c r="J384" s="858">
        <v>1300</v>
      </c>
      <c r="K384" s="858">
        <v>200000</v>
      </c>
      <c r="L384" s="858" t="str">
        <f>'Laminates- copilot'!K132</f>
        <v>Printed</v>
      </c>
      <c r="M384" s="858" t="str">
        <f>'Laminates- copilot'!L132</f>
        <v>5-8</v>
      </c>
      <c r="N384" s="858">
        <f>'Laminates- copilot'!M132</f>
        <v>8</v>
      </c>
      <c r="O384" s="858" t="str">
        <f>'Laminates- copilot'!O132</f>
        <v>Marma</v>
      </c>
      <c r="P384" s="858" t="str">
        <f>'Laminates- copilot'!N132</f>
        <v>Europe to Europe</v>
      </c>
      <c r="Q384" s="858">
        <f t="shared" si="80"/>
        <v>40000</v>
      </c>
      <c r="R384" s="858">
        <f t="shared" si="81"/>
        <v>40000</v>
      </c>
      <c r="S384" s="858">
        <f>IFERROR('Laminates- copilot'!Q132/'Laminates- copilot'!P132*Q384,"")</f>
        <v>3777.4800000000005</v>
      </c>
      <c r="T384" s="203">
        <f>IFERROR('Laminates- copilot'!R132/'Laminates- copilot'!P132*Q384,"")</f>
        <v>73325.951660298015</v>
      </c>
      <c r="U384" s="912">
        <f>IFERROR('Laminates- copilot'!S132/'Laminates- copilot'!P132*Q384,"")</f>
        <v>85058.103925945688</v>
      </c>
      <c r="V384" s="913">
        <f t="shared" si="82"/>
        <v>19.411340804001082</v>
      </c>
      <c r="W384" s="914">
        <f t="shared" si="83"/>
        <v>22.517155332641252</v>
      </c>
      <c r="X384" s="913">
        <f t="shared" si="84"/>
        <v>1.8331487915074505</v>
      </c>
      <c r="Y384" s="913">
        <f t="shared" si="85"/>
        <v>19.411340804001082</v>
      </c>
      <c r="Z384" s="95">
        <f t="shared" si="86"/>
        <v>26473</v>
      </c>
      <c r="AA384" s="50" t="str">
        <f t="shared" si="87"/>
        <v>MOQ OK</v>
      </c>
      <c r="AB384" s="923">
        <f t="shared" si="88"/>
        <v>0.59265332655988645</v>
      </c>
      <c r="AC384" s="924">
        <f t="shared" si="89"/>
        <v>0.68747785880946821</v>
      </c>
      <c r="AD384" s="203">
        <f t="shared" si="90"/>
        <v>118530.6653119773</v>
      </c>
      <c r="AE384" s="912">
        <f t="shared" si="91"/>
        <v>137495.57176189366</v>
      </c>
      <c r="AF384" s="923" cm="1">
        <f t="array" ref="AF384">IF(O384="Quantum",IFERROR(_xlfn.LET(_xlpm.b,_xlfn.SWITCH(LOWER(B384),"zipper bag","Zipper pouch","open bag","Open pouch","sup with zipper","Stand-up pouch","stand-up pouch","Stand-up pouch",B384),_xlpm.w,G384,_xlpm.q,K384,_xlpm.types,'Converting-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missing"),IFERROR(_xlfn.LET(_xlpm.s,O384,_xlpm.b,_xlfn.SWITCH(LOWER(B384),"zipper bag","Zipper pouch","open bag","Open pouch",B384),_xlpm.w,G384,_xlpm.q,K384,_xlpm.src,'Converting-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384" s="923">
        <f>IFERROR(IF(OR(B384="Zipper pouch",B384="SUP with zipper"),HELPER!$DE$2*(AH384+AI384)/K384,HELPER!$DE$2*AH384/K384),"Data is missing")</f>
        <v>5.5858463745223517E-3</v>
      </c>
      <c r="AH384" s="923">
        <f t="shared" si="92"/>
        <v>1.8331487915074505</v>
      </c>
      <c r="AI384" s="923">
        <f>IF(OR(B384="Zipper pouch",B384="SUP with zipper"),HELPER!$DC$2*G384/1000,"")</f>
        <v>2.8799999999999996E-2</v>
      </c>
      <c r="AJ384" s="923" cm="1">
        <f t="array" ref="AJ384">IF(INDEX('Laminates- copilot'!$E$6:$E$257,ROUNDUP((ROW()-5)/3,0))+50&gt;IF(O384="Quantum",760,1220),"Width exceeds supplier maximum",IFERROR(AF384+AG384+N(AI384)+AH384*G384/1000/MAX(1,MIN(MAX(2,INT(900/INDEX('Laminates- copilot'!$E$6:$E$257,ROUNDUP((ROW()-5)/3,0)))),INT((IF(O384="Quantum",760,1220)-50)/INDEX('Laminates- copilot'!$E$6:$E$257,ROUNDUP((ROW()-5)/3,0))))),"Data is missing"))</f>
        <v>0.44448999491991487</v>
      </c>
      <c r="AK384" s="203">
        <f t="shared" si="93"/>
        <v>592.65332655988641</v>
      </c>
      <c r="AL384" t="str">
        <f t="shared" si="94"/>
        <v>PASS</v>
      </c>
      <c r="AM384" s="50" t="str">
        <f t="shared" si="95"/>
        <v/>
      </c>
    </row>
    <row r="385" spans="1:39" hidden="1">
      <c r="A385" t="s">
        <v>2013</v>
      </c>
      <c r="B385" t="s">
        <v>261</v>
      </c>
      <c r="C385" s="50" t="s">
        <v>2209</v>
      </c>
      <c r="D385" t="str">
        <f>'Laminates- copilot'!B132</f>
        <v>821M</v>
      </c>
      <c r="E385" s="858">
        <f>'Laminates- copilot'!D132</f>
        <v>79</v>
      </c>
      <c r="F385" s="858">
        <v>600</v>
      </c>
      <c r="G385" s="858">
        <v>200</v>
      </c>
      <c r="H385" s="858">
        <v>50</v>
      </c>
      <c r="I385" s="858">
        <v>0</v>
      </c>
      <c r="J385" s="858">
        <v>1300</v>
      </c>
      <c r="K385" s="858">
        <v>200000</v>
      </c>
      <c r="L385" s="858" t="str">
        <f>'Laminates- copilot'!K132</f>
        <v>Printed</v>
      </c>
      <c r="M385" s="858" t="str">
        <f>'Laminates- copilot'!L132</f>
        <v>5-8</v>
      </c>
      <c r="N385" s="858">
        <f>'Laminates- copilot'!M132</f>
        <v>8</v>
      </c>
      <c r="O385" s="858" t="str">
        <f>'Laminates- copilot'!O132</f>
        <v>Marma</v>
      </c>
      <c r="P385" s="858" t="str">
        <f>'Laminates- copilot'!N132</f>
        <v>Europe to Europe</v>
      </c>
      <c r="Q385" s="858">
        <f t="shared" si="80"/>
        <v>40000</v>
      </c>
      <c r="R385" s="858">
        <f t="shared" si="81"/>
        <v>40000</v>
      </c>
      <c r="S385" s="858">
        <f>IFERROR('Laminates- copilot'!Q132/'Laminates- copilot'!P132*Q385,"")</f>
        <v>3777.4800000000005</v>
      </c>
      <c r="T385" s="203">
        <f>IFERROR('Laminates- copilot'!R132/'Laminates- copilot'!P132*Q385,"")</f>
        <v>73325.951660298015</v>
      </c>
      <c r="U385" s="912">
        <f>IFERROR('Laminates- copilot'!S132/'Laminates- copilot'!P132*Q385,"")</f>
        <v>85058.103925945688</v>
      </c>
      <c r="V385" s="913">
        <f t="shared" si="82"/>
        <v>19.411340804001082</v>
      </c>
      <c r="W385" s="914">
        <f t="shared" si="83"/>
        <v>22.517155332641252</v>
      </c>
      <c r="X385" s="913">
        <f t="shared" si="84"/>
        <v>1.8331487915074505</v>
      </c>
      <c r="Y385" s="913">
        <f t="shared" si="85"/>
        <v>19.411340804001082</v>
      </c>
      <c r="Z385" s="95">
        <f t="shared" si="86"/>
        <v>26473</v>
      </c>
      <c r="AA385" s="50" t="str">
        <f t="shared" si="87"/>
        <v>MOQ OK</v>
      </c>
      <c r="AB385" s="923">
        <f t="shared" si="88"/>
        <v>0.58792309743941351</v>
      </c>
      <c r="AC385" s="924">
        <f t="shared" si="89"/>
        <v>0.68199079302971966</v>
      </c>
      <c r="AD385" s="203">
        <f t="shared" si="90"/>
        <v>117584.61948788271</v>
      </c>
      <c r="AE385" s="912">
        <f t="shared" si="91"/>
        <v>136398.15860594393</v>
      </c>
      <c r="AF385" s="923" cm="1">
        <f t="array" ref="AF385">IF(O385="Quantum",IFERROR(_xlfn.LET(_xlpm.b,_xlfn.SWITCH(LOWER(B385),"zipper bag","Zipper pouch","open bag","Open pouch","sup with zipper","Stand-up pouch","stand-up pouch","Stand-up pouch",B385),_xlpm.w,G385,_xlpm.q,K385,_xlpm.types,'Converting-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missing"),IFERROR(_xlfn.LET(_xlpm.s,O385,_xlpm.b,_xlfn.SWITCH(LOWER(B385),"zipper bag","Zipper pouch","open bag","Open pouch",B385),_xlpm.w,G385,_xlpm.q,K385,_xlpm.src,'Converting-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385" s="923">
        <f>IFERROR(IF(OR(B385="Zipper pouch",B385="SUP with zipper"),HELPER!$DE$2*(AH385+AI385)/K385,HELPER!$DE$2*AH385/K385),"Data is missing")</f>
        <v>5.5858463745223517E-3</v>
      </c>
      <c r="AH385" s="923">
        <f t="shared" si="92"/>
        <v>1.8331487915074505</v>
      </c>
      <c r="AI385" s="923">
        <f>IF(OR(B385="Zipper pouch",B385="SUP with zipper"),HELPER!$DC$2*G385/1000,"")</f>
        <v>2.8799999999999996E-2</v>
      </c>
      <c r="AJ385" s="923" cm="1">
        <f t="array" ref="AJ385">IF(INDEX('Laminates- copilot'!$E$6:$E$257,ROUNDUP((ROW()-5)/3,0))+50&gt;IF(O385="Quantum",760,1220),"Width exceeds supplier maximum",IFERROR(AF385+AG385+N(AI385)+AH385*G385/1000/MAX(1,MIN(MAX(2,INT(900/INDEX('Laminates- copilot'!$E$6:$E$257,ROUNDUP((ROW()-5)/3,0)))),INT((IF(O385="Quantum",760,1220)-50)/INDEX('Laminates- copilot'!$E$6:$E$257,ROUNDUP((ROW()-5)/3,0))))),"Data is missing"))</f>
        <v>0.44094232307956011</v>
      </c>
      <c r="AK385" s="203">
        <f t="shared" si="93"/>
        <v>587.92309743941348</v>
      </c>
      <c r="AL385" t="str">
        <f t="shared" si="94"/>
        <v>PASS</v>
      </c>
      <c r="AM385" s="50" t="str">
        <f t="shared" si="95"/>
        <v/>
      </c>
    </row>
    <row r="386" spans="1:39" hidden="1">
      <c r="A386" t="s">
        <v>2014</v>
      </c>
      <c r="B386" t="s">
        <v>262</v>
      </c>
      <c r="C386" s="50" t="s">
        <v>2209</v>
      </c>
      <c r="D386" t="str">
        <f>'Laminates- copilot'!B132</f>
        <v>821M</v>
      </c>
      <c r="E386" s="858">
        <f>'Laminates- copilot'!D132</f>
        <v>79</v>
      </c>
      <c r="F386" s="858">
        <v>600</v>
      </c>
      <c r="G386" s="858">
        <v>200</v>
      </c>
      <c r="H386" s="858">
        <v>0</v>
      </c>
      <c r="I386" s="858">
        <v>0</v>
      </c>
      <c r="J386" s="858">
        <v>1200</v>
      </c>
      <c r="K386" s="858">
        <v>200000</v>
      </c>
      <c r="L386" s="858" t="str">
        <f>'Laminates- copilot'!K132</f>
        <v>Printed</v>
      </c>
      <c r="M386" s="858" t="str">
        <f>'Laminates- copilot'!L132</f>
        <v>5-8</v>
      </c>
      <c r="N386" s="858">
        <f>'Laminates- copilot'!M132</f>
        <v>8</v>
      </c>
      <c r="O386" s="858" t="str">
        <f>'Laminates- copilot'!O132</f>
        <v>Marma</v>
      </c>
      <c r="P386" s="858" t="str">
        <f>'Laminates- copilot'!N132</f>
        <v>Europe to Europe</v>
      </c>
      <c r="Q386" s="858">
        <f t="shared" si="80"/>
        <v>40000</v>
      </c>
      <c r="R386" s="858">
        <f t="shared" si="81"/>
        <v>40000</v>
      </c>
      <c r="S386" s="858">
        <f>IFERROR('Laminates- copilot'!Q132/'Laminates- copilot'!P132*Q386,"")</f>
        <v>3777.4800000000005</v>
      </c>
      <c r="T386" s="203">
        <f>IFERROR('Laminates- copilot'!R132/'Laminates- copilot'!P132*Q386,"")</f>
        <v>73325.951660298015</v>
      </c>
      <c r="U386" s="912">
        <f>IFERROR('Laminates- copilot'!S132/'Laminates- copilot'!P132*Q386,"")</f>
        <v>85058.103925945688</v>
      </c>
      <c r="V386" s="913">
        <f t="shared" si="82"/>
        <v>19.411340804001082</v>
      </c>
      <c r="W386" s="914">
        <f t="shared" si="83"/>
        <v>22.517155332641252</v>
      </c>
      <c r="X386" s="913">
        <f t="shared" si="84"/>
        <v>1.8331487915074505</v>
      </c>
      <c r="Y386" s="913">
        <f t="shared" si="85"/>
        <v>19.411340804001082</v>
      </c>
      <c r="Z386" s="95">
        <f t="shared" si="86"/>
        <v>26473</v>
      </c>
      <c r="AA386" s="50" t="str">
        <f t="shared" si="87"/>
        <v>MOQ OK</v>
      </c>
      <c r="AB386" s="923">
        <f t="shared" si="88"/>
        <v>0.54412269852893747</v>
      </c>
      <c r="AC386" s="924">
        <f t="shared" si="89"/>
        <v>0.63118233029356741</v>
      </c>
      <c r="AD386" s="203">
        <f t="shared" si="90"/>
        <v>108824.53970578749</v>
      </c>
      <c r="AE386" s="912">
        <f t="shared" si="91"/>
        <v>126236.46605871349</v>
      </c>
      <c r="AF386" s="923" cm="1">
        <f t="array" ref="AF386">IF(O386="Quantum",IFERROR(_xlfn.LET(_xlpm.b,_xlfn.SWITCH(LOWER(B386),"zipper bag","Zipper pouch","open bag","Open pouch","sup with zipper","Stand-up pouch","stand-up pouch","Stand-up pouch",B386),_xlpm.w,G386,_xlpm.q,K386,_xlpm.types,'Converting-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missing"),IFERROR(_xlfn.LET(_xlpm.s,O386,_xlpm.b,_xlfn.SWITCH(LOWER(B386),"zipper bag","Zipper pouch","open bag","Open pouch",B386),_xlpm.w,G386,_xlpm.q,K386,_xlpm.src,'Converting-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386" s="923">
        <f>IFERROR(IF(OR(B386="Zipper pouch",B386="SUP with zipper"),HELPER!$DE$2*(AH386+AI386)/K386,HELPER!$DE$2*AH386/K386),"Data is missing")</f>
        <v>5.4994463745223513E-3</v>
      </c>
      <c r="AH386" s="923">
        <f t="shared" si="92"/>
        <v>1.8331487915074505</v>
      </c>
      <c r="AI386" s="923" t="str">
        <f>IF(OR(B386="Zipper pouch",B386="SUP with zipper"),HELPER!$DC$2*G386/1000,"")</f>
        <v/>
      </c>
      <c r="AJ386" s="923" cm="1">
        <f t="array" ref="AJ386">IF(INDEX('Laminates- copilot'!$E$6:$E$257,ROUNDUP((ROW()-5)/3,0))+50&gt;IF(O386="Quantum",760,1220),"Width exceeds supplier maximum",IFERROR(AF386+AG386+N(AI386)+AH386*G386/1000/MAX(1,MIN(MAX(2,INT(900/INDEX('Laminates- copilot'!$E$6:$E$257,ROUNDUP((ROW()-5)/3,0)))),INT((IF(O386="Quantum",760,1220)-50)/INDEX('Laminates- copilot'!$E$6:$E$257,ROUNDUP((ROW()-5)/3,0))))),"Data is missing"))</f>
        <v>0.40809202389670307</v>
      </c>
      <c r="AK386" s="203">
        <f t="shared" si="93"/>
        <v>544.12269852893746</v>
      </c>
      <c r="AL386" t="str">
        <f t="shared" si="94"/>
        <v>PASS</v>
      </c>
      <c r="AM386" s="50" t="str">
        <f t="shared" si="95"/>
        <v/>
      </c>
    </row>
    <row r="387" spans="1:39" hidden="1">
      <c r="A387" t="s">
        <v>2015</v>
      </c>
      <c r="B387" t="s">
        <v>251</v>
      </c>
      <c r="C387" s="50" t="s">
        <v>2210</v>
      </c>
      <c r="D387" t="str">
        <f>'Laminates- copilot'!B133</f>
        <v>821M</v>
      </c>
      <c r="E387" s="858">
        <f>'Laminates- copilot'!D133</f>
        <v>79</v>
      </c>
      <c r="F387" s="858">
        <v>700</v>
      </c>
      <c r="G387" s="858">
        <v>300</v>
      </c>
      <c r="H387" s="858">
        <v>75</v>
      </c>
      <c r="I387" s="858">
        <v>0</v>
      </c>
      <c r="J387" s="858">
        <v>1550</v>
      </c>
      <c r="K387" s="858">
        <v>200000</v>
      </c>
      <c r="L387" s="858" t="str">
        <f>'Laminates- copilot'!K133</f>
        <v>Not Printed</v>
      </c>
      <c r="M387" s="858" t="str">
        <f>'Laminates- copilot'!L133</f>
        <v>0</v>
      </c>
      <c r="N387" s="858">
        <f>'Laminates- copilot'!M133</f>
        <v>1</v>
      </c>
      <c r="O387" s="858" t="str">
        <f>'Laminates- copilot'!O133</f>
        <v>Bastin</v>
      </c>
      <c r="P387" s="858" t="str">
        <f>'Laminates- copilot'!N133</f>
        <v>Europe to US</v>
      </c>
      <c r="Q387" s="858">
        <f t="shared" si="80"/>
        <v>60000</v>
      </c>
      <c r="R387" s="858">
        <f t="shared" si="81"/>
        <v>60000</v>
      </c>
      <c r="S387" s="858">
        <f>IFERROR('Laminates- copilot'!Q133/'Laminates- copilot'!P133*Q387,"")</f>
        <v>1573.95</v>
      </c>
      <c r="T387" s="203">
        <f>IFERROR('Laminates- copilot'!R133/'Laminates- copilot'!P133*Q387,"")</f>
        <v>27394.025299458281</v>
      </c>
      <c r="U387" s="912">
        <f>IFERROR('Laminates- copilot'!S133/'Laminates- copilot'!P133*Q387,"")</f>
        <v>31777.069347371602</v>
      </c>
      <c r="V387" s="913">
        <f t="shared" si="82"/>
        <v>17.404635026181442</v>
      </c>
      <c r="W387" s="914">
        <f t="shared" si="83"/>
        <v>20.189376630370472</v>
      </c>
      <c r="X387" s="913">
        <f t="shared" si="84"/>
        <v>0.4565670883243047</v>
      </c>
      <c r="Y387" s="913">
        <f t="shared" si="85"/>
        <v>17.404635026181442</v>
      </c>
      <c r="Z387" s="95">
        <f t="shared" si="86"/>
        <v>63535</v>
      </c>
      <c r="AA387" s="50" t="str">
        <f t="shared" si="87"/>
        <v>MOQ OK</v>
      </c>
      <c r="AB387" s="923">
        <f t="shared" si="88"/>
        <v>0.21507538792518444</v>
      </c>
      <c r="AC387" s="924">
        <f t="shared" si="89"/>
        <v>0.24948744999321393</v>
      </c>
      <c r="AD387" s="203">
        <f t="shared" si="90"/>
        <v>43015.077585036888</v>
      </c>
      <c r="AE387" s="912">
        <f t="shared" si="91"/>
        <v>49897.489998642784</v>
      </c>
      <c r="AF387" s="923" cm="1">
        <f t="array" ref="AF387">IF(O387="Quantum",IFERROR(_xlfn.LET(_xlpm.b,_xlfn.SWITCH(LOWER(B387),"zipper bag","Zipper pouch","open bag","Open pouch","sup with zipper","Stand-up pouch","stand-up pouch","Stand-up pouch",B387),_xlpm.w,G387,_xlpm.q,K387,_xlpm.types,'Converting-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missing"),IFERROR(_xlfn.LET(_xlpm.s,O387,_xlpm.b,_xlfn.SWITCH(LOWER(B387),"zipper bag","Zipper pouch","open bag","Open pouch",B387),_xlpm.w,G387,_xlpm.q,K387,_xlpm.src,'Converting-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387" s="923">
        <f>IFERROR(IF(OR(B387="Zipper pouch",B387="SUP with zipper"),HELPER!$DE$2*(AH387+AI387)/K387,HELPER!$DE$2*AH387/K387),"Data is missing")</f>
        <v>1.499301264972914E-3</v>
      </c>
      <c r="AH387" s="923">
        <f t="shared" si="92"/>
        <v>0.4565670883243047</v>
      </c>
      <c r="AI387" s="923">
        <f>IF(OR(B387="Zipper pouch",B387="SUP with zipper"),HELPER!$DC$2*G387/1000,"")</f>
        <v>4.3199999999999995E-2</v>
      </c>
      <c r="AJ387" s="923" cm="1">
        <f t="array" ref="AJ387">IF(INDEX('Laminates- copilot'!$E$6:$E$257,ROUNDUP((ROW()-5)/3,0))+50&gt;IF(O387="Quantum",760,1220),"Width exceeds supplier maximum",IFERROR(AF387+AG387+N(AI387)+AH387*G387/1000/MAX(1,MIN(MAX(2,INT(900/INDEX('Laminates- copilot'!$E$6:$E$257,ROUNDUP((ROW()-5)/3,0)))),INT((IF(O387="Quantum",760,1220)-50)/INDEX('Laminates- copilot'!$E$6:$E$257,ROUNDUP((ROW()-5)/3,0))))),"Data is missing"))</f>
        <v>0.16130654094388833</v>
      </c>
      <c r="AK387" s="203">
        <f t="shared" si="93"/>
        <v>215.07538792518443</v>
      </c>
      <c r="AL387" t="str">
        <f t="shared" si="94"/>
        <v>PASS</v>
      </c>
      <c r="AM387" s="50" t="str">
        <f t="shared" si="95"/>
        <v/>
      </c>
    </row>
    <row r="388" spans="1:39" hidden="1">
      <c r="A388" t="s">
        <v>2016</v>
      </c>
      <c r="B388" t="s">
        <v>261</v>
      </c>
      <c r="C388" s="50" t="s">
        <v>2210</v>
      </c>
      <c r="D388" t="str">
        <f>'Laminates- copilot'!B133</f>
        <v>821M</v>
      </c>
      <c r="E388" s="858">
        <f>'Laminates- copilot'!D133</f>
        <v>79</v>
      </c>
      <c r="F388" s="858">
        <v>700</v>
      </c>
      <c r="G388" s="858">
        <v>300</v>
      </c>
      <c r="H388" s="858">
        <v>75</v>
      </c>
      <c r="I388" s="858">
        <v>0</v>
      </c>
      <c r="J388" s="858">
        <v>1550</v>
      </c>
      <c r="K388" s="858">
        <v>200000</v>
      </c>
      <c r="L388" s="858" t="str">
        <f>'Laminates- copilot'!K133</f>
        <v>Not Printed</v>
      </c>
      <c r="M388" s="858" t="str">
        <f>'Laminates- copilot'!L133</f>
        <v>0</v>
      </c>
      <c r="N388" s="858">
        <f>'Laminates- copilot'!M133</f>
        <v>1</v>
      </c>
      <c r="O388" s="858" t="str">
        <f>'Laminates- copilot'!O133</f>
        <v>Bastin</v>
      </c>
      <c r="P388" s="858" t="str">
        <f>'Laminates- copilot'!N133</f>
        <v>Europe to US</v>
      </c>
      <c r="Q388" s="858">
        <f t="shared" si="80"/>
        <v>60000</v>
      </c>
      <c r="R388" s="858">
        <f t="shared" si="81"/>
        <v>60000</v>
      </c>
      <c r="S388" s="858">
        <f>IFERROR('Laminates- copilot'!Q133/'Laminates- copilot'!P133*Q388,"")</f>
        <v>1573.95</v>
      </c>
      <c r="T388" s="203">
        <f>IFERROR('Laminates- copilot'!R133/'Laminates- copilot'!P133*Q388,"")</f>
        <v>27394.025299458281</v>
      </c>
      <c r="U388" s="912">
        <f>IFERROR('Laminates- copilot'!S133/'Laminates- copilot'!P133*Q388,"")</f>
        <v>31777.069347371602</v>
      </c>
      <c r="V388" s="913">
        <f t="shared" si="82"/>
        <v>17.404635026181442</v>
      </c>
      <c r="W388" s="914">
        <f t="shared" si="83"/>
        <v>20.189376630370472</v>
      </c>
      <c r="X388" s="913">
        <f t="shared" si="84"/>
        <v>0.4565670883243047</v>
      </c>
      <c r="Y388" s="913">
        <f t="shared" si="85"/>
        <v>17.404635026181442</v>
      </c>
      <c r="Z388" s="95">
        <f t="shared" si="86"/>
        <v>63535</v>
      </c>
      <c r="AA388" s="50" t="str">
        <f t="shared" si="87"/>
        <v>MOQ OK</v>
      </c>
      <c r="AB388" s="923">
        <f t="shared" si="88"/>
        <v>0.20747919645524837</v>
      </c>
      <c r="AC388" s="924">
        <f t="shared" si="89"/>
        <v>0.24067586788808809</v>
      </c>
      <c r="AD388" s="203">
        <f t="shared" si="90"/>
        <v>41495.839291049677</v>
      </c>
      <c r="AE388" s="912">
        <f t="shared" si="91"/>
        <v>48135.173577617621</v>
      </c>
      <c r="AF388" s="923" cm="1">
        <f t="array" ref="AF388">IF(O388="Quantum",IFERROR(_xlfn.LET(_xlpm.b,_xlfn.SWITCH(LOWER(B388),"zipper bag","Zipper pouch","open bag","Open pouch","sup with zipper","Stand-up pouch","stand-up pouch","Stand-up pouch",B388),_xlpm.w,G388,_xlpm.q,K388,_xlpm.types,'Converting-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missing"),IFERROR(_xlfn.LET(_xlpm.s,O388,_xlpm.b,_xlfn.SWITCH(LOWER(B388),"zipper bag","Zipper pouch","open bag","Open pouch",B388),_xlpm.w,G388,_xlpm.q,K388,_xlpm.src,'Converting-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388" s="923">
        <f>IFERROR(IF(OR(B388="Zipper pouch",B388="SUP with zipper"),HELPER!$DE$2*(AH388+AI388)/K388,HELPER!$DE$2*AH388/K388),"Data is missing")</f>
        <v>1.499301264972914E-3</v>
      </c>
      <c r="AH388" s="923">
        <f t="shared" si="92"/>
        <v>0.4565670883243047</v>
      </c>
      <c r="AI388" s="923">
        <f>IF(OR(B388="Zipper pouch",B388="SUP with zipper"),HELPER!$DC$2*G388/1000,"")</f>
        <v>4.3199999999999995E-2</v>
      </c>
      <c r="AJ388" s="923" cm="1">
        <f t="array" ref="AJ388">IF(INDEX('Laminates- copilot'!$E$6:$E$257,ROUNDUP((ROW()-5)/3,0))+50&gt;IF(O388="Quantum",760,1220),"Width exceeds supplier maximum",IFERROR(AF388+AG388+N(AI388)+AH388*G388/1000/MAX(1,MIN(MAX(2,INT(900/INDEX('Laminates- copilot'!$E$6:$E$257,ROUNDUP((ROW()-5)/3,0)))),INT((IF(O388="Quantum",760,1220)-50)/INDEX('Laminates- copilot'!$E$6:$E$257,ROUNDUP((ROW()-5)/3,0))))),"Data is missing"))</f>
        <v>0.15560939734143628</v>
      </c>
      <c r="AK388" s="203">
        <f t="shared" si="93"/>
        <v>207.47919645524837</v>
      </c>
      <c r="AL388" t="str">
        <f t="shared" si="94"/>
        <v>PASS</v>
      </c>
      <c r="AM388" s="50" t="str">
        <f t="shared" si="95"/>
        <v/>
      </c>
    </row>
    <row r="389" spans="1:39" hidden="1">
      <c r="A389" t="s">
        <v>2017</v>
      </c>
      <c r="B389" t="s">
        <v>262</v>
      </c>
      <c r="C389" s="50" t="s">
        <v>2210</v>
      </c>
      <c r="D389" t="str">
        <f>'Laminates- copilot'!B133</f>
        <v>821M</v>
      </c>
      <c r="E389" s="858">
        <f>'Laminates- copilot'!D133</f>
        <v>79</v>
      </c>
      <c r="F389" s="858">
        <v>700</v>
      </c>
      <c r="G389" s="858">
        <v>300</v>
      </c>
      <c r="H389" s="858">
        <v>0</v>
      </c>
      <c r="I389" s="858">
        <v>0</v>
      </c>
      <c r="J389" s="858">
        <v>1400</v>
      </c>
      <c r="K389" s="858">
        <v>200000</v>
      </c>
      <c r="L389" s="858" t="str">
        <f>'Laminates- copilot'!K133</f>
        <v>Not Printed</v>
      </c>
      <c r="M389" s="858" t="str">
        <f>'Laminates- copilot'!L133</f>
        <v>0</v>
      </c>
      <c r="N389" s="858">
        <f>'Laminates- copilot'!M133</f>
        <v>1</v>
      </c>
      <c r="O389" s="858" t="str">
        <f>'Laminates- copilot'!O133</f>
        <v>Bastin</v>
      </c>
      <c r="P389" s="858" t="str">
        <f>'Laminates- copilot'!N133</f>
        <v>Europe to US</v>
      </c>
      <c r="Q389" s="858">
        <f t="shared" si="80"/>
        <v>60000</v>
      </c>
      <c r="R389" s="858">
        <f t="shared" si="81"/>
        <v>60000</v>
      </c>
      <c r="S389" s="858">
        <f>IFERROR('Laminates- copilot'!Q133/'Laminates- copilot'!P133*Q389,"")</f>
        <v>1573.95</v>
      </c>
      <c r="T389" s="203">
        <f>IFERROR('Laminates- copilot'!R133/'Laminates- copilot'!P133*Q389,"")</f>
        <v>27394.025299458281</v>
      </c>
      <c r="U389" s="912">
        <f>IFERROR('Laminates- copilot'!S133/'Laminates- copilot'!P133*Q389,"")</f>
        <v>31777.069347371602</v>
      </c>
      <c r="V389" s="913">
        <f t="shared" si="82"/>
        <v>17.404635026181442</v>
      </c>
      <c r="W389" s="914">
        <f t="shared" si="83"/>
        <v>20.189376630370472</v>
      </c>
      <c r="X389" s="913">
        <f t="shared" si="84"/>
        <v>0.4565670883243047</v>
      </c>
      <c r="Y389" s="913">
        <f t="shared" si="85"/>
        <v>17.404635026181442</v>
      </c>
      <c r="Z389" s="95">
        <f t="shared" si="86"/>
        <v>63535</v>
      </c>
      <c r="AA389" s="50" t="str">
        <f t="shared" si="87"/>
        <v>MOQ OK</v>
      </c>
      <c r="AB389" s="923">
        <f t="shared" si="88"/>
        <v>0.14075198735841066</v>
      </c>
      <c r="AC389" s="924">
        <f t="shared" si="89"/>
        <v>0.16327230533575635</v>
      </c>
      <c r="AD389" s="203">
        <f t="shared" si="90"/>
        <v>28150.397471682132</v>
      </c>
      <c r="AE389" s="912">
        <f t="shared" si="91"/>
        <v>32654.461067151271</v>
      </c>
      <c r="AF389" s="923" cm="1">
        <f t="array" ref="AF389">IF(O389="Quantum",IFERROR(_xlfn.LET(_xlpm.b,_xlfn.SWITCH(LOWER(B389),"zipper bag","Zipper pouch","open bag","Open pouch","sup with zipper","Stand-up pouch","stand-up pouch","Stand-up pouch",B389),_xlpm.w,G389,_xlpm.q,K389,_xlpm.types,'Converting-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missing"),IFERROR(_xlfn.LET(_xlpm.s,O389,_xlpm.b,_xlfn.SWITCH(LOWER(B389),"zipper bag","Zipper pouch","open bag","Open pouch",B389),_xlpm.w,G389,_xlpm.q,K389,_xlpm.src,'Converting-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389" s="923">
        <f>IFERROR(IF(OR(B389="Zipper pouch",B389="SUP with zipper"),HELPER!$DE$2*(AH389+AI389)/K389,HELPER!$DE$2*AH389/K389),"Data is missing")</f>
        <v>1.3697012649729141E-3</v>
      </c>
      <c r="AH389" s="923">
        <f t="shared" si="92"/>
        <v>0.4565670883243047</v>
      </c>
      <c r="AI389" s="923" t="str">
        <f>IF(OR(B389="Zipper pouch",B389="SUP with zipper"),HELPER!$DC$2*G389/1000,"")</f>
        <v/>
      </c>
      <c r="AJ389" s="923" cm="1">
        <f t="array" ref="AJ389">IF(INDEX('Laminates- copilot'!$E$6:$E$257,ROUNDUP((ROW()-5)/3,0))+50&gt;IF(O389="Quantum",760,1220),"Width exceeds supplier maximum",IFERROR(AF389+AG389+N(AI389)+AH389*G389/1000/MAX(1,MIN(MAX(2,INT(900/INDEX('Laminates- copilot'!$E$6:$E$257,ROUNDUP((ROW()-5)/3,0)))),INT((IF(O389="Quantum",760,1220)-50)/INDEX('Laminates- copilot'!$E$6:$E$257,ROUNDUP((ROW()-5)/3,0))))),"Data is missing"))</f>
        <v>0.10556399051880799</v>
      </c>
      <c r="AK389" s="203">
        <f t="shared" si="93"/>
        <v>140.75198735841064</v>
      </c>
      <c r="AL389" t="str">
        <f t="shared" si="94"/>
        <v>PASS</v>
      </c>
      <c r="AM389" s="50" t="str">
        <f t="shared" si="95"/>
        <v/>
      </c>
    </row>
    <row r="390" spans="1:39" hidden="1">
      <c r="A390" t="s">
        <v>2018</v>
      </c>
      <c r="B390" t="s">
        <v>251</v>
      </c>
      <c r="C390" s="50" t="s">
        <v>1626</v>
      </c>
      <c r="D390" t="str">
        <f>'Laminates- copilot'!B134</f>
        <v>821M</v>
      </c>
      <c r="E390" s="858">
        <f>'Laminates- copilot'!D134</f>
        <v>79</v>
      </c>
      <c r="F390" s="858">
        <v>250</v>
      </c>
      <c r="G390" s="858">
        <v>400</v>
      </c>
      <c r="H390" s="858">
        <v>50</v>
      </c>
      <c r="I390" s="858">
        <v>0</v>
      </c>
      <c r="J390" s="858">
        <v>600</v>
      </c>
      <c r="K390" s="858">
        <v>1000000</v>
      </c>
      <c r="L390" s="858" t="str">
        <f>'Laminates- copilot'!K134</f>
        <v>Printed</v>
      </c>
      <c r="M390" s="858" t="str">
        <f>'Laminates- copilot'!L134</f>
        <v>3-4</v>
      </c>
      <c r="N390" s="858">
        <f>'Laminates- copilot'!M134</f>
        <v>4</v>
      </c>
      <c r="O390" s="858" t="str">
        <f>'Laminates- copilot'!O134</f>
        <v>Marma</v>
      </c>
      <c r="P390" s="858" t="str">
        <f>'Laminates- copilot'!N134</f>
        <v>Europe to Europe</v>
      </c>
      <c r="Q390" s="858">
        <f t="shared" ref="Q390:Q453" si="96">K390*G390/1000</f>
        <v>400000</v>
      </c>
      <c r="R390" s="858">
        <f t="shared" ref="R390:R453" si="97">Q390</f>
        <v>400000</v>
      </c>
      <c r="S390" s="858">
        <f>IFERROR('Laminates- copilot'!Q134/'Laminates- copilot'!P134*Q390,"")</f>
        <v>25183.200000000001</v>
      </c>
      <c r="T390" s="203">
        <f>IFERROR('Laminates- copilot'!R134/'Laminates- copilot'!P134*Q390,"")</f>
        <v>491463.64414999989</v>
      </c>
      <c r="U390" s="912">
        <f>IFERROR('Laminates- copilot'!S134/'Laminates- copilot'!P134*Q390,"")</f>
        <v>570097.82721399982</v>
      </c>
      <c r="V390" s="913">
        <f t="shared" ref="V390:V453" si="98">IFERROR(T390/S390,"")</f>
        <v>19.515535918787123</v>
      </c>
      <c r="W390" s="914">
        <f t="shared" ref="W390:W453" si="99">IFERROR(U390/S390,"")</f>
        <v>22.638021665793062</v>
      </c>
      <c r="X390" s="913">
        <f t="shared" ref="X390:X453" si="100">IFERROR(T390/Q390,"")</f>
        <v>1.2286591103749998</v>
      </c>
      <c r="Y390" s="913">
        <f t="shared" ref="Y390:Y453" si="101">V390</f>
        <v>19.515535918787123</v>
      </c>
      <c r="Z390" s="95">
        <f t="shared" ref="Z390:Z453" si="102">IFERROR(ROUNDUP((500*Q390/S390)*1000/G390,0),"")</f>
        <v>19855</v>
      </c>
      <c r="AA390" s="50" t="str">
        <f t="shared" ref="AA390:AA453" si="103">IF(OR(K390="",Z390=""),"MOQ data missing",IF(K390&gt;=Z390,"MOQ OK","Below MOQ by "&amp;TEXT(Z390-K390,"#,##0")&amp;" bags"))</f>
        <v>MOQ OK</v>
      </c>
      <c r="AB390" s="923">
        <f t="shared" ref="AB390:AB453" si="104">IFERROR(AJ390/(1-25%),"Data is missing")</f>
        <v>0.83124119573595456</v>
      </c>
      <c r="AC390" s="924">
        <f t="shared" ref="AC390:AC453" si="105">IFERROR(AB390*1.16,"Data is missing")</f>
        <v>0.96423978705370728</v>
      </c>
      <c r="AD390" s="203">
        <f t="shared" ref="AD390:AD453" si="106">IFERROR(AB390*K390,"Data is missing")</f>
        <v>831241.19573595456</v>
      </c>
      <c r="AE390" s="912">
        <f t="shared" ref="AE390:AE453" si="107">IFERROR(AD390*1.16,"Data is missing")</f>
        <v>964239.78705370717</v>
      </c>
      <c r="AF390" s="923" cm="1">
        <f t="array" ref="AF390">IF(O390="Quantum",IFERROR(_xlfn.LET(_xlpm.b,_xlfn.SWITCH(LOWER(B390),"zipper bag","Zipper pouch","open bag","Open pouch","sup with zipper","Stand-up pouch","stand-up pouch","Stand-up pouch",B390),_xlpm.w,G390,_xlpm.q,K390,_xlpm.types,'Converting-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missing"),IFERROR(_xlfn.LET(_xlpm.s,O390,_xlpm.b,_xlfn.SWITCH(LOWER(B390),"zipper bag","Zipper pouch","open bag","Open pouch",B390),_xlpm.w,G390,_xlpm.q,K390,_xlpm.src,'Converting-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90" s="923">
        <f>IFERROR(IF(OR(B390="Zipper pouch",B390="SUP with zipper"),HELPER!$DE$2*(AH390+AI390)/K390,HELPER!$DE$2*AH390/K390),"Data is missing")</f>
        <v>7.7175546622499996E-4</v>
      </c>
      <c r="AH390" s="923">
        <f t="shared" ref="AH390:AH453" si="108">X390</f>
        <v>1.2286591103749998</v>
      </c>
      <c r="AI390" s="923">
        <f>IF(OR(B390="Zipper pouch",B390="SUP with zipper"),HELPER!$DC$2*G390/1000,"")</f>
        <v>5.7599999999999991E-2</v>
      </c>
      <c r="AJ390" s="923" cm="1">
        <f t="array" ref="AJ390">IF(INDEX('Laminates- copilot'!$E$6:$E$257,ROUNDUP((ROW()-5)/3,0))+50&gt;IF(O390="Quantum",760,1220),"Width exceeds supplier maximum",IFERROR(AF390+AG390+N(AI390)+AH390*G390/1000/MAX(1,MIN(MAX(2,INT(900/INDEX('Laminates- copilot'!$E$6:$E$257,ROUNDUP((ROW()-5)/3,0)))),INT((IF(O390="Quantum",760,1220)-50)/INDEX('Laminates- copilot'!$E$6:$E$257,ROUNDUP((ROW()-5)/3,0))))),"Data is missing"))</f>
        <v>0.62343089680196595</v>
      </c>
      <c r="AK390" s="203">
        <f t="shared" ref="AK390:AK453" si="109">IFERROR(AB390*1000,"Data is missing")</f>
        <v>831.24119573595453</v>
      </c>
      <c r="AL390" t="str">
        <f t="shared" ref="AL390:AL453" si="110">IF(AND(ISNUMBER(AB390),ISNUMBER(AD390),K390&gt;0,ISNUMBER(AJ390),AM390=""),IF(AND(ABS(AD390-AB390*K390)&lt;0.05,ABS(AB390-AJ390/(1-25%))&lt;0.0001),"PASS","CHECK"),"CHECK")</f>
        <v>PASS</v>
      </c>
      <c r="AM390" s="50" t="str">
        <f t="shared" ref="AM390:AM453" si="111">_xlfn.TEXTJOIN("; ",TRUE,IF(OR(AF390="Data is missing",AG390="Data is missing",AJ390="Data is missing"),"Missing conversion data",""),IF(NOT(ISNUMBER(S390)),"Missing laminate weight",""),IF(NOT(ISNUMBER(T390)),"Missing laminate cost",""))</f>
        <v/>
      </c>
    </row>
    <row r="391" spans="1:39" hidden="1">
      <c r="A391" t="s">
        <v>2019</v>
      </c>
      <c r="B391" t="s">
        <v>261</v>
      </c>
      <c r="C391" s="50" t="s">
        <v>1626</v>
      </c>
      <c r="D391" t="str">
        <f>'Laminates- copilot'!B134</f>
        <v>821M</v>
      </c>
      <c r="E391" s="858">
        <f>'Laminates- copilot'!D134</f>
        <v>79</v>
      </c>
      <c r="F391" s="858">
        <v>250</v>
      </c>
      <c r="G391" s="858">
        <v>400</v>
      </c>
      <c r="H391" s="858">
        <v>50</v>
      </c>
      <c r="I391" s="858">
        <v>0</v>
      </c>
      <c r="J391" s="858">
        <v>600</v>
      </c>
      <c r="K391" s="858">
        <v>1000000</v>
      </c>
      <c r="L391" s="858" t="str">
        <f>'Laminates- copilot'!K134</f>
        <v>Printed</v>
      </c>
      <c r="M391" s="858" t="str">
        <f>'Laminates- copilot'!L134</f>
        <v>3-4</v>
      </c>
      <c r="N391" s="858">
        <f>'Laminates- copilot'!M134</f>
        <v>4</v>
      </c>
      <c r="O391" s="858" t="str">
        <f>'Laminates- copilot'!O134</f>
        <v>Marma</v>
      </c>
      <c r="P391" s="858" t="str">
        <f>'Laminates- copilot'!N134</f>
        <v>Europe to Europe</v>
      </c>
      <c r="Q391" s="858">
        <f t="shared" si="96"/>
        <v>400000</v>
      </c>
      <c r="R391" s="858">
        <f t="shared" si="97"/>
        <v>400000</v>
      </c>
      <c r="S391" s="858">
        <f>IFERROR('Laminates- copilot'!Q134/'Laminates- copilot'!P134*Q391,"")</f>
        <v>25183.200000000001</v>
      </c>
      <c r="T391" s="203">
        <f>IFERROR('Laminates- copilot'!R134/'Laminates- copilot'!P134*Q391,"")</f>
        <v>491463.64414999989</v>
      </c>
      <c r="U391" s="912">
        <f>IFERROR('Laminates- copilot'!S134/'Laminates- copilot'!P134*Q391,"")</f>
        <v>570097.82721399982</v>
      </c>
      <c r="V391" s="913">
        <f t="shared" si="98"/>
        <v>19.515535918787123</v>
      </c>
      <c r="W391" s="914">
        <f t="shared" si="99"/>
        <v>22.638021665793062</v>
      </c>
      <c r="X391" s="913">
        <f t="shared" si="100"/>
        <v>1.2286591103749998</v>
      </c>
      <c r="Y391" s="913">
        <f t="shared" si="101"/>
        <v>19.515535918787123</v>
      </c>
      <c r="Z391" s="95">
        <f t="shared" si="102"/>
        <v>19855</v>
      </c>
      <c r="AA391" s="50" t="str">
        <f t="shared" si="103"/>
        <v>MOQ OK</v>
      </c>
      <c r="AB391" s="923">
        <f t="shared" si="104"/>
        <v>0.82360005638749811</v>
      </c>
      <c r="AC391" s="924">
        <f t="shared" si="105"/>
        <v>0.95537606540949771</v>
      </c>
      <c r="AD391" s="203">
        <f t="shared" si="106"/>
        <v>823600.05638749816</v>
      </c>
      <c r="AE391" s="912">
        <f t="shared" si="107"/>
        <v>955376.06540949782</v>
      </c>
      <c r="AF391" s="923" cm="1">
        <f t="array" ref="AF391">IF(O391="Quantum",IFERROR(_xlfn.LET(_xlpm.b,_xlfn.SWITCH(LOWER(B391),"zipper bag","Zipper pouch","open bag","Open pouch","sup with zipper","Stand-up pouch","stand-up pouch","Stand-up pouch",B391),_xlpm.w,G391,_xlpm.q,K391,_xlpm.types,'Converting-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missing"),IFERROR(_xlfn.LET(_xlpm.s,O391,_xlpm.b,_xlfn.SWITCH(LOWER(B391),"zipper bag","Zipper pouch","open bag","Open pouch",B391),_xlpm.w,G391,_xlpm.q,K391,_xlpm.src,'Converting-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91" s="923">
        <f>IFERROR(IF(OR(B391="Zipper pouch",B391="SUP with zipper"),HELPER!$DE$2*(AH391+AI391)/K391,HELPER!$DE$2*AH391/K391),"Data is missing")</f>
        <v>7.7175546622499996E-4</v>
      </c>
      <c r="AH391" s="923">
        <f t="shared" si="108"/>
        <v>1.2286591103749998</v>
      </c>
      <c r="AI391" s="923">
        <f>IF(OR(B391="Zipper pouch",B391="SUP with zipper"),HELPER!$DC$2*G391/1000,"")</f>
        <v>5.7599999999999991E-2</v>
      </c>
      <c r="AJ391" s="923" cm="1">
        <f t="array" ref="AJ391">IF(INDEX('Laminates- copilot'!$E$6:$E$257,ROUNDUP((ROW()-5)/3,0))+50&gt;IF(O391="Quantum",760,1220),"Width exceeds supplier maximum",IFERROR(AF391+AG391+N(AI391)+AH391*G391/1000/MAX(1,MIN(MAX(2,INT(900/INDEX('Laminates- copilot'!$E$6:$E$257,ROUNDUP((ROW()-5)/3,0)))),INT((IF(O391="Quantum",760,1220)-50)/INDEX('Laminates- copilot'!$E$6:$E$257,ROUNDUP((ROW()-5)/3,0))))),"Data is missing"))</f>
        <v>0.61770004229062359</v>
      </c>
      <c r="AK391" s="203">
        <f t="shared" si="109"/>
        <v>823.60005638749817</v>
      </c>
      <c r="AL391" t="str">
        <f t="shared" si="110"/>
        <v>PASS</v>
      </c>
      <c r="AM391" s="50" t="str">
        <f t="shared" si="111"/>
        <v/>
      </c>
    </row>
    <row r="392" spans="1:39" hidden="1">
      <c r="A392" t="s">
        <v>2020</v>
      </c>
      <c r="B392" t="s">
        <v>262</v>
      </c>
      <c r="C392" s="50" t="s">
        <v>1626</v>
      </c>
      <c r="D392" t="str">
        <f>'Laminates- copilot'!B134</f>
        <v>821M</v>
      </c>
      <c r="E392" s="858">
        <f>'Laminates- copilot'!D134</f>
        <v>79</v>
      </c>
      <c r="F392" s="858">
        <v>250</v>
      </c>
      <c r="G392" s="858">
        <v>400</v>
      </c>
      <c r="H392" s="858">
        <v>0</v>
      </c>
      <c r="I392" s="858">
        <v>15</v>
      </c>
      <c r="J392" s="858">
        <v>515</v>
      </c>
      <c r="K392" s="858">
        <v>1000000</v>
      </c>
      <c r="L392" s="858" t="str">
        <f>'Laminates- copilot'!K134</f>
        <v>Printed</v>
      </c>
      <c r="M392" s="858" t="str">
        <f>'Laminates- copilot'!L134</f>
        <v>3-4</v>
      </c>
      <c r="N392" s="858">
        <f>'Laminates- copilot'!M134</f>
        <v>4</v>
      </c>
      <c r="O392" s="858" t="str">
        <f>'Laminates- copilot'!O134</f>
        <v>Marma</v>
      </c>
      <c r="P392" s="858" t="str">
        <f>'Laminates- copilot'!N134</f>
        <v>Europe to Europe</v>
      </c>
      <c r="Q392" s="858">
        <f t="shared" si="96"/>
        <v>400000</v>
      </c>
      <c r="R392" s="858">
        <f t="shared" si="97"/>
        <v>400000</v>
      </c>
      <c r="S392" s="858">
        <f>IFERROR('Laminates- copilot'!Q134/'Laminates- copilot'!P134*Q392,"")</f>
        <v>25183.200000000001</v>
      </c>
      <c r="T392" s="203">
        <f>IFERROR('Laminates- copilot'!R134/'Laminates- copilot'!P134*Q392,"")</f>
        <v>491463.64414999989</v>
      </c>
      <c r="U392" s="912">
        <f>IFERROR('Laminates- copilot'!S134/'Laminates- copilot'!P134*Q392,"")</f>
        <v>570097.82721399982</v>
      </c>
      <c r="V392" s="913">
        <f t="shared" si="98"/>
        <v>19.515535918787123</v>
      </c>
      <c r="W392" s="914">
        <f t="shared" si="99"/>
        <v>22.638021665793062</v>
      </c>
      <c r="X392" s="913">
        <f t="shared" si="100"/>
        <v>1.2286591103749998</v>
      </c>
      <c r="Y392" s="913">
        <f t="shared" si="101"/>
        <v>19.515535918787123</v>
      </c>
      <c r="Z392" s="95">
        <f t="shared" si="102"/>
        <v>19855</v>
      </c>
      <c r="AA392" s="50" t="str">
        <f t="shared" si="103"/>
        <v>MOQ OK</v>
      </c>
      <c r="AB392" s="923">
        <f t="shared" si="104"/>
        <v>0.73665551608948132</v>
      </c>
      <c r="AC392" s="924">
        <f t="shared" si="105"/>
        <v>0.85452039866379825</v>
      </c>
      <c r="AD392" s="203">
        <f t="shared" si="106"/>
        <v>736655.5160894813</v>
      </c>
      <c r="AE392" s="912">
        <f t="shared" si="107"/>
        <v>854520.39866379823</v>
      </c>
      <c r="AF392" s="923" cm="1">
        <f t="array" ref="AF392">IF(O392="Quantum",IFERROR(_xlfn.LET(_xlpm.b,_xlfn.SWITCH(LOWER(B392),"zipper bag","Zipper pouch","open bag","Open pouch","sup with zipper","Stand-up pouch","stand-up pouch","Stand-up pouch",B392),_xlpm.w,G392,_xlpm.q,K392,_xlpm.types,'Converting-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missing"),IFERROR(_xlfn.LET(_xlpm.s,O392,_xlpm.b,_xlfn.SWITCH(LOWER(B392),"zipper bag","Zipper pouch","open bag","Open pouch",B392),_xlpm.w,G392,_xlpm.q,K392,_xlpm.src,'Converting-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92" s="923">
        <f>IFERROR(IF(OR(B392="Zipper pouch",B392="SUP with zipper"),HELPER!$DE$2*(AH392+AI392)/K392,HELPER!$DE$2*AH392/K392),"Data is missing")</f>
        <v>7.3719546622499986E-4</v>
      </c>
      <c r="AH392" s="923">
        <f t="shared" si="108"/>
        <v>1.2286591103749998</v>
      </c>
      <c r="AI392" s="923" t="str">
        <f>IF(OR(B392="Zipper pouch",B392="SUP with zipper"),HELPER!$DC$2*G392/1000,"")</f>
        <v/>
      </c>
      <c r="AJ392" s="923" cm="1">
        <f t="array" ref="AJ392">IF(INDEX('Laminates- copilot'!$E$6:$E$257,ROUNDUP((ROW()-5)/3,0))+50&gt;IF(O392="Quantum",760,1220),"Width exceeds supplier maximum",IFERROR(AF392+AG392+N(AI392)+AH392*G392/1000/MAX(1,MIN(MAX(2,INT(900/INDEX('Laminates- copilot'!$E$6:$E$257,ROUNDUP((ROW()-5)/3,0)))),INT((IF(O392="Quantum",760,1220)-50)/INDEX('Laminates- copilot'!$E$6:$E$257,ROUNDUP((ROW()-5)/3,0))))),"Data is missing"))</f>
        <v>0.55249163706711102</v>
      </c>
      <c r="AK392" s="203">
        <f t="shared" si="109"/>
        <v>736.65551608948135</v>
      </c>
      <c r="AL392" t="str">
        <f t="shared" si="110"/>
        <v>PASS</v>
      </c>
      <c r="AM392" s="50" t="str">
        <f t="shared" si="111"/>
        <v/>
      </c>
    </row>
    <row r="393" spans="1:39" hidden="1">
      <c r="A393" t="s">
        <v>2021</v>
      </c>
      <c r="B393" t="s">
        <v>251</v>
      </c>
      <c r="C393" s="50" t="s">
        <v>1627</v>
      </c>
      <c r="D393" t="str">
        <f>'Laminates- copilot'!B135</f>
        <v>821M</v>
      </c>
      <c r="E393" s="858">
        <f>'Laminates- copilot'!D135</f>
        <v>79</v>
      </c>
      <c r="F393" s="858">
        <v>350</v>
      </c>
      <c r="G393" s="858">
        <v>500</v>
      </c>
      <c r="H393" s="858">
        <v>100</v>
      </c>
      <c r="I393" s="858">
        <v>0</v>
      </c>
      <c r="J393" s="858">
        <v>900</v>
      </c>
      <c r="K393" s="858">
        <v>1600000</v>
      </c>
      <c r="L393" s="858" t="str">
        <f>'Laminates- copilot'!K135</f>
        <v>Printed</v>
      </c>
      <c r="M393" s="858" t="str">
        <f>'Laminates- copilot'!L135</f>
        <v>1-2</v>
      </c>
      <c r="N393" s="858">
        <f>'Laminates- copilot'!M135</f>
        <v>2</v>
      </c>
      <c r="O393" s="858" t="str">
        <f>'Laminates- copilot'!O135</f>
        <v>Quantum</v>
      </c>
      <c r="P393" s="858" t="str">
        <f>'Laminates- copilot'!N135</f>
        <v>Europe to Europe</v>
      </c>
      <c r="Q393" s="858">
        <f t="shared" si="96"/>
        <v>800000</v>
      </c>
      <c r="R393" s="858">
        <f t="shared" si="97"/>
        <v>800000</v>
      </c>
      <c r="S393" s="858">
        <f>IFERROR('Laminates- copilot'!Q135/'Laminates- copilot'!P135*Q393,"")</f>
        <v>37774.800000000003</v>
      </c>
      <c r="T393" s="203">
        <f>IFERROR('Laminates- copilot'!R135/'Laminates- copilot'!P135*Q393,"")</f>
        <v>1166337.834747632</v>
      </c>
      <c r="U393" s="912">
        <f>IFERROR('Laminates- copilot'!S135/'Laminates- copilot'!P135*Q393,"")</f>
        <v>1352951.8883072531</v>
      </c>
      <c r="V393" s="913">
        <f t="shared" si="98"/>
        <v>30.876082328632631</v>
      </c>
      <c r="W393" s="914">
        <f t="shared" si="99"/>
        <v>35.816255501213853</v>
      </c>
      <c r="X393" s="913">
        <f t="shared" si="100"/>
        <v>1.4579222934345399</v>
      </c>
      <c r="Y393" s="913">
        <f t="shared" si="101"/>
        <v>30.876082328632631</v>
      </c>
      <c r="Z393" s="95">
        <f t="shared" si="102"/>
        <v>21179</v>
      </c>
      <c r="AA393" s="50" t="str">
        <f t="shared" si="103"/>
        <v>MOQ OK</v>
      </c>
      <c r="AB393" s="923">
        <f t="shared" si="104"/>
        <v>1.4241637031015164</v>
      </c>
      <c r="AC393" s="924">
        <f t="shared" si="105"/>
        <v>1.6520298955977588</v>
      </c>
      <c r="AD393" s="203">
        <f t="shared" si="106"/>
        <v>2278661.9249624261</v>
      </c>
      <c r="AE393" s="912">
        <f t="shared" si="107"/>
        <v>2643247.8329564142</v>
      </c>
      <c r="AF393" s="923" cm="1">
        <f t="array" ref="AF393">IF(O393="Quantum",IFERROR(_xlfn.LET(_xlpm.b,_xlfn.SWITCH(LOWER(B393),"zipper bag","Zipper pouch","open bag","Open pouch","sup with zipper","Stand-up pouch","stand-up pouch","Stand-up pouch",B393),_xlpm.w,G393,_xlpm.q,K393,_xlpm.types,'Converting-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missing"),IFERROR(_xlfn.LET(_xlpm.s,O393,_xlpm.b,_xlfn.SWITCH(LOWER(B393),"zipper bag","Zipper pouch","open bag","Open pouch",B393),_xlpm.w,G393,_xlpm.q,K393,_xlpm.src,'Converting-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393" s="923">
        <f>IFERROR(IF(OR(B393="Zipper pouch",B393="SUP with zipper"),HELPER!$DE$2*(AH393+AI393)/K393,HELPER!$DE$2*AH393/K393),"Data is missing")</f>
        <v>5.7372086003795253E-4</v>
      </c>
      <c r="AH393" s="923">
        <f t="shared" si="108"/>
        <v>1.4579222934345399</v>
      </c>
      <c r="AI393" s="923">
        <f>IF(OR(B393="Zipper pouch",B393="SUP with zipper"),HELPER!$DC$2*G393/1000,"")</f>
        <v>7.1999999999999995E-2</v>
      </c>
      <c r="AJ393" s="923" cm="1">
        <f t="array" ref="AJ393">IF(INDEX('Laminates- copilot'!$E$6:$E$257,ROUNDUP((ROW()-5)/3,0))+50&gt;IF(O393="Quantum",760,1220),"Width exceeds supplier maximum",IFERROR(AF393+AG393+N(AI393)+AH393*G393/1000/MAX(1,MIN(MAX(2,INT(900/INDEX('Laminates- copilot'!$E$6:$E$257,ROUNDUP((ROW()-5)/3,0)))),INT((IF(O393="Quantum",760,1220)-50)/INDEX('Laminates- copilot'!$E$6:$E$257,ROUNDUP((ROW()-5)/3,0))))),"Data is missing"))</f>
        <v>1.0681227773261373</v>
      </c>
      <c r="AK393" s="203">
        <f t="shared" si="109"/>
        <v>1424.1637031015164</v>
      </c>
      <c r="AL393" t="str">
        <f t="shared" si="110"/>
        <v>PASS</v>
      </c>
      <c r="AM393" s="50" t="str">
        <f t="shared" si="111"/>
        <v/>
      </c>
    </row>
    <row r="394" spans="1:39" hidden="1">
      <c r="A394" t="s">
        <v>2022</v>
      </c>
      <c r="B394" t="s">
        <v>261</v>
      </c>
      <c r="C394" s="50" t="s">
        <v>1627</v>
      </c>
      <c r="D394" t="str">
        <f>'Laminates- copilot'!B135</f>
        <v>821M</v>
      </c>
      <c r="E394" s="858">
        <f>'Laminates- copilot'!D135</f>
        <v>79</v>
      </c>
      <c r="F394" s="858">
        <v>350</v>
      </c>
      <c r="G394" s="858">
        <v>500</v>
      </c>
      <c r="H394" s="858">
        <v>100</v>
      </c>
      <c r="I394" s="858">
        <v>0</v>
      </c>
      <c r="J394" s="858">
        <v>900</v>
      </c>
      <c r="K394" s="858">
        <v>1600000</v>
      </c>
      <c r="L394" s="858" t="str">
        <f>'Laminates- copilot'!K135</f>
        <v>Printed</v>
      </c>
      <c r="M394" s="858" t="str">
        <f>'Laminates- copilot'!L135</f>
        <v>1-2</v>
      </c>
      <c r="N394" s="858">
        <f>'Laminates- copilot'!M135</f>
        <v>2</v>
      </c>
      <c r="O394" s="858" t="str">
        <f>'Laminates- copilot'!O135</f>
        <v>Quantum</v>
      </c>
      <c r="P394" s="858" t="str">
        <f>'Laminates- copilot'!N135</f>
        <v>Europe to Europe</v>
      </c>
      <c r="Q394" s="858">
        <f t="shared" si="96"/>
        <v>800000</v>
      </c>
      <c r="R394" s="858">
        <f t="shared" si="97"/>
        <v>800000</v>
      </c>
      <c r="S394" s="858">
        <f>IFERROR('Laminates- copilot'!Q135/'Laminates- copilot'!P135*Q394,"")</f>
        <v>37774.800000000003</v>
      </c>
      <c r="T394" s="203">
        <f>IFERROR('Laminates- copilot'!R135/'Laminates- copilot'!P135*Q394,"")</f>
        <v>1166337.834747632</v>
      </c>
      <c r="U394" s="912">
        <f>IFERROR('Laminates- copilot'!S135/'Laminates- copilot'!P135*Q394,"")</f>
        <v>1352951.8883072531</v>
      </c>
      <c r="V394" s="913">
        <f t="shared" si="98"/>
        <v>30.876082328632631</v>
      </c>
      <c r="W394" s="914">
        <f t="shared" si="99"/>
        <v>35.816255501213853</v>
      </c>
      <c r="X394" s="913">
        <f t="shared" si="100"/>
        <v>1.4579222934345399</v>
      </c>
      <c r="Y394" s="913">
        <f t="shared" si="101"/>
        <v>30.876082328632631</v>
      </c>
      <c r="Z394" s="95">
        <f t="shared" si="102"/>
        <v>21179</v>
      </c>
      <c r="AA394" s="50" t="str">
        <f t="shared" si="103"/>
        <v>MOQ OK</v>
      </c>
      <c r="AB394" s="923">
        <f t="shared" si="104"/>
        <v>1.3847458263060322</v>
      </c>
      <c r="AC394" s="924">
        <f t="shared" si="105"/>
        <v>1.6063051585149972</v>
      </c>
      <c r="AD394" s="203">
        <f t="shared" si="106"/>
        <v>2215593.3220896516</v>
      </c>
      <c r="AE394" s="912">
        <f t="shared" si="107"/>
        <v>2570088.2536239955</v>
      </c>
      <c r="AF394" s="923" cm="1">
        <f t="array" ref="AF394">IF(O394="Quantum",IFERROR(_xlfn.LET(_xlpm.b,_xlfn.SWITCH(LOWER(B394),"zipper bag","Zipper pouch","open bag","Open pouch","sup with zipper","Stand-up pouch","stand-up pouch","Stand-up pouch",B394),_xlpm.w,G394,_xlpm.q,K394,_xlpm.types,'Converting-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missing"),IFERROR(_xlfn.LET(_xlpm.s,O394,_xlpm.b,_xlfn.SWITCH(LOWER(B394),"zipper bag","Zipper pouch","open bag","Open pouch",B394),_xlpm.w,G394,_xlpm.q,K394,_xlpm.src,'Converting-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394" s="923">
        <f>IFERROR(IF(OR(B394="Zipper pouch",B394="SUP with zipper"),HELPER!$DE$2*(AH394+AI394)/K394,HELPER!$DE$2*AH394/K394),"Data is missing")</f>
        <v>5.7372086003795253E-4</v>
      </c>
      <c r="AH394" s="923">
        <f t="shared" si="108"/>
        <v>1.4579222934345399</v>
      </c>
      <c r="AI394" s="923">
        <f>IF(OR(B394="Zipper pouch",B394="SUP with zipper"),HELPER!$DC$2*G394/1000,"")</f>
        <v>7.1999999999999995E-2</v>
      </c>
      <c r="AJ394" s="923" cm="1">
        <f t="array" ref="AJ394">IF(INDEX('Laminates- copilot'!$E$6:$E$257,ROUNDUP((ROW()-5)/3,0))+50&gt;IF(O394="Quantum",760,1220),"Width exceeds supplier maximum",IFERROR(AF394+AG394+N(AI394)+AH394*G394/1000/MAX(1,MIN(MAX(2,INT(900/INDEX('Laminates- copilot'!$E$6:$E$257,ROUNDUP((ROW()-5)/3,0)))),INT((IF(O394="Quantum",760,1220)-50)/INDEX('Laminates- copilot'!$E$6:$E$257,ROUNDUP((ROW()-5)/3,0))))),"Data is missing"))</f>
        <v>1.0385593697295241</v>
      </c>
      <c r="AK394" s="203">
        <f t="shared" si="109"/>
        <v>1384.7458263060321</v>
      </c>
      <c r="AL394" t="str">
        <f t="shared" si="110"/>
        <v>PASS</v>
      </c>
      <c r="AM394" s="50" t="str">
        <f t="shared" si="111"/>
        <v/>
      </c>
    </row>
    <row r="395" spans="1:39" hidden="1">
      <c r="A395" t="s">
        <v>2023</v>
      </c>
      <c r="B395" t="s">
        <v>262</v>
      </c>
      <c r="C395" s="50" t="s">
        <v>1627</v>
      </c>
      <c r="D395" t="str">
        <f>'Laminates- copilot'!B135</f>
        <v>821M</v>
      </c>
      <c r="E395" s="858">
        <f>'Laminates- copilot'!D135</f>
        <v>79</v>
      </c>
      <c r="F395" s="858">
        <v>350</v>
      </c>
      <c r="G395" s="858">
        <v>500</v>
      </c>
      <c r="H395" s="858">
        <v>0</v>
      </c>
      <c r="I395" s="858">
        <v>25</v>
      </c>
      <c r="J395" s="858">
        <v>725</v>
      </c>
      <c r="K395" s="858">
        <v>1600000</v>
      </c>
      <c r="L395" s="858" t="str">
        <f>'Laminates- copilot'!K135</f>
        <v>Printed</v>
      </c>
      <c r="M395" s="858" t="str">
        <f>'Laminates- copilot'!L135</f>
        <v>1-2</v>
      </c>
      <c r="N395" s="858">
        <f>'Laminates- copilot'!M135</f>
        <v>2</v>
      </c>
      <c r="O395" s="858" t="str">
        <f>'Laminates- copilot'!O135</f>
        <v>Quantum</v>
      </c>
      <c r="P395" s="858" t="str">
        <f>'Laminates- copilot'!N135</f>
        <v>Europe to Europe</v>
      </c>
      <c r="Q395" s="858">
        <f t="shared" si="96"/>
        <v>800000</v>
      </c>
      <c r="R395" s="858">
        <f t="shared" si="97"/>
        <v>800000</v>
      </c>
      <c r="S395" s="858">
        <f>IFERROR('Laminates- copilot'!Q135/'Laminates- copilot'!P135*Q395,"")</f>
        <v>37774.800000000003</v>
      </c>
      <c r="T395" s="203">
        <f>IFERROR('Laminates- copilot'!R135/'Laminates- copilot'!P135*Q395,"")</f>
        <v>1166337.834747632</v>
      </c>
      <c r="U395" s="912">
        <f>IFERROR('Laminates- copilot'!S135/'Laminates- copilot'!P135*Q395,"")</f>
        <v>1352951.8883072531</v>
      </c>
      <c r="V395" s="913">
        <f t="shared" si="98"/>
        <v>30.876082328632631</v>
      </c>
      <c r="W395" s="914">
        <f t="shared" si="99"/>
        <v>35.816255501213853</v>
      </c>
      <c r="X395" s="913">
        <f t="shared" si="100"/>
        <v>1.4579222934345399</v>
      </c>
      <c r="Y395" s="913">
        <f t="shared" si="101"/>
        <v>30.876082328632631</v>
      </c>
      <c r="Z395" s="95">
        <f t="shared" si="102"/>
        <v>21179</v>
      </c>
      <c r="AA395" s="50" t="str">
        <f t="shared" si="103"/>
        <v>MOQ OK</v>
      </c>
      <c r="AB395" s="923">
        <f t="shared" si="104"/>
        <v>1.2569456398121734</v>
      </c>
      <c r="AC395" s="924">
        <f t="shared" si="105"/>
        <v>1.458056942182121</v>
      </c>
      <c r="AD395" s="203">
        <f t="shared" si="106"/>
        <v>2011113.0236994775</v>
      </c>
      <c r="AE395" s="912">
        <f t="shared" si="107"/>
        <v>2332891.1074913936</v>
      </c>
      <c r="AF395" s="923" cm="1">
        <f t="array" ref="AF395">IF(O395="Quantum",IFERROR(_xlfn.LET(_xlpm.b,_xlfn.SWITCH(LOWER(B395),"zipper bag","Zipper pouch","open bag","Open pouch","sup with zipper","Stand-up pouch","stand-up pouch","Stand-up pouch",B395),_xlpm.w,G395,_xlpm.q,K395,_xlpm.types,'Converting-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missing"),IFERROR(_xlfn.LET(_xlpm.s,O395,_xlpm.b,_xlfn.SWITCH(LOWER(B395),"zipper bag","Zipper pouch","open bag","Open pouch",B395),_xlpm.w,G395,_xlpm.q,K395,_xlpm.src,'Converting-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395" s="923">
        <f>IFERROR(IF(OR(B395="Zipper pouch",B395="SUP with zipper"),HELPER!$DE$2*(AH395+AI395)/K395,HELPER!$DE$2*AH395/K395),"Data is missing")</f>
        <v>5.4672086003795253E-4</v>
      </c>
      <c r="AH395" s="923">
        <f t="shared" si="108"/>
        <v>1.4579222934345399</v>
      </c>
      <c r="AI395" s="923" t="str">
        <f>IF(OR(B395="Zipper pouch",B395="SUP with zipper"),HELPER!$DC$2*G395/1000,"")</f>
        <v/>
      </c>
      <c r="AJ395" s="923" cm="1">
        <f t="array" ref="AJ395">IF(INDEX('Laminates- copilot'!$E$6:$E$257,ROUNDUP((ROW()-5)/3,0))+50&gt;IF(O395="Quantum",760,1220),"Width exceeds supplier maximum",IFERROR(AF395+AG395+N(AI395)+AH395*G395/1000/MAX(1,MIN(MAX(2,INT(900/INDEX('Laminates- copilot'!$E$6:$E$257,ROUNDUP((ROW()-5)/3,0)))),INT((IF(O395="Quantum",760,1220)-50)/INDEX('Laminates- copilot'!$E$6:$E$257,ROUNDUP((ROW()-5)/3,0))))),"Data is missing"))</f>
        <v>0.94270922985913008</v>
      </c>
      <c r="AK395" s="203">
        <f t="shared" si="109"/>
        <v>1256.9456398121733</v>
      </c>
      <c r="AL395" t="str">
        <f t="shared" si="110"/>
        <v>PASS</v>
      </c>
      <c r="AM395" s="50" t="str">
        <f t="shared" si="111"/>
        <v/>
      </c>
    </row>
    <row r="396" spans="1:39" hidden="1">
      <c r="A396" t="s">
        <v>2024</v>
      </c>
      <c r="B396" t="s">
        <v>251</v>
      </c>
      <c r="C396" s="50" t="s">
        <v>2203</v>
      </c>
      <c r="D396">
        <f>'Laminates- copilot'!B136</f>
        <v>823</v>
      </c>
      <c r="E396" s="858">
        <f>'Laminates- copilot'!D136</f>
        <v>121</v>
      </c>
      <c r="F396" s="858">
        <v>100</v>
      </c>
      <c r="G396" s="858">
        <v>100</v>
      </c>
      <c r="H396" s="858">
        <v>20</v>
      </c>
      <c r="I396" s="858">
        <v>0</v>
      </c>
      <c r="J396" s="858">
        <v>240</v>
      </c>
      <c r="K396" s="858">
        <v>25000</v>
      </c>
      <c r="L396" s="858" t="str">
        <f>'Laminates- copilot'!K136</f>
        <v>Not Printed</v>
      </c>
      <c r="M396" s="858" t="str">
        <f>'Laminates- copilot'!L136</f>
        <v>0</v>
      </c>
      <c r="N396" s="858">
        <f>'Laminates- copilot'!M136</f>
        <v>1</v>
      </c>
      <c r="O396" s="858" t="str">
        <f>'Laminates- copilot'!O136</f>
        <v>Marma</v>
      </c>
      <c r="P396" s="858" t="str">
        <f>'Laminates- copilot'!N136</f>
        <v>Europe to Europe</v>
      </c>
      <c r="Q396" s="858">
        <f t="shared" si="96"/>
        <v>2500</v>
      </c>
      <c r="R396" s="858">
        <f t="shared" si="97"/>
        <v>2500</v>
      </c>
      <c r="S396" s="858">
        <f>IFERROR('Laminates- copilot'!Q136/'Laminates- copilot'!P136*Q396,"")</f>
        <v>33.710999999999999</v>
      </c>
      <c r="T396" s="203">
        <f>IFERROR('Laminates- copilot'!R136/'Laminates- copilot'!P136*Q396,"")</f>
        <v>295.5206851758706</v>
      </c>
      <c r="U396" s="912">
        <f>IFERROR('Laminates- copilot'!S136/'Laminates- copilot'!P136*Q396,"")</f>
        <v>342.80399480400985</v>
      </c>
      <c r="V396" s="913">
        <f t="shared" si="98"/>
        <v>8.7662983944668085</v>
      </c>
      <c r="W396" s="914">
        <f t="shared" si="99"/>
        <v>10.168906137581498</v>
      </c>
      <c r="X396" s="913">
        <f t="shared" si="100"/>
        <v>0.11820827407034824</v>
      </c>
      <c r="Y396" s="913">
        <f t="shared" si="101"/>
        <v>8.7662983944668085</v>
      </c>
      <c r="Z396" s="95">
        <f t="shared" si="102"/>
        <v>370799</v>
      </c>
      <c r="AA396" s="50" t="str">
        <f t="shared" si="103"/>
        <v>Below MOQ by 345,799 bags</v>
      </c>
      <c r="AB396" s="923">
        <f t="shared" si="104"/>
        <v>7.6625805078147244E-2</v>
      </c>
      <c r="AC396" s="924">
        <f t="shared" si="105"/>
        <v>8.8885933890650803E-2</v>
      </c>
      <c r="AD396" s="203">
        <f t="shared" si="106"/>
        <v>1915.645126953681</v>
      </c>
      <c r="AE396" s="912">
        <f t="shared" si="107"/>
        <v>2222.1483472662699</v>
      </c>
      <c r="AF396" s="923" cm="1">
        <f t="array" ref="AF396">IF(O396="Quantum",IFERROR(_xlfn.LET(_xlpm.b,_xlfn.SWITCH(LOWER(B396),"zipper bag","Zipper pouch","open bag","Open pouch","sup with zipper","Stand-up pouch","stand-up pouch","Stand-up pouch",B396),_xlpm.w,G396,_xlpm.q,K396,_xlpm.types,'Converting-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missing"),IFERROR(_xlfn.LET(_xlpm.s,O396,_xlpm.b,_xlfn.SWITCH(LOWER(B396),"zipper bag","Zipper pouch","open bag","Open pouch",B396),_xlpm.w,G396,_xlpm.q,K396,_xlpm.src,'Converting-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96" s="923">
        <f>IFERROR(IF(OR(B396="Zipper pouch",B396="SUP with zipper"),HELPER!$DE$2*(AH396+AI396)/K396,HELPER!$DE$2*AH396/K396),"Data is missing")</f>
        <v>3.1825985776883577E-3</v>
      </c>
      <c r="AH396" s="923">
        <f t="shared" si="108"/>
        <v>0.11820827407034824</v>
      </c>
      <c r="AI396" s="923">
        <f>IF(OR(B396="Zipper pouch",B396="SUP with zipper"),HELPER!$DC$2*G396/1000,"")</f>
        <v>1.4399999999999998E-2</v>
      </c>
      <c r="AJ396" s="923" cm="1">
        <f t="array" ref="AJ396">IF(INDEX('Laminates- copilot'!$E$6:$E$257,ROUNDUP((ROW()-5)/3,0))+50&gt;IF(O396="Quantum",760,1220),"Width exceeds supplier maximum",IFERROR(AF396+AG396+N(AI396)+AH396*G396/1000/MAX(1,MIN(MAX(2,INT(900/INDEX('Laminates- copilot'!$E$6:$E$257,ROUNDUP((ROW()-5)/3,0)))),INT((IF(O396="Quantum",760,1220)-50)/INDEX('Laminates- copilot'!$E$6:$E$257,ROUNDUP((ROW()-5)/3,0))))),"Data is missing"))</f>
        <v>5.7469353808610436E-2</v>
      </c>
      <c r="AK396" s="203">
        <f t="shared" si="109"/>
        <v>76.625805078147238</v>
      </c>
      <c r="AL396" t="str">
        <f t="shared" si="110"/>
        <v>PASS</v>
      </c>
      <c r="AM396" s="50" t="str">
        <f t="shared" si="111"/>
        <v/>
      </c>
    </row>
    <row r="397" spans="1:39" hidden="1">
      <c r="A397" t="s">
        <v>2025</v>
      </c>
      <c r="B397" t="s">
        <v>261</v>
      </c>
      <c r="C397" s="50" t="s">
        <v>2203</v>
      </c>
      <c r="D397">
        <f>'Laminates- copilot'!B136</f>
        <v>823</v>
      </c>
      <c r="E397" s="858">
        <f>'Laminates- copilot'!D136</f>
        <v>121</v>
      </c>
      <c r="F397" s="858">
        <v>100</v>
      </c>
      <c r="G397" s="858">
        <v>100</v>
      </c>
      <c r="H397" s="858">
        <v>20</v>
      </c>
      <c r="I397" s="858">
        <v>0</v>
      </c>
      <c r="J397" s="858">
        <v>240</v>
      </c>
      <c r="K397" s="858">
        <v>25000</v>
      </c>
      <c r="L397" s="858" t="str">
        <f>'Laminates- copilot'!K136</f>
        <v>Not Printed</v>
      </c>
      <c r="M397" s="858" t="str">
        <f>'Laminates- copilot'!L136</f>
        <v>0</v>
      </c>
      <c r="N397" s="858">
        <f>'Laminates- copilot'!M136</f>
        <v>1</v>
      </c>
      <c r="O397" s="858" t="str">
        <f>'Laminates- copilot'!O136</f>
        <v>Marma</v>
      </c>
      <c r="P397" s="858" t="str">
        <f>'Laminates- copilot'!N136</f>
        <v>Europe to Europe</v>
      </c>
      <c r="Q397" s="858">
        <f t="shared" si="96"/>
        <v>2500</v>
      </c>
      <c r="R397" s="858">
        <f t="shared" si="97"/>
        <v>2500</v>
      </c>
      <c r="S397" s="858">
        <f>IFERROR('Laminates- copilot'!Q136/'Laminates- copilot'!P136*Q397,"")</f>
        <v>33.710999999999999</v>
      </c>
      <c r="T397" s="203">
        <f>IFERROR('Laminates- copilot'!R136/'Laminates- copilot'!P136*Q397,"")</f>
        <v>295.5206851758706</v>
      </c>
      <c r="U397" s="912">
        <f>IFERROR('Laminates- copilot'!S136/'Laminates- copilot'!P136*Q397,"")</f>
        <v>342.80399480400985</v>
      </c>
      <c r="V397" s="913">
        <f t="shared" si="98"/>
        <v>8.7662983944668085</v>
      </c>
      <c r="W397" s="914">
        <f t="shared" si="99"/>
        <v>10.168906137581498</v>
      </c>
      <c r="X397" s="913">
        <f t="shared" si="100"/>
        <v>0.11820827407034824</v>
      </c>
      <c r="Y397" s="913">
        <f t="shared" si="101"/>
        <v>8.7662983944668085</v>
      </c>
      <c r="Z397" s="95">
        <f t="shared" si="102"/>
        <v>370799</v>
      </c>
      <c r="AA397" s="50" t="str">
        <f t="shared" si="103"/>
        <v>Below MOQ by 345,799 bags</v>
      </c>
      <c r="AB397" s="923">
        <f t="shared" si="104"/>
        <v>7.3200466749528847E-2</v>
      </c>
      <c r="AC397" s="924">
        <f t="shared" si="105"/>
        <v>8.4912541429453453E-2</v>
      </c>
      <c r="AD397" s="203">
        <f t="shared" si="106"/>
        <v>1830.0116687382213</v>
      </c>
      <c r="AE397" s="912">
        <f t="shared" si="107"/>
        <v>2122.8135357363367</v>
      </c>
      <c r="AF397" s="923" cm="1">
        <f t="array" ref="AF397">IF(O397="Quantum",IFERROR(_xlfn.LET(_xlpm.b,_xlfn.SWITCH(LOWER(B397),"zipper bag","Zipper pouch","open bag","Open pouch","sup with zipper","Stand-up pouch","stand-up pouch","Stand-up pouch",B397),_xlpm.w,G397,_xlpm.q,K397,_xlpm.types,'Converting-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missing"),IFERROR(_xlfn.LET(_xlpm.s,O397,_xlpm.b,_xlfn.SWITCH(LOWER(B397),"zipper bag","Zipper pouch","open bag","Open pouch",B397),_xlpm.w,G397,_xlpm.q,K397,_xlpm.src,'Converting-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97" s="923">
        <f>IFERROR(IF(OR(B397="Zipper pouch",B397="SUP with zipper"),HELPER!$DE$2*(AH397+AI397)/K397,HELPER!$DE$2*AH397/K397),"Data is missing")</f>
        <v>3.1825985776883577E-3</v>
      </c>
      <c r="AH397" s="923">
        <f t="shared" si="108"/>
        <v>0.11820827407034824</v>
      </c>
      <c r="AI397" s="923">
        <f>IF(OR(B397="Zipper pouch",B397="SUP with zipper"),HELPER!$DC$2*G397/1000,"")</f>
        <v>1.4399999999999998E-2</v>
      </c>
      <c r="AJ397" s="923" cm="1">
        <f t="array" ref="AJ397">IF(INDEX('Laminates- copilot'!$E$6:$E$257,ROUNDUP((ROW()-5)/3,0))+50&gt;IF(O397="Quantum",760,1220),"Width exceeds supplier maximum",IFERROR(AF397+AG397+N(AI397)+AH397*G397/1000/MAX(1,MIN(MAX(2,INT(900/INDEX('Laminates- copilot'!$E$6:$E$257,ROUNDUP((ROW()-5)/3,0)))),INT((IF(O397="Quantum",760,1220)-50)/INDEX('Laminates- copilot'!$E$6:$E$257,ROUNDUP((ROW()-5)/3,0))))),"Data is missing"))</f>
        <v>5.4900350062146636E-2</v>
      </c>
      <c r="AK397" s="203">
        <f t="shared" si="109"/>
        <v>73.200466749528843</v>
      </c>
      <c r="AL397" t="str">
        <f t="shared" si="110"/>
        <v>PASS</v>
      </c>
      <c r="AM397" s="50" t="str">
        <f t="shared" si="111"/>
        <v/>
      </c>
    </row>
    <row r="398" spans="1:39" hidden="1">
      <c r="A398" t="s">
        <v>2026</v>
      </c>
      <c r="B398" t="s">
        <v>262</v>
      </c>
      <c r="C398" s="50" t="s">
        <v>2203</v>
      </c>
      <c r="D398">
        <f>'Laminates- copilot'!B136</f>
        <v>823</v>
      </c>
      <c r="E398" s="858">
        <f>'Laminates- copilot'!D136</f>
        <v>121</v>
      </c>
      <c r="F398" s="858">
        <v>100</v>
      </c>
      <c r="G398" s="858">
        <v>100</v>
      </c>
      <c r="H398" s="858">
        <v>0</v>
      </c>
      <c r="I398" s="858">
        <v>0</v>
      </c>
      <c r="J398" s="858">
        <v>200</v>
      </c>
      <c r="K398" s="858">
        <v>25000</v>
      </c>
      <c r="L398" s="858" t="str">
        <f>'Laminates- copilot'!K136</f>
        <v>Not Printed</v>
      </c>
      <c r="M398" s="858" t="str">
        <f>'Laminates- copilot'!L136</f>
        <v>0</v>
      </c>
      <c r="N398" s="858">
        <f>'Laminates- copilot'!M136</f>
        <v>1</v>
      </c>
      <c r="O398" s="858" t="str">
        <f>'Laminates- copilot'!O136</f>
        <v>Marma</v>
      </c>
      <c r="P398" s="858" t="str">
        <f>'Laminates- copilot'!N136</f>
        <v>Europe to Europe</v>
      </c>
      <c r="Q398" s="858">
        <f t="shared" si="96"/>
        <v>2500</v>
      </c>
      <c r="R398" s="858">
        <f t="shared" si="97"/>
        <v>2500</v>
      </c>
      <c r="S398" s="858">
        <f>IFERROR('Laminates- copilot'!Q136/'Laminates- copilot'!P136*Q398,"")</f>
        <v>33.710999999999999</v>
      </c>
      <c r="T398" s="203">
        <f>IFERROR('Laminates- copilot'!R136/'Laminates- copilot'!P136*Q398,"")</f>
        <v>295.5206851758706</v>
      </c>
      <c r="U398" s="912">
        <f>IFERROR('Laminates- copilot'!S136/'Laminates- copilot'!P136*Q398,"")</f>
        <v>342.80399480400985</v>
      </c>
      <c r="V398" s="913">
        <f t="shared" si="98"/>
        <v>8.7662983944668085</v>
      </c>
      <c r="W398" s="914">
        <f t="shared" si="99"/>
        <v>10.168906137581498</v>
      </c>
      <c r="X398" s="913">
        <f t="shared" si="100"/>
        <v>0.11820827407034824</v>
      </c>
      <c r="Y398" s="913">
        <f t="shared" si="101"/>
        <v>8.7662983944668085</v>
      </c>
      <c r="Z398" s="95">
        <f t="shared" si="102"/>
        <v>370799</v>
      </c>
      <c r="AA398" s="50" t="str">
        <f t="shared" si="103"/>
        <v>Below MOQ by 345,799 bags</v>
      </c>
      <c r="AB398" s="923">
        <f t="shared" si="104"/>
        <v>4.9769062401663233E-2</v>
      </c>
      <c r="AC398" s="924">
        <f t="shared" si="105"/>
        <v>5.7732112385929346E-2</v>
      </c>
      <c r="AD398" s="203">
        <f t="shared" si="106"/>
        <v>1244.2265600415808</v>
      </c>
      <c r="AE398" s="912">
        <f t="shared" si="107"/>
        <v>1443.3028096482337</v>
      </c>
      <c r="AF398" s="923" cm="1">
        <f t="array" ref="AF398">IF(O398="Quantum",IFERROR(_xlfn.LET(_xlpm.b,_xlfn.SWITCH(LOWER(B398),"zipper bag","Zipper pouch","open bag","Open pouch","sup with zipper","Stand-up pouch","stand-up pouch","Stand-up pouch",B398),_xlpm.w,G398,_xlpm.q,K398,_xlpm.types,'Converting-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missing"),IFERROR(_xlfn.LET(_xlpm.s,O398,_xlpm.b,_xlfn.SWITCH(LOWER(B398),"zipper bag","Zipper pouch","open bag","Open pouch",B398),_xlpm.w,G398,_xlpm.q,K398,_xlpm.src,'Converting-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98" s="923">
        <f>IFERROR(IF(OR(B398="Zipper pouch",B398="SUP with zipper"),HELPER!$DE$2*(AH398+AI398)/K398,HELPER!$DE$2*AH398/K398),"Data is missing")</f>
        <v>2.836998577688358E-3</v>
      </c>
      <c r="AH398" s="923">
        <f t="shared" si="108"/>
        <v>0.11820827407034824</v>
      </c>
      <c r="AI398" s="923" t="str">
        <f>IF(OR(B398="Zipper pouch",B398="SUP with zipper"),HELPER!$DC$2*G398/1000,"")</f>
        <v/>
      </c>
      <c r="AJ398" s="923" cm="1">
        <f t="array" ref="AJ398">IF(INDEX('Laminates- copilot'!$E$6:$E$257,ROUNDUP((ROW()-5)/3,0))+50&gt;IF(O398="Quantum",760,1220),"Width exceeds supplier maximum",IFERROR(AF398+AG398+N(AI398)+AH398*G398/1000/MAX(1,MIN(MAX(2,INT(900/INDEX('Laminates- copilot'!$E$6:$E$257,ROUNDUP((ROW()-5)/3,0)))),INT((IF(O398="Quantum",760,1220)-50)/INDEX('Laminates- copilot'!$E$6:$E$257,ROUNDUP((ROW()-5)/3,0))))),"Data is missing"))</f>
        <v>3.7326796801247425E-2</v>
      </c>
      <c r="AK398" s="203">
        <f t="shared" si="109"/>
        <v>49.769062401663234</v>
      </c>
      <c r="AL398" t="str">
        <f t="shared" si="110"/>
        <v>PASS</v>
      </c>
      <c r="AM398" s="50" t="str">
        <f t="shared" si="111"/>
        <v/>
      </c>
    </row>
    <row r="399" spans="1:39" hidden="1">
      <c r="A399" t="s">
        <v>2027</v>
      </c>
      <c r="B399" t="s">
        <v>251</v>
      </c>
      <c r="C399" s="50" t="s">
        <v>2204</v>
      </c>
      <c r="D399">
        <f>'Laminates- copilot'!B137</f>
        <v>823</v>
      </c>
      <c r="E399" s="858">
        <f>'Laminates- copilot'!D137</f>
        <v>121</v>
      </c>
      <c r="F399" s="858">
        <v>150</v>
      </c>
      <c r="G399" s="858">
        <v>150</v>
      </c>
      <c r="H399" s="858">
        <v>25</v>
      </c>
      <c r="I399" s="858">
        <v>0</v>
      </c>
      <c r="J399" s="858">
        <v>350</v>
      </c>
      <c r="K399" s="858">
        <v>25000</v>
      </c>
      <c r="L399" s="858" t="str">
        <f>'Laminates- copilot'!K137</f>
        <v>Printed</v>
      </c>
      <c r="M399" s="858" t="str">
        <f>'Laminates- copilot'!L137</f>
        <v>1-2</v>
      </c>
      <c r="N399" s="858">
        <f>'Laminates- copilot'!M137</f>
        <v>1</v>
      </c>
      <c r="O399" s="858" t="str">
        <f>'Laminates- copilot'!O137</f>
        <v>Bastin</v>
      </c>
      <c r="P399" s="858" t="str">
        <f>'Laminates- copilot'!N137</f>
        <v>Europe to US</v>
      </c>
      <c r="Q399" s="858">
        <f t="shared" si="96"/>
        <v>3750</v>
      </c>
      <c r="R399" s="858">
        <f t="shared" si="97"/>
        <v>3750</v>
      </c>
      <c r="S399" s="858">
        <f>IFERROR('Laminates- copilot'!Q137/'Laminates- copilot'!P137*Q399,"")</f>
        <v>50.566500000000012</v>
      </c>
      <c r="T399" s="203">
        <f>IFERROR('Laminates- copilot'!R137/'Laminates- copilot'!P137*Q399,"")</f>
        <v>11637.752632026226</v>
      </c>
      <c r="U399" s="912">
        <f>IFERROR('Laminates- copilot'!S137/'Laminates- copilot'!P137*Q399,"")</f>
        <v>13499.793053150421</v>
      </c>
      <c r="V399" s="913">
        <f t="shared" si="98"/>
        <v>230.14748167316748</v>
      </c>
      <c r="W399" s="914">
        <f t="shared" si="99"/>
        <v>266.97107874087425</v>
      </c>
      <c r="X399" s="913">
        <f t="shared" si="100"/>
        <v>3.1034007018736602</v>
      </c>
      <c r="Y399" s="913">
        <f t="shared" si="101"/>
        <v>230.14748167316748</v>
      </c>
      <c r="Z399" s="95">
        <f t="shared" si="102"/>
        <v>247200</v>
      </c>
      <c r="AA399" s="50" t="str">
        <f t="shared" si="103"/>
        <v>Below MOQ by 222,200 bags</v>
      </c>
      <c r="AB399" s="923">
        <f t="shared" si="104"/>
        <v>0.29274883074422969</v>
      </c>
      <c r="AC399" s="924">
        <f t="shared" si="105"/>
        <v>0.33958864366330643</v>
      </c>
      <c r="AD399" s="203">
        <f t="shared" si="106"/>
        <v>7318.7207686057427</v>
      </c>
      <c r="AE399" s="912">
        <f t="shared" si="107"/>
        <v>8489.7160915826607</v>
      </c>
      <c r="AF399" s="923" cm="1">
        <f t="array" ref="AF399">IF(O399="Quantum",IFERROR(_xlfn.LET(_xlpm.b,_xlfn.SWITCH(LOWER(B399),"zipper bag","Zipper pouch","open bag","Open pouch","sup with zipper","Stand-up pouch","stand-up pouch","Stand-up pouch",B399),_xlpm.w,G399,_xlpm.q,K399,_xlpm.types,'Converting-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missing"),IFERROR(_xlfn.LET(_xlpm.s,O399,_xlpm.b,_xlfn.SWITCH(LOWER(B399),"zipper bag","Zipper pouch","open bag","Open pouch",B399),_xlpm.w,G399,_xlpm.q,K399,_xlpm.src,'Converting-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99" s="923">
        <f>IFERROR(IF(OR(B399="Zipper pouch",B399="SUP with zipper"),HELPER!$DE$2*(AH399+AI399)/K399,HELPER!$DE$2*AH399/K399),"Data is missing")</f>
        <v>7.5000016844967834E-2</v>
      </c>
      <c r="AH399" s="923">
        <f t="shared" si="108"/>
        <v>3.1034007018736602</v>
      </c>
      <c r="AI399" s="923">
        <f>IF(OR(B399="Zipper pouch",B399="SUP with zipper"),HELPER!$DC$2*G399/1000,"")</f>
        <v>2.1599999999999998E-2</v>
      </c>
      <c r="AJ399" s="923" cm="1">
        <f t="array" ref="AJ399">IF(INDEX('Laminates- copilot'!$E$6:$E$257,ROUNDUP((ROW()-5)/3,0))+50&gt;IF(O399="Quantum",760,1220),"Width exceeds supplier maximum",IFERROR(AF399+AG399+N(AI399)+AH399*G399/1000/MAX(1,MIN(MAX(2,INT(900/INDEX('Laminates- copilot'!$E$6:$E$257,ROUNDUP((ROW()-5)/3,0)))),INT((IF(O399="Quantum",760,1220)-50)/INDEX('Laminates- copilot'!$E$6:$E$257,ROUNDUP((ROW()-5)/3,0))))),"Data is missing"))</f>
        <v>0.21956162305817228</v>
      </c>
      <c r="AK399" s="203">
        <f t="shared" si="109"/>
        <v>292.74883074422968</v>
      </c>
      <c r="AL399" t="str">
        <f t="shared" si="110"/>
        <v>PASS</v>
      </c>
      <c r="AM399" s="50" t="str">
        <f t="shared" si="111"/>
        <v/>
      </c>
    </row>
    <row r="400" spans="1:39" hidden="1">
      <c r="A400" t="s">
        <v>2028</v>
      </c>
      <c r="B400" t="s">
        <v>261</v>
      </c>
      <c r="C400" s="50" t="s">
        <v>2204</v>
      </c>
      <c r="D400">
        <f>'Laminates- copilot'!B137</f>
        <v>823</v>
      </c>
      <c r="E400" s="858">
        <f>'Laminates- copilot'!D137</f>
        <v>121</v>
      </c>
      <c r="F400" s="858">
        <v>150</v>
      </c>
      <c r="G400" s="858">
        <v>150</v>
      </c>
      <c r="H400" s="858">
        <v>25</v>
      </c>
      <c r="I400" s="858">
        <v>0</v>
      </c>
      <c r="J400" s="858">
        <v>350</v>
      </c>
      <c r="K400" s="858">
        <v>25000</v>
      </c>
      <c r="L400" s="858" t="str">
        <f>'Laminates- copilot'!K137</f>
        <v>Printed</v>
      </c>
      <c r="M400" s="858" t="str">
        <f>'Laminates- copilot'!L137</f>
        <v>1-2</v>
      </c>
      <c r="N400" s="858">
        <f>'Laminates- copilot'!M137</f>
        <v>1</v>
      </c>
      <c r="O400" s="858" t="str">
        <f>'Laminates- copilot'!O137</f>
        <v>Bastin</v>
      </c>
      <c r="P400" s="858" t="str">
        <f>'Laminates- copilot'!N137</f>
        <v>Europe to US</v>
      </c>
      <c r="Q400" s="858">
        <f t="shared" si="96"/>
        <v>3750</v>
      </c>
      <c r="R400" s="858">
        <f t="shared" si="97"/>
        <v>3750</v>
      </c>
      <c r="S400" s="858">
        <f>IFERROR('Laminates- copilot'!Q137/'Laminates- copilot'!P137*Q400,"")</f>
        <v>50.566500000000012</v>
      </c>
      <c r="T400" s="203">
        <f>IFERROR('Laminates- copilot'!R137/'Laminates- copilot'!P137*Q400,"")</f>
        <v>11637.752632026226</v>
      </c>
      <c r="U400" s="912">
        <f>IFERROR('Laminates- copilot'!S137/'Laminates- copilot'!P137*Q400,"")</f>
        <v>13499.793053150421</v>
      </c>
      <c r="V400" s="913">
        <f t="shared" si="98"/>
        <v>230.14748167316748</v>
      </c>
      <c r="W400" s="914">
        <f t="shared" si="99"/>
        <v>266.97107874087425</v>
      </c>
      <c r="X400" s="913">
        <f t="shared" si="100"/>
        <v>3.1034007018736602</v>
      </c>
      <c r="Y400" s="913">
        <f t="shared" si="101"/>
        <v>230.14748167316748</v>
      </c>
      <c r="Z400" s="95">
        <f t="shared" si="102"/>
        <v>247200</v>
      </c>
      <c r="AA400" s="50" t="str">
        <f t="shared" si="103"/>
        <v>Below MOQ by 222,200 bags</v>
      </c>
      <c r="AB400" s="923">
        <f t="shared" si="104"/>
        <v>0.28758342054467317</v>
      </c>
      <c r="AC400" s="924">
        <f t="shared" si="105"/>
        <v>0.33359676783182085</v>
      </c>
      <c r="AD400" s="203">
        <f t="shared" si="106"/>
        <v>7189.5855136168293</v>
      </c>
      <c r="AE400" s="912">
        <f t="shared" si="107"/>
        <v>8339.9191957955209</v>
      </c>
      <c r="AF400" s="923" cm="1">
        <f t="array" ref="AF400">IF(O400="Quantum",IFERROR(_xlfn.LET(_xlpm.b,_xlfn.SWITCH(LOWER(B400),"zipper bag","Zipper pouch","open bag","Open pouch","sup with zipper","Stand-up pouch","stand-up pouch","Stand-up pouch",B400),_xlpm.w,G400,_xlpm.q,K400,_xlpm.types,'Converting-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missing"),IFERROR(_xlfn.LET(_xlpm.s,O400,_xlpm.b,_xlfn.SWITCH(LOWER(B400),"zipper bag","Zipper pouch","open bag","Open pouch",B400),_xlpm.w,G400,_xlpm.q,K400,_xlpm.src,'Converting-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00" s="923">
        <f>IFERROR(IF(OR(B400="Zipper pouch",B400="SUP with zipper"),HELPER!$DE$2*(AH400+AI400)/K400,HELPER!$DE$2*AH400/K400),"Data is missing")</f>
        <v>7.5000016844967834E-2</v>
      </c>
      <c r="AH400" s="923">
        <f t="shared" si="108"/>
        <v>3.1034007018736602</v>
      </c>
      <c r="AI400" s="923">
        <f>IF(OR(B400="Zipper pouch",B400="SUP with zipper"),HELPER!$DC$2*G400/1000,"")</f>
        <v>2.1599999999999998E-2</v>
      </c>
      <c r="AJ400" s="923" cm="1">
        <f t="array" ref="AJ400">IF(INDEX('Laminates- copilot'!$E$6:$E$257,ROUNDUP((ROW()-5)/3,0))+50&gt;IF(O400="Quantum",760,1220),"Width exceeds supplier maximum",IFERROR(AF400+AG400+N(AI400)+AH400*G400/1000/MAX(1,MIN(MAX(2,INT(900/INDEX('Laminates- copilot'!$E$6:$E$257,ROUNDUP((ROW()-5)/3,0)))),INT((IF(O400="Quantum",760,1220)-50)/INDEX('Laminates- copilot'!$E$6:$E$257,ROUNDUP((ROW()-5)/3,0))))),"Data is missing"))</f>
        <v>0.21568756540850487</v>
      </c>
      <c r="AK400" s="203">
        <f t="shared" si="109"/>
        <v>287.58342054467317</v>
      </c>
      <c r="AL400" t="str">
        <f t="shared" si="110"/>
        <v>PASS</v>
      </c>
      <c r="AM400" s="50" t="str">
        <f t="shared" si="111"/>
        <v/>
      </c>
    </row>
    <row r="401" spans="1:39" hidden="1">
      <c r="A401" t="s">
        <v>2029</v>
      </c>
      <c r="B401" t="s">
        <v>262</v>
      </c>
      <c r="C401" s="50" t="s">
        <v>2204</v>
      </c>
      <c r="D401">
        <f>'Laminates- copilot'!B137</f>
        <v>823</v>
      </c>
      <c r="E401" s="858">
        <f>'Laminates- copilot'!D137</f>
        <v>121</v>
      </c>
      <c r="F401" s="858">
        <v>150</v>
      </c>
      <c r="G401" s="858">
        <v>150</v>
      </c>
      <c r="H401" s="858">
        <v>0</v>
      </c>
      <c r="I401" s="858">
        <v>0</v>
      </c>
      <c r="J401" s="858">
        <v>300</v>
      </c>
      <c r="K401" s="858">
        <v>25000</v>
      </c>
      <c r="L401" s="858" t="str">
        <f>'Laminates- copilot'!K137</f>
        <v>Printed</v>
      </c>
      <c r="M401" s="858" t="str">
        <f>'Laminates- copilot'!L137</f>
        <v>1-2</v>
      </c>
      <c r="N401" s="858">
        <f>'Laminates- copilot'!M137</f>
        <v>1</v>
      </c>
      <c r="O401" s="858" t="str">
        <f>'Laminates- copilot'!O137</f>
        <v>Bastin</v>
      </c>
      <c r="P401" s="858" t="str">
        <f>'Laminates- copilot'!N137</f>
        <v>Europe to US</v>
      </c>
      <c r="Q401" s="858">
        <f t="shared" si="96"/>
        <v>3750</v>
      </c>
      <c r="R401" s="858">
        <f t="shared" si="97"/>
        <v>3750</v>
      </c>
      <c r="S401" s="858">
        <f>IFERROR('Laminates- copilot'!Q137/'Laminates- copilot'!P137*Q401,"")</f>
        <v>50.566500000000012</v>
      </c>
      <c r="T401" s="203">
        <f>IFERROR('Laminates- copilot'!R137/'Laminates- copilot'!P137*Q401,"")</f>
        <v>11637.752632026226</v>
      </c>
      <c r="U401" s="912">
        <f>IFERROR('Laminates- copilot'!S137/'Laminates- copilot'!P137*Q401,"")</f>
        <v>13499.793053150421</v>
      </c>
      <c r="V401" s="913">
        <f t="shared" si="98"/>
        <v>230.14748167316748</v>
      </c>
      <c r="W401" s="914">
        <f t="shared" si="99"/>
        <v>266.97107874087425</v>
      </c>
      <c r="X401" s="913">
        <f t="shared" si="100"/>
        <v>3.1034007018736602</v>
      </c>
      <c r="Y401" s="913">
        <f t="shared" si="101"/>
        <v>230.14748167316748</v>
      </c>
      <c r="Z401" s="95">
        <f t="shared" si="102"/>
        <v>247200</v>
      </c>
      <c r="AA401" s="50" t="str">
        <f t="shared" si="103"/>
        <v>Below MOQ by 222,200 bags</v>
      </c>
      <c r="AB401" s="923">
        <f t="shared" si="104"/>
        <v>0.25225818170841707</v>
      </c>
      <c r="AC401" s="924">
        <f t="shared" si="105"/>
        <v>0.2926194907817638</v>
      </c>
      <c r="AD401" s="203">
        <f t="shared" si="106"/>
        <v>6306.4545427104267</v>
      </c>
      <c r="AE401" s="912">
        <f t="shared" si="107"/>
        <v>7315.4872695440945</v>
      </c>
      <c r="AF401" s="923" cm="1">
        <f t="array" ref="AF401">IF(O401="Quantum",IFERROR(_xlfn.LET(_xlpm.b,_xlfn.SWITCH(LOWER(B401),"zipper bag","Zipper pouch","open bag","Open pouch","sup with zipper","Stand-up pouch","stand-up pouch","Stand-up pouch",B401),_xlpm.w,G401,_xlpm.q,K401,_xlpm.types,'Converting-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missing"),IFERROR(_xlfn.LET(_xlpm.s,O401,_xlpm.b,_xlfn.SWITCH(LOWER(B401),"zipper bag","Zipper pouch","open bag","Open pouch",B401),_xlpm.w,G401,_xlpm.q,K401,_xlpm.src,'Converting-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01" s="923">
        <f>IFERROR(IF(OR(B401="Zipper pouch",B401="SUP with zipper"),HELPER!$DE$2*(AH401+AI401)/K401,HELPER!$DE$2*AH401/K401),"Data is missing")</f>
        <v>7.4481616844967846E-2</v>
      </c>
      <c r="AH401" s="923">
        <f t="shared" si="108"/>
        <v>3.1034007018736602</v>
      </c>
      <c r="AI401" s="923" t="str">
        <f>IF(OR(B401="Zipper pouch",B401="SUP with zipper"),HELPER!$DC$2*G401/1000,"")</f>
        <v/>
      </c>
      <c r="AJ401" s="923" cm="1">
        <f t="array" ref="AJ401">IF(INDEX('Laminates- copilot'!$E$6:$E$257,ROUNDUP((ROW()-5)/3,0))+50&gt;IF(O401="Quantum",760,1220),"Width exceeds supplier maximum",IFERROR(AF401+AG401+N(AI401)+AH401*G401/1000/MAX(1,MIN(MAX(2,INT(900/INDEX('Laminates- copilot'!$E$6:$E$257,ROUNDUP((ROW()-5)/3,0)))),INT((IF(O401="Quantum",760,1220)-50)/INDEX('Laminates- copilot'!$E$6:$E$257,ROUNDUP((ROW()-5)/3,0))))),"Data is missing"))</f>
        <v>0.1891936362813128</v>
      </c>
      <c r="AK401" s="203">
        <f t="shared" si="109"/>
        <v>252.25818170841708</v>
      </c>
      <c r="AL401" t="str">
        <f t="shared" si="110"/>
        <v>PASS</v>
      </c>
      <c r="AM401" s="50" t="str">
        <f t="shared" si="111"/>
        <v/>
      </c>
    </row>
    <row r="402" spans="1:39" hidden="1">
      <c r="A402" t="s">
        <v>2030</v>
      </c>
      <c r="B402" t="s">
        <v>251</v>
      </c>
      <c r="C402" s="50" t="s">
        <v>2205</v>
      </c>
      <c r="D402">
        <f>'Laminates- copilot'!B138</f>
        <v>823</v>
      </c>
      <c r="E402" s="858">
        <f>'Laminates- copilot'!D138</f>
        <v>121</v>
      </c>
      <c r="F402" s="858">
        <v>250</v>
      </c>
      <c r="G402" s="858">
        <v>200</v>
      </c>
      <c r="H402" s="858">
        <v>40</v>
      </c>
      <c r="I402" s="858">
        <v>0</v>
      </c>
      <c r="J402" s="858">
        <v>580</v>
      </c>
      <c r="K402" s="858">
        <v>50000</v>
      </c>
      <c r="L402" s="858" t="str">
        <f>'Laminates- copilot'!K138</f>
        <v>Printed</v>
      </c>
      <c r="M402" s="858" t="str">
        <f>'Laminates- copilot'!L138</f>
        <v>3-4</v>
      </c>
      <c r="N402" s="858">
        <f>'Laminates- copilot'!M138</f>
        <v>4</v>
      </c>
      <c r="O402" s="858" t="str">
        <f>'Laminates- copilot'!O138</f>
        <v>Quantum</v>
      </c>
      <c r="P402" s="858" t="str">
        <f>'Laminates- copilot'!N138</f>
        <v>Europe to Europe</v>
      </c>
      <c r="Q402" s="858">
        <f t="shared" si="96"/>
        <v>10000</v>
      </c>
      <c r="R402" s="858">
        <f t="shared" si="97"/>
        <v>10000</v>
      </c>
      <c r="S402" s="858">
        <f>IFERROR('Laminates- copilot'!Q138/'Laminates- copilot'!P138*Q402,"")</f>
        <v>393.29500000000002</v>
      </c>
      <c r="T402" s="203">
        <f>IFERROR('Laminates- copilot'!R138/'Laminates- copilot'!P138*Q402,"")</f>
        <v>7473.8884097418386</v>
      </c>
      <c r="U402" s="912">
        <f>IFERROR('Laminates- copilot'!S138/'Laminates- copilot'!P138*Q402,"")</f>
        <v>8669.7105553005331</v>
      </c>
      <c r="V402" s="913">
        <f t="shared" si="98"/>
        <v>19.0032632241494</v>
      </c>
      <c r="W402" s="914">
        <f t="shared" si="99"/>
        <v>22.043785340013304</v>
      </c>
      <c r="X402" s="913">
        <f t="shared" si="100"/>
        <v>0.7473888409741839</v>
      </c>
      <c r="Y402" s="913">
        <f t="shared" si="101"/>
        <v>19.0032632241494</v>
      </c>
      <c r="Z402" s="95">
        <f t="shared" si="102"/>
        <v>63566</v>
      </c>
      <c r="AA402" s="50" t="str">
        <f t="shared" si="103"/>
        <v>Below MOQ by 13,566 bags</v>
      </c>
      <c r="AB402" s="923">
        <f t="shared" si="104"/>
        <v>0.30616832683083078</v>
      </c>
      <c r="AC402" s="924">
        <f t="shared" si="105"/>
        <v>0.35515525912376367</v>
      </c>
      <c r="AD402" s="203">
        <f t="shared" si="106"/>
        <v>15308.416341541539</v>
      </c>
      <c r="AE402" s="912">
        <f t="shared" si="107"/>
        <v>17757.762956188184</v>
      </c>
      <c r="AF402" s="923" cm="1">
        <f t="array" ref="AF402">IF(O402="Quantum",IFERROR(_xlfn.LET(_xlpm.b,_xlfn.SWITCH(LOWER(B402),"zipper bag","Zipper pouch","open bag","Open pouch","sup with zipper","Stand-up pouch","stand-up pouch","Stand-up pouch",B402),_xlpm.w,G402,_xlpm.q,K402,_xlpm.types,'Converting-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missing"),IFERROR(_xlfn.LET(_xlpm.s,O402,_xlpm.b,_xlfn.SWITCH(LOWER(B402),"zipper bag","Zipper pouch","open bag","Open pouch",B402),_xlpm.w,G402,_xlpm.q,K402,_xlpm.src,'Converting-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402" s="923">
        <f>IFERROR(IF(OR(B402="Zipper pouch",B402="SUP with zipper"),HELPER!$DE$2*(AH402+AI402)/K402,HELPER!$DE$2*AH402/K402),"Data is missing")</f>
        <v>9.3142660916902074E-3</v>
      </c>
      <c r="AH402" s="923">
        <f t="shared" si="108"/>
        <v>0.7473888409741839</v>
      </c>
      <c r="AI402" s="923">
        <f>IF(OR(B402="Zipper pouch",B402="SUP with zipper"),HELPER!$DC$2*G402/1000,"")</f>
        <v>2.8799999999999996E-2</v>
      </c>
      <c r="AJ402" s="923" cm="1">
        <f t="array" ref="AJ402">IF(INDEX('Laminates- copilot'!$E$6:$E$257,ROUNDUP((ROW()-5)/3,0))+50&gt;IF(O402="Quantum",760,1220),"Width exceeds supplier maximum",IFERROR(AF402+AG402+N(AI402)+AH402*G402/1000/MAX(1,MIN(MAX(2,INT(900/INDEX('Laminates- copilot'!$E$6:$E$257,ROUNDUP((ROW()-5)/3,0)))),INT((IF(O402="Quantum",760,1220)-50)/INDEX('Laminates- copilot'!$E$6:$E$257,ROUNDUP((ROW()-5)/3,0))))),"Data is missing"))</f>
        <v>0.22962624512312307</v>
      </c>
      <c r="AK402" s="203">
        <f t="shared" si="109"/>
        <v>306.16832683083078</v>
      </c>
      <c r="AL402" t="str">
        <f t="shared" si="110"/>
        <v>PASS</v>
      </c>
      <c r="AM402" s="50" t="str">
        <f t="shared" si="111"/>
        <v/>
      </c>
    </row>
    <row r="403" spans="1:39" hidden="1">
      <c r="A403" t="s">
        <v>2031</v>
      </c>
      <c r="B403" t="s">
        <v>261</v>
      </c>
      <c r="C403" s="50" t="s">
        <v>2205</v>
      </c>
      <c r="D403">
        <f>'Laminates- copilot'!B138</f>
        <v>823</v>
      </c>
      <c r="E403" s="858">
        <f>'Laminates- copilot'!D138</f>
        <v>121</v>
      </c>
      <c r="F403" s="858">
        <v>250</v>
      </c>
      <c r="G403" s="858">
        <v>200</v>
      </c>
      <c r="H403" s="858">
        <v>40</v>
      </c>
      <c r="I403" s="858">
        <v>0</v>
      </c>
      <c r="J403" s="858">
        <v>580</v>
      </c>
      <c r="K403" s="858">
        <v>50000</v>
      </c>
      <c r="L403" s="858" t="str">
        <f>'Laminates- copilot'!K138</f>
        <v>Printed</v>
      </c>
      <c r="M403" s="858" t="str">
        <f>'Laminates- copilot'!L138</f>
        <v>3-4</v>
      </c>
      <c r="N403" s="858">
        <f>'Laminates- copilot'!M138</f>
        <v>4</v>
      </c>
      <c r="O403" s="858" t="str">
        <f>'Laminates- copilot'!O138</f>
        <v>Quantum</v>
      </c>
      <c r="P403" s="858" t="str">
        <f>'Laminates- copilot'!N138</f>
        <v>Europe to Europe</v>
      </c>
      <c r="Q403" s="858">
        <f t="shared" si="96"/>
        <v>10000</v>
      </c>
      <c r="R403" s="858">
        <f t="shared" si="97"/>
        <v>10000</v>
      </c>
      <c r="S403" s="858">
        <f>IFERROR('Laminates- copilot'!Q138/'Laminates- copilot'!P138*Q403,"")</f>
        <v>393.29500000000002</v>
      </c>
      <c r="T403" s="203">
        <f>IFERROR('Laminates- copilot'!R138/'Laminates- copilot'!P138*Q403,"")</f>
        <v>7473.8884097418386</v>
      </c>
      <c r="U403" s="912">
        <f>IFERROR('Laminates- copilot'!S138/'Laminates- copilot'!P138*Q403,"")</f>
        <v>8669.7105553005331</v>
      </c>
      <c r="V403" s="913">
        <f t="shared" si="98"/>
        <v>19.0032632241494</v>
      </c>
      <c r="W403" s="914">
        <f t="shared" si="99"/>
        <v>22.043785340013304</v>
      </c>
      <c r="X403" s="913">
        <f t="shared" si="100"/>
        <v>0.7473888409741839</v>
      </c>
      <c r="Y403" s="913">
        <f t="shared" si="101"/>
        <v>19.0032632241494</v>
      </c>
      <c r="Z403" s="95">
        <f t="shared" si="102"/>
        <v>63566</v>
      </c>
      <c r="AA403" s="50" t="str">
        <f t="shared" si="103"/>
        <v>Below MOQ by 13,566 bags</v>
      </c>
      <c r="AB403" s="923">
        <f t="shared" si="104"/>
        <v>0.29040117611263705</v>
      </c>
      <c r="AC403" s="924">
        <f t="shared" si="105"/>
        <v>0.33686536429065894</v>
      </c>
      <c r="AD403" s="203">
        <f t="shared" si="106"/>
        <v>14520.058805631852</v>
      </c>
      <c r="AE403" s="912">
        <f t="shared" si="107"/>
        <v>16843.268214532945</v>
      </c>
      <c r="AF403" s="923" cm="1">
        <f t="array" ref="AF403">IF(O403="Quantum",IFERROR(_xlfn.LET(_xlpm.b,_xlfn.SWITCH(LOWER(B403),"zipper bag","Zipper pouch","open bag","Open pouch","sup with zipper","Stand-up pouch","stand-up pouch","Stand-up pouch",B403),_xlpm.w,G403,_xlpm.q,K403,_xlpm.types,'Converting-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missing"),IFERROR(_xlfn.LET(_xlpm.s,O403,_xlpm.b,_xlfn.SWITCH(LOWER(B403),"zipper bag","Zipper pouch","open bag","Open pouch",B403),_xlpm.w,G403,_xlpm.q,K403,_xlpm.src,'Converting-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403" s="923">
        <f>IFERROR(IF(OR(B403="Zipper pouch",B403="SUP with zipper"),HELPER!$DE$2*(AH403+AI403)/K403,HELPER!$DE$2*AH403/K403),"Data is missing")</f>
        <v>9.3142660916902074E-3</v>
      </c>
      <c r="AH403" s="923">
        <f t="shared" si="108"/>
        <v>0.7473888409741839</v>
      </c>
      <c r="AI403" s="923">
        <f>IF(OR(B403="Zipper pouch",B403="SUP with zipper"),HELPER!$DC$2*G403/1000,"")</f>
        <v>2.8799999999999996E-2</v>
      </c>
      <c r="AJ403" s="923" cm="1">
        <f t="array" ref="AJ403">IF(INDEX('Laminates- copilot'!$E$6:$E$257,ROUNDUP((ROW()-5)/3,0))+50&gt;IF(O403="Quantum",760,1220),"Width exceeds supplier maximum",IFERROR(AF403+AG403+N(AI403)+AH403*G403/1000/MAX(1,MIN(MAX(2,INT(900/INDEX('Laminates- copilot'!$E$6:$E$257,ROUNDUP((ROW()-5)/3,0)))),INT((IF(O403="Quantum",760,1220)-50)/INDEX('Laminates- copilot'!$E$6:$E$257,ROUNDUP((ROW()-5)/3,0))))),"Data is missing"))</f>
        <v>0.21780088208447779</v>
      </c>
      <c r="AK403" s="203">
        <f t="shared" si="109"/>
        <v>290.40117611263707</v>
      </c>
      <c r="AL403" t="str">
        <f t="shared" si="110"/>
        <v>PASS</v>
      </c>
      <c r="AM403" s="50" t="str">
        <f t="shared" si="111"/>
        <v/>
      </c>
    </row>
    <row r="404" spans="1:39" hidden="1">
      <c r="A404" t="s">
        <v>2032</v>
      </c>
      <c r="B404" t="s">
        <v>262</v>
      </c>
      <c r="C404" s="50" t="s">
        <v>2205</v>
      </c>
      <c r="D404">
        <f>'Laminates- copilot'!B138</f>
        <v>823</v>
      </c>
      <c r="E404" s="858">
        <f>'Laminates- copilot'!D138</f>
        <v>121</v>
      </c>
      <c r="F404" s="858">
        <v>250</v>
      </c>
      <c r="G404" s="858">
        <v>200</v>
      </c>
      <c r="H404" s="858">
        <v>0</v>
      </c>
      <c r="I404" s="858">
        <v>0</v>
      </c>
      <c r="J404" s="858">
        <v>500</v>
      </c>
      <c r="K404" s="858">
        <v>50000</v>
      </c>
      <c r="L404" s="858" t="str">
        <f>'Laminates- copilot'!K138</f>
        <v>Printed</v>
      </c>
      <c r="M404" s="858" t="str">
        <f>'Laminates- copilot'!L138</f>
        <v>3-4</v>
      </c>
      <c r="N404" s="858">
        <f>'Laminates- copilot'!M138</f>
        <v>4</v>
      </c>
      <c r="O404" s="858" t="str">
        <f>'Laminates- copilot'!O138</f>
        <v>Quantum</v>
      </c>
      <c r="P404" s="858" t="str">
        <f>'Laminates- copilot'!N138</f>
        <v>Europe to Europe</v>
      </c>
      <c r="Q404" s="858">
        <f t="shared" si="96"/>
        <v>10000</v>
      </c>
      <c r="R404" s="858">
        <f t="shared" si="97"/>
        <v>10000</v>
      </c>
      <c r="S404" s="858">
        <f>IFERROR('Laminates- copilot'!Q138/'Laminates- copilot'!P138*Q404,"")</f>
        <v>393.29500000000002</v>
      </c>
      <c r="T404" s="203">
        <f>IFERROR('Laminates- copilot'!R138/'Laminates- copilot'!P138*Q404,"")</f>
        <v>7473.8884097418386</v>
      </c>
      <c r="U404" s="912">
        <f>IFERROR('Laminates- copilot'!S138/'Laminates- copilot'!P138*Q404,"")</f>
        <v>8669.7105553005331</v>
      </c>
      <c r="V404" s="913">
        <f t="shared" si="98"/>
        <v>19.0032632241494</v>
      </c>
      <c r="W404" s="914">
        <f t="shared" si="99"/>
        <v>22.043785340013304</v>
      </c>
      <c r="X404" s="913">
        <f t="shared" si="100"/>
        <v>0.7473888409741839</v>
      </c>
      <c r="Y404" s="913">
        <f t="shared" si="101"/>
        <v>19.0032632241494</v>
      </c>
      <c r="Z404" s="95">
        <f t="shared" si="102"/>
        <v>63566</v>
      </c>
      <c r="AA404" s="50" t="str">
        <f t="shared" si="103"/>
        <v>Below MOQ by 13,566 bags</v>
      </c>
      <c r="AB404" s="923">
        <f t="shared" si="104"/>
        <v>0.23432895438865678</v>
      </c>
      <c r="AC404" s="924">
        <f t="shared" si="105"/>
        <v>0.27182158709084187</v>
      </c>
      <c r="AD404" s="203">
        <f t="shared" si="106"/>
        <v>11716.447719432839</v>
      </c>
      <c r="AE404" s="912">
        <f t="shared" si="107"/>
        <v>13591.079354542093</v>
      </c>
      <c r="AF404" s="923" cm="1">
        <f t="array" ref="AF404">IF(O404="Quantum",IFERROR(_xlfn.LET(_xlpm.b,_xlfn.SWITCH(LOWER(B404),"zipper bag","Zipper pouch","open bag","Open pouch","sup with zipper","Stand-up pouch","stand-up pouch","Stand-up pouch",B404),_xlpm.w,G404,_xlpm.q,K404,_xlpm.types,'Converting-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missing"),IFERROR(_xlfn.LET(_xlpm.s,O404,_xlpm.b,_xlfn.SWITCH(LOWER(B404),"zipper bag","Zipper pouch","open bag","Open pouch",B404),_xlpm.w,G404,_xlpm.q,K404,_xlpm.src,'Converting-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404" s="923">
        <f>IFERROR(IF(OR(B404="Zipper pouch",B404="SUP with zipper"),HELPER!$DE$2*(AH404+AI404)/K404,HELPER!$DE$2*AH404/K404),"Data is missing")</f>
        <v>8.9686660916902059E-3</v>
      </c>
      <c r="AH404" s="923">
        <f t="shared" si="108"/>
        <v>0.7473888409741839</v>
      </c>
      <c r="AI404" s="923" t="str">
        <f>IF(OR(B404="Zipper pouch",B404="SUP with zipper"),HELPER!$DC$2*G404/1000,"")</f>
        <v/>
      </c>
      <c r="AJ404" s="923" cm="1">
        <f t="array" ref="AJ404">IF(INDEX('Laminates- copilot'!$E$6:$E$257,ROUNDUP((ROW()-5)/3,0))+50&gt;IF(O404="Quantum",760,1220),"Width exceeds supplier maximum",IFERROR(AF404+AG404+N(AI404)+AH404*G404/1000/MAX(1,MIN(MAX(2,INT(900/INDEX('Laminates- copilot'!$E$6:$E$257,ROUNDUP((ROW()-5)/3,0)))),INT((IF(O404="Quantum",760,1220)-50)/INDEX('Laminates- copilot'!$E$6:$E$257,ROUNDUP((ROW()-5)/3,0))))),"Data is missing"))</f>
        <v>0.17574671579149259</v>
      </c>
      <c r="AK404" s="203">
        <f t="shared" si="109"/>
        <v>234.32895438865677</v>
      </c>
      <c r="AL404" t="str">
        <f t="shared" si="110"/>
        <v>PASS</v>
      </c>
      <c r="AM404" s="50" t="str">
        <f t="shared" si="111"/>
        <v/>
      </c>
    </row>
    <row r="405" spans="1:39">
      <c r="A405" t="s">
        <v>2033</v>
      </c>
      <c r="B405" t="s">
        <v>251</v>
      </c>
      <c r="C405" s="50" t="s">
        <v>2206</v>
      </c>
      <c r="D405">
        <f>'Laminates- copilot'!B139</f>
        <v>823</v>
      </c>
      <c r="E405" s="858">
        <f>'Laminates- copilot'!D139</f>
        <v>121</v>
      </c>
      <c r="F405" s="858">
        <v>300</v>
      </c>
      <c r="G405" s="858">
        <v>300</v>
      </c>
      <c r="H405" s="858">
        <v>50</v>
      </c>
      <c r="I405" s="858">
        <v>0</v>
      </c>
      <c r="J405" s="858">
        <v>700</v>
      </c>
      <c r="K405" s="858">
        <v>50000</v>
      </c>
      <c r="L405" s="858" t="str">
        <f>'Laminates- copilot'!K139</f>
        <v>Printed</v>
      </c>
      <c r="M405" s="858" t="str">
        <f>'Laminates- copilot'!L139</f>
        <v>5-8</v>
      </c>
      <c r="N405" s="858">
        <f>'Laminates- copilot'!M139</f>
        <v>8</v>
      </c>
      <c r="O405" s="858" t="str">
        <f>'Laminates- copilot'!O139</f>
        <v>Marma</v>
      </c>
      <c r="P405" s="858" t="str">
        <f>'Laminates- copilot'!N139</f>
        <v>Europe to US</v>
      </c>
      <c r="Q405" s="858">
        <f t="shared" si="96"/>
        <v>15000</v>
      </c>
      <c r="R405" s="858">
        <f t="shared" si="97"/>
        <v>15000</v>
      </c>
      <c r="S405" s="858">
        <f>IFERROR('Laminates- copilot'!Q139/'Laminates- copilot'!P139*Q405,"")</f>
        <v>1516.9950000000001</v>
      </c>
      <c r="T405" s="203">
        <f>IFERROR('Laminates- copilot'!R139/'Laminates- copilot'!P139*Q405,"")</f>
        <v>22276.282421098131</v>
      </c>
      <c r="U405" s="912">
        <f>IFERROR('Laminates- copilot'!S139/'Laminates- copilot'!P139*Q405,"")</f>
        <v>25840.487608473828</v>
      </c>
      <c r="V405" s="913">
        <f t="shared" si="98"/>
        <v>14.684479791362614</v>
      </c>
      <c r="W405" s="914">
        <f t="shared" si="99"/>
        <v>17.033996557980629</v>
      </c>
      <c r="X405" s="913">
        <f t="shared" si="100"/>
        <v>1.4850854947398753</v>
      </c>
      <c r="Y405" s="913">
        <f t="shared" si="101"/>
        <v>14.684479791362614</v>
      </c>
      <c r="Z405" s="95">
        <f t="shared" si="102"/>
        <v>16480</v>
      </c>
      <c r="AA405" s="50" t="str">
        <f t="shared" si="103"/>
        <v>MOQ OK</v>
      </c>
      <c r="AB405" s="923">
        <f t="shared" si="104"/>
        <v>0.75274163588990062</v>
      </c>
      <c r="AC405" s="924">
        <f t="shared" si="105"/>
        <v>0.87318029763228466</v>
      </c>
      <c r="AD405" s="203">
        <f t="shared" si="106"/>
        <v>37637.081794495032</v>
      </c>
      <c r="AE405" s="912">
        <f t="shared" si="107"/>
        <v>43659.014881614232</v>
      </c>
      <c r="AF405" s="923" cm="1">
        <f t="array" ref="AF405">IF(O405="Quantum",IFERROR(_xlfn.LET(_xlpm.b,_xlfn.SWITCH(LOWER(B405),"zipper bag","Zipper pouch","open bag","Open pouch","sup with zipper","Stand-up pouch","stand-up pouch","Stand-up pouch",B405),_xlpm.w,G405,_xlpm.q,K405,_xlpm.types,'Converting-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missing"),IFERROR(_xlfn.LET(_xlpm.s,O405,_xlpm.b,_xlfn.SWITCH(LOWER(B405),"zipper bag","Zipper pouch","open bag","Open pouch",B405),_xlpm.w,G405,_xlpm.q,K405,_xlpm.src,'Converting-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05" s="923">
        <f>IFERROR(IF(OR(B405="Zipper pouch",B405="SUP with zipper"),HELPER!$DE$2*(AH405+AI405)/K405,HELPER!$DE$2*AH405/K405),"Data is missing")</f>
        <v>1.8339425936878501E-2</v>
      </c>
      <c r="AH405" s="923">
        <f t="shared" si="108"/>
        <v>1.4850854947398753</v>
      </c>
      <c r="AI405" s="923">
        <f>IF(OR(B405="Zipper pouch",B405="SUP with zipper"),HELPER!$DC$2*G405/1000,"")</f>
        <v>4.3199999999999995E-2</v>
      </c>
      <c r="AJ405" s="923" cm="1">
        <f t="array" ref="AJ405">IF(INDEX('Laminates- copilot'!$E$6:$E$257,ROUNDUP((ROW()-5)/3,0))+50&gt;IF(O405="Quantum",760,1220),"Width exceeds supplier maximum",IFERROR(AF405+AG405+N(AI405)+AH405*G405/1000/MAX(1,MIN(MAX(2,INT(900/INDEX('Laminates- copilot'!$E$6:$E$257,ROUNDUP((ROW()-5)/3,0)))),INT((IF(O405="Quantum",760,1220)-50)/INDEX('Laminates- copilot'!$E$6:$E$257,ROUNDUP((ROW()-5)/3,0))))),"Data is missing"))</f>
        <v>0.56455622691742546</v>
      </c>
      <c r="AK405" s="203">
        <f t="shared" si="109"/>
        <v>752.74163588990064</v>
      </c>
      <c r="AL405" t="str">
        <f t="shared" si="110"/>
        <v>PASS</v>
      </c>
      <c r="AM405" s="50" t="str">
        <f t="shared" si="111"/>
        <v/>
      </c>
    </row>
    <row r="406" spans="1:39">
      <c r="A406" t="s">
        <v>2034</v>
      </c>
      <c r="B406" t="s">
        <v>261</v>
      </c>
      <c r="C406" s="50" t="s">
        <v>2206</v>
      </c>
      <c r="D406">
        <f>'Laminates- copilot'!B139</f>
        <v>823</v>
      </c>
      <c r="E406" s="858">
        <f>'Laminates- copilot'!D139</f>
        <v>121</v>
      </c>
      <c r="F406" s="858">
        <v>300</v>
      </c>
      <c r="G406" s="858">
        <v>300</v>
      </c>
      <c r="H406" s="858">
        <v>50</v>
      </c>
      <c r="I406" s="858">
        <v>0</v>
      </c>
      <c r="J406" s="858">
        <v>700</v>
      </c>
      <c r="K406" s="858">
        <v>50000</v>
      </c>
      <c r="L406" s="858" t="str">
        <f>'Laminates- copilot'!K139</f>
        <v>Printed</v>
      </c>
      <c r="M406" s="858" t="str">
        <f>'Laminates- copilot'!L139</f>
        <v>5-8</v>
      </c>
      <c r="N406" s="858">
        <f>'Laminates- copilot'!M139</f>
        <v>8</v>
      </c>
      <c r="O406" s="858" t="str">
        <f>'Laminates- copilot'!O139</f>
        <v>Marma</v>
      </c>
      <c r="P406" s="858" t="str">
        <f>'Laminates- copilot'!N139</f>
        <v>Europe to US</v>
      </c>
      <c r="Q406" s="858">
        <f t="shared" si="96"/>
        <v>15000</v>
      </c>
      <c r="R406" s="858">
        <f t="shared" si="97"/>
        <v>15000</v>
      </c>
      <c r="S406" s="858">
        <f>IFERROR('Laminates- copilot'!Q139/'Laminates- copilot'!P139*Q406,"")</f>
        <v>1516.9950000000001</v>
      </c>
      <c r="T406" s="203">
        <f>IFERROR('Laminates- copilot'!R139/'Laminates- copilot'!P139*Q406,"")</f>
        <v>22276.282421098131</v>
      </c>
      <c r="U406" s="912">
        <f>IFERROR('Laminates- copilot'!S139/'Laminates- copilot'!P139*Q406,"")</f>
        <v>25840.487608473828</v>
      </c>
      <c r="V406" s="913">
        <f t="shared" si="98"/>
        <v>14.684479791362614</v>
      </c>
      <c r="W406" s="914">
        <f t="shared" si="99"/>
        <v>17.033996557980629</v>
      </c>
      <c r="X406" s="913">
        <f t="shared" si="100"/>
        <v>1.4850854947398753</v>
      </c>
      <c r="Y406" s="913">
        <f t="shared" si="101"/>
        <v>14.684479791362614</v>
      </c>
      <c r="Z406" s="95">
        <f t="shared" si="102"/>
        <v>16480</v>
      </c>
      <c r="AA406" s="50" t="str">
        <f t="shared" si="103"/>
        <v>MOQ OK</v>
      </c>
      <c r="AB406" s="923">
        <f t="shared" si="104"/>
        <v>0.74689841168225746</v>
      </c>
      <c r="AC406" s="924">
        <f t="shared" si="105"/>
        <v>0.86640215755141858</v>
      </c>
      <c r="AD406" s="203">
        <f t="shared" si="106"/>
        <v>37344.920584112871</v>
      </c>
      <c r="AE406" s="912">
        <f t="shared" si="107"/>
        <v>43320.107877570925</v>
      </c>
      <c r="AF406" s="923" cm="1">
        <f t="array" ref="AF406">IF(O406="Quantum",IFERROR(_xlfn.LET(_xlpm.b,_xlfn.SWITCH(LOWER(B406),"zipper bag","Zipper pouch","open bag","Open pouch","sup with zipper","Stand-up pouch","stand-up pouch","Stand-up pouch",B406),_xlpm.w,G406,_xlpm.q,K406,_xlpm.types,'Converting-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missing"),IFERROR(_xlfn.LET(_xlpm.s,O406,_xlpm.b,_xlfn.SWITCH(LOWER(B406),"zipper bag","Zipper pouch","open bag","Open pouch",B406),_xlpm.w,G406,_xlpm.q,K406,_xlpm.src,'Converting-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06" s="923">
        <f>IFERROR(IF(OR(B406="Zipper pouch",B406="SUP with zipper"),HELPER!$DE$2*(AH406+AI406)/K406,HELPER!$DE$2*AH406/K406),"Data is missing")</f>
        <v>1.8339425936878501E-2</v>
      </c>
      <c r="AH406" s="923">
        <f t="shared" si="108"/>
        <v>1.4850854947398753</v>
      </c>
      <c r="AI406" s="923">
        <f>IF(OR(B406="Zipper pouch",B406="SUP with zipper"),HELPER!$DC$2*G406/1000,"")</f>
        <v>4.3199999999999995E-2</v>
      </c>
      <c r="AJ406" s="923" cm="1">
        <f t="array" ref="AJ406">IF(INDEX('Laminates- copilot'!$E$6:$E$257,ROUNDUP((ROW()-5)/3,0))+50&gt;IF(O406="Quantum",760,1220),"Width exceeds supplier maximum",IFERROR(AF406+AG406+N(AI406)+AH406*G406/1000/MAX(1,MIN(MAX(2,INT(900/INDEX('Laminates- copilot'!$E$6:$E$257,ROUNDUP((ROW()-5)/3,0)))),INT((IF(O406="Quantum",760,1220)-50)/INDEX('Laminates- copilot'!$E$6:$E$257,ROUNDUP((ROW()-5)/3,0))))),"Data is missing"))</f>
        <v>0.56017380876169309</v>
      </c>
      <c r="AK406" s="203">
        <f t="shared" si="109"/>
        <v>746.89841168225746</v>
      </c>
      <c r="AL406" t="str">
        <f t="shared" si="110"/>
        <v>PASS</v>
      </c>
      <c r="AM406" s="50" t="str">
        <f t="shared" si="111"/>
        <v/>
      </c>
    </row>
    <row r="407" spans="1:39">
      <c r="A407" t="s">
        <v>2035</v>
      </c>
      <c r="B407" t="s">
        <v>262</v>
      </c>
      <c r="C407" s="50" t="s">
        <v>2206</v>
      </c>
      <c r="D407">
        <f>'Laminates- copilot'!B139</f>
        <v>823</v>
      </c>
      <c r="E407" s="858">
        <f>'Laminates- copilot'!D139</f>
        <v>121</v>
      </c>
      <c r="F407" s="858">
        <v>300</v>
      </c>
      <c r="G407" s="858">
        <v>300</v>
      </c>
      <c r="H407" s="858">
        <v>0</v>
      </c>
      <c r="I407" s="858">
        <v>10</v>
      </c>
      <c r="J407" s="858">
        <v>610</v>
      </c>
      <c r="K407" s="858">
        <v>50000</v>
      </c>
      <c r="L407" s="858" t="str">
        <f>'Laminates- copilot'!K139</f>
        <v>Printed</v>
      </c>
      <c r="M407" s="858" t="str">
        <f>'Laminates- copilot'!L139</f>
        <v>5-8</v>
      </c>
      <c r="N407" s="858">
        <f>'Laminates- copilot'!M139</f>
        <v>8</v>
      </c>
      <c r="O407" s="858" t="str">
        <f>'Laminates- copilot'!O139</f>
        <v>Marma</v>
      </c>
      <c r="P407" s="858" t="str">
        <f>'Laminates- copilot'!N139</f>
        <v>Europe to US</v>
      </c>
      <c r="Q407" s="858">
        <f t="shared" si="96"/>
        <v>15000</v>
      </c>
      <c r="R407" s="858">
        <f t="shared" si="97"/>
        <v>15000</v>
      </c>
      <c r="S407" s="858">
        <f>IFERROR('Laminates- copilot'!Q139/'Laminates- copilot'!P139*Q407,"")</f>
        <v>1516.9950000000001</v>
      </c>
      <c r="T407" s="203">
        <f>IFERROR('Laminates- copilot'!R139/'Laminates- copilot'!P139*Q407,"")</f>
        <v>22276.282421098131</v>
      </c>
      <c r="U407" s="912">
        <f>IFERROR('Laminates- copilot'!S139/'Laminates- copilot'!P139*Q407,"")</f>
        <v>25840.487608473828</v>
      </c>
      <c r="V407" s="913">
        <f t="shared" si="98"/>
        <v>14.684479791362614</v>
      </c>
      <c r="W407" s="914">
        <f t="shared" si="99"/>
        <v>17.033996557980629</v>
      </c>
      <c r="X407" s="913">
        <f t="shared" si="100"/>
        <v>1.4850854947398753</v>
      </c>
      <c r="Y407" s="913">
        <f t="shared" si="101"/>
        <v>14.684479791362614</v>
      </c>
      <c r="Z407" s="95">
        <f t="shared" si="102"/>
        <v>16480</v>
      </c>
      <c r="AA407" s="50" t="str">
        <f t="shared" si="103"/>
        <v>MOQ OK</v>
      </c>
      <c r="AB407" s="923">
        <f t="shared" si="104"/>
        <v>0.68171920468469016</v>
      </c>
      <c r="AC407" s="924">
        <f t="shared" si="105"/>
        <v>0.79079427743424058</v>
      </c>
      <c r="AD407" s="203">
        <f t="shared" si="106"/>
        <v>34085.96023423451</v>
      </c>
      <c r="AE407" s="912">
        <f t="shared" si="107"/>
        <v>39539.713871712025</v>
      </c>
      <c r="AF407" s="923" cm="1">
        <f t="array" ref="AF407">IF(O407="Quantum",IFERROR(_xlfn.LET(_xlpm.b,_xlfn.SWITCH(LOWER(B407),"zipper bag","Zipper pouch","open bag","Open pouch","sup with zipper","Stand-up pouch","stand-up pouch","Stand-up pouch",B407),_xlpm.w,G407,_xlpm.q,K407,_xlpm.types,'Converting-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missing"),IFERROR(_xlfn.LET(_xlpm.s,O407,_xlpm.b,_xlfn.SWITCH(LOWER(B407),"zipper bag","Zipper pouch","open bag","Open pouch",B407),_xlpm.w,G407,_xlpm.q,K407,_xlpm.src,'Converting-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07" s="923">
        <f>IFERROR(IF(OR(B407="Zipper pouch",B407="SUP with zipper"),HELPER!$DE$2*(AH407+AI407)/K407,HELPER!$DE$2*AH407/K407),"Data is missing")</f>
        <v>1.7821025936878503E-2</v>
      </c>
      <c r="AH407" s="923">
        <f t="shared" si="108"/>
        <v>1.4850854947398753</v>
      </c>
      <c r="AI407" s="923" t="str">
        <f>IF(OR(B407="Zipper pouch",B407="SUP with zipper"),HELPER!$DC$2*G407/1000,"")</f>
        <v/>
      </c>
      <c r="AJ407" s="923" cm="1">
        <f t="array" ref="AJ407">IF(INDEX('Laminates- copilot'!$E$6:$E$257,ROUNDUP((ROW()-5)/3,0))+50&gt;IF(O407="Quantum",760,1220),"Width exceeds supplier maximum",IFERROR(AF407+AG407+N(AI407)+AH407*G407/1000/MAX(1,MIN(MAX(2,INT(900/INDEX('Laminates- copilot'!$E$6:$E$257,ROUNDUP((ROW()-5)/3,0)))),INT((IF(O407="Quantum",760,1220)-50)/INDEX('Laminates- copilot'!$E$6:$E$257,ROUNDUP((ROW()-5)/3,0))))),"Data is missing"))</f>
        <v>0.51128940351351759</v>
      </c>
      <c r="AK407" s="203">
        <f t="shared" si="109"/>
        <v>681.71920468469011</v>
      </c>
      <c r="AL407" t="str">
        <f t="shared" si="110"/>
        <v>PASS</v>
      </c>
      <c r="AM407" s="50" t="str">
        <f t="shared" si="111"/>
        <v/>
      </c>
    </row>
    <row r="408" spans="1:39" hidden="1">
      <c r="A408" t="s">
        <v>2036</v>
      </c>
      <c r="B408" t="s">
        <v>251</v>
      </c>
      <c r="C408" s="50" t="s">
        <v>2207</v>
      </c>
      <c r="D408">
        <f>'Laminates- copilot'!B140</f>
        <v>823</v>
      </c>
      <c r="E408" s="858">
        <f>'Laminates- copilot'!D140</f>
        <v>121</v>
      </c>
      <c r="F408" s="858">
        <v>350</v>
      </c>
      <c r="G408" s="858">
        <v>400</v>
      </c>
      <c r="H408" s="858">
        <v>60</v>
      </c>
      <c r="I408" s="858">
        <v>0</v>
      </c>
      <c r="J408" s="858">
        <v>820</v>
      </c>
      <c r="K408" s="858">
        <v>100000</v>
      </c>
      <c r="L408" s="858" t="str">
        <f>'Laminates- copilot'!K140</f>
        <v>Not Printed</v>
      </c>
      <c r="M408" s="858" t="str">
        <f>'Laminates- copilot'!L140</f>
        <v>0</v>
      </c>
      <c r="N408" s="858">
        <f>'Laminates- copilot'!M140</f>
        <v>1</v>
      </c>
      <c r="O408" s="858" t="str">
        <f>'Laminates- copilot'!O140</f>
        <v>Bastin</v>
      </c>
      <c r="P408" s="858" t="str">
        <f>'Laminates- copilot'!N140</f>
        <v>Europe to Europe</v>
      </c>
      <c r="Q408" s="858">
        <f t="shared" si="96"/>
        <v>40000</v>
      </c>
      <c r="R408" s="858">
        <f t="shared" si="97"/>
        <v>40000</v>
      </c>
      <c r="S408" s="858">
        <f>IFERROR('Laminates- copilot'!Q140/'Laminates- copilot'!P140*Q408,"")</f>
        <v>1573.18</v>
      </c>
      <c r="T408" s="203">
        <f>IFERROR('Laminates- copilot'!R140/'Laminates- copilot'!P140*Q408,"")</f>
        <v>17590.95989984375</v>
      </c>
      <c r="U408" s="912">
        <f>IFERROR('Laminates- copilot'!S140/'Laminates- copilot'!P140*Q408,"")</f>
        <v>20405.513483818748</v>
      </c>
      <c r="V408" s="913">
        <f t="shared" si="98"/>
        <v>11.181784601789845</v>
      </c>
      <c r="W408" s="914">
        <f t="shared" si="99"/>
        <v>12.97087013807622</v>
      </c>
      <c r="X408" s="913">
        <f t="shared" si="100"/>
        <v>0.43977399749609375</v>
      </c>
      <c r="Y408" s="913">
        <f t="shared" si="101"/>
        <v>11.181784601789845</v>
      </c>
      <c r="Z408" s="95">
        <f t="shared" si="102"/>
        <v>31783</v>
      </c>
      <c r="AA408" s="50" t="str">
        <f t="shared" si="103"/>
        <v>MOQ OK</v>
      </c>
      <c r="AB408" s="923">
        <f t="shared" si="104"/>
        <v>0.32868403629871029</v>
      </c>
      <c r="AC408" s="924">
        <f t="shared" si="105"/>
        <v>0.38127348210650391</v>
      </c>
      <c r="AD408" s="203">
        <f t="shared" si="106"/>
        <v>32868.403629871027</v>
      </c>
      <c r="AE408" s="912">
        <f t="shared" si="107"/>
        <v>38127.348210650387</v>
      </c>
      <c r="AF408" s="923" cm="1">
        <f t="array" ref="AF408">IF(O408="Quantum",IFERROR(_xlfn.LET(_xlpm.b,_xlfn.SWITCH(LOWER(B408),"zipper bag","Zipper pouch","open bag","Open pouch","sup with zipper","Stand-up pouch","stand-up pouch","Stand-up pouch",B408),_xlpm.w,G408,_xlpm.q,K408,_xlpm.types,'Converting-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missing"),IFERROR(_xlfn.LET(_xlpm.s,O408,_xlpm.b,_xlfn.SWITCH(LOWER(B408),"zipper bag","Zipper pouch","open bag","Open pouch",B408),_xlpm.w,G408,_xlpm.q,K408,_xlpm.src,'Converting-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08" s="923">
        <f>IFERROR(IF(OR(B408="Zipper pouch",B408="SUP with zipper"),HELPER!$DE$2*(AH408+AI408)/K408,HELPER!$DE$2*AH408/K408),"Data is missing")</f>
        <v>2.9842439849765623E-3</v>
      </c>
      <c r="AH408" s="923">
        <f t="shared" si="108"/>
        <v>0.43977399749609375</v>
      </c>
      <c r="AI408" s="923">
        <f>IF(OR(B408="Zipper pouch",B408="SUP with zipper"),HELPER!$DC$2*G408/1000,"")</f>
        <v>5.7599999999999991E-2</v>
      </c>
      <c r="AJ408" s="923" cm="1">
        <f t="array" ref="AJ408">IF(INDEX('Laminates- copilot'!$E$6:$E$257,ROUNDUP((ROW()-5)/3,0))+50&gt;IF(O408="Quantum",760,1220),"Width exceeds supplier maximum",IFERROR(AF408+AG408+N(AI408)+AH408*G408/1000/MAX(1,MIN(MAX(2,INT(900/INDEX('Laminates- copilot'!$E$6:$E$257,ROUNDUP((ROW()-5)/3,0)))),INT((IF(O408="Quantum",760,1220)-50)/INDEX('Laminates- copilot'!$E$6:$E$257,ROUNDUP((ROW()-5)/3,0))))),"Data is missing"))</f>
        <v>0.2465130272240327</v>
      </c>
      <c r="AK408" s="203">
        <f t="shared" si="109"/>
        <v>328.68403629871028</v>
      </c>
      <c r="AL408" t="str">
        <f t="shared" si="110"/>
        <v>PASS</v>
      </c>
      <c r="AM408" s="50" t="str">
        <f t="shared" si="111"/>
        <v/>
      </c>
    </row>
    <row r="409" spans="1:39" hidden="1">
      <c r="A409" t="s">
        <v>2037</v>
      </c>
      <c r="B409" t="s">
        <v>261</v>
      </c>
      <c r="C409" s="50" t="s">
        <v>2207</v>
      </c>
      <c r="D409">
        <f>'Laminates- copilot'!B140</f>
        <v>823</v>
      </c>
      <c r="E409" s="858">
        <f>'Laminates- copilot'!D140</f>
        <v>121</v>
      </c>
      <c r="F409" s="858">
        <v>350</v>
      </c>
      <c r="G409" s="858">
        <v>400</v>
      </c>
      <c r="H409" s="858">
        <v>60</v>
      </c>
      <c r="I409" s="858">
        <v>0</v>
      </c>
      <c r="J409" s="858">
        <v>820</v>
      </c>
      <c r="K409" s="858">
        <v>100000</v>
      </c>
      <c r="L409" s="858" t="str">
        <f>'Laminates- copilot'!K140</f>
        <v>Not Printed</v>
      </c>
      <c r="M409" s="858" t="str">
        <f>'Laminates- copilot'!L140</f>
        <v>0</v>
      </c>
      <c r="N409" s="858">
        <f>'Laminates- copilot'!M140</f>
        <v>1</v>
      </c>
      <c r="O409" s="858" t="str">
        <f>'Laminates- copilot'!O140</f>
        <v>Bastin</v>
      </c>
      <c r="P409" s="858" t="str">
        <f>'Laminates- copilot'!N140</f>
        <v>Europe to Europe</v>
      </c>
      <c r="Q409" s="858">
        <f t="shared" si="96"/>
        <v>40000</v>
      </c>
      <c r="R409" s="858">
        <f t="shared" si="97"/>
        <v>40000</v>
      </c>
      <c r="S409" s="858">
        <f>IFERROR('Laminates- copilot'!Q140/'Laminates- copilot'!P140*Q409,"")</f>
        <v>1573.18</v>
      </c>
      <c r="T409" s="203">
        <f>IFERROR('Laminates- copilot'!R140/'Laminates- copilot'!P140*Q409,"")</f>
        <v>17590.95989984375</v>
      </c>
      <c r="U409" s="912">
        <f>IFERROR('Laminates- copilot'!S140/'Laminates- copilot'!P140*Q409,"")</f>
        <v>20405.513483818748</v>
      </c>
      <c r="V409" s="913">
        <f t="shared" si="98"/>
        <v>11.181784601789845</v>
      </c>
      <c r="W409" s="914">
        <f t="shared" si="99"/>
        <v>12.97087013807622</v>
      </c>
      <c r="X409" s="913">
        <f t="shared" si="100"/>
        <v>0.43977399749609375</v>
      </c>
      <c r="Y409" s="913">
        <f t="shared" si="101"/>
        <v>11.181784601789845</v>
      </c>
      <c r="Z409" s="95">
        <f t="shared" si="102"/>
        <v>31783</v>
      </c>
      <c r="AA409" s="50" t="str">
        <f t="shared" si="103"/>
        <v>MOQ OK</v>
      </c>
      <c r="AB409" s="923">
        <f t="shared" si="104"/>
        <v>0.31875055514571693</v>
      </c>
      <c r="AC409" s="924">
        <f t="shared" si="105"/>
        <v>0.36975064396903162</v>
      </c>
      <c r="AD409" s="203">
        <f t="shared" si="106"/>
        <v>31875.055514571693</v>
      </c>
      <c r="AE409" s="912">
        <f t="shared" si="107"/>
        <v>36975.064396903159</v>
      </c>
      <c r="AF409" s="923" cm="1">
        <f t="array" ref="AF409">IF(O409="Quantum",IFERROR(_xlfn.LET(_xlpm.b,_xlfn.SWITCH(LOWER(B409),"zipper bag","Zipper pouch","open bag","Open pouch","sup with zipper","Stand-up pouch","stand-up pouch","Stand-up pouch",B409),_xlpm.w,G409,_xlpm.q,K409,_xlpm.types,'Converting-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missing"),IFERROR(_xlfn.LET(_xlpm.s,O409,_xlpm.b,_xlfn.SWITCH(LOWER(B409),"zipper bag","Zipper pouch","open bag","Open pouch",B409),_xlpm.w,G409,_xlpm.q,K409,_xlpm.src,'Converting-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09" s="923">
        <f>IFERROR(IF(OR(B409="Zipper pouch",B409="SUP with zipper"),HELPER!$DE$2*(AH409+AI409)/K409,HELPER!$DE$2*AH409/K409),"Data is missing")</f>
        <v>2.9842439849765623E-3</v>
      </c>
      <c r="AH409" s="923">
        <f t="shared" si="108"/>
        <v>0.43977399749609375</v>
      </c>
      <c r="AI409" s="923">
        <f>IF(OR(B409="Zipper pouch",B409="SUP with zipper"),HELPER!$DC$2*G409/1000,"")</f>
        <v>5.7599999999999991E-2</v>
      </c>
      <c r="AJ409" s="923" cm="1">
        <f t="array" ref="AJ409">IF(INDEX('Laminates- copilot'!$E$6:$E$257,ROUNDUP((ROW()-5)/3,0))+50&gt;IF(O409="Quantum",760,1220),"Width exceeds supplier maximum",IFERROR(AF409+AG409+N(AI409)+AH409*G409/1000/MAX(1,MIN(MAX(2,INT(900/INDEX('Laminates- copilot'!$E$6:$E$257,ROUNDUP((ROW()-5)/3,0)))),INT((IF(O409="Quantum",760,1220)-50)/INDEX('Laminates- copilot'!$E$6:$E$257,ROUNDUP((ROW()-5)/3,0))))),"Data is missing"))</f>
        <v>0.2390629163592877</v>
      </c>
      <c r="AK409" s="203">
        <f t="shared" si="109"/>
        <v>318.75055514571693</v>
      </c>
      <c r="AL409" t="str">
        <f t="shared" si="110"/>
        <v>PASS</v>
      </c>
      <c r="AM409" s="50" t="str">
        <f t="shared" si="111"/>
        <v/>
      </c>
    </row>
    <row r="410" spans="1:39" hidden="1">
      <c r="A410" t="s">
        <v>2038</v>
      </c>
      <c r="B410" t="s">
        <v>262</v>
      </c>
      <c r="C410" s="50" t="s">
        <v>2207</v>
      </c>
      <c r="D410">
        <f>'Laminates- copilot'!B140</f>
        <v>823</v>
      </c>
      <c r="E410" s="858">
        <f>'Laminates- copilot'!D140</f>
        <v>121</v>
      </c>
      <c r="F410" s="858">
        <v>350</v>
      </c>
      <c r="G410" s="858">
        <v>400</v>
      </c>
      <c r="H410" s="858">
        <v>0</v>
      </c>
      <c r="I410" s="858">
        <v>0</v>
      </c>
      <c r="J410" s="858">
        <v>700</v>
      </c>
      <c r="K410" s="858">
        <v>100000</v>
      </c>
      <c r="L410" s="858" t="str">
        <f>'Laminates- copilot'!K140</f>
        <v>Not Printed</v>
      </c>
      <c r="M410" s="858" t="str">
        <f>'Laminates- copilot'!L140</f>
        <v>0</v>
      </c>
      <c r="N410" s="858">
        <f>'Laminates- copilot'!M140</f>
        <v>1</v>
      </c>
      <c r="O410" s="858" t="str">
        <f>'Laminates- copilot'!O140</f>
        <v>Bastin</v>
      </c>
      <c r="P410" s="858" t="str">
        <f>'Laminates- copilot'!N140</f>
        <v>Europe to Europe</v>
      </c>
      <c r="Q410" s="858">
        <f t="shared" si="96"/>
        <v>40000</v>
      </c>
      <c r="R410" s="858">
        <f t="shared" si="97"/>
        <v>40000</v>
      </c>
      <c r="S410" s="858">
        <f>IFERROR('Laminates- copilot'!Q140/'Laminates- copilot'!P140*Q410,"")</f>
        <v>1573.18</v>
      </c>
      <c r="T410" s="203">
        <f>IFERROR('Laminates- copilot'!R140/'Laminates- copilot'!P140*Q410,"")</f>
        <v>17590.95989984375</v>
      </c>
      <c r="U410" s="912">
        <f>IFERROR('Laminates- copilot'!S140/'Laminates- copilot'!P140*Q410,"")</f>
        <v>20405.513483818748</v>
      </c>
      <c r="V410" s="913">
        <f t="shared" si="98"/>
        <v>11.181784601789845</v>
      </c>
      <c r="W410" s="914">
        <f t="shared" si="99"/>
        <v>12.97087013807622</v>
      </c>
      <c r="X410" s="913">
        <f t="shared" si="100"/>
        <v>0.43977399749609375</v>
      </c>
      <c r="Y410" s="913">
        <f t="shared" si="101"/>
        <v>11.181784601789845</v>
      </c>
      <c r="Z410" s="95">
        <f t="shared" si="102"/>
        <v>31783</v>
      </c>
      <c r="AA410" s="50" t="str">
        <f t="shared" si="103"/>
        <v>MOQ OK</v>
      </c>
      <c r="AB410" s="923">
        <f t="shared" si="104"/>
        <v>0.22836175675829504</v>
      </c>
      <c r="AC410" s="924">
        <f t="shared" si="105"/>
        <v>0.26489963783962223</v>
      </c>
      <c r="AD410" s="203">
        <f t="shared" si="106"/>
        <v>22836.175675829505</v>
      </c>
      <c r="AE410" s="912">
        <f t="shared" si="107"/>
        <v>26489.963783962223</v>
      </c>
      <c r="AF410" s="923" cm="1">
        <f t="array" ref="AF410">IF(O410="Quantum",IFERROR(_xlfn.LET(_xlpm.b,_xlfn.SWITCH(LOWER(B410),"zipper bag","Zipper pouch","open bag","Open pouch","sup with zipper","Stand-up pouch","stand-up pouch","Stand-up pouch",B410),_xlpm.w,G410,_xlpm.q,K410,_xlpm.types,'Converting-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missing"),IFERROR(_xlfn.LET(_xlpm.s,O410,_xlpm.b,_xlfn.SWITCH(LOWER(B410),"zipper bag","Zipper pouch","open bag","Open pouch",B410),_xlpm.w,G410,_xlpm.q,K410,_xlpm.src,'Converting-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410" s="923">
        <f>IFERROR(IF(OR(B410="Zipper pouch",B410="SUP with zipper"),HELPER!$DE$2*(AH410+AI410)/K410,HELPER!$DE$2*AH410/K410),"Data is missing")</f>
        <v>2.6386439849765621E-3</v>
      </c>
      <c r="AH410" s="923">
        <f t="shared" si="108"/>
        <v>0.43977399749609375</v>
      </c>
      <c r="AI410" s="923" t="str">
        <f>IF(OR(B410="Zipper pouch",B410="SUP with zipper"),HELPER!$DC$2*G410/1000,"")</f>
        <v/>
      </c>
      <c r="AJ410" s="923" cm="1">
        <f t="array" ref="AJ410">IF(INDEX('Laminates- copilot'!$E$6:$E$257,ROUNDUP((ROW()-5)/3,0))+50&gt;IF(O410="Quantum",760,1220),"Width exceeds supplier maximum",IFERROR(AF410+AG410+N(AI410)+AH410*G410/1000/MAX(1,MIN(MAX(2,INT(900/INDEX('Laminates- copilot'!$E$6:$E$257,ROUNDUP((ROW()-5)/3,0)))),INT((IF(O410="Quantum",760,1220)-50)/INDEX('Laminates- copilot'!$E$6:$E$257,ROUNDUP((ROW()-5)/3,0))))),"Data is missing"))</f>
        <v>0.17127131756872127</v>
      </c>
      <c r="AK410" s="203">
        <f t="shared" si="109"/>
        <v>228.36175675829503</v>
      </c>
      <c r="AL410" t="str">
        <f t="shared" si="110"/>
        <v>PASS</v>
      </c>
      <c r="AM410" s="50" t="str">
        <f t="shared" si="111"/>
        <v/>
      </c>
    </row>
    <row r="411" spans="1:39" hidden="1">
      <c r="A411" t="s">
        <v>2039</v>
      </c>
      <c r="B411" t="s">
        <v>251</v>
      </c>
      <c r="C411" s="50" t="s">
        <v>2208</v>
      </c>
      <c r="D411">
        <f>'Laminates- copilot'!B141</f>
        <v>823</v>
      </c>
      <c r="E411" s="858">
        <f>'Laminates- copilot'!D141</f>
        <v>121</v>
      </c>
      <c r="F411" s="858">
        <v>400</v>
      </c>
      <c r="G411" s="858">
        <v>500</v>
      </c>
      <c r="H411" s="858">
        <v>80</v>
      </c>
      <c r="I411" s="858">
        <v>0</v>
      </c>
      <c r="J411" s="858">
        <v>960</v>
      </c>
      <c r="K411" s="858">
        <v>100000</v>
      </c>
      <c r="L411" s="858" t="str">
        <f>'Laminates- copilot'!K141</f>
        <v>Printed</v>
      </c>
      <c r="M411" s="858" t="str">
        <f>'Laminates- copilot'!L141</f>
        <v>3-4</v>
      </c>
      <c r="N411" s="858">
        <f>'Laminates- copilot'!M141</f>
        <v>4</v>
      </c>
      <c r="O411" s="858" t="str">
        <f>'Laminates- copilot'!O141</f>
        <v>Quantum</v>
      </c>
      <c r="P411" s="858" t="str">
        <f>'Laminates- copilot'!N141</f>
        <v>Europe to US</v>
      </c>
      <c r="Q411" s="858">
        <f t="shared" si="96"/>
        <v>50000</v>
      </c>
      <c r="R411" s="858">
        <f t="shared" si="97"/>
        <v>50000</v>
      </c>
      <c r="S411" s="858">
        <f>IFERROR('Laminates- copilot'!Q141/'Laminates- copilot'!P141*Q411,"")</f>
        <v>3371.1</v>
      </c>
      <c r="T411" s="203">
        <f>IFERROR('Laminates- copilot'!R141/'Laminates- copilot'!P141*Q411,"")</f>
        <v>87781.71825951185</v>
      </c>
      <c r="U411" s="912">
        <f>IFERROR('Laminates- copilot'!S141/'Laminates- copilot'!P141*Q411,"")</f>
        <v>101826.79318103373</v>
      </c>
      <c r="V411" s="913">
        <f t="shared" si="98"/>
        <v>26.039488077930603</v>
      </c>
      <c r="W411" s="914">
        <f t="shared" si="99"/>
        <v>30.205806170399494</v>
      </c>
      <c r="X411" s="913">
        <f t="shared" si="100"/>
        <v>1.7556343651902371</v>
      </c>
      <c r="Y411" s="913">
        <f t="shared" si="101"/>
        <v>26.039488077930603</v>
      </c>
      <c r="Z411" s="95">
        <f t="shared" si="102"/>
        <v>14832</v>
      </c>
      <c r="AA411" s="50" t="str">
        <f t="shared" si="103"/>
        <v>MOQ OK</v>
      </c>
      <c r="AB411" s="923">
        <f t="shared" si="104"/>
        <v>1.6427014279318433</v>
      </c>
      <c r="AC411" s="924">
        <f t="shared" si="105"/>
        <v>1.905533656400938</v>
      </c>
      <c r="AD411" s="203">
        <f t="shared" si="106"/>
        <v>164270.14279318432</v>
      </c>
      <c r="AE411" s="912">
        <f t="shared" si="107"/>
        <v>190553.36564009381</v>
      </c>
      <c r="AF411" s="923" cm="1">
        <f t="array" ref="AF411">IF(O411="Quantum",IFERROR(_xlfn.LET(_xlpm.b,_xlfn.SWITCH(LOWER(B411),"zipper bag","Zipper pouch","open bag","Open pouch","sup with zipper","Stand-up pouch","stand-up pouch","Stand-up pouch",B411),_xlpm.w,G411,_xlpm.q,K411,_xlpm.types,'Converting-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missing"),IFERROR(_xlfn.LET(_xlpm.s,O411,_xlpm.b,_xlfn.SWITCH(LOWER(B411),"zipper bag","Zipper pouch","open bag","Open pouch",B411),_xlpm.w,G411,_xlpm.q,K411,_xlpm.src,'Converting-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411" s="923">
        <f>IFERROR(IF(OR(B411="Zipper pouch",B411="SUP with zipper"),HELPER!$DE$2*(AH411+AI411)/K411,HELPER!$DE$2*AH411/K411),"Data is missing")</f>
        <v>1.0965806191141424E-2</v>
      </c>
      <c r="AH411" s="923">
        <f t="shared" si="108"/>
        <v>1.7556343651902371</v>
      </c>
      <c r="AI411" s="923">
        <f>IF(OR(B411="Zipper pouch",B411="SUP with zipper"),HELPER!$DC$2*G411/1000,"")</f>
        <v>7.1999999999999995E-2</v>
      </c>
      <c r="AJ411" s="923" cm="1">
        <f t="array" ref="AJ411">IF(INDEX('Laminates- copilot'!$E$6:$E$257,ROUNDUP((ROW()-5)/3,0))+50&gt;IF(O411="Quantum",760,1220),"Width exceeds supplier maximum",IFERROR(AF411+AG411+N(AI411)+AH411*G411/1000/MAX(1,MIN(MAX(2,INT(900/INDEX('Laminates- copilot'!$E$6:$E$257,ROUNDUP((ROW()-5)/3,0)))),INT((IF(O411="Quantum",760,1220)-50)/INDEX('Laminates- copilot'!$E$6:$E$257,ROUNDUP((ROW()-5)/3,0))))),"Data is missing"))</f>
        <v>1.2320260709488824</v>
      </c>
      <c r="AK411" s="203">
        <f t="shared" si="109"/>
        <v>1642.7014279318432</v>
      </c>
      <c r="AL411" t="str">
        <f t="shared" si="110"/>
        <v>PASS</v>
      </c>
      <c r="AM411" s="50" t="str">
        <f t="shared" si="111"/>
        <v/>
      </c>
    </row>
    <row r="412" spans="1:39" hidden="1">
      <c r="A412" t="s">
        <v>2040</v>
      </c>
      <c r="B412" t="s">
        <v>261</v>
      </c>
      <c r="C412" s="50" t="s">
        <v>2208</v>
      </c>
      <c r="D412">
        <f>'Laminates- copilot'!B141</f>
        <v>823</v>
      </c>
      <c r="E412" s="858">
        <f>'Laminates- copilot'!D141</f>
        <v>121</v>
      </c>
      <c r="F412" s="858">
        <v>400</v>
      </c>
      <c r="G412" s="858">
        <v>500</v>
      </c>
      <c r="H412" s="858">
        <v>80</v>
      </c>
      <c r="I412" s="858">
        <v>0</v>
      </c>
      <c r="J412" s="858">
        <v>960</v>
      </c>
      <c r="K412" s="858">
        <v>100000</v>
      </c>
      <c r="L412" s="858" t="str">
        <f>'Laminates- copilot'!K141</f>
        <v>Printed</v>
      </c>
      <c r="M412" s="858" t="str">
        <f>'Laminates- copilot'!L141</f>
        <v>3-4</v>
      </c>
      <c r="N412" s="858">
        <f>'Laminates- copilot'!M141</f>
        <v>4</v>
      </c>
      <c r="O412" s="858" t="str">
        <f>'Laminates- copilot'!O141</f>
        <v>Quantum</v>
      </c>
      <c r="P412" s="858" t="str">
        <f>'Laminates- copilot'!N141</f>
        <v>Europe to US</v>
      </c>
      <c r="Q412" s="858">
        <f t="shared" si="96"/>
        <v>50000</v>
      </c>
      <c r="R412" s="858">
        <f t="shared" si="97"/>
        <v>50000</v>
      </c>
      <c r="S412" s="858">
        <f>IFERROR('Laminates- copilot'!Q141/'Laminates- copilot'!P141*Q412,"")</f>
        <v>3371.1</v>
      </c>
      <c r="T412" s="203">
        <f>IFERROR('Laminates- copilot'!R141/'Laminates- copilot'!P141*Q412,"")</f>
        <v>87781.71825951185</v>
      </c>
      <c r="U412" s="912">
        <f>IFERROR('Laminates- copilot'!S141/'Laminates- copilot'!P141*Q412,"")</f>
        <v>101826.79318103373</v>
      </c>
      <c r="V412" s="913">
        <f t="shared" si="98"/>
        <v>26.039488077930603</v>
      </c>
      <c r="W412" s="914">
        <f t="shared" si="99"/>
        <v>30.205806170399494</v>
      </c>
      <c r="X412" s="913">
        <f t="shared" si="100"/>
        <v>1.7556343651902371</v>
      </c>
      <c r="Y412" s="913">
        <f t="shared" si="101"/>
        <v>26.039488077930603</v>
      </c>
      <c r="Z412" s="95">
        <f t="shared" si="102"/>
        <v>14832</v>
      </c>
      <c r="AA412" s="50" t="str">
        <f t="shared" si="103"/>
        <v>MOQ OK</v>
      </c>
      <c r="AB412" s="923">
        <f t="shared" si="104"/>
        <v>1.603283551136359</v>
      </c>
      <c r="AC412" s="924">
        <f t="shared" si="105"/>
        <v>1.8598089193181764</v>
      </c>
      <c r="AD412" s="203">
        <f t="shared" si="106"/>
        <v>160328.35511363589</v>
      </c>
      <c r="AE412" s="912">
        <f t="shared" si="107"/>
        <v>185980.8919318176</v>
      </c>
      <c r="AF412" s="923" cm="1">
        <f t="array" ref="AF412">IF(O412="Quantum",IFERROR(_xlfn.LET(_xlpm.b,_xlfn.SWITCH(LOWER(B412),"zipper bag","Zipper pouch","open bag","Open pouch","sup with zipper","Stand-up pouch","stand-up pouch","Stand-up pouch",B412),_xlpm.w,G412,_xlpm.q,K412,_xlpm.types,'Converting-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missing"),IFERROR(_xlfn.LET(_xlpm.s,O412,_xlpm.b,_xlfn.SWITCH(LOWER(B412),"zipper bag","Zipper pouch","open bag","Open pouch",B412),_xlpm.w,G412,_xlpm.q,K412,_xlpm.src,'Converting-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412" s="923">
        <f>IFERROR(IF(OR(B412="Zipper pouch",B412="SUP with zipper"),HELPER!$DE$2*(AH412+AI412)/K412,HELPER!$DE$2*AH412/K412),"Data is missing")</f>
        <v>1.0965806191141424E-2</v>
      </c>
      <c r="AH412" s="923">
        <f t="shared" si="108"/>
        <v>1.7556343651902371</v>
      </c>
      <c r="AI412" s="923">
        <f>IF(OR(B412="Zipper pouch",B412="SUP with zipper"),HELPER!$DC$2*G412/1000,"")</f>
        <v>7.1999999999999995E-2</v>
      </c>
      <c r="AJ412" s="923" cm="1">
        <f t="array" ref="AJ412">IF(INDEX('Laminates- copilot'!$E$6:$E$257,ROUNDUP((ROW()-5)/3,0))+50&gt;IF(O412="Quantum",760,1220),"Width exceeds supplier maximum",IFERROR(AF412+AG412+N(AI412)+AH412*G412/1000/MAX(1,MIN(MAX(2,INT(900/INDEX('Laminates- copilot'!$E$6:$E$257,ROUNDUP((ROW()-5)/3,0)))),INT((IF(O412="Quantum",760,1220)-50)/INDEX('Laminates- copilot'!$E$6:$E$257,ROUNDUP((ROW()-5)/3,0))))),"Data is missing"))</f>
        <v>1.2024626633522693</v>
      </c>
      <c r="AK412" s="203">
        <f t="shared" si="109"/>
        <v>1603.2835511363589</v>
      </c>
      <c r="AL412" t="str">
        <f t="shared" si="110"/>
        <v>PASS</v>
      </c>
      <c r="AM412" s="50" t="str">
        <f t="shared" si="111"/>
        <v/>
      </c>
    </row>
    <row r="413" spans="1:39" hidden="1">
      <c r="A413" t="s">
        <v>2041</v>
      </c>
      <c r="B413" t="s">
        <v>262</v>
      </c>
      <c r="C413" s="50" t="s">
        <v>2208</v>
      </c>
      <c r="D413">
        <f>'Laminates- copilot'!B141</f>
        <v>823</v>
      </c>
      <c r="E413" s="858">
        <f>'Laminates- copilot'!D141</f>
        <v>121</v>
      </c>
      <c r="F413" s="858">
        <v>400</v>
      </c>
      <c r="G413" s="858">
        <v>500</v>
      </c>
      <c r="H413" s="858">
        <v>0</v>
      </c>
      <c r="I413" s="858">
        <v>20</v>
      </c>
      <c r="J413" s="858">
        <v>820</v>
      </c>
      <c r="K413" s="858">
        <v>100000</v>
      </c>
      <c r="L413" s="858" t="str">
        <f>'Laminates- copilot'!K141</f>
        <v>Printed</v>
      </c>
      <c r="M413" s="858" t="str">
        <f>'Laminates- copilot'!L141</f>
        <v>3-4</v>
      </c>
      <c r="N413" s="858">
        <f>'Laminates- copilot'!M141</f>
        <v>4</v>
      </c>
      <c r="O413" s="858" t="str">
        <f>'Laminates- copilot'!O141</f>
        <v>Quantum</v>
      </c>
      <c r="P413" s="858" t="str">
        <f>'Laminates- copilot'!N141</f>
        <v>Europe to US</v>
      </c>
      <c r="Q413" s="858">
        <f t="shared" si="96"/>
        <v>50000</v>
      </c>
      <c r="R413" s="858">
        <f t="shared" si="97"/>
        <v>50000</v>
      </c>
      <c r="S413" s="858">
        <f>IFERROR('Laminates- copilot'!Q141/'Laminates- copilot'!P141*Q413,"")</f>
        <v>3371.1</v>
      </c>
      <c r="T413" s="203">
        <f>IFERROR('Laminates- copilot'!R141/'Laminates- copilot'!P141*Q413,"")</f>
        <v>87781.71825951185</v>
      </c>
      <c r="U413" s="912">
        <f>IFERROR('Laminates- copilot'!S141/'Laminates- copilot'!P141*Q413,"")</f>
        <v>101826.79318103373</v>
      </c>
      <c r="V413" s="913">
        <f t="shared" si="98"/>
        <v>26.039488077930603</v>
      </c>
      <c r="W413" s="914">
        <f t="shared" si="99"/>
        <v>30.205806170399494</v>
      </c>
      <c r="X413" s="913">
        <f t="shared" si="100"/>
        <v>1.7556343651902371</v>
      </c>
      <c r="Y413" s="913">
        <f t="shared" si="101"/>
        <v>26.039488077930603</v>
      </c>
      <c r="Z413" s="95">
        <f t="shared" si="102"/>
        <v>14832</v>
      </c>
      <c r="AA413" s="50" t="str">
        <f t="shared" si="103"/>
        <v>MOQ OK</v>
      </c>
      <c r="AB413" s="923">
        <f t="shared" si="104"/>
        <v>1.4728743991252589</v>
      </c>
      <c r="AC413" s="924">
        <f t="shared" si="105"/>
        <v>1.7085343029853002</v>
      </c>
      <c r="AD413" s="203">
        <f t="shared" si="106"/>
        <v>147287.43991252588</v>
      </c>
      <c r="AE413" s="912">
        <f t="shared" si="107"/>
        <v>170853.43029853</v>
      </c>
      <c r="AF413" s="923" cm="1">
        <f t="array" ref="AF413">IF(O413="Quantum",IFERROR(_xlfn.LET(_xlpm.b,_xlfn.SWITCH(LOWER(B413),"zipper bag","Zipper pouch","open bag","Open pouch","sup with zipper","Stand-up pouch","stand-up pouch","Stand-up pouch",B413),_xlpm.w,G413,_xlpm.q,K413,_xlpm.types,'Converting-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missing"),IFERROR(_xlfn.LET(_xlpm.s,O413,_xlpm.b,_xlfn.SWITCH(LOWER(B413),"zipper bag","Zipper pouch","open bag","Open pouch",B413),_xlpm.w,G413,_xlpm.q,K413,_xlpm.src,'Converting-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413" s="923">
        <f>IFERROR(IF(OR(B413="Zipper pouch",B413="SUP with zipper"),HELPER!$DE$2*(AH413+AI413)/K413,HELPER!$DE$2*AH413/K413),"Data is missing")</f>
        <v>1.0533806191141424E-2</v>
      </c>
      <c r="AH413" s="923">
        <f t="shared" si="108"/>
        <v>1.7556343651902371</v>
      </c>
      <c r="AI413" s="923" t="str">
        <f>IF(OR(B413="Zipper pouch",B413="SUP with zipper"),HELPER!$DC$2*G413/1000,"")</f>
        <v/>
      </c>
      <c r="AJ413" s="923" cm="1">
        <f t="array" ref="AJ413">IF(INDEX('Laminates- copilot'!$E$6:$E$257,ROUNDUP((ROW()-5)/3,0))+50&gt;IF(O413="Quantum",760,1220),"Width exceeds supplier maximum",IFERROR(AF413+AG413+N(AI413)+AH413*G413/1000/MAX(1,MIN(MAX(2,INT(900/INDEX('Laminates- copilot'!$E$6:$E$257,ROUNDUP((ROW()-5)/3,0)))),INT((IF(O413="Quantum",760,1220)-50)/INDEX('Laminates- copilot'!$E$6:$E$257,ROUNDUP((ROW()-5)/3,0))))),"Data is missing"))</f>
        <v>1.1046557993439441</v>
      </c>
      <c r="AK413" s="203">
        <f t="shared" si="109"/>
        <v>1472.8743991252588</v>
      </c>
      <c r="AL413" t="str">
        <f t="shared" si="110"/>
        <v>PASS</v>
      </c>
      <c r="AM413" s="50" t="str">
        <f t="shared" si="111"/>
        <v/>
      </c>
    </row>
    <row r="414" spans="1:39" hidden="1">
      <c r="A414" t="s">
        <v>2042</v>
      </c>
      <c r="B414" t="s">
        <v>251</v>
      </c>
      <c r="C414" s="50" t="s">
        <v>2209</v>
      </c>
      <c r="D414">
        <f>'Laminates- copilot'!B142</f>
        <v>823</v>
      </c>
      <c r="E414" s="858">
        <f>'Laminates- copilot'!D142</f>
        <v>121</v>
      </c>
      <c r="F414" s="858">
        <v>600</v>
      </c>
      <c r="G414" s="858">
        <v>200</v>
      </c>
      <c r="H414" s="858">
        <v>50</v>
      </c>
      <c r="I414" s="858">
        <v>0</v>
      </c>
      <c r="J414" s="858">
        <v>1300</v>
      </c>
      <c r="K414" s="858">
        <v>200000</v>
      </c>
      <c r="L414" s="858" t="str">
        <f>'Laminates- copilot'!K142</f>
        <v>Printed</v>
      </c>
      <c r="M414" s="858" t="str">
        <f>'Laminates- copilot'!L142</f>
        <v>5-8</v>
      </c>
      <c r="N414" s="858">
        <f>'Laminates- copilot'!M142</f>
        <v>8</v>
      </c>
      <c r="O414" s="858" t="str">
        <f>'Laminates- copilot'!O142</f>
        <v>Marma</v>
      </c>
      <c r="P414" s="858" t="str">
        <f>'Laminates- copilot'!N142</f>
        <v>Europe to Europe</v>
      </c>
      <c r="Q414" s="858">
        <f t="shared" si="96"/>
        <v>40000</v>
      </c>
      <c r="R414" s="858">
        <f t="shared" si="97"/>
        <v>40000</v>
      </c>
      <c r="S414" s="858">
        <f>IFERROR('Laminates- copilot'!Q142/'Laminates- copilot'!P142*Q414,"")</f>
        <v>4045.32</v>
      </c>
      <c r="T414" s="203">
        <f>IFERROR('Laminates- copilot'!R142/'Laminates- copilot'!P142*Q414,"")</f>
        <v>52443.693622260937</v>
      </c>
      <c r="U414" s="912">
        <f>IFERROR('Laminates- copilot'!S142/'Laminates- copilot'!P142*Q414,"")</f>
        <v>60834.684601822679</v>
      </c>
      <c r="V414" s="913">
        <f t="shared" si="98"/>
        <v>12.964040823040188</v>
      </c>
      <c r="W414" s="914">
        <f t="shared" si="99"/>
        <v>15.038287354726616</v>
      </c>
      <c r="X414" s="913">
        <f t="shared" si="100"/>
        <v>1.3110923405565234</v>
      </c>
      <c r="Y414" s="913">
        <f t="shared" si="101"/>
        <v>12.964040823040188</v>
      </c>
      <c r="Z414" s="95">
        <f t="shared" si="102"/>
        <v>24720</v>
      </c>
      <c r="AA414" s="50" t="str">
        <f t="shared" si="103"/>
        <v>MOQ OK</v>
      </c>
      <c r="AB414" s="923">
        <f t="shared" si="104"/>
        <v>0.45135004716916888</v>
      </c>
      <c r="AC414" s="924">
        <f t="shared" si="105"/>
        <v>0.52356605471623585</v>
      </c>
      <c r="AD414" s="203">
        <f t="shared" si="106"/>
        <v>90270.00943383378</v>
      </c>
      <c r="AE414" s="912">
        <f t="shared" si="107"/>
        <v>104713.21094324718</v>
      </c>
      <c r="AF414" s="923" cm="1">
        <f t="array" ref="AF414">IF(O414="Quantum",IFERROR(_xlfn.LET(_xlpm.b,_xlfn.SWITCH(LOWER(B414),"zipper bag","Zipper pouch","open bag","Open pouch","sup with zipper","Stand-up pouch","stand-up pouch","Stand-up pouch",B414),_xlpm.w,G414,_xlpm.q,K414,_xlpm.types,'Converting-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missing"),IFERROR(_xlfn.LET(_xlpm.s,O414,_xlpm.b,_xlfn.SWITCH(LOWER(B414),"zipper bag","Zipper pouch","open bag","Open pouch",B414),_xlpm.w,G414,_xlpm.q,K414,_xlpm.src,'Converting-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414" s="923">
        <f>IFERROR(IF(OR(B414="Zipper pouch",B414="SUP with zipper"),HELPER!$DE$2*(AH414+AI414)/K414,HELPER!$DE$2*AH414/K414),"Data is missing")</f>
        <v>4.0196770216695699E-3</v>
      </c>
      <c r="AH414" s="923">
        <f t="shared" si="108"/>
        <v>1.3110923405565234</v>
      </c>
      <c r="AI414" s="923">
        <f>IF(OR(B414="Zipper pouch",B414="SUP with zipper"),HELPER!$DC$2*G414/1000,"")</f>
        <v>2.8799999999999996E-2</v>
      </c>
      <c r="AJ414" s="923" cm="1">
        <f t="array" ref="AJ414">IF(INDEX('Laminates- copilot'!$E$6:$E$257,ROUNDUP((ROW()-5)/3,0))+50&gt;IF(O414="Quantum",760,1220),"Width exceeds supplier maximum",IFERROR(AF414+AG414+N(AI414)+AH414*G414/1000/MAX(1,MIN(MAX(2,INT(900/INDEX('Laminates- copilot'!$E$6:$E$257,ROUNDUP((ROW()-5)/3,0)))),INT((IF(O414="Quantum",760,1220)-50)/INDEX('Laminates- copilot'!$E$6:$E$257,ROUNDUP((ROW()-5)/3,0))))),"Data is missing"))</f>
        <v>0.33851253537687664</v>
      </c>
      <c r="AK414" s="203">
        <f t="shared" si="109"/>
        <v>451.35004716916887</v>
      </c>
      <c r="AL414" t="str">
        <f t="shared" si="110"/>
        <v>PASS</v>
      </c>
      <c r="AM414" s="50" t="str">
        <f t="shared" si="111"/>
        <v/>
      </c>
    </row>
    <row r="415" spans="1:39" hidden="1">
      <c r="A415" t="s">
        <v>2043</v>
      </c>
      <c r="B415" t="s">
        <v>261</v>
      </c>
      <c r="C415" s="50" t="s">
        <v>2209</v>
      </c>
      <c r="D415">
        <f>'Laminates- copilot'!B142</f>
        <v>823</v>
      </c>
      <c r="E415" s="858">
        <f>'Laminates- copilot'!D142</f>
        <v>121</v>
      </c>
      <c r="F415" s="858">
        <v>600</v>
      </c>
      <c r="G415" s="858">
        <v>200</v>
      </c>
      <c r="H415" s="858">
        <v>50</v>
      </c>
      <c r="I415" s="858">
        <v>0</v>
      </c>
      <c r="J415" s="858">
        <v>1300</v>
      </c>
      <c r="K415" s="858">
        <v>200000</v>
      </c>
      <c r="L415" s="858" t="str">
        <f>'Laminates- copilot'!K142</f>
        <v>Printed</v>
      </c>
      <c r="M415" s="858" t="str">
        <f>'Laminates- copilot'!L142</f>
        <v>5-8</v>
      </c>
      <c r="N415" s="858">
        <f>'Laminates- copilot'!M142</f>
        <v>8</v>
      </c>
      <c r="O415" s="858" t="str">
        <f>'Laminates- copilot'!O142</f>
        <v>Marma</v>
      </c>
      <c r="P415" s="858" t="str">
        <f>'Laminates- copilot'!N142</f>
        <v>Europe to Europe</v>
      </c>
      <c r="Q415" s="858">
        <f t="shared" si="96"/>
        <v>40000</v>
      </c>
      <c r="R415" s="858">
        <f t="shared" si="97"/>
        <v>40000</v>
      </c>
      <c r="S415" s="858">
        <f>IFERROR('Laminates- copilot'!Q142/'Laminates- copilot'!P142*Q415,"")</f>
        <v>4045.32</v>
      </c>
      <c r="T415" s="203">
        <f>IFERROR('Laminates- copilot'!R142/'Laminates- copilot'!P142*Q415,"")</f>
        <v>52443.693622260937</v>
      </c>
      <c r="U415" s="912">
        <f>IFERROR('Laminates- copilot'!S142/'Laminates- copilot'!P142*Q415,"")</f>
        <v>60834.684601822679</v>
      </c>
      <c r="V415" s="913">
        <f t="shared" si="98"/>
        <v>12.964040823040188</v>
      </c>
      <c r="W415" s="914">
        <f t="shared" si="99"/>
        <v>15.038287354726616</v>
      </c>
      <c r="X415" s="913">
        <f t="shared" si="100"/>
        <v>1.3110923405565234</v>
      </c>
      <c r="Y415" s="913">
        <f t="shared" si="101"/>
        <v>12.964040823040188</v>
      </c>
      <c r="Z415" s="95">
        <f t="shared" si="102"/>
        <v>24720</v>
      </c>
      <c r="AA415" s="50" t="str">
        <f t="shared" si="103"/>
        <v>MOQ OK</v>
      </c>
      <c r="AB415" s="923">
        <f t="shared" si="104"/>
        <v>0.44661981804869583</v>
      </c>
      <c r="AC415" s="924">
        <f t="shared" si="105"/>
        <v>0.51807898893648707</v>
      </c>
      <c r="AD415" s="203">
        <f t="shared" si="106"/>
        <v>89323.963609739163</v>
      </c>
      <c r="AE415" s="912">
        <f t="shared" si="107"/>
        <v>103615.79778729742</v>
      </c>
      <c r="AF415" s="923" cm="1">
        <f t="array" ref="AF415">IF(O415="Quantum",IFERROR(_xlfn.LET(_xlpm.b,_xlfn.SWITCH(LOWER(B415),"zipper bag","Zipper pouch","open bag","Open pouch","sup with zipper","Stand-up pouch","stand-up pouch","Stand-up pouch",B415),_xlpm.w,G415,_xlpm.q,K415,_xlpm.types,'Converting-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missing"),IFERROR(_xlfn.LET(_xlpm.s,O415,_xlpm.b,_xlfn.SWITCH(LOWER(B415),"zipper bag","Zipper pouch","open bag","Open pouch",B415),_xlpm.w,G415,_xlpm.q,K415,_xlpm.src,'Converting-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415" s="923">
        <f>IFERROR(IF(OR(B415="Zipper pouch",B415="SUP with zipper"),HELPER!$DE$2*(AH415+AI415)/K415,HELPER!$DE$2*AH415/K415),"Data is missing")</f>
        <v>4.0196770216695699E-3</v>
      </c>
      <c r="AH415" s="923">
        <f t="shared" si="108"/>
        <v>1.3110923405565234</v>
      </c>
      <c r="AI415" s="923">
        <f>IF(OR(B415="Zipper pouch",B415="SUP with zipper"),HELPER!$DC$2*G415/1000,"")</f>
        <v>2.8799999999999996E-2</v>
      </c>
      <c r="AJ415" s="923" cm="1">
        <f t="array" ref="AJ415">IF(INDEX('Laminates- copilot'!$E$6:$E$257,ROUNDUP((ROW()-5)/3,0))+50&gt;IF(O415="Quantum",760,1220),"Width exceeds supplier maximum",IFERROR(AF415+AG415+N(AI415)+AH415*G415/1000/MAX(1,MIN(MAX(2,INT(900/INDEX('Laminates- copilot'!$E$6:$E$257,ROUNDUP((ROW()-5)/3,0)))),INT((IF(O415="Quantum",760,1220)-50)/INDEX('Laminates- copilot'!$E$6:$E$257,ROUNDUP((ROW()-5)/3,0))))),"Data is missing"))</f>
        <v>0.33496486353652188</v>
      </c>
      <c r="AK415" s="203">
        <f t="shared" si="109"/>
        <v>446.61981804869583</v>
      </c>
      <c r="AL415" t="str">
        <f t="shared" si="110"/>
        <v>PASS</v>
      </c>
      <c r="AM415" s="50" t="str">
        <f t="shared" si="111"/>
        <v/>
      </c>
    </row>
    <row r="416" spans="1:39" hidden="1">
      <c r="A416" t="s">
        <v>2044</v>
      </c>
      <c r="B416" t="s">
        <v>262</v>
      </c>
      <c r="C416" s="50" t="s">
        <v>2209</v>
      </c>
      <c r="D416">
        <f>'Laminates- copilot'!B142</f>
        <v>823</v>
      </c>
      <c r="E416" s="858">
        <f>'Laminates- copilot'!D142</f>
        <v>121</v>
      </c>
      <c r="F416" s="858">
        <v>600</v>
      </c>
      <c r="G416" s="858">
        <v>200</v>
      </c>
      <c r="H416" s="858">
        <v>0</v>
      </c>
      <c r="I416" s="858">
        <v>0</v>
      </c>
      <c r="J416" s="858">
        <v>1200</v>
      </c>
      <c r="K416" s="858">
        <v>200000</v>
      </c>
      <c r="L416" s="858" t="str">
        <f>'Laminates- copilot'!K142</f>
        <v>Printed</v>
      </c>
      <c r="M416" s="858" t="str">
        <f>'Laminates- copilot'!L142</f>
        <v>5-8</v>
      </c>
      <c r="N416" s="858">
        <f>'Laminates- copilot'!M142</f>
        <v>8</v>
      </c>
      <c r="O416" s="858" t="str">
        <f>'Laminates- copilot'!O142</f>
        <v>Marma</v>
      </c>
      <c r="P416" s="858" t="str">
        <f>'Laminates- copilot'!N142</f>
        <v>Europe to Europe</v>
      </c>
      <c r="Q416" s="858">
        <f t="shared" si="96"/>
        <v>40000</v>
      </c>
      <c r="R416" s="858">
        <f t="shared" si="97"/>
        <v>40000</v>
      </c>
      <c r="S416" s="858">
        <f>IFERROR('Laminates- copilot'!Q142/'Laminates- copilot'!P142*Q416,"")</f>
        <v>4045.32</v>
      </c>
      <c r="T416" s="203">
        <f>IFERROR('Laminates- copilot'!R142/'Laminates- copilot'!P142*Q416,"")</f>
        <v>52443.693622260937</v>
      </c>
      <c r="U416" s="912">
        <f>IFERROR('Laminates- copilot'!S142/'Laminates- copilot'!P142*Q416,"")</f>
        <v>60834.684601822679</v>
      </c>
      <c r="V416" s="913">
        <f t="shared" si="98"/>
        <v>12.964040823040188</v>
      </c>
      <c r="W416" s="914">
        <f t="shared" si="99"/>
        <v>15.038287354726616</v>
      </c>
      <c r="X416" s="913">
        <f t="shared" si="100"/>
        <v>1.3110923405565234</v>
      </c>
      <c r="Y416" s="913">
        <f t="shared" si="101"/>
        <v>12.964040823040188</v>
      </c>
      <c r="Z416" s="95">
        <f t="shared" si="102"/>
        <v>24720</v>
      </c>
      <c r="AA416" s="50" t="str">
        <f t="shared" si="103"/>
        <v>MOQ OK</v>
      </c>
      <c r="AB416" s="923">
        <f t="shared" si="104"/>
        <v>0.40281941913821978</v>
      </c>
      <c r="AC416" s="924">
        <f t="shared" si="105"/>
        <v>0.46727052620033493</v>
      </c>
      <c r="AD416" s="203">
        <f t="shared" si="106"/>
        <v>80563.883827643949</v>
      </c>
      <c r="AE416" s="912">
        <f t="shared" si="107"/>
        <v>93454.105240066972</v>
      </c>
      <c r="AF416" s="923" cm="1">
        <f t="array" ref="AF416">IF(O416="Quantum",IFERROR(_xlfn.LET(_xlpm.b,_xlfn.SWITCH(LOWER(B416),"zipper bag","Zipper pouch","open bag","Open pouch","sup with zipper","Stand-up pouch","stand-up pouch","Stand-up pouch",B416),_xlpm.w,G416,_xlpm.q,K416,_xlpm.types,'Converting-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missing"),IFERROR(_xlfn.LET(_xlpm.s,O416,_xlpm.b,_xlfn.SWITCH(LOWER(B416),"zipper bag","Zipper pouch","open bag","Open pouch",B416),_xlpm.w,G416,_xlpm.q,K416,_xlpm.src,'Converting-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416" s="923">
        <f>IFERROR(IF(OR(B416="Zipper pouch",B416="SUP with zipper"),HELPER!$DE$2*(AH416+AI416)/K416,HELPER!$DE$2*AH416/K416),"Data is missing")</f>
        <v>3.9332770216695704E-3</v>
      </c>
      <c r="AH416" s="923">
        <f t="shared" si="108"/>
        <v>1.3110923405565234</v>
      </c>
      <c r="AI416" s="923" t="str">
        <f>IF(OR(B416="Zipper pouch",B416="SUP with zipper"),HELPER!$DC$2*G416/1000,"")</f>
        <v/>
      </c>
      <c r="AJ416" s="923" cm="1">
        <f t="array" ref="AJ416">IF(INDEX('Laminates- copilot'!$E$6:$E$257,ROUNDUP((ROW()-5)/3,0))+50&gt;IF(O416="Quantum",760,1220),"Width exceeds supplier maximum",IFERROR(AF416+AG416+N(AI416)+AH416*G416/1000/MAX(1,MIN(MAX(2,INT(900/INDEX('Laminates- copilot'!$E$6:$E$257,ROUNDUP((ROW()-5)/3,0)))),INT((IF(O416="Quantum",760,1220)-50)/INDEX('Laminates- copilot'!$E$6:$E$257,ROUNDUP((ROW()-5)/3,0))))),"Data is missing"))</f>
        <v>0.30211456435366485</v>
      </c>
      <c r="AK416" s="203">
        <f t="shared" si="109"/>
        <v>402.81941913821976</v>
      </c>
      <c r="AL416" t="str">
        <f t="shared" si="110"/>
        <v>PASS</v>
      </c>
      <c r="AM416" s="50" t="str">
        <f t="shared" si="111"/>
        <v/>
      </c>
    </row>
    <row r="417" spans="1:39" hidden="1">
      <c r="A417" t="s">
        <v>2045</v>
      </c>
      <c r="B417" t="s">
        <v>251</v>
      </c>
      <c r="C417" s="50" t="s">
        <v>2210</v>
      </c>
      <c r="D417">
        <f>'Laminates- copilot'!B143</f>
        <v>823</v>
      </c>
      <c r="E417" s="858">
        <f>'Laminates- copilot'!D143</f>
        <v>121</v>
      </c>
      <c r="F417" s="858">
        <v>700</v>
      </c>
      <c r="G417" s="858">
        <v>300</v>
      </c>
      <c r="H417" s="858">
        <v>75</v>
      </c>
      <c r="I417" s="858">
        <v>0</v>
      </c>
      <c r="J417" s="858">
        <v>1550</v>
      </c>
      <c r="K417" s="858">
        <v>200000</v>
      </c>
      <c r="L417" s="858" t="str">
        <f>'Laminates- copilot'!K143</f>
        <v>Not Printed</v>
      </c>
      <c r="M417" s="858" t="str">
        <f>'Laminates- copilot'!L143</f>
        <v>0</v>
      </c>
      <c r="N417" s="858">
        <f>'Laminates- copilot'!M143</f>
        <v>1</v>
      </c>
      <c r="O417" s="858" t="str">
        <f>'Laminates- copilot'!O143</f>
        <v>Bastin</v>
      </c>
      <c r="P417" s="858" t="str">
        <f>'Laminates- copilot'!N143</f>
        <v>Europe to US</v>
      </c>
      <c r="Q417" s="858">
        <f t="shared" si="96"/>
        <v>60000</v>
      </c>
      <c r="R417" s="858">
        <f t="shared" si="97"/>
        <v>60000</v>
      </c>
      <c r="S417" s="858">
        <f>IFERROR('Laminates- copilot'!Q143/'Laminates- copilot'!P143*Q417,"")</f>
        <v>1685.5500000000002</v>
      </c>
      <c r="T417" s="203">
        <f>IFERROR('Laminates- copilot'!R143/'Laminates- copilot'!P143*Q417,"")</f>
        <v>24527.56605999768</v>
      </c>
      <c r="U417" s="912">
        <f>IFERROR('Laminates- copilot'!S143/'Laminates- copilot'!P143*Q417,"")</f>
        <v>28451.976629597306</v>
      </c>
      <c r="V417" s="913">
        <f t="shared" si="98"/>
        <v>14.551669223694152</v>
      </c>
      <c r="W417" s="914">
        <f t="shared" si="99"/>
        <v>16.879936299485212</v>
      </c>
      <c r="X417" s="913">
        <f t="shared" si="100"/>
        <v>0.40879276766662798</v>
      </c>
      <c r="Y417" s="913">
        <f t="shared" si="101"/>
        <v>14.551669223694152</v>
      </c>
      <c r="Z417" s="95">
        <f t="shared" si="102"/>
        <v>59328</v>
      </c>
      <c r="AA417" s="50" t="str">
        <f t="shared" si="103"/>
        <v>MOQ OK</v>
      </c>
      <c r="AB417" s="923">
        <f t="shared" si="104"/>
        <v>0.20851438122153018</v>
      </c>
      <c r="AC417" s="924">
        <f t="shared" si="105"/>
        <v>0.241876682216975</v>
      </c>
      <c r="AD417" s="203">
        <f t="shared" si="106"/>
        <v>41702.876244306033</v>
      </c>
      <c r="AE417" s="912">
        <f t="shared" si="107"/>
        <v>48375.336443394997</v>
      </c>
      <c r="AF417" s="923" cm="1">
        <f t="array" ref="AF417">IF(O417="Quantum",IFERROR(_xlfn.LET(_xlpm.b,_xlfn.SWITCH(LOWER(B417),"zipper bag","Zipper pouch","open bag","Open pouch","sup with zipper","Stand-up pouch","stand-up pouch","Stand-up pouch",B417),_xlpm.w,G417,_xlpm.q,K417,_xlpm.types,'Converting-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missing"),IFERROR(_xlfn.LET(_xlpm.s,O417,_xlpm.b,_xlfn.SWITCH(LOWER(B417),"zipper bag","Zipper pouch","open bag","Open pouch",B417),_xlpm.w,G417,_xlpm.q,K417,_xlpm.src,'Converting-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417" s="923">
        <f>IFERROR(IF(OR(B417="Zipper pouch",B417="SUP with zipper"),HELPER!$DE$2*(AH417+AI417)/K417,HELPER!$DE$2*AH417/K417),"Data is missing")</f>
        <v>1.355978302999884E-3</v>
      </c>
      <c r="AH417" s="923">
        <f t="shared" si="108"/>
        <v>0.40879276766662798</v>
      </c>
      <c r="AI417" s="923">
        <f>IF(OR(B417="Zipper pouch",B417="SUP with zipper"),HELPER!$DC$2*G417/1000,"")</f>
        <v>4.3199999999999995E-2</v>
      </c>
      <c r="AJ417" s="923" cm="1">
        <f t="array" ref="AJ417">IF(INDEX('Laminates- copilot'!$E$6:$E$257,ROUNDUP((ROW()-5)/3,0))+50&gt;IF(O417="Quantum",760,1220),"Width exceeds supplier maximum",IFERROR(AF417+AG417+N(AI417)+AH417*G417/1000/MAX(1,MIN(MAX(2,INT(900/INDEX('Laminates- copilot'!$E$6:$E$257,ROUNDUP((ROW()-5)/3,0)))),INT((IF(O417="Quantum",760,1220)-50)/INDEX('Laminates- copilot'!$E$6:$E$257,ROUNDUP((ROW()-5)/3,0))))),"Data is missing"))</f>
        <v>0.15638578591614763</v>
      </c>
      <c r="AK417" s="203">
        <f t="shared" si="109"/>
        <v>208.51438122153019</v>
      </c>
      <c r="AL417" t="str">
        <f t="shared" si="110"/>
        <v>PASS</v>
      </c>
      <c r="AM417" s="50" t="str">
        <f t="shared" si="111"/>
        <v/>
      </c>
    </row>
    <row r="418" spans="1:39" hidden="1">
      <c r="A418" t="s">
        <v>2046</v>
      </c>
      <c r="B418" t="s">
        <v>261</v>
      </c>
      <c r="C418" s="50" t="s">
        <v>2210</v>
      </c>
      <c r="D418">
        <f>'Laminates- copilot'!B143</f>
        <v>823</v>
      </c>
      <c r="E418" s="858">
        <f>'Laminates- copilot'!D143</f>
        <v>121</v>
      </c>
      <c r="F418" s="858">
        <v>700</v>
      </c>
      <c r="G418" s="858">
        <v>300</v>
      </c>
      <c r="H418" s="858">
        <v>75</v>
      </c>
      <c r="I418" s="858">
        <v>0</v>
      </c>
      <c r="J418" s="858">
        <v>1550</v>
      </c>
      <c r="K418" s="858">
        <v>200000</v>
      </c>
      <c r="L418" s="858" t="str">
        <f>'Laminates- copilot'!K143</f>
        <v>Not Printed</v>
      </c>
      <c r="M418" s="858" t="str">
        <f>'Laminates- copilot'!L143</f>
        <v>0</v>
      </c>
      <c r="N418" s="858">
        <f>'Laminates- copilot'!M143</f>
        <v>1</v>
      </c>
      <c r="O418" s="858" t="str">
        <f>'Laminates- copilot'!O143</f>
        <v>Bastin</v>
      </c>
      <c r="P418" s="858" t="str">
        <f>'Laminates- copilot'!N143</f>
        <v>Europe to US</v>
      </c>
      <c r="Q418" s="858">
        <f t="shared" si="96"/>
        <v>60000</v>
      </c>
      <c r="R418" s="858">
        <f t="shared" si="97"/>
        <v>60000</v>
      </c>
      <c r="S418" s="858">
        <f>IFERROR('Laminates- copilot'!Q143/'Laminates- copilot'!P143*Q418,"")</f>
        <v>1685.5500000000002</v>
      </c>
      <c r="T418" s="203">
        <f>IFERROR('Laminates- copilot'!R143/'Laminates- copilot'!P143*Q418,"")</f>
        <v>24527.56605999768</v>
      </c>
      <c r="U418" s="912">
        <f>IFERROR('Laminates- copilot'!S143/'Laminates- copilot'!P143*Q418,"")</f>
        <v>28451.976629597306</v>
      </c>
      <c r="V418" s="913">
        <f t="shared" si="98"/>
        <v>14.551669223694152</v>
      </c>
      <c r="W418" s="914">
        <f t="shared" si="99"/>
        <v>16.879936299485212</v>
      </c>
      <c r="X418" s="913">
        <f t="shared" si="100"/>
        <v>0.40879276766662798</v>
      </c>
      <c r="Y418" s="913">
        <f t="shared" si="101"/>
        <v>14.551669223694152</v>
      </c>
      <c r="Z418" s="95">
        <f t="shared" si="102"/>
        <v>59328</v>
      </c>
      <c r="AA418" s="50" t="str">
        <f t="shared" si="103"/>
        <v>MOQ OK</v>
      </c>
      <c r="AB418" s="923">
        <f t="shared" si="104"/>
        <v>0.20091818975159412</v>
      </c>
      <c r="AC418" s="924">
        <f t="shared" si="105"/>
        <v>0.23306510011184917</v>
      </c>
      <c r="AD418" s="203">
        <f t="shared" si="106"/>
        <v>40183.637950318822</v>
      </c>
      <c r="AE418" s="912">
        <f t="shared" si="107"/>
        <v>46613.020022369827</v>
      </c>
      <c r="AF418" s="923" cm="1">
        <f t="array" ref="AF418">IF(O418="Quantum",IFERROR(_xlfn.LET(_xlpm.b,_xlfn.SWITCH(LOWER(B418),"zipper bag","Zipper pouch","open bag","Open pouch","sup with zipper","Stand-up pouch","stand-up pouch","Stand-up pouch",B418),_xlpm.w,G418,_xlpm.q,K418,_xlpm.types,'Converting-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missing"),IFERROR(_xlfn.LET(_xlpm.s,O418,_xlpm.b,_xlfn.SWITCH(LOWER(B418),"zipper bag","Zipper pouch","open bag","Open pouch",B418),_xlpm.w,G418,_xlpm.q,K418,_xlpm.src,'Converting-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418" s="923">
        <f>IFERROR(IF(OR(B418="Zipper pouch",B418="SUP with zipper"),HELPER!$DE$2*(AH418+AI418)/K418,HELPER!$DE$2*AH418/K418),"Data is missing")</f>
        <v>1.355978302999884E-3</v>
      </c>
      <c r="AH418" s="923">
        <f t="shared" si="108"/>
        <v>0.40879276766662798</v>
      </c>
      <c r="AI418" s="923">
        <f>IF(OR(B418="Zipper pouch",B418="SUP with zipper"),HELPER!$DC$2*G418/1000,"")</f>
        <v>4.3199999999999995E-2</v>
      </c>
      <c r="AJ418" s="923" cm="1">
        <f t="array" ref="AJ418">IF(INDEX('Laminates- copilot'!$E$6:$E$257,ROUNDUP((ROW()-5)/3,0))+50&gt;IF(O418="Quantum",760,1220),"Width exceeds supplier maximum",IFERROR(AF418+AG418+N(AI418)+AH418*G418/1000/MAX(1,MIN(MAX(2,INT(900/INDEX('Laminates- copilot'!$E$6:$E$257,ROUNDUP((ROW()-5)/3,0)))),INT((IF(O418="Quantum",760,1220)-50)/INDEX('Laminates- copilot'!$E$6:$E$257,ROUNDUP((ROW()-5)/3,0))))),"Data is missing"))</f>
        <v>0.15068864231369558</v>
      </c>
      <c r="AK418" s="203">
        <f t="shared" si="109"/>
        <v>200.91818975159413</v>
      </c>
      <c r="AL418" t="str">
        <f t="shared" si="110"/>
        <v>PASS</v>
      </c>
      <c r="AM418" s="50" t="str">
        <f t="shared" si="111"/>
        <v/>
      </c>
    </row>
    <row r="419" spans="1:39" hidden="1">
      <c r="A419" t="s">
        <v>2047</v>
      </c>
      <c r="B419" t="s">
        <v>262</v>
      </c>
      <c r="C419" s="50" t="s">
        <v>2210</v>
      </c>
      <c r="D419">
        <f>'Laminates- copilot'!B143</f>
        <v>823</v>
      </c>
      <c r="E419" s="858">
        <f>'Laminates- copilot'!D143</f>
        <v>121</v>
      </c>
      <c r="F419" s="858">
        <v>700</v>
      </c>
      <c r="G419" s="858">
        <v>300</v>
      </c>
      <c r="H419" s="858">
        <v>0</v>
      </c>
      <c r="I419" s="858">
        <v>0</v>
      </c>
      <c r="J419" s="858">
        <v>1400</v>
      </c>
      <c r="K419" s="858">
        <v>200000</v>
      </c>
      <c r="L419" s="858" t="str">
        <f>'Laminates- copilot'!K143</f>
        <v>Not Printed</v>
      </c>
      <c r="M419" s="858" t="str">
        <f>'Laminates- copilot'!L143</f>
        <v>0</v>
      </c>
      <c r="N419" s="858">
        <f>'Laminates- copilot'!M143</f>
        <v>1</v>
      </c>
      <c r="O419" s="858" t="str">
        <f>'Laminates- copilot'!O143</f>
        <v>Bastin</v>
      </c>
      <c r="P419" s="858" t="str">
        <f>'Laminates- copilot'!N143</f>
        <v>Europe to US</v>
      </c>
      <c r="Q419" s="858">
        <f t="shared" si="96"/>
        <v>60000</v>
      </c>
      <c r="R419" s="858">
        <f t="shared" si="97"/>
        <v>60000</v>
      </c>
      <c r="S419" s="858">
        <f>IFERROR('Laminates- copilot'!Q143/'Laminates- copilot'!P143*Q419,"")</f>
        <v>1685.5500000000002</v>
      </c>
      <c r="T419" s="203">
        <f>IFERROR('Laminates- copilot'!R143/'Laminates- copilot'!P143*Q419,"")</f>
        <v>24527.56605999768</v>
      </c>
      <c r="U419" s="912">
        <f>IFERROR('Laminates- copilot'!S143/'Laminates- copilot'!P143*Q419,"")</f>
        <v>28451.976629597306</v>
      </c>
      <c r="V419" s="913">
        <f t="shared" si="98"/>
        <v>14.551669223694152</v>
      </c>
      <c r="W419" s="914">
        <f t="shared" si="99"/>
        <v>16.879936299485212</v>
      </c>
      <c r="X419" s="913">
        <f t="shared" si="100"/>
        <v>0.40879276766662798</v>
      </c>
      <c r="Y419" s="913">
        <f t="shared" si="101"/>
        <v>14.551669223694152</v>
      </c>
      <c r="Z419" s="95">
        <f t="shared" si="102"/>
        <v>59328</v>
      </c>
      <c r="AA419" s="50" t="str">
        <f t="shared" si="103"/>
        <v>MOQ OK</v>
      </c>
      <c r="AB419" s="923">
        <f t="shared" si="104"/>
        <v>0.1341909806547564</v>
      </c>
      <c r="AC419" s="924">
        <f t="shared" si="105"/>
        <v>0.15566153755951742</v>
      </c>
      <c r="AD419" s="203">
        <f t="shared" si="106"/>
        <v>26838.196130951281</v>
      </c>
      <c r="AE419" s="912">
        <f t="shared" si="107"/>
        <v>31132.307511903484</v>
      </c>
      <c r="AF419" s="923" cm="1">
        <f t="array" ref="AF419">IF(O419="Quantum",IFERROR(_xlfn.LET(_xlpm.b,_xlfn.SWITCH(LOWER(B419),"zipper bag","Zipper pouch","open bag","Open pouch","sup with zipper","Stand-up pouch","stand-up pouch","Stand-up pouch",B419),_xlpm.w,G419,_xlpm.q,K419,_xlpm.types,'Converting-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missing"),IFERROR(_xlfn.LET(_xlpm.s,O419,_xlpm.b,_xlfn.SWITCH(LOWER(B419),"zipper bag","Zipper pouch","open bag","Open pouch",B419),_xlpm.w,G419,_xlpm.q,K419,_xlpm.src,'Converting-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419" s="923">
        <f>IFERROR(IF(OR(B419="Zipper pouch",B419="SUP with zipper"),HELPER!$DE$2*(AH419+AI419)/K419,HELPER!$DE$2*AH419/K419),"Data is missing")</f>
        <v>1.2263783029998838E-3</v>
      </c>
      <c r="AH419" s="923">
        <f t="shared" si="108"/>
        <v>0.40879276766662798</v>
      </c>
      <c r="AI419" s="923" t="str">
        <f>IF(OR(B419="Zipper pouch",B419="SUP with zipper"),HELPER!$DC$2*G419/1000,"")</f>
        <v/>
      </c>
      <c r="AJ419" s="923" cm="1">
        <f t="array" ref="AJ419">IF(INDEX('Laminates- copilot'!$E$6:$E$257,ROUNDUP((ROW()-5)/3,0))+50&gt;IF(O419="Quantum",760,1220),"Width exceeds supplier maximum",IFERROR(AF419+AG419+N(AI419)+AH419*G419/1000/MAX(1,MIN(MAX(2,INT(900/INDEX('Laminates- copilot'!$E$6:$E$257,ROUNDUP((ROW()-5)/3,0)))),INT((IF(O419="Quantum",760,1220)-50)/INDEX('Laminates- copilot'!$E$6:$E$257,ROUNDUP((ROW()-5)/3,0))))),"Data is missing"))</f>
        <v>0.1006432354910673</v>
      </c>
      <c r="AK419" s="203">
        <f t="shared" si="109"/>
        <v>134.1909806547564</v>
      </c>
      <c r="AL419" t="str">
        <f t="shared" si="110"/>
        <v>PASS</v>
      </c>
      <c r="AM419" s="50" t="str">
        <f t="shared" si="111"/>
        <v/>
      </c>
    </row>
    <row r="420" spans="1:39" hidden="1">
      <c r="A420" t="s">
        <v>2048</v>
      </c>
      <c r="B420" t="s">
        <v>251</v>
      </c>
      <c r="C420" s="50" t="s">
        <v>1626</v>
      </c>
      <c r="D420">
        <f>'Laminates- copilot'!B144</f>
        <v>823</v>
      </c>
      <c r="E420" s="858">
        <f>'Laminates- copilot'!D144</f>
        <v>121</v>
      </c>
      <c r="F420" s="858">
        <v>250</v>
      </c>
      <c r="G420" s="858">
        <v>400</v>
      </c>
      <c r="H420" s="858">
        <v>50</v>
      </c>
      <c r="I420" s="858">
        <v>0</v>
      </c>
      <c r="J420" s="858">
        <v>600</v>
      </c>
      <c r="K420" s="858">
        <v>1000000</v>
      </c>
      <c r="L420" s="858" t="str">
        <f>'Laminates- copilot'!K144</f>
        <v>Printed</v>
      </c>
      <c r="M420" s="858" t="str">
        <f>'Laminates- copilot'!L144</f>
        <v>3-4</v>
      </c>
      <c r="N420" s="858">
        <f>'Laminates- copilot'!M144</f>
        <v>4</v>
      </c>
      <c r="O420" s="858" t="str">
        <f>'Laminates- copilot'!O144</f>
        <v>Marma</v>
      </c>
      <c r="P420" s="858" t="str">
        <f>'Laminates- copilot'!N144</f>
        <v>Europe to Europe</v>
      </c>
      <c r="Q420" s="858">
        <f t="shared" si="96"/>
        <v>400000</v>
      </c>
      <c r="R420" s="858">
        <f t="shared" si="97"/>
        <v>400000</v>
      </c>
      <c r="S420" s="858">
        <f>IFERROR('Laminates- copilot'!Q144/'Laminates- copilot'!P144*Q420,"")</f>
        <v>26968.799999999999</v>
      </c>
      <c r="T420" s="203">
        <f>IFERROR('Laminates- copilot'!R144/'Laminates- copilot'!P144*Q420,"")</f>
        <v>368353.42724374996</v>
      </c>
      <c r="U420" s="912">
        <f>IFERROR('Laminates- copilot'!S144/'Laminates- copilot'!P144*Q420,"")</f>
        <v>427289.97560274991</v>
      </c>
      <c r="V420" s="913">
        <f t="shared" si="98"/>
        <v>13.65850268620591</v>
      </c>
      <c r="W420" s="914">
        <f t="shared" si="99"/>
        <v>15.843863115998856</v>
      </c>
      <c r="X420" s="913">
        <f t="shared" si="100"/>
        <v>0.92088356810937488</v>
      </c>
      <c r="Y420" s="913">
        <f t="shared" si="101"/>
        <v>13.65850268620591</v>
      </c>
      <c r="Z420" s="95">
        <f t="shared" si="102"/>
        <v>18540</v>
      </c>
      <c r="AA420" s="50" t="str">
        <f t="shared" si="103"/>
        <v>MOQ OK</v>
      </c>
      <c r="AB420" s="923">
        <f t="shared" si="104"/>
        <v>0.66684801942714211</v>
      </c>
      <c r="AC420" s="924">
        <f t="shared" si="105"/>
        <v>0.77354370253548477</v>
      </c>
      <c r="AD420" s="203">
        <f t="shared" si="106"/>
        <v>666848.01942714211</v>
      </c>
      <c r="AE420" s="912">
        <f t="shared" si="107"/>
        <v>773543.7025354848</v>
      </c>
      <c r="AF420" s="923" cm="1">
        <f t="array" ref="AF420">IF(O420="Quantum",IFERROR(_xlfn.LET(_xlpm.b,_xlfn.SWITCH(LOWER(B420),"zipper bag","Zipper pouch","open bag","Open pouch","sup with zipper","Stand-up pouch","stand-up pouch","Stand-up pouch",B420),_xlpm.w,G420,_xlpm.q,K420,_xlpm.types,'Converting-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missing"),IFERROR(_xlfn.LET(_xlpm.s,O420,_xlpm.b,_xlfn.SWITCH(LOWER(B420),"zipper bag","Zipper pouch","open bag","Open pouch",B420),_xlpm.w,G420,_xlpm.q,K420,_xlpm.src,'Converting-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420" s="923">
        <f>IFERROR(IF(OR(B420="Zipper pouch",B420="SUP with zipper"),HELPER!$DE$2*(AH420+AI420)/K420,HELPER!$DE$2*AH420/K420),"Data is missing")</f>
        <v>5.870901408656249E-4</v>
      </c>
      <c r="AH420" s="923">
        <f t="shared" si="108"/>
        <v>0.92088356810937488</v>
      </c>
      <c r="AI420" s="923">
        <f>IF(OR(B420="Zipper pouch",B420="SUP with zipper"),HELPER!$DC$2*G420/1000,"")</f>
        <v>5.7599999999999991E-2</v>
      </c>
      <c r="AJ420" s="923" cm="1">
        <f t="array" ref="AJ420">IF(INDEX('Laminates- copilot'!$E$6:$E$257,ROUNDUP((ROW()-5)/3,0))+50&gt;IF(O420="Quantum",760,1220),"Width exceeds supplier maximum",IFERROR(AF420+AG420+N(AI420)+AH420*G420/1000/MAX(1,MIN(MAX(2,INT(900/INDEX('Laminates- copilot'!$E$6:$E$257,ROUNDUP((ROW()-5)/3,0)))),INT((IF(O420="Quantum",760,1220)-50)/INDEX('Laminates- copilot'!$E$6:$E$257,ROUNDUP((ROW()-5)/3,0))))),"Data is missing"))</f>
        <v>0.50013601457035661</v>
      </c>
      <c r="AK420" s="203">
        <f t="shared" si="109"/>
        <v>666.84801942714216</v>
      </c>
      <c r="AL420" t="str">
        <f t="shared" si="110"/>
        <v>PASS</v>
      </c>
      <c r="AM420" s="50" t="str">
        <f t="shared" si="111"/>
        <v/>
      </c>
    </row>
    <row r="421" spans="1:39" hidden="1">
      <c r="A421" t="s">
        <v>2049</v>
      </c>
      <c r="B421" t="s">
        <v>261</v>
      </c>
      <c r="C421" s="50" t="s">
        <v>1626</v>
      </c>
      <c r="D421">
        <f>'Laminates- copilot'!B144</f>
        <v>823</v>
      </c>
      <c r="E421" s="858">
        <f>'Laminates- copilot'!D144</f>
        <v>121</v>
      </c>
      <c r="F421" s="858">
        <v>250</v>
      </c>
      <c r="G421" s="858">
        <v>400</v>
      </c>
      <c r="H421" s="858">
        <v>50</v>
      </c>
      <c r="I421" s="858">
        <v>0</v>
      </c>
      <c r="J421" s="858">
        <v>600</v>
      </c>
      <c r="K421" s="858">
        <v>1000000</v>
      </c>
      <c r="L421" s="858" t="str">
        <f>'Laminates- copilot'!K144</f>
        <v>Printed</v>
      </c>
      <c r="M421" s="858" t="str">
        <f>'Laminates- copilot'!L144</f>
        <v>3-4</v>
      </c>
      <c r="N421" s="858">
        <f>'Laminates- copilot'!M144</f>
        <v>4</v>
      </c>
      <c r="O421" s="858" t="str">
        <f>'Laminates- copilot'!O144</f>
        <v>Marma</v>
      </c>
      <c r="P421" s="858" t="str">
        <f>'Laminates- copilot'!N144</f>
        <v>Europe to Europe</v>
      </c>
      <c r="Q421" s="858">
        <f t="shared" si="96"/>
        <v>400000</v>
      </c>
      <c r="R421" s="858">
        <f t="shared" si="97"/>
        <v>400000</v>
      </c>
      <c r="S421" s="858">
        <f>IFERROR('Laminates- copilot'!Q144/'Laminates- copilot'!P144*Q421,"")</f>
        <v>26968.799999999999</v>
      </c>
      <c r="T421" s="203">
        <f>IFERROR('Laminates- copilot'!R144/'Laminates- copilot'!P144*Q421,"")</f>
        <v>368353.42724374996</v>
      </c>
      <c r="U421" s="912">
        <f>IFERROR('Laminates- copilot'!S144/'Laminates- copilot'!P144*Q421,"")</f>
        <v>427289.97560274991</v>
      </c>
      <c r="V421" s="913">
        <f t="shared" si="98"/>
        <v>13.65850268620591</v>
      </c>
      <c r="W421" s="914">
        <f t="shared" si="99"/>
        <v>15.843863115998856</v>
      </c>
      <c r="X421" s="913">
        <f t="shared" si="100"/>
        <v>0.92088356810937488</v>
      </c>
      <c r="Y421" s="913">
        <f t="shared" si="101"/>
        <v>13.65850268620591</v>
      </c>
      <c r="Z421" s="95">
        <f t="shared" si="102"/>
        <v>18540</v>
      </c>
      <c r="AA421" s="50" t="str">
        <f t="shared" si="103"/>
        <v>MOQ OK</v>
      </c>
      <c r="AB421" s="923">
        <f t="shared" si="104"/>
        <v>0.65920688007868578</v>
      </c>
      <c r="AC421" s="924">
        <f t="shared" si="105"/>
        <v>0.76467998089127542</v>
      </c>
      <c r="AD421" s="203">
        <f t="shared" si="106"/>
        <v>659206.88007868582</v>
      </c>
      <c r="AE421" s="912">
        <f t="shared" si="107"/>
        <v>764679.98089127545</v>
      </c>
      <c r="AF421" s="923" cm="1">
        <f t="array" ref="AF421">IF(O421="Quantum",IFERROR(_xlfn.LET(_xlpm.b,_xlfn.SWITCH(LOWER(B421),"zipper bag","Zipper pouch","open bag","Open pouch","sup with zipper","Stand-up pouch","stand-up pouch","Stand-up pouch",B421),_xlpm.w,G421,_xlpm.q,K421,_xlpm.types,'Converting-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missing"),IFERROR(_xlfn.LET(_xlpm.s,O421,_xlpm.b,_xlfn.SWITCH(LOWER(B421),"zipper bag","Zipper pouch","open bag","Open pouch",B421),_xlpm.w,G421,_xlpm.q,K421,_xlpm.src,'Converting-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421" s="923">
        <f>IFERROR(IF(OR(B421="Zipper pouch",B421="SUP with zipper"),HELPER!$DE$2*(AH421+AI421)/K421,HELPER!$DE$2*AH421/K421),"Data is missing")</f>
        <v>5.870901408656249E-4</v>
      </c>
      <c r="AH421" s="923">
        <f t="shared" si="108"/>
        <v>0.92088356810937488</v>
      </c>
      <c r="AI421" s="923">
        <f>IF(OR(B421="Zipper pouch",B421="SUP with zipper"),HELPER!$DC$2*G421/1000,"")</f>
        <v>5.7599999999999991E-2</v>
      </c>
      <c r="AJ421" s="923" cm="1">
        <f t="array" ref="AJ421">IF(INDEX('Laminates- copilot'!$E$6:$E$257,ROUNDUP((ROW()-5)/3,0))+50&gt;IF(O421="Quantum",760,1220),"Width exceeds supplier maximum",IFERROR(AF421+AG421+N(AI421)+AH421*G421/1000/MAX(1,MIN(MAX(2,INT(900/INDEX('Laminates- copilot'!$E$6:$E$257,ROUNDUP((ROW()-5)/3,0)))),INT((IF(O421="Quantum",760,1220)-50)/INDEX('Laminates- copilot'!$E$6:$E$257,ROUNDUP((ROW()-5)/3,0))))),"Data is missing"))</f>
        <v>0.4944051600590143</v>
      </c>
      <c r="AK421" s="203">
        <f t="shared" si="109"/>
        <v>659.2068800786858</v>
      </c>
      <c r="AL421" t="str">
        <f t="shared" si="110"/>
        <v>PASS</v>
      </c>
      <c r="AM421" s="50" t="str">
        <f t="shared" si="111"/>
        <v/>
      </c>
    </row>
    <row r="422" spans="1:39" hidden="1">
      <c r="A422" t="s">
        <v>2050</v>
      </c>
      <c r="B422" t="s">
        <v>262</v>
      </c>
      <c r="C422" s="50" t="s">
        <v>1626</v>
      </c>
      <c r="D422">
        <f>'Laminates- copilot'!B144</f>
        <v>823</v>
      </c>
      <c r="E422" s="858">
        <f>'Laminates- copilot'!D144</f>
        <v>121</v>
      </c>
      <c r="F422" s="858">
        <v>250</v>
      </c>
      <c r="G422" s="858">
        <v>400</v>
      </c>
      <c r="H422" s="858">
        <v>0</v>
      </c>
      <c r="I422" s="858">
        <v>15</v>
      </c>
      <c r="J422" s="858">
        <v>515</v>
      </c>
      <c r="K422" s="858">
        <v>1000000</v>
      </c>
      <c r="L422" s="858" t="str">
        <f>'Laminates- copilot'!K144</f>
        <v>Printed</v>
      </c>
      <c r="M422" s="858" t="str">
        <f>'Laminates- copilot'!L144</f>
        <v>3-4</v>
      </c>
      <c r="N422" s="858">
        <f>'Laminates- copilot'!M144</f>
        <v>4</v>
      </c>
      <c r="O422" s="858" t="str">
        <f>'Laminates- copilot'!O144</f>
        <v>Marma</v>
      </c>
      <c r="P422" s="858" t="str">
        <f>'Laminates- copilot'!N144</f>
        <v>Europe to Europe</v>
      </c>
      <c r="Q422" s="858">
        <f t="shared" si="96"/>
        <v>400000</v>
      </c>
      <c r="R422" s="858">
        <f t="shared" si="97"/>
        <v>400000</v>
      </c>
      <c r="S422" s="858">
        <f>IFERROR('Laminates- copilot'!Q144/'Laminates- copilot'!P144*Q422,"")</f>
        <v>26968.799999999999</v>
      </c>
      <c r="T422" s="203">
        <f>IFERROR('Laminates- copilot'!R144/'Laminates- copilot'!P144*Q422,"")</f>
        <v>368353.42724374996</v>
      </c>
      <c r="U422" s="912">
        <f>IFERROR('Laminates- copilot'!S144/'Laminates- copilot'!P144*Q422,"")</f>
        <v>427289.97560274991</v>
      </c>
      <c r="V422" s="913">
        <f t="shared" si="98"/>
        <v>13.65850268620591</v>
      </c>
      <c r="W422" s="914">
        <f t="shared" si="99"/>
        <v>15.843863115998856</v>
      </c>
      <c r="X422" s="913">
        <f t="shared" si="100"/>
        <v>0.92088356810937488</v>
      </c>
      <c r="Y422" s="913">
        <f t="shared" si="101"/>
        <v>13.65850268620591</v>
      </c>
      <c r="Z422" s="95">
        <f t="shared" si="102"/>
        <v>18540</v>
      </c>
      <c r="AA422" s="50" t="str">
        <f t="shared" si="103"/>
        <v>MOQ OK</v>
      </c>
      <c r="AB422" s="923">
        <f t="shared" si="104"/>
        <v>0.57226233978066887</v>
      </c>
      <c r="AC422" s="924">
        <f t="shared" si="105"/>
        <v>0.66382431414557586</v>
      </c>
      <c r="AD422" s="203">
        <f t="shared" si="106"/>
        <v>572262.33978066884</v>
      </c>
      <c r="AE422" s="912">
        <f t="shared" si="107"/>
        <v>663824.31414557586</v>
      </c>
      <c r="AF422" s="923" cm="1">
        <f t="array" ref="AF422">IF(O422="Quantum",IFERROR(_xlfn.LET(_xlpm.b,_xlfn.SWITCH(LOWER(B422),"zipper bag","Zipper pouch","open bag","Open pouch","sup with zipper","Stand-up pouch","stand-up pouch","Stand-up pouch",B422),_xlpm.w,G422,_xlpm.q,K422,_xlpm.types,'Converting-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missing"),IFERROR(_xlfn.LET(_xlpm.s,O422,_xlpm.b,_xlfn.SWITCH(LOWER(B422),"zipper bag","Zipper pouch","open bag","Open pouch",B422),_xlpm.w,G422,_xlpm.q,K422,_xlpm.src,'Converting-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422" s="923">
        <f>IFERROR(IF(OR(B422="Zipper pouch",B422="SUP with zipper"),HELPER!$DE$2*(AH422+AI422)/K422,HELPER!$DE$2*AH422/K422),"Data is missing")</f>
        <v>5.5253014086562491E-4</v>
      </c>
      <c r="AH422" s="923">
        <f t="shared" si="108"/>
        <v>0.92088356810937488</v>
      </c>
      <c r="AI422" s="923" t="str">
        <f>IF(OR(B422="Zipper pouch",B422="SUP with zipper"),HELPER!$DC$2*G422/1000,"")</f>
        <v/>
      </c>
      <c r="AJ422" s="923" cm="1">
        <f t="array" ref="AJ422">IF(INDEX('Laminates- copilot'!$E$6:$E$257,ROUNDUP((ROW()-5)/3,0))+50&gt;IF(O422="Quantum",760,1220),"Width exceeds supplier maximum",IFERROR(AF422+AG422+N(AI422)+AH422*G422/1000/MAX(1,MIN(MAX(2,INT(900/INDEX('Laminates- copilot'!$E$6:$E$257,ROUNDUP((ROW()-5)/3,0)))),INT((IF(O422="Quantum",760,1220)-50)/INDEX('Laminates- copilot'!$E$6:$E$257,ROUNDUP((ROW()-5)/3,0))))),"Data is missing"))</f>
        <v>0.42919675483550168</v>
      </c>
      <c r="AK422" s="203">
        <f t="shared" si="109"/>
        <v>572.26233978066887</v>
      </c>
      <c r="AL422" t="str">
        <f t="shared" si="110"/>
        <v>PASS</v>
      </c>
      <c r="AM422" s="50" t="str">
        <f t="shared" si="111"/>
        <v/>
      </c>
    </row>
    <row r="423" spans="1:39" hidden="1">
      <c r="A423" t="s">
        <v>2051</v>
      </c>
      <c r="B423" t="s">
        <v>251</v>
      </c>
      <c r="C423" s="50" t="s">
        <v>1627</v>
      </c>
      <c r="D423">
        <f>'Laminates- copilot'!B145</f>
        <v>823</v>
      </c>
      <c r="E423" s="858">
        <f>'Laminates- copilot'!D145</f>
        <v>121</v>
      </c>
      <c r="F423" s="858">
        <v>350</v>
      </c>
      <c r="G423" s="858">
        <v>500</v>
      </c>
      <c r="H423" s="858">
        <v>100</v>
      </c>
      <c r="I423" s="858">
        <v>0</v>
      </c>
      <c r="J423" s="858">
        <v>900</v>
      </c>
      <c r="K423" s="858">
        <v>1600000</v>
      </c>
      <c r="L423" s="858" t="str">
        <f>'Laminates- copilot'!K145</f>
        <v>Printed</v>
      </c>
      <c r="M423" s="858" t="str">
        <f>'Laminates- copilot'!L145</f>
        <v>1-2</v>
      </c>
      <c r="N423" s="858">
        <f>'Laminates- copilot'!M145</f>
        <v>2</v>
      </c>
      <c r="O423" s="858" t="str">
        <f>'Laminates- copilot'!O145</f>
        <v>Quantum</v>
      </c>
      <c r="P423" s="858" t="str">
        <f>'Laminates- copilot'!N145</f>
        <v>Europe to Europe</v>
      </c>
      <c r="Q423" s="858">
        <f t="shared" si="96"/>
        <v>800000</v>
      </c>
      <c r="R423" s="858">
        <f t="shared" si="97"/>
        <v>800000</v>
      </c>
      <c r="S423" s="858">
        <f>IFERROR('Laminates- copilot'!Q145/'Laminates- copilot'!P145*Q423,"")</f>
        <v>40453.199999999997</v>
      </c>
      <c r="T423" s="203">
        <f>IFERROR('Laminates- copilot'!R145/'Laminates- copilot'!P145*Q423,"")</f>
        <v>1167124.6253175894</v>
      </c>
      <c r="U423" s="912">
        <f>IFERROR('Laminates- copilot'!S145/'Laminates- copilot'!P145*Q423,"")</f>
        <v>1353864.5653684034</v>
      </c>
      <c r="V423" s="913">
        <f t="shared" si="98"/>
        <v>28.851231183629217</v>
      </c>
      <c r="W423" s="914">
        <f t="shared" si="99"/>
        <v>33.467428173009885</v>
      </c>
      <c r="X423" s="913">
        <f t="shared" si="100"/>
        <v>1.4589057816469868</v>
      </c>
      <c r="Y423" s="913">
        <f t="shared" si="101"/>
        <v>28.851231183629217</v>
      </c>
      <c r="Z423" s="95">
        <f t="shared" si="102"/>
        <v>19776</v>
      </c>
      <c r="AA423" s="50" t="str">
        <f t="shared" si="103"/>
        <v>MOQ OK</v>
      </c>
      <c r="AB423" s="923">
        <f t="shared" si="104"/>
        <v>1.4248198536539203</v>
      </c>
      <c r="AC423" s="924">
        <f t="shared" si="105"/>
        <v>1.6527910302385473</v>
      </c>
      <c r="AD423" s="203">
        <f t="shared" si="106"/>
        <v>2279711.7658462725</v>
      </c>
      <c r="AE423" s="912">
        <f t="shared" si="107"/>
        <v>2644465.6483816761</v>
      </c>
      <c r="AF423" s="923" cm="1">
        <f t="array" ref="AF423">IF(O423="Quantum",IFERROR(_xlfn.LET(_xlpm.b,_xlfn.SWITCH(LOWER(B423),"zipper bag","Zipper pouch","open bag","Open pouch","sup with zipper","Stand-up pouch","stand-up pouch","Stand-up pouch",B423),_xlpm.w,G423,_xlpm.q,K423,_xlpm.types,'Converting-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missing"),IFERROR(_xlfn.LET(_xlpm.s,O423,_xlpm.b,_xlfn.SWITCH(LOWER(B423),"zipper bag","Zipper pouch","open bag","Open pouch",B423),_xlpm.w,G423,_xlpm.q,K423,_xlpm.src,'Converting-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423" s="923">
        <f>IFERROR(IF(OR(B423="Zipper pouch",B423="SUP with zipper"),HELPER!$DE$2*(AH423+AI423)/K423,HELPER!$DE$2*AH423/K423),"Data is missing")</f>
        <v>5.7408966811762011E-4</v>
      </c>
      <c r="AH423" s="923">
        <f t="shared" si="108"/>
        <v>1.4589057816469868</v>
      </c>
      <c r="AI423" s="923">
        <f>IF(OR(B423="Zipper pouch",B423="SUP with zipper"),HELPER!$DC$2*G423/1000,"")</f>
        <v>7.1999999999999995E-2</v>
      </c>
      <c r="AJ423" s="923" cm="1">
        <f t="array" ref="AJ423">IF(INDEX('Laminates- copilot'!$E$6:$E$257,ROUNDUP((ROW()-5)/3,0))+50&gt;IF(O423="Quantum",760,1220),"Width exceeds supplier maximum",IFERROR(AF423+AG423+N(AI423)+AH423*G423/1000/MAX(1,MIN(MAX(2,INT(900/INDEX('Laminates- copilot'!$E$6:$E$257,ROUNDUP((ROW()-5)/3,0)))),INT((IF(O423="Quantum",760,1220)-50)/INDEX('Laminates- copilot'!$E$6:$E$257,ROUNDUP((ROW()-5)/3,0))))),"Data is missing"))</f>
        <v>1.0686148902404402</v>
      </c>
      <c r="AK423" s="203">
        <f t="shared" si="109"/>
        <v>1424.8198536539203</v>
      </c>
      <c r="AL423" t="str">
        <f t="shared" si="110"/>
        <v>PASS</v>
      </c>
      <c r="AM423" s="50" t="str">
        <f t="shared" si="111"/>
        <v/>
      </c>
    </row>
    <row r="424" spans="1:39" hidden="1">
      <c r="A424" t="s">
        <v>2052</v>
      </c>
      <c r="B424" t="s">
        <v>261</v>
      </c>
      <c r="C424" s="50" t="s">
        <v>1627</v>
      </c>
      <c r="D424">
        <f>'Laminates- copilot'!B145</f>
        <v>823</v>
      </c>
      <c r="E424" s="858">
        <f>'Laminates- copilot'!D145</f>
        <v>121</v>
      </c>
      <c r="F424" s="858">
        <v>350</v>
      </c>
      <c r="G424" s="858">
        <v>500</v>
      </c>
      <c r="H424" s="858">
        <v>100</v>
      </c>
      <c r="I424" s="858">
        <v>0</v>
      </c>
      <c r="J424" s="858">
        <v>900</v>
      </c>
      <c r="K424" s="858">
        <v>1600000</v>
      </c>
      <c r="L424" s="858" t="str">
        <f>'Laminates- copilot'!K145</f>
        <v>Printed</v>
      </c>
      <c r="M424" s="858" t="str">
        <f>'Laminates- copilot'!L145</f>
        <v>1-2</v>
      </c>
      <c r="N424" s="858">
        <f>'Laminates- copilot'!M145</f>
        <v>2</v>
      </c>
      <c r="O424" s="858" t="str">
        <f>'Laminates- copilot'!O145</f>
        <v>Quantum</v>
      </c>
      <c r="P424" s="858" t="str">
        <f>'Laminates- copilot'!N145</f>
        <v>Europe to Europe</v>
      </c>
      <c r="Q424" s="858">
        <f t="shared" si="96"/>
        <v>800000</v>
      </c>
      <c r="R424" s="858">
        <f t="shared" si="97"/>
        <v>800000</v>
      </c>
      <c r="S424" s="858">
        <f>IFERROR('Laminates- copilot'!Q145/'Laminates- copilot'!P145*Q424,"")</f>
        <v>40453.199999999997</v>
      </c>
      <c r="T424" s="203">
        <f>IFERROR('Laminates- copilot'!R145/'Laminates- copilot'!P145*Q424,"")</f>
        <v>1167124.6253175894</v>
      </c>
      <c r="U424" s="912">
        <f>IFERROR('Laminates- copilot'!S145/'Laminates- copilot'!P145*Q424,"")</f>
        <v>1353864.5653684034</v>
      </c>
      <c r="V424" s="913">
        <f t="shared" si="98"/>
        <v>28.851231183629217</v>
      </c>
      <c r="W424" s="914">
        <f t="shared" si="99"/>
        <v>33.467428173009885</v>
      </c>
      <c r="X424" s="913">
        <f t="shared" si="100"/>
        <v>1.4589057816469868</v>
      </c>
      <c r="Y424" s="913">
        <f t="shared" si="101"/>
        <v>28.851231183629217</v>
      </c>
      <c r="Z424" s="95">
        <f t="shared" si="102"/>
        <v>19776</v>
      </c>
      <c r="AA424" s="50" t="str">
        <f t="shared" si="103"/>
        <v>MOQ OK</v>
      </c>
      <c r="AB424" s="923">
        <f t="shared" si="104"/>
        <v>1.385401976858436</v>
      </c>
      <c r="AC424" s="924">
        <f t="shared" si="105"/>
        <v>1.6070662931557858</v>
      </c>
      <c r="AD424" s="203">
        <f t="shared" si="106"/>
        <v>2216643.1629734975</v>
      </c>
      <c r="AE424" s="912">
        <f t="shared" si="107"/>
        <v>2571306.0690492569</v>
      </c>
      <c r="AF424" s="923" cm="1">
        <f t="array" ref="AF424">IF(O424="Quantum",IFERROR(_xlfn.LET(_xlpm.b,_xlfn.SWITCH(LOWER(B424),"zipper bag","Zipper pouch","open bag","Open pouch","sup with zipper","Stand-up pouch","stand-up pouch","Stand-up pouch",B424),_xlpm.w,G424,_xlpm.q,K424,_xlpm.types,'Converting-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missing"),IFERROR(_xlfn.LET(_xlpm.s,O424,_xlpm.b,_xlfn.SWITCH(LOWER(B424),"zipper bag","Zipper pouch","open bag","Open pouch",B424),_xlpm.w,G424,_xlpm.q,K424,_xlpm.src,'Converting-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424" s="923">
        <f>IFERROR(IF(OR(B424="Zipper pouch",B424="SUP with zipper"),HELPER!$DE$2*(AH424+AI424)/K424,HELPER!$DE$2*AH424/K424),"Data is missing")</f>
        <v>5.7408966811762011E-4</v>
      </c>
      <c r="AH424" s="923">
        <f t="shared" si="108"/>
        <v>1.4589057816469868</v>
      </c>
      <c r="AI424" s="923">
        <f>IF(OR(B424="Zipper pouch",B424="SUP with zipper"),HELPER!$DC$2*G424/1000,"")</f>
        <v>7.1999999999999995E-2</v>
      </c>
      <c r="AJ424" s="923" cm="1">
        <f t="array" ref="AJ424">IF(INDEX('Laminates- copilot'!$E$6:$E$257,ROUNDUP((ROW()-5)/3,0))+50&gt;IF(O424="Quantum",760,1220),"Width exceeds supplier maximum",IFERROR(AF424+AG424+N(AI424)+AH424*G424/1000/MAX(1,MIN(MAX(2,INT(900/INDEX('Laminates- copilot'!$E$6:$E$257,ROUNDUP((ROW()-5)/3,0)))),INT((IF(O424="Quantum",760,1220)-50)/INDEX('Laminates- copilot'!$E$6:$E$257,ROUNDUP((ROW()-5)/3,0))))),"Data is missing"))</f>
        <v>1.0390514826438271</v>
      </c>
      <c r="AK424" s="203">
        <f t="shared" si="109"/>
        <v>1385.401976858436</v>
      </c>
      <c r="AL424" t="str">
        <f t="shared" si="110"/>
        <v>PASS</v>
      </c>
      <c r="AM424" s="50" t="str">
        <f t="shared" si="111"/>
        <v/>
      </c>
    </row>
    <row r="425" spans="1:39" hidden="1">
      <c r="A425" t="s">
        <v>2053</v>
      </c>
      <c r="B425" t="s">
        <v>262</v>
      </c>
      <c r="C425" s="50" t="s">
        <v>1627</v>
      </c>
      <c r="D425">
        <f>'Laminates- copilot'!B145</f>
        <v>823</v>
      </c>
      <c r="E425" s="858">
        <f>'Laminates- copilot'!D145</f>
        <v>121</v>
      </c>
      <c r="F425" s="858">
        <v>350</v>
      </c>
      <c r="G425" s="858">
        <v>500</v>
      </c>
      <c r="H425" s="858">
        <v>0</v>
      </c>
      <c r="I425" s="858">
        <v>25</v>
      </c>
      <c r="J425" s="858">
        <v>725</v>
      </c>
      <c r="K425" s="858">
        <v>1600000</v>
      </c>
      <c r="L425" s="858" t="str">
        <f>'Laminates- copilot'!K145</f>
        <v>Printed</v>
      </c>
      <c r="M425" s="858" t="str">
        <f>'Laminates- copilot'!L145</f>
        <v>1-2</v>
      </c>
      <c r="N425" s="858">
        <f>'Laminates- copilot'!M145</f>
        <v>2</v>
      </c>
      <c r="O425" s="858" t="str">
        <f>'Laminates- copilot'!O145</f>
        <v>Quantum</v>
      </c>
      <c r="P425" s="858" t="str">
        <f>'Laminates- copilot'!N145</f>
        <v>Europe to Europe</v>
      </c>
      <c r="Q425" s="858">
        <f t="shared" si="96"/>
        <v>800000</v>
      </c>
      <c r="R425" s="858">
        <f t="shared" si="97"/>
        <v>800000</v>
      </c>
      <c r="S425" s="858">
        <f>IFERROR('Laminates- copilot'!Q145/'Laminates- copilot'!P145*Q425,"")</f>
        <v>40453.199999999997</v>
      </c>
      <c r="T425" s="203">
        <f>IFERROR('Laminates- copilot'!R145/'Laminates- copilot'!P145*Q425,"")</f>
        <v>1167124.6253175894</v>
      </c>
      <c r="U425" s="912">
        <f>IFERROR('Laminates- copilot'!S145/'Laminates- copilot'!P145*Q425,"")</f>
        <v>1353864.5653684034</v>
      </c>
      <c r="V425" s="913">
        <f t="shared" si="98"/>
        <v>28.851231183629217</v>
      </c>
      <c r="W425" s="914">
        <f t="shared" si="99"/>
        <v>33.467428173009885</v>
      </c>
      <c r="X425" s="913">
        <f t="shared" si="100"/>
        <v>1.4589057816469868</v>
      </c>
      <c r="Y425" s="913">
        <f t="shared" si="101"/>
        <v>28.851231183629217</v>
      </c>
      <c r="Z425" s="95">
        <f t="shared" si="102"/>
        <v>19776</v>
      </c>
      <c r="AA425" s="50" t="str">
        <f t="shared" si="103"/>
        <v>MOQ OK</v>
      </c>
      <c r="AB425" s="923">
        <f t="shared" si="104"/>
        <v>1.2576017903645775</v>
      </c>
      <c r="AC425" s="924">
        <f t="shared" si="105"/>
        <v>1.4588180768229098</v>
      </c>
      <c r="AD425" s="203">
        <f t="shared" si="106"/>
        <v>2012162.8645833239</v>
      </c>
      <c r="AE425" s="912">
        <f t="shared" si="107"/>
        <v>2334108.9229166554</v>
      </c>
      <c r="AF425" s="923" cm="1">
        <f t="array" ref="AF425">IF(O425="Quantum",IFERROR(_xlfn.LET(_xlpm.b,_xlfn.SWITCH(LOWER(B425),"zipper bag","Zipper pouch","open bag","Open pouch","sup with zipper","Stand-up pouch","stand-up pouch","Stand-up pouch",B425),_xlpm.w,G425,_xlpm.q,K425,_xlpm.types,'Converting-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missing"),IFERROR(_xlfn.LET(_xlpm.s,O425,_xlpm.b,_xlfn.SWITCH(LOWER(B425),"zipper bag","Zipper pouch","open bag","Open pouch",B425),_xlpm.w,G425,_xlpm.q,K425,_xlpm.src,'Converting-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425" s="923">
        <f>IFERROR(IF(OR(B425="Zipper pouch",B425="SUP with zipper"),HELPER!$DE$2*(AH425+AI425)/K425,HELPER!$DE$2*AH425/K425),"Data is missing")</f>
        <v>5.4708966811761999E-4</v>
      </c>
      <c r="AH425" s="923">
        <f t="shared" si="108"/>
        <v>1.4589057816469868</v>
      </c>
      <c r="AI425" s="923" t="str">
        <f>IF(OR(B425="Zipper pouch",B425="SUP with zipper"),HELPER!$DC$2*G425/1000,"")</f>
        <v/>
      </c>
      <c r="AJ425" s="923" cm="1">
        <f t="array" ref="AJ425">IF(INDEX('Laminates- copilot'!$E$6:$E$257,ROUNDUP((ROW()-5)/3,0))+50&gt;IF(O425="Quantum",760,1220),"Width exceeds supplier maximum",IFERROR(AF425+AG425+N(AI425)+AH425*G425/1000/MAX(1,MIN(MAX(2,INT(900/INDEX('Laminates- copilot'!$E$6:$E$257,ROUNDUP((ROW()-5)/3,0)))),INT((IF(O425="Quantum",760,1220)-50)/INDEX('Laminates- copilot'!$E$6:$E$257,ROUNDUP((ROW()-5)/3,0))))),"Data is missing"))</f>
        <v>0.94320134277343315</v>
      </c>
      <c r="AK425" s="203">
        <f t="shared" si="109"/>
        <v>1257.6017903645775</v>
      </c>
      <c r="AL425" t="str">
        <f t="shared" si="110"/>
        <v>PASS</v>
      </c>
      <c r="AM425" s="50" t="str">
        <f t="shared" si="111"/>
        <v/>
      </c>
    </row>
    <row r="426" spans="1:39" hidden="1">
      <c r="A426" t="s">
        <v>2054</v>
      </c>
      <c r="B426" t="s">
        <v>251</v>
      </c>
      <c r="C426" s="50" t="s">
        <v>2203</v>
      </c>
      <c r="D426">
        <f>'Laminates- copilot'!B146</f>
        <v>918</v>
      </c>
      <c r="E426" s="858">
        <f>'Laminates- copilot'!D146</f>
        <v>51</v>
      </c>
      <c r="F426" s="858">
        <v>100</v>
      </c>
      <c r="G426" s="858">
        <v>100</v>
      </c>
      <c r="H426" s="858">
        <v>20</v>
      </c>
      <c r="I426" s="858">
        <v>0</v>
      </c>
      <c r="J426" s="858">
        <v>240</v>
      </c>
      <c r="K426" s="858">
        <v>25000</v>
      </c>
      <c r="L426" s="858" t="str">
        <f>'Laminates- copilot'!K146</f>
        <v>Not Printed</v>
      </c>
      <c r="M426" s="858" t="str">
        <f>'Laminates- copilot'!L146</f>
        <v>0</v>
      </c>
      <c r="N426" s="858">
        <f>'Laminates- copilot'!M146</f>
        <v>1</v>
      </c>
      <c r="O426" s="858" t="str">
        <f>'Laminates- copilot'!O146</f>
        <v>Marma</v>
      </c>
      <c r="P426" s="858" t="str">
        <f>'Laminates- copilot'!N146</f>
        <v>Europe to Europe</v>
      </c>
      <c r="Q426" s="858">
        <f t="shared" si="96"/>
        <v>2500</v>
      </c>
      <c r="R426" s="858">
        <f t="shared" si="97"/>
        <v>2500</v>
      </c>
      <c r="S426" s="858">
        <f>IFERROR('Laminates- copilot'!Q146/'Laminates- copilot'!P146*Q426,"")</f>
        <v>20.211000000000002</v>
      </c>
      <c r="T426" s="203">
        <f>IFERROR('Laminates- copilot'!R146/'Laminates- copilot'!P146*Q426,"")</f>
        <v>225.90021219029819</v>
      </c>
      <c r="U426" s="912">
        <f>IFERROR('Laminates- copilot'!S146/'Laminates- copilot'!P146*Q426,"")</f>
        <v>262.04424614074594</v>
      </c>
      <c r="V426" s="913">
        <f t="shared" si="98"/>
        <v>11.177092285898677</v>
      </c>
      <c r="W426" s="914">
        <f t="shared" si="99"/>
        <v>12.965427051642468</v>
      </c>
      <c r="X426" s="913">
        <f t="shared" si="100"/>
        <v>9.0360084876119282E-2</v>
      </c>
      <c r="Y426" s="913">
        <f t="shared" si="101"/>
        <v>11.177092285898677</v>
      </c>
      <c r="Z426" s="95">
        <f t="shared" si="102"/>
        <v>618476</v>
      </c>
      <c r="AA426" s="50" t="str">
        <f t="shared" si="103"/>
        <v>Below MOQ by 593,476 bags</v>
      </c>
      <c r="AB426" s="923">
        <f t="shared" si="104"/>
        <v>7.5204221324994228E-2</v>
      </c>
      <c r="AC426" s="924">
        <f t="shared" si="105"/>
        <v>8.7236896736993294E-2</v>
      </c>
      <c r="AD426" s="203">
        <f t="shared" si="106"/>
        <v>1880.1055331248556</v>
      </c>
      <c r="AE426" s="912">
        <f t="shared" si="107"/>
        <v>2180.9224184248324</v>
      </c>
      <c r="AF426" s="923" cm="1">
        <f t="array" ref="AF426">IF(O426="Quantum",IFERROR(_xlfn.LET(_xlpm.b,_xlfn.SWITCH(LOWER(B426),"zipper bag","Zipper pouch","open bag","Open pouch","sup with zipper","Stand-up pouch","stand-up pouch","Stand-up pouch",B426),_xlpm.w,G426,_xlpm.q,K426,_xlpm.types,'Converting-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missing"),IFERROR(_xlfn.LET(_xlpm.s,O426,_xlpm.b,_xlfn.SWITCH(LOWER(B426),"zipper bag","Zipper pouch","open bag","Open pouch",B426),_xlpm.w,G426,_xlpm.q,K426,_xlpm.src,'Converting-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426" s="923">
        <f>IFERROR(IF(OR(B426="Zipper pouch",B426="SUP with zipper"),HELPER!$DE$2*(AH426+AI426)/K426,HELPER!$DE$2*AH426/K426),"Data is missing")</f>
        <v>2.5142420370268628E-3</v>
      </c>
      <c r="AH426" s="923">
        <f t="shared" si="108"/>
        <v>9.0360084876119282E-2</v>
      </c>
      <c r="AI426" s="923">
        <f>IF(OR(B426="Zipper pouch",B426="SUP with zipper"),HELPER!$DC$2*G426/1000,"")</f>
        <v>1.4399999999999998E-2</v>
      </c>
      <c r="AJ426" s="923" cm="1">
        <f t="array" ref="AJ426">IF(INDEX('Laminates- copilot'!$E$6:$E$257,ROUNDUP((ROW()-5)/3,0))+50&gt;IF(O426="Quantum",760,1220),"Width exceeds supplier maximum",IFERROR(AF426+AG426+N(AI426)+AH426*G426/1000/MAX(1,MIN(MAX(2,INT(900/INDEX('Laminates- copilot'!$E$6:$E$257,ROUNDUP((ROW()-5)/3,0)))),INT((IF(O426="Quantum",760,1220)-50)/INDEX('Laminates- copilot'!$E$6:$E$257,ROUNDUP((ROW()-5)/3,0))))),"Data is missing"))</f>
        <v>5.6403165993745667E-2</v>
      </c>
      <c r="AK426" s="203">
        <f t="shared" si="109"/>
        <v>75.204221324994222</v>
      </c>
      <c r="AL426" t="str">
        <f t="shared" si="110"/>
        <v>PASS</v>
      </c>
      <c r="AM426" s="50" t="str">
        <f t="shared" si="111"/>
        <v/>
      </c>
    </row>
    <row r="427" spans="1:39" hidden="1">
      <c r="A427" t="s">
        <v>2055</v>
      </c>
      <c r="B427" t="s">
        <v>261</v>
      </c>
      <c r="C427" s="50" t="s">
        <v>2203</v>
      </c>
      <c r="D427">
        <f>'Laminates- copilot'!B146</f>
        <v>918</v>
      </c>
      <c r="E427" s="858">
        <f>'Laminates- copilot'!D146</f>
        <v>51</v>
      </c>
      <c r="F427" s="858">
        <v>100</v>
      </c>
      <c r="G427" s="858">
        <v>100</v>
      </c>
      <c r="H427" s="858">
        <v>20</v>
      </c>
      <c r="I427" s="858">
        <v>0</v>
      </c>
      <c r="J427" s="858">
        <v>240</v>
      </c>
      <c r="K427" s="858">
        <v>25000</v>
      </c>
      <c r="L427" s="858" t="str">
        <f>'Laminates- copilot'!K146</f>
        <v>Not Printed</v>
      </c>
      <c r="M427" s="858" t="str">
        <f>'Laminates- copilot'!L146</f>
        <v>0</v>
      </c>
      <c r="N427" s="858">
        <f>'Laminates- copilot'!M146</f>
        <v>1</v>
      </c>
      <c r="O427" s="858" t="str">
        <f>'Laminates- copilot'!O146</f>
        <v>Marma</v>
      </c>
      <c r="P427" s="858" t="str">
        <f>'Laminates- copilot'!N146</f>
        <v>Europe to Europe</v>
      </c>
      <c r="Q427" s="858">
        <f t="shared" si="96"/>
        <v>2500</v>
      </c>
      <c r="R427" s="858">
        <f t="shared" si="97"/>
        <v>2500</v>
      </c>
      <c r="S427" s="858">
        <f>IFERROR('Laminates- copilot'!Q146/'Laminates- copilot'!P146*Q427,"")</f>
        <v>20.211000000000002</v>
      </c>
      <c r="T427" s="203">
        <f>IFERROR('Laminates- copilot'!R146/'Laminates- copilot'!P146*Q427,"")</f>
        <v>225.90021219029819</v>
      </c>
      <c r="U427" s="912">
        <f>IFERROR('Laminates- copilot'!S146/'Laminates- copilot'!P146*Q427,"")</f>
        <v>262.04424614074594</v>
      </c>
      <c r="V427" s="913">
        <f t="shared" si="98"/>
        <v>11.177092285898677</v>
      </c>
      <c r="W427" s="914">
        <f t="shared" si="99"/>
        <v>12.965427051642468</v>
      </c>
      <c r="X427" s="913">
        <f t="shared" si="100"/>
        <v>9.0360084876119282E-2</v>
      </c>
      <c r="Y427" s="913">
        <f t="shared" si="101"/>
        <v>11.177092285898677</v>
      </c>
      <c r="Z427" s="95">
        <f t="shared" si="102"/>
        <v>618476</v>
      </c>
      <c r="AA427" s="50" t="str">
        <f t="shared" si="103"/>
        <v>Below MOQ by 593,476 bags</v>
      </c>
      <c r="AB427" s="923">
        <f t="shared" si="104"/>
        <v>7.1778882996375817E-2</v>
      </c>
      <c r="AC427" s="924">
        <f t="shared" si="105"/>
        <v>8.3263504275795944E-2</v>
      </c>
      <c r="AD427" s="203">
        <f t="shared" si="106"/>
        <v>1794.4720749093954</v>
      </c>
      <c r="AE427" s="912">
        <f t="shared" si="107"/>
        <v>2081.5876068948983</v>
      </c>
      <c r="AF427" s="923" cm="1">
        <f t="array" ref="AF427">IF(O427="Quantum",IFERROR(_xlfn.LET(_xlpm.b,_xlfn.SWITCH(LOWER(B427),"zipper bag","Zipper pouch","open bag","Open pouch","sup with zipper","Stand-up pouch","stand-up pouch","Stand-up pouch",B427),_xlpm.w,G427,_xlpm.q,K427,_xlpm.types,'Converting-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missing"),IFERROR(_xlfn.LET(_xlpm.s,O427,_xlpm.b,_xlfn.SWITCH(LOWER(B427),"zipper bag","Zipper pouch","open bag","Open pouch",B427),_xlpm.w,G427,_xlpm.q,K427,_xlpm.src,'Converting-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427" s="923">
        <f>IFERROR(IF(OR(B427="Zipper pouch",B427="SUP with zipper"),HELPER!$DE$2*(AH427+AI427)/K427,HELPER!$DE$2*AH427/K427),"Data is missing")</f>
        <v>2.5142420370268628E-3</v>
      </c>
      <c r="AH427" s="923">
        <f t="shared" si="108"/>
        <v>9.0360084876119282E-2</v>
      </c>
      <c r="AI427" s="923">
        <f>IF(OR(B427="Zipper pouch",B427="SUP with zipper"),HELPER!$DC$2*G427/1000,"")</f>
        <v>1.4399999999999998E-2</v>
      </c>
      <c r="AJ427" s="923" cm="1">
        <f t="array" ref="AJ427">IF(INDEX('Laminates- copilot'!$E$6:$E$257,ROUNDUP((ROW()-5)/3,0))+50&gt;IF(O427="Quantum",760,1220),"Width exceeds supplier maximum",IFERROR(AF427+AG427+N(AI427)+AH427*G427/1000/MAX(1,MIN(MAX(2,INT(900/INDEX('Laminates- copilot'!$E$6:$E$257,ROUNDUP((ROW()-5)/3,0)))),INT((IF(O427="Quantum",760,1220)-50)/INDEX('Laminates- copilot'!$E$6:$E$257,ROUNDUP((ROW()-5)/3,0))))),"Data is missing"))</f>
        <v>5.3834162247281866E-2</v>
      </c>
      <c r="AK427" s="203">
        <f t="shared" si="109"/>
        <v>71.778882996375813</v>
      </c>
      <c r="AL427" t="str">
        <f t="shared" si="110"/>
        <v>PASS</v>
      </c>
      <c r="AM427" s="50" t="str">
        <f t="shared" si="111"/>
        <v/>
      </c>
    </row>
    <row r="428" spans="1:39" hidden="1">
      <c r="A428" t="s">
        <v>2056</v>
      </c>
      <c r="B428" t="s">
        <v>262</v>
      </c>
      <c r="C428" s="50" t="s">
        <v>2203</v>
      </c>
      <c r="D428">
        <f>'Laminates- copilot'!B146</f>
        <v>918</v>
      </c>
      <c r="E428" s="858">
        <f>'Laminates- copilot'!D146</f>
        <v>51</v>
      </c>
      <c r="F428" s="858">
        <v>100</v>
      </c>
      <c r="G428" s="858">
        <v>100</v>
      </c>
      <c r="H428" s="858">
        <v>0</v>
      </c>
      <c r="I428" s="858">
        <v>0</v>
      </c>
      <c r="J428" s="858">
        <v>200</v>
      </c>
      <c r="K428" s="858">
        <v>25000</v>
      </c>
      <c r="L428" s="858" t="str">
        <f>'Laminates- copilot'!K146</f>
        <v>Not Printed</v>
      </c>
      <c r="M428" s="858" t="str">
        <f>'Laminates- copilot'!L146</f>
        <v>0</v>
      </c>
      <c r="N428" s="858">
        <f>'Laminates- copilot'!M146</f>
        <v>1</v>
      </c>
      <c r="O428" s="858" t="str">
        <f>'Laminates- copilot'!O146</f>
        <v>Marma</v>
      </c>
      <c r="P428" s="858" t="str">
        <f>'Laminates- copilot'!N146</f>
        <v>Europe to Europe</v>
      </c>
      <c r="Q428" s="858">
        <f t="shared" si="96"/>
        <v>2500</v>
      </c>
      <c r="R428" s="858">
        <f t="shared" si="97"/>
        <v>2500</v>
      </c>
      <c r="S428" s="858">
        <f>IFERROR('Laminates- copilot'!Q146/'Laminates- copilot'!P146*Q428,"")</f>
        <v>20.211000000000002</v>
      </c>
      <c r="T428" s="203">
        <f>IFERROR('Laminates- copilot'!R146/'Laminates- copilot'!P146*Q428,"")</f>
        <v>225.90021219029819</v>
      </c>
      <c r="U428" s="912">
        <f>IFERROR('Laminates- copilot'!S146/'Laminates- copilot'!P146*Q428,"")</f>
        <v>262.04424614074594</v>
      </c>
      <c r="V428" s="913">
        <f t="shared" si="98"/>
        <v>11.177092285898677</v>
      </c>
      <c r="W428" s="914">
        <f t="shared" si="99"/>
        <v>12.965427051642468</v>
      </c>
      <c r="X428" s="913">
        <f t="shared" si="100"/>
        <v>9.0360084876119282E-2</v>
      </c>
      <c r="Y428" s="913">
        <f t="shared" si="101"/>
        <v>11.177092285898677</v>
      </c>
      <c r="Z428" s="95">
        <f t="shared" si="102"/>
        <v>618476</v>
      </c>
      <c r="AA428" s="50" t="str">
        <f t="shared" si="103"/>
        <v>Below MOQ by 593,476 bags</v>
      </c>
      <c r="AB428" s="923">
        <f t="shared" si="104"/>
        <v>4.8347478648510217E-2</v>
      </c>
      <c r="AC428" s="924">
        <f t="shared" si="105"/>
        <v>5.6083075232271851E-2</v>
      </c>
      <c r="AD428" s="203">
        <f t="shared" si="106"/>
        <v>1208.6869662127554</v>
      </c>
      <c r="AE428" s="912">
        <f t="shared" si="107"/>
        <v>1402.076880806796</v>
      </c>
      <c r="AF428" s="923" cm="1">
        <f t="array" ref="AF428">IF(O428="Quantum",IFERROR(_xlfn.LET(_xlpm.b,_xlfn.SWITCH(LOWER(B428),"zipper bag","Zipper pouch","open bag","Open pouch","sup with zipper","Stand-up pouch","stand-up pouch","Stand-up pouch",B428),_xlpm.w,G428,_xlpm.q,K428,_xlpm.types,'Converting-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missing"),IFERROR(_xlfn.LET(_xlpm.s,O428,_xlpm.b,_xlfn.SWITCH(LOWER(B428),"zipper bag","Zipper pouch","open bag","Open pouch",B428),_xlpm.w,G428,_xlpm.q,K428,_xlpm.src,'Converting-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428" s="923">
        <f>IFERROR(IF(OR(B428="Zipper pouch",B428="SUP with zipper"),HELPER!$DE$2*(AH428+AI428)/K428,HELPER!$DE$2*AH428/K428),"Data is missing")</f>
        <v>2.1686420370268626E-3</v>
      </c>
      <c r="AH428" s="923">
        <f t="shared" si="108"/>
        <v>9.0360084876119282E-2</v>
      </c>
      <c r="AI428" s="923" t="str">
        <f>IF(OR(B428="Zipper pouch",B428="SUP with zipper"),HELPER!$DC$2*G428/1000,"")</f>
        <v/>
      </c>
      <c r="AJ428" s="923" cm="1">
        <f t="array" ref="AJ428">IF(INDEX('Laminates- copilot'!$E$6:$E$257,ROUNDUP((ROW()-5)/3,0))+50&gt;IF(O428="Quantum",760,1220),"Width exceeds supplier maximum",IFERROR(AF428+AG428+N(AI428)+AH428*G428/1000/MAX(1,MIN(MAX(2,INT(900/INDEX('Laminates- copilot'!$E$6:$E$257,ROUNDUP((ROW()-5)/3,0)))),INT((IF(O428="Quantum",760,1220)-50)/INDEX('Laminates- copilot'!$E$6:$E$257,ROUNDUP((ROW()-5)/3,0))))),"Data is missing"))</f>
        <v>3.6260608986382663E-2</v>
      </c>
      <c r="AK428" s="203">
        <f t="shared" si="109"/>
        <v>48.347478648510219</v>
      </c>
      <c r="AL428" t="str">
        <f t="shared" si="110"/>
        <v>PASS</v>
      </c>
      <c r="AM428" s="50" t="str">
        <f t="shared" si="111"/>
        <v/>
      </c>
    </row>
    <row r="429" spans="1:39" hidden="1">
      <c r="A429" t="s">
        <v>2057</v>
      </c>
      <c r="B429" t="s">
        <v>251</v>
      </c>
      <c r="C429" s="50" t="s">
        <v>2204</v>
      </c>
      <c r="D429">
        <f>'Laminates- copilot'!B147</f>
        <v>918</v>
      </c>
      <c r="E429" s="858">
        <f>'Laminates- copilot'!D147</f>
        <v>51</v>
      </c>
      <c r="F429" s="858">
        <v>150</v>
      </c>
      <c r="G429" s="858">
        <v>150</v>
      </c>
      <c r="H429" s="858">
        <v>25</v>
      </c>
      <c r="I429" s="858">
        <v>0</v>
      </c>
      <c r="J429" s="858">
        <v>350</v>
      </c>
      <c r="K429" s="858">
        <v>25000</v>
      </c>
      <c r="L429" s="858" t="str">
        <f>'Laminates- copilot'!K147</f>
        <v>Printed</v>
      </c>
      <c r="M429" s="858" t="str">
        <f>'Laminates- copilot'!L147</f>
        <v>1-2</v>
      </c>
      <c r="N429" s="858">
        <f>'Laminates- copilot'!M147</f>
        <v>1</v>
      </c>
      <c r="O429" s="858" t="str">
        <f>'Laminates- copilot'!O147</f>
        <v>Bastin</v>
      </c>
      <c r="P429" s="858" t="str">
        <f>'Laminates- copilot'!N147</f>
        <v>Europe to US</v>
      </c>
      <c r="Q429" s="858">
        <f t="shared" si="96"/>
        <v>3750</v>
      </c>
      <c r="R429" s="858">
        <f t="shared" si="97"/>
        <v>3750</v>
      </c>
      <c r="S429" s="858">
        <f>IFERROR('Laminates- copilot'!Q147/'Laminates- copilot'!P147*Q429,"")</f>
        <v>30.316500000000001</v>
      </c>
      <c r="T429" s="203">
        <f>IFERROR('Laminates- copilot'!R147/'Laminates- copilot'!P147*Q429,"")</f>
        <v>16245.580649258371</v>
      </c>
      <c r="U429" s="912">
        <f>IFERROR('Laminates- copilot'!S147/'Laminates- copilot'!P147*Q429,"")</f>
        <v>18844.873553139711</v>
      </c>
      <c r="V429" s="913">
        <f t="shared" si="98"/>
        <v>535.86596900230472</v>
      </c>
      <c r="W429" s="914">
        <f t="shared" si="99"/>
        <v>621.60452404267346</v>
      </c>
      <c r="X429" s="913">
        <f t="shared" si="100"/>
        <v>4.3321548398022323</v>
      </c>
      <c r="Y429" s="913">
        <f t="shared" si="101"/>
        <v>535.86596900230472</v>
      </c>
      <c r="Z429" s="95">
        <f t="shared" si="102"/>
        <v>412317</v>
      </c>
      <c r="AA429" s="50" t="str">
        <f t="shared" si="103"/>
        <v>Below MOQ by 387,317 bags</v>
      </c>
      <c r="AB429" s="923">
        <f t="shared" si="104"/>
        <v>0.36717622424161761</v>
      </c>
      <c r="AC429" s="924">
        <f t="shared" si="105"/>
        <v>0.42592442012027643</v>
      </c>
      <c r="AD429" s="203">
        <f t="shared" si="106"/>
        <v>9179.40560604044</v>
      </c>
      <c r="AE429" s="912">
        <f t="shared" si="107"/>
        <v>10648.11050300691</v>
      </c>
      <c r="AF429" s="923" cm="1">
        <f t="array" ref="AF429">IF(O429="Quantum",IFERROR(_xlfn.LET(_xlpm.b,_xlfn.SWITCH(LOWER(B429),"zipper bag","Zipper pouch","open bag","Open pouch","sup with zipper","Stand-up pouch","stand-up pouch","Stand-up pouch",B429),_xlpm.w,G429,_xlpm.q,K429,_xlpm.types,'Converting-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missing"),IFERROR(_xlfn.LET(_xlpm.s,O429,_xlpm.b,_xlfn.SWITCH(LOWER(B429),"zipper bag","Zipper pouch","open bag","Open pouch",B429),_xlpm.w,G429,_xlpm.q,K429,_xlpm.src,'Converting-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429" s="923">
        <f>IFERROR(IF(OR(B429="Zipper pouch",B429="SUP with zipper"),HELPER!$DE$2*(AH429+AI429)/K429,HELPER!$DE$2*AH429/K429),"Data is missing")</f>
        <v>0.10449011615525358</v>
      </c>
      <c r="AH429" s="923">
        <f t="shared" si="108"/>
        <v>4.3321548398022323</v>
      </c>
      <c r="AI429" s="923">
        <f>IF(OR(B429="Zipper pouch",B429="SUP with zipper"),HELPER!$DC$2*G429/1000,"")</f>
        <v>2.1599999999999998E-2</v>
      </c>
      <c r="AJ429" s="923" cm="1">
        <f t="array" ref="AJ429">IF(INDEX('Laminates- copilot'!$E$6:$E$257,ROUNDUP((ROW()-5)/3,0))+50&gt;IF(O429="Quantum",760,1220),"Width exceeds supplier maximum",IFERROR(AF429+AG429+N(AI429)+AH429*G429/1000/MAX(1,MIN(MAX(2,INT(900/INDEX('Laminates- copilot'!$E$6:$E$257,ROUNDUP((ROW()-5)/3,0)))),INT((IF(O429="Quantum",760,1220)-50)/INDEX('Laminates- copilot'!$E$6:$E$257,ROUNDUP((ROW()-5)/3,0))))),"Data is missing"))</f>
        <v>0.27538216818121319</v>
      </c>
      <c r="AK429" s="203">
        <f t="shared" si="109"/>
        <v>367.1762242416176</v>
      </c>
      <c r="AL429" t="str">
        <f t="shared" si="110"/>
        <v>PASS</v>
      </c>
      <c r="AM429" s="50" t="str">
        <f t="shared" si="111"/>
        <v/>
      </c>
    </row>
    <row r="430" spans="1:39" hidden="1">
      <c r="A430" t="s">
        <v>2058</v>
      </c>
      <c r="B430" t="s">
        <v>261</v>
      </c>
      <c r="C430" s="50" t="s">
        <v>2204</v>
      </c>
      <c r="D430">
        <f>'Laminates- copilot'!B147</f>
        <v>918</v>
      </c>
      <c r="E430" s="858">
        <f>'Laminates- copilot'!D147</f>
        <v>51</v>
      </c>
      <c r="F430" s="858">
        <v>150</v>
      </c>
      <c r="G430" s="858">
        <v>150</v>
      </c>
      <c r="H430" s="858">
        <v>25</v>
      </c>
      <c r="I430" s="858">
        <v>0</v>
      </c>
      <c r="J430" s="858">
        <v>350</v>
      </c>
      <c r="K430" s="858">
        <v>25000</v>
      </c>
      <c r="L430" s="858" t="str">
        <f>'Laminates- copilot'!K147</f>
        <v>Printed</v>
      </c>
      <c r="M430" s="858" t="str">
        <f>'Laminates- copilot'!L147</f>
        <v>1-2</v>
      </c>
      <c r="N430" s="858">
        <f>'Laminates- copilot'!M147</f>
        <v>1</v>
      </c>
      <c r="O430" s="858" t="str">
        <f>'Laminates- copilot'!O147</f>
        <v>Bastin</v>
      </c>
      <c r="P430" s="858" t="str">
        <f>'Laminates- copilot'!N147</f>
        <v>Europe to US</v>
      </c>
      <c r="Q430" s="858">
        <f t="shared" si="96"/>
        <v>3750</v>
      </c>
      <c r="R430" s="858">
        <f t="shared" si="97"/>
        <v>3750</v>
      </c>
      <c r="S430" s="858">
        <f>IFERROR('Laminates- copilot'!Q147/'Laminates- copilot'!P147*Q430,"")</f>
        <v>30.316500000000001</v>
      </c>
      <c r="T430" s="203">
        <f>IFERROR('Laminates- copilot'!R147/'Laminates- copilot'!P147*Q430,"")</f>
        <v>16245.580649258371</v>
      </c>
      <c r="U430" s="912">
        <f>IFERROR('Laminates- copilot'!S147/'Laminates- copilot'!P147*Q430,"")</f>
        <v>18844.873553139711</v>
      </c>
      <c r="V430" s="913">
        <f t="shared" si="98"/>
        <v>535.86596900230472</v>
      </c>
      <c r="W430" s="914">
        <f t="shared" si="99"/>
        <v>621.60452404267346</v>
      </c>
      <c r="X430" s="913">
        <f t="shared" si="100"/>
        <v>4.3321548398022323</v>
      </c>
      <c r="Y430" s="913">
        <f t="shared" si="101"/>
        <v>535.86596900230472</v>
      </c>
      <c r="Z430" s="95">
        <f t="shared" si="102"/>
        <v>412317</v>
      </c>
      <c r="AA430" s="50" t="str">
        <f t="shared" si="103"/>
        <v>Below MOQ by 387,317 bags</v>
      </c>
      <c r="AB430" s="923">
        <f t="shared" si="104"/>
        <v>0.36201081404206104</v>
      </c>
      <c r="AC430" s="924">
        <f t="shared" si="105"/>
        <v>0.41993254428879079</v>
      </c>
      <c r="AD430" s="203">
        <f t="shared" si="106"/>
        <v>9050.2703510515257</v>
      </c>
      <c r="AE430" s="912">
        <f t="shared" si="107"/>
        <v>10498.313607219769</v>
      </c>
      <c r="AF430" s="923" cm="1">
        <f t="array" ref="AF430">IF(O430="Quantum",IFERROR(_xlfn.LET(_xlpm.b,_xlfn.SWITCH(LOWER(B430),"zipper bag","Zipper pouch","open bag","Open pouch","sup with zipper","Stand-up pouch","stand-up pouch","Stand-up pouch",B430),_xlpm.w,G430,_xlpm.q,K430,_xlpm.types,'Converting-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missing"),IFERROR(_xlfn.LET(_xlpm.s,O430,_xlpm.b,_xlfn.SWITCH(LOWER(B430),"zipper bag","Zipper pouch","open bag","Open pouch",B430),_xlpm.w,G430,_xlpm.q,K430,_xlpm.src,'Converting-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30" s="923">
        <f>IFERROR(IF(OR(B430="Zipper pouch",B430="SUP with zipper"),HELPER!$DE$2*(AH430+AI430)/K430,HELPER!$DE$2*AH430/K430),"Data is missing")</f>
        <v>0.10449011615525358</v>
      </c>
      <c r="AH430" s="923">
        <f t="shared" si="108"/>
        <v>4.3321548398022323</v>
      </c>
      <c r="AI430" s="923">
        <f>IF(OR(B430="Zipper pouch",B430="SUP with zipper"),HELPER!$DC$2*G430/1000,"")</f>
        <v>2.1599999999999998E-2</v>
      </c>
      <c r="AJ430" s="923" cm="1">
        <f t="array" ref="AJ430">IF(INDEX('Laminates- copilot'!$E$6:$E$257,ROUNDUP((ROW()-5)/3,0))+50&gt;IF(O430="Quantum",760,1220),"Width exceeds supplier maximum",IFERROR(AF430+AG430+N(AI430)+AH430*G430/1000/MAX(1,MIN(MAX(2,INT(900/INDEX('Laminates- copilot'!$E$6:$E$257,ROUNDUP((ROW()-5)/3,0)))),INT((IF(O430="Quantum",760,1220)-50)/INDEX('Laminates- copilot'!$E$6:$E$257,ROUNDUP((ROW()-5)/3,0))))),"Data is missing"))</f>
        <v>0.27150811053154578</v>
      </c>
      <c r="AK430" s="203">
        <f t="shared" si="109"/>
        <v>362.01081404206104</v>
      </c>
      <c r="AL430" t="str">
        <f t="shared" si="110"/>
        <v>PASS</v>
      </c>
      <c r="AM430" s="50" t="str">
        <f t="shared" si="111"/>
        <v/>
      </c>
    </row>
    <row r="431" spans="1:39" hidden="1">
      <c r="A431" t="s">
        <v>2059</v>
      </c>
      <c r="B431" t="s">
        <v>262</v>
      </c>
      <c r="C431" s="50" t="s">
        <v>2204</v>
      </c>
      <c r="D431">
        <f>'Laminates- copilot'!B147</f>
        <v>918</v>
      </c>
      <c r="E431" s="858">
        <f>'Laminates- copilot'!D147</f>
        <v>51</v>
      </c>
      <c r="F431" s="858">
        <v>150</v>
      </c>
      <c r="G431" s="858">
        <v>150</v>
      </c>
      <c r="H431" s="858">
        <v>0</v>
      </c>
      <c r="I431" s="858">
        <v>0</v>
      </c>
      <c r="J431" s="858">
        <v>300</v>
      </c>
      <c r="K431" s="858">
        <v>25000</v>
      </c>
      <c r="L431" s="858" t="str">
        <f>'Laminates- copilot'!K147</f>
        <v>Printed</v>
      </c>
      <c r="M431" s="858" t="str">
        <f>'Laminates- copilot'!L147</f>
        <v>1-2</v>
      </c>
      <c r="N431" s="858">
        <f>'Laminates- copilot'!M147</f>
        <v>1</v>
      </c>
      <c r="O431" s="858" t="str">
        <f>'Laminates- copilot'!O147</f>
        <v>Bastin</v>
      </c>
      <c r="P431" s="858" t="str">
        <f>'Laminates- copilot'!N147</f>
        <v>Europe to US</v>
      </c>
      <c r="Q431" s="858">
        <f t="shared" si="96"/>
        <v>3750</v>
      </c>
      <c r="R431" s="858">
        <f t="shared" si="97"/>
        <v>3750</v>
      </c>
      <c r="S431" s="858">
        <f>IFERROR('Laminates- copilot'!Q147/'Laminates- copilot'!P147*Q431,"")</f>
        <v>30.316500000000001</v>
      </c>
      <c r="T431" s="203">
        <f>IFERROR('Laminates- copilot'!R147/'Laminates- copilot'!P147*Q431,"")</f>
        <v>16245.580649258371</v>
      </c>
      <c r="U431" s="912">
        <f>IFERROR('Laminates- copilot'!S147/'Laminates- copilot'!P147*Q431,"")</f>
        <v>18844.873553139711</v>
      </c>
      <c r="V431" s="913">
        <f t="shared" si="98"/>
        <v>535.86596900230472</v>
      </c>
      <c r="W431" s="914">
        <f t="shared" si="99"/>
        <v>621.60452404267346</v>
      </c>
      <c r="X431" s="913">
        <f t="shared" si="100"/>
        <v>4.3321548398022323</v>
      </c>
      <c r="Y431" s="913">
        <f t="shared" si="101"/>
        <v>535.86596900230472</v>
      </c>
      <c r="Z431" s="95">
        <f t="shared" si="102"/>
        <v>412317</v>
      </c>
      <c r="AA431" s="50" t="str">
        <f t="shared" si="103"/>
        <v>Below MOQ by 387,317 bags</v>
      </c>
      <c r="AB431" s="923">
        <f t="shared" si="104"/>
        <v>0.32668557520580488</v>
      </c>
      <c r="AC431" s="924">
        <f t="shared" si="105"/>
        <v>0.37895526723873363</v>
      </c>
      <c r="AD431" s="203">
        <f t="shared" si="106"/>
        <v>8167.1393801451222</v>
      </c>
      <c r="AE431" s="912">
        <f t="shared" si="107"/>
        <v>9473.8816809683412</v>
      </c>
      <c r="AF431" s="923" cm="1">
        <f t="array" ref="AF431">IF(O431="Quantum",IFERROR(_xlfn.LET(_xlpm.b,_xlfn.SWITCH(LOWER(B431),"zipper bag","Zipper pouch","open bag","Open pouch","sup with zipper","Stand-up pouch","stand-up pouch","Stand-up pouch",B431),_xlpm.w,G431,_xlpm.q,K431,_xlpm.types,'Converting-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missing"),IFERROR(_xlfn.LET(_xlpm.s,O431,_xlpm.b,_xlfn.SWITCH(LOWER(B431),"zipper bag","Zipper pouch","open bag","Open pouch",B431),_xlpm.w,G431,_xlpm.q,K431,_xlpm.src,'Converting-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31" s="923">
        <f>IFERROR(IF(OR(B431="Zipper pouch",B431="SUP with zipper"),HELPER!$DE$2*(AH431+AI431)/K431,HELPER!$DE$2*AH431/K431),"Data is missing")</f>
        <v>0.10397171615525358</v>
      </c>
      <c r="AH431" s="923">
        <f t="shared" si="108"/>
        <v>4.3321548398022323</v>
      </c>
      <c r="AI431" s="923" t="str">
        <f>IF(OR(B431="Zipper pouch",B431="SUP with zipper"),HELPER!$DC$2*G431/1000,"")</f>
        <v/>
      </c>
      <c r="AJ431" s="923" cm="1">
        <f t="array" ref="AJ431">IF(INDEX('Laminates- copilot'!$E$6:$E$257,ROUNDUP((ROW()-5)/3,0))+50&gt;IF(O431="Quantum",760,1220),"Width exceeds supplier maximum",IFERROR(AF431+AG431+N(AI431)+AH431*G431/1000/MAX(1,MIN(MAX(2,INT(900/INDEX('Laminates- copilot'!$E$6:$E$257,ROUNDUP((ROW()-5)/3,0)))),INT((IF(O431="Quantum",760,1220)-50)/INDEX('Laminates- copilot'!$E$6:$E$257,ROUNDUP((ROW()-5)/3,0))))),"Data is missing"))</f>
        <v>0.24501418140435366</v>
      </c>
      <c r="AK431" s="203">
        <f t="shared" si="109"/>
        <v>326.68557520580487</v>
      </c>
      <c r="AL431" t="str">
        <f t="shared" si="110"/>
        <v>PASS</v>
      </c>
      <c r="AM431" s="50" t="str">
        <f t="shared" si="111"/>
        <v/>
      </c>
    </row>
    <row r="432" spans="1:39" hidden="1">
      <c r="A432" t="s">
        <v>2060</v>
      </c>
      <c r="B432" t="s">
        <v>251</v>
      </c>
      <c r="C432" s="50" t="s">
        <v>2205</v>
      </c>
      <c r="D432">
        <f>'Laminates- copilot'!B148</f>
        <v>918</v>
      </c>
      <c r="E432" s="858">
        <f>'Laminates- copilot'!D148</f>
        <v>51</v>
      </c>
      <c r="F432" s="858">
        <v>250</v>
      </c>
      <c r="G432" s="858">
        <v>200</v>
      </c>
      <c r="H432" s="858">
        <v>40</v>
      </c>
      <c r="I432" s="858">
        <v>0</v>
      </c>
      <c r="J432" s="858">
        <v>580</v>
      </c>
      <c r="K432" s="858">
        <v>50000</v>
      </c>
      <c r="L432" s="858" t="str">
        <f>'Laminates- copilot'!K148</f>
        <v>Printed</v>
      </c>
      <c r="M432" s="858" t="str">
        <f>'Laminates- copilot'!L148</f>
        <v>3-4</v>
      </c>
      <c r="N432" s="858">
        <f>'Laminates- copilot'!M148</f>
        <v>4</v>
      </c>
      <c r="O432" s="858" t="str">
        <f>'Laminates- copilot'!O148</f>
        <v>Quantum</v>
      </c>
      <c r="P432" s="858" t="str">
        <f>'Laminates- copilot'!N148</f>
        <v>Europe to Europe</v>
      </c>
      <c r="Q432" s="858">
        <f t="shared" si="96"/>
        <v>10000</v>
      </c>
      <c r="R432" s="858">
        <f t="shared" si="97"/>
        <v>10000</v>
      </c>
      <c r="S432" s="858">
        <f>IFERROR('Laminates- copilot'!Q148/'Laminates- copilot'!P148*Q432,"")</f>
        <v>235.79499999999999</v>
      </c>
      <c r="T432" s="203">
        <f>IFERROR('Laminates- copilot'!R148/'Laminates- copilot'!P148*Q432,"")</f>
        <v>6639.8935328836014</v>
      </c>
      <c r="U432" s="912">
        <f>IFERROR('Laminates- copilot'!S148/'Laminates- copilot'!P148*Q432,"")</f>
        <v>7702.2764981449773</v>
      </c>
      <c r="V432" s="913">
        <f t="shared" si="98"/>
        <v>28.159602760379151</v>
      </c>
      <c r="W432" s="914">
        <f t="shared" si="99"/>
        <v>32.665139202039811</v>
      </c>
      <c r="X432" s="913">
        <f t="shared" si="100"/>
        <v>0.66398935328836017</v>
      </c>
      <c r="Y432" s="913">
        <f t="shared" si="101"/>
        <v>28.159602760379151</v>
      </c>
      <c r="Z432" s="95">
        <f t="shared" si="102"/>
        <v>106025</v>
      </c>
      <c r="AA432" s="50" t="str">
        <f t="shared" si="103"/>
        <v>Below MOQ by 56,025 bags</v>
      </c>
      <c r="AB432" s="923">
        <f t="shared" si="104"/>
        <v>0.29371400333641434</v>
      </c>
      <c r="AC432" s="924">
        <f t="shared" si="105"/>
        <v>0.34070824387024062</v>
      </c>
      <c r="AD432" s="203">
        <f t="shared" si="106"/>
        <v>14685.700166820718</v>
      </c>
      <c r="AE432" s="912">
        <f t="shared" si="107"/>
        <v>17035.412193512031</v>
      </c>
      <c r="AF432" s="923" cm="1">
        <f t="array" ref="AF432">IF(O432="Quantum",IFERROR(_xlfn.LET(_xlpm.b,_xlfn.SWITCH(LOWER(B432),"zipper bag","Zipper pouch","open bag","Open pouch","sup with zipper","Stand-up pouch","stand-up pouch","Stand-up pouch",B432),_xlpm.w,G432,_xlpm.q,K432,_xlpm.types,'Converting-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missing"),IFERROR(_xlfn.LET(_xlpm.s,O432,_xlpm.b,_xlfn.SWITCH(LOWER(B432),"zipper bag","Zipper pouch","open bag","Open pouch",B432),_xlpm.w,G432,_xlpm.q,K432,_xlpm.src,'Converting-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432" s="923">
        <f>IFERROR(IF(OR(B432="Zipper pouch",B432="SUP with zipper"),HELPER!$DE$2*(AH432+AI432)/K432,HELPER!$DE$2*AH432/K432),"Data is missing")</f>
        <v>8.3134722394603219E-3</v>
      </c>
      <c r="AH432" s="923">
        <f t="shared" si="108"/>
        <v>0.66398935328836017</v>
      </c>
      <c r="AI432" s="923">
        <f>IF(OR(B432="Zipper pouch",B432="SUP with zipper"),HELPER!$DC$2*G432/1000,"")</f>
        <v>2.8799999999999996E-2</v>
      </c>
      <c r="AJ432" s="923" cm="1">
        <f t="array" ref="AJ432">IF(INDEX('Laminates- copilot'!$E$6:$E$257,ROUNDUP((ROW()-5)/3,0))+50&gt;IF(O432="Quantum",760,1220),"Width exceeds supplier maximum",IFERROR(AF432+AG432+N(AI432)+AH432*G432/1000/MAX(1,MIN(MAX(2,INT(900/INDEX('Laminates- copilot'!$E$6:$E$257,ROUNDUP((ROW()-5)/3,0)))),INT((IF(O432="Quantum",760,1220)-50)/INDEX('Laminates- copilot'!$E$6:$E$257,ROUNDUP((ROW()-5)/3,0))))),"Data is missing"))</f>
        <v>0.22028550250231077</v>
      </c>
      <c r="AK432" s="203">
        <f t="shared" si="109"/>
        <v>293.71400333641435</v>
      </c>
      <c r="AL432" t="str">
        <f t="shared" si="110"/>
        <v>PASS</v>
      </c>
      <c r="AM432" s="50" t="str">
        <f t="shared" si="111"/>
        <v/>
      </c>
    </row>
    <row r="433" spans="1:39" hidden="1">
      <c r="A433" t="s">
        <v>2061</v>
      </c>
      <c r="B433" t="s">
        <v>261</v>
      </c>
      <c r="C433" s="50" t="s">
        <v>2205</v>
      </c>
      <c r="D433">
        <f>'Laminates- copilot'!B148</f>
        <v>918</v>
      </c>
      <c r="E433" s="858">
        <f>'Laminates- copilot'!D148</f>
        <v>51</v>
      </c>
      <c r="F433" s="858">
        <v>250</v>
      </c>
      <c r="G433" s="858">
        <v>200</v>
      </c>
      <c r="H433" s="858">
        <v>40</v>
      </c>
      <c r="I433" s="858">
        <v>0</v>
      </c>
      <c r="J433" s="858">
        <v>580</v>
      </c>
      <c r="K433" s="858">
        <v>50000</v>
      </c>
      <c r="L433" s="858" t="str">
        <f>'Laminates- copilot'!K148</f>
        <v>Printed</v>
      </c>
      <c r="M433" s="858" t="str">
        <f>'Laminates- copilot'!L148</f>
        <v>3-4</v>
      </c>
      <c r="N433" s="858">
        <f>'Laminates- copilot'!M148</f>
        <v>4</v>
      </c>
      <c r="O433" s="858" t="str">
        <f>'Laminates- copilot'!O148</f>
        <v>Quantum</v>
      </c>
      <c r="P433" s="858" t="str">
        <f>'Laminates- copilot'!N148</f>
        <v>Europe to Europe</v>
      </c>
      <c r="Q433" s="858">
        <f t="shared" si="96"/>
        <v>10000</v>
      </c>
      <c r="R433" s="858">
        <f t="shared" si="97"/>
        <v>10000</v>
      </c>
      <c r="S433" s="858">
        <f>IFERROR('Laminates- copilot'!Q148/'Laminates- copilot'!P148*Q433,"")</f>
        <v>235.79499999999999</v>
      </c>
      <c r="T433" s="203">
        <f>IFERROR('Laminates- copilot'!R148/'Laminates- copilot'!P148*Q433,"")</f>
        <v>6639.8935328836014</v>
      </c>
      <c r="U433" s="912">
        <f>IFERROR('Laminates- copilot'!S148/'Laminates- copilot'!P148*Q433,"")</f>
        <v>7702.2764981449773</v>
      </c>
      <c r="V433" s="913">
        <f t="shared" si="98"/>
        <v>28.159602760379151</v>
      </c>
      <c r="W433" s="914">
        <f t="shared" si="99"/>
        <v>32.665139202039811</v>
      </c>
      <c r="X433" s="913">
        <f t="shared" si="100"/>
        <v>0.66398935328836017</v>
      </c>
      <c r="Y433" s="913">
        <f t="shared" si="101"/>
        <v>28.159602760379151</v>
      </c>
      <c r="Z433" s="95">
        <f t="shared" si="102"/>
        <v>106025</v>
      </c>
      <c r="AA433" s="50" t="str">
        <f t="shared" si="103"/>
        <v>Below MOQ by 56,025 bags</v>
      </c>
      <c r="AB433" s="923">
        <f t="shared" si="104"/>
        <v>0.27794685261822072</v>
      </c>
      <c r="AC433" s="924">
        <f t="shared" si="105"/>
        <v>0.32241834903713601</v>
      </c>
      <c r="AD433" s="203">
        <f t="shared" si="106"/>
        <v>13897.342630911036</v>
      </c>
      <c r="AE433" s="912">
        <f t="shared" si="107"/>
        <v>16120.917451856802</v>
      </c>
      <c r="AF433" s="923" cm="1">
        <f t="array" ref="AF433">IF(O433="Quantum",IFERROR(_xlfn.LET(_xlpm.b,_xlfn.SWITCH(LOWER(B433),"zipper bag","Zipper pouch","open bag","Open pouch","sup with zipper","Stand-up pouch","stand-up pouch","Stand-up pouch",B433),_xlpm.w,G433,_xlpm.q,K433,_xlpm.types,'Converting-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missing"),IFERROR(_xlfn.LET(_xlpm.s,O433,_xlpm.b,_xlfn.SWITCH(LOWER(B433),"zipper bag","Zipper pouch","open bag","Open pouch",B433),_xlpm.w,G433,_xlpm.q,K433,_xlpm.src,'Converting-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433" s="923">
        <f>IFERROR(IF(OR(B433="Zipper pouch",B433="SUP with zipper"),HELPER!$DE$2*(AH433+AI433)/K433,HELPER!$DE$2*AH433/K433),"Data is missing")</f>
        <v>8.3134722394603219E-3</v>
      </c>
      <c r="AH433" s="923">
        <f t="shared" si="108"/>
        <v>0.66398935328836017</v>
      </c>
      <c r="AI433" s="923">
        <f>IF(OR(B433="Zipper pouch",B433="SUP with zipper"),HELPER!$DC$2*G433/1000,"")</f>
        <v>2.8799999999999996E-2</v>
      </c>
      <c r="AJ433" s="923" cm="1">
        <f t="array" ref="AJ433">IF(INDEX('Laminates- copilot'!$E$6:$E$257,ROUNDUP((ROW()-5)/3,0))+50&gt;IF(O433="Quantum",760,1220),"Width exceeds supplier maximum",IFERROR(AF433+AG433+N(AI433)+AH433*G433/1000/MAX(1,MIN(MAX(2,INT(900/INDEX('Laminates- copilot'!$E$6:$E$257,ROUNDUP((ROW()-5)/3,0)))),INT((IF(O433="Quantum",760,1220)-50)/INDEX('Laminates- copilot'!$E$6:$E$257,ROUNDUP((ROW()-5)/3,0))))),"Data is missing"))</f>
        <v>0.20846013946366554</v>
      </c>
      <c r="AK433" s="203">
        <f t="shared" si="109"/>
        <v>277.9468526182207</v>
      </c>
      <c r="AL433" t="str">
        <f t="shared" si="110"/>
        <v>PASS</v>
      </c>
      <c r="AM433" s="50" t="str">
        <f t="shared" si="111"/>
        <v/>
      </c>
    </row>
    <row r="434" spans="1:39" hidden="1">
      <c r="A434" t="s">
        <v>2062</v>
      </c>
      <c r="B434" t="s">
        <v>262</v>
      </c>
      <c r="C434" s="50" t="s">
        <v>2205</v>
      </c>
      <c r="D434">
        <f>'Laminates- copilot'!B148</f>
        <v>918</v>
      </c>
      <c r="E434" s="858">
        <f>'Laminates- copilot'!D148</f>
        <v>51</v>
      </c>
      <c r="F434" s="858">
        <v>250</v>
      </c>
      <c r="G434" s="858">
        <v>200</v>
      </c>
      <c r="H434" s="858">
        <v>0</v>
      </c>
      <c r="I434" s="858">
        <v>0</v>
      </c>
      <c r="J434" s="858">
        <v>500</v>
      </c>
      <c r="K434" s="858">
        <v>50000</v>
      </c>
      <c r="L434" s="858" t="str">
        <f>'Laminates- copilot'!K148</f>
        <v>Printed</v>
      </c>
      <c r="M434" s="858" t="str">
        <f>'Laminates- copilot'!L148</f>
        <v>3-4</v>
      </c>
      <c r="N434" s="858">
        <f>'Laminates- copilot'!M148</f>
        <v>4</v>
      </c>
      <c r="O434" s="858" t="str">
        <f>'Laminates- copilot'!O148</f>
        <v>Quantum</v>
      </c>
      <c r="P434" s="858" t="str">
        <f>'Laminates- copilot'!N148</f>
        <v>Europe to Europe</v>
      </c>
      <c r="Q434" s="858">
        <f t="shared" si="96"/>
        <v>10000</v>
      </c>
      <c r="R434" s="858">
        <f t="shared" si="97"/>
        <v>10000</v>
      </c>
      <c r="S434" s="858">
        <f>IFERROR('Laminates- copilot'!Q148/'Laminates- copilot'!P148*Q434,"")</f>
        <v>235.79499999999999</v>
      </c>
      <c r="T434" s="203">
        <f>IFERROR('Laminates- copilot'!R148/'Laminates- copilot'!P148*Q434,"")</f>
        <v>6639.8935328836014</v>
      </c>
      <c r="U434" s="912">
        <f>IFERROR('Laminates- copilot'!S148/'Laminates- copilot'!P148*Q434,"")</f>
        <v>7702.2764981449773</v>
      </c>
      <c r="V434" s="913">
        <f t="shared" si="98"/>
        <v>28.159602760379151</v>
      </c>
      <c r="W434" s="914">
        <f t="shared" si="99"/>
        <v>32.665139202039811</v>
      </c>
      <c r="X434" s="913">
        <f t="shared" si="100"/>
        <v>0.66398935328836017</v>
      </c>
      <c r="Y434" s="913">
        <f t="shared" si="101"/>
        <v>28.159602760379151</v>
      </c>
      <c r="Z434" s="95">
        <f t="shared" si="102"/>
        <v>106025</v>
      </c>
      <c r="AA434" s="50" t="str">
        <f t="shared" si="103"/>
        <v>Below MOQ by 56,025 bags</v>
      </c>
      <c r="AB434" s="923">
        <f t="shared" si="104"/>
        <v>0.22187463089424045</v>
      </c>
      <c r="AC434" s="924">
        <f t="shared" si="105"/>
        <v>0.25737457183731888</v>
      </c>
      <c r="AD434" s="203">
        <f t="shared" si="106"/>
        <v>11093.731544712022</v>
      </c>
      <c r="AE434" s="912">
        <f t="shared" si="107"/>
        <v>12868.728591865944</v>
      </c>
      <c r="AF434" s="923" cm="1">
        <f t="array" ref="AF434">IF(O434="Quantum",IFERROR(_xlfn.LET(_xlpm.b,_xlfn.SWITCH(LOWER(B434),"zipper bag","Zipper pouch","open bag","Open pouch","sup with zipper","Stand-up pouch","stand-up pouch","Stand-up pouch",B434),_xlpm.w,G434,_xlpm.q,K434,_xlpm.types,'Converting-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missing"),IFERROR(_xlfn.LET(_xlpm.s,O434,_xlpm.b,_xlfn.SWITCH(LOWER(B434),"zipper bag","Zipper pouch","open bag","Open pouch",B434),_xlpm.w,G434,_xlpm.q,K434,_xlpm.src,'Converting-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434" s="923">
        <f>IFERROR(IF(OR(B434="Zipper pouch",B434="SUP with zipper"),HELPER!$DE$2*(AH434+AI434)/K434,HELPER!$DE$2*AH434/K434),"Data is missing")</f>
        <v>7.9678722394603222E-3</v>
      </c>
      <c r="AH434" s="923">
        <f t="shared" si="108"/>
        <v>0.66398935328836017</v>
      </c>
      <c r="AI434" s="923" t="str">
        <f>IF(OR(B434="Zipper pouch",B434="SUP with zipper"),HELPER!$DC$2*G434/1000,"")</f>
        <v/>
      </c>
      <c r="AJ434" s="923" cm="1">
        <f t="array" ref="AJ434">IF(INDEX('Laminates- copilot'!$E$6:$E$257,ROUNDUP((ROW()-5)/3,0))+50&gt;IF(O434="Quantum",760,1220),"Width exceeds supplier maximum",IFERROR(AF434+AG434+N(AI434)+AH434*G434/1000/MAX(1,MIN(MAX(2,INT(900/INDEX('Laminates- copilot'!$E$6:$E$257,ROUNDUP((ROW()-5)/3,0)))),INT((IF(O434="Quantum",760,1220)-50)/INDEX('Laminates- copilot'!$E$6:$E$257,ROUNDUP((ROW()-5)/3,0))))),"Data is missing"))</f>
        <v>0.16640597317068034</v>
      </c>
      <c r="AK434" s="203">
        <f t="shared" si="109"/>
        <v>221.87463089424045</v>
      </c>
      <c r="AL434" t="str">
        <f t="shared" si="110"/>
        <v>PASS</v>
      </c>
      <c r="AM434" s="50" t="str">
        <f t="shared" si="111"/>
        <v/>
      </c>
    </row>
    <row r="435" spans="1:39">
      <c r="A435" t="s">
        <v>2063</v>
      </c>
      <c r="B435" t="s">
        <v>251</v>
      </c>
      <c r="C435" s="50" t="s">
        <v>2206</v>
      </c>
      <c r="D435">
        <f>'Laminates- copilot'!B149</f>
        <v>918</v>
      </c>
      <c r="E435" s="858">
        <f>'Laminates- copilot'!D149</f>
        <v>51</v>
      </c>
      <c r="F435" s="858">
        <v>300</v>
      </c>
      <c r="G435" s="858">
        <v>300</v>
      </c>
      <c r="H435" s="858">
        <v>50</v>
      </c>
      <c r="I435" s="858">
        <v>0</v>
      </c>
      <c r="J435" s="858">
        <v>700</v>
      </c>
      <c r="K435" s="858">
        <v>50000</v>
      </c>
      <c r="L435" s="858" t="str">
        <f>'Laminates- copilot'!K149</f>
        <v>Printed</v>
      </c>
      <c r="M435" s="858" t="str">
        <f>'Laminates- copilot'!L149</f>
        <v>5-8</v>
      </c>
      <c r="N435" s="858">
        <f>'Laminates- copilot'!M149</f>
        <v>8</v>
      </c>
      <c r="O435" s="858" t="str">
        <f>'Laminates- copilot'!O149</f>
        <v>Marma</v>
      </c>
      <c r="P435" s="858" t="str">
        <f>'Laminates- copilot'!N149</f>
        <v>Europe to US</v>
      </c>
      <c r="Q435" s="858">
        <f t="shared" si="96"/>
        <v>15000</v>
      </c>
      <c r="R435" s="858">
        <f t="shared" si="97"/>
        <v>15000</v>
      </c>
      <c r="S435" s="858">
        <f>IFERROR('Laminates- copilot'!Q149/'Laminates- copilot'!P149*Q435,"")</f>
        <v>909.495</v>
      </c>
      <c r="T435" s="203">
        <f>IFERROR('Laminates- copilot'!R149/'Laminates- copilot'!P149*Q435,"")</f>
        <v>16709.56838501403</v>
      </c>
      <c r="U435" s="912">
        <f>IFERROR('Laminates- copilot'!S149/'Laminates- copilot'!P149*Q435,"")</f>
        <v>19383.099326616277</v>
      </c>
      <c r="V435" s="913">
        <f t="shared" si="98"/>
        <v>18.372358710068809</v>
      </c>
      <c r="W435" s="914">
        <f t="shared" si="99"/>
        <v>21.31193610367982</v>
      </c>
      <c r="X435" s="913">
        <f t="shared" si="100"/>
        <v>1.113971225667602</v>
      </c>
      <c r="Y435" s="913">
        <f t="shared" si="101"/>
        <v>18.372358710068809</v>
      </c>
      <c r="Z435" s="95">
        <f t="shared" si="102"/>
        <v>27488</v>
      </c>
      <c r="AA435" s="50" t="str">
        <f t="shared" si="103"/>
        <v>MOQ OK</v>
      </c>
      <c r="AB435" s="923">
        <f t="shared" si="104"/>
        <v>0.59835809995583489</v>
      </c>
      <c r="AC435" s="924">
        <f t="shared" si="105"/>
        <v>0.69409539594876846</v>
      </c>
      <c r="AD435" s="203">
        <f t="shared" si="106"/>
        <v>29917.904997791746</v>
      </c>
      <c r="AE435" s="912">
        <f t="shared" si="107"/>
        <v>34704.769797438421</v>
      </c>
      <c r="AF435" s="923" cm="1">
        <f t="array" ref="AF435">IF(O435="Quantum",IFERROR(_xlfn.LET(_xlpm.b,_xlfn.SWITCH(LOWER(B435),"zipper bag","Zipper pouch","open bag","Open pouch","sup with zipper","Stand-up pouch","stand-up pouch","Stand-up pouch",B435),_xlpm.w,G435,_xlpm.q,K435,_xlpm.types,'Converting-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missing"),IFERROR(_xlfn.LET(_xlpm.s,O435,_xlpm.b,_xlfn.SWITCH(LOWER(B435),"zipper bag","Zipper pouch","open bag","Open pouch",B435),_xlpm.w,G435,_xlpm.q,K435,_xlpm.src,'Converting-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35" s="923">
        <f>IFERROR(IF(OR(B435="Zipper pouch",B435="SUP with zipper"),HELPER!$DE$2*(AH435+AI435)/K435,HELPER!$DE$2*AH435/K435),"Data is missing")</f>
        <v>1.3886054708011223E-2</v>
      </c>
      <c r="AH435" s="923">
        <f t="shared" si="108"/>
        <v>1.113971225667602</v>
      </c>
      <c r="AI435" s="923">
        <f>IF(OR(B435="Zipper pouch",B435="SUP with zipper"),HELPER!$DC$2*G435/1000,"")</f>
        <v>4.3199999999999995E-2</v>
      </c>
      <c r="AJ435" s="923" cm="1">
        <f t="array" ref="AJ435">IF(INDEX('Laminates- copilot'!$E$6:$E$257,ROUNDUP((ROW()-5)/3,0))+50&gt;IF(O435="Quantum",760,1220),"Width exceeds supplier maximum",IFERROR(AF435+AG435+N(AI435)+AH435*G435/1000/MAX(1,MIN(MAX(2,INT(900/INDEX('Laminates- copilot'!$E$6:$E$257,ROUNDUP((ROW()-5)/3,0)))),INT((IF(O435="Quantum",760,1220)-50)/INDEX('Laminates- copilot'!$E$6:$E$257,ROUNDUP((ROW()-5)/3,0))))),"Data is missing"))</f>
        <v>0.44876857496687617</v>
      </c>
      <c r="AK435" s="203">
        <f t="shared" si="109"/>
        <v>598.35809995583486</v>
      </c>
      <c r="AL435" t="str">
        <f t="shared" si="110"/>
        <v>PASS</v>
      </c>
      <c r="AM435" s="50" t="str">
        <f t="shared" si="111"/>
        <v/>
      </c>
    </row>
    <row r="436" spans="1:39">
      <c r="A436" t="s">
        <v>2064</v>
      </c>
      <c r="B436" t="s">
        <v>261</v>
      </c>
      <c r="C436" s="50" t="s">
        <v>2206</v>
      </c>
      <c r="D436">
        <f>'Laminates- copilot'!B149</f>
        <v>918</v>
      </c>
      <c r="E436" s="858">
        <f>'Laminates- copilot'!D149</f>
        <v>51</v>
      </c>
      <c r="F436" s="858">
        <v>300</v>
      </c>
      <c r="G436" s="858">
        <v>300</v>
      </c>
      <c r="H436" s="858">
        <v>50</v>
      </c>
      <c r="I436" s="858">
        <v>0</v>
      </c>
      <c r="J436" s="858">
        <v>700</v>
      </c>
      <c r="K436" s="858">
        <v>50000</v>
      </c>
      <c r="L436" s="858" t="str">
        <f>'Laminates- copilot'!K149</f>
        <v>Printed</v>
      </c>
      <c r="M436" s="858" t="str">
        <f>'Laminates- copilot'!L149</f>
        <v>5-8</v>
      </c>
      <c r="N436" s="858">
        <f>'Laminates- copilot'!M149</f>
        <v>8</v>
      </c>
      <c r="O436" s="858" t="str">
        <f>'Laminates- copilot'!O149</f>
        <v>Marma</v>
      </c>
      <c r="P436" s="858" t="str">
        <f>'Laminates- copilot'!N149</f>
        <v>Europe to US</v>
      </c>
      <c r="Q436" s="858">
        <f t="shared" si="96"/>
        <v>15000</v>
      </c>
      <c r="R436" s="858">
        <f t="shared" si="97"/>
        <v>15000</v>
      </c>
      <c r="S436" s="858">
        <f>IFERROR('Laminates- copilot'!Q149/'Laminates- copilot'!P149*Q436,"")</f>
        <v>909.495</v>
      </c>
      <c r="T436" s="203">
        <f>IFERROR('Laminates- copilot'!R149/'Laminates- copilot'!P149*Q436,"")</f>
        <v>16709.56838501403</v>
      </c>
      <c r="U436" s="912">
        <f>IFERROR('Laminates- copilot'!S149/'Laminates- copilot'!P149*Q436,"")</f>
        <v>19383.099326616277</v>
      </c>
      <c r="V436" s="913">
        <f t="shared" si="98"/>
        <v>18.372358710068809</v>
      </c>
      <c r="W436" s="914">
        <f t="shared" si="99"/>
        <v>21.31193610367982</v>
      </c>
      <c r="X436" s="913">
        <f t="shared" si="100"/>
        <v>1.113971225667602</v>
      </c>
      <c r="Y436" s="913">
        <f t="shared" si="101"/>
        <v>18.372358710068809</v>
      </c>
      <c r="Z436" s="95">
        <f t="shared" si="102"/>
        <v>27488</v>
      </c>
      <c r="AA436" s="50" t="str">
        <f t="shared" si="103"/>
        <v>MOQ OK</v>
      </c>
      <c r="AB436" s="923">
        <f t="shared" si="104"/>
        <v>0.59251487574819184</v>
      </c>
      <c r="AC436" s="924">
        <f t="shared" si="105"/>
        <v>0.68731725586790249</v>
      </c>
      <c r="AD436" s="203">
        <f t="shared" si="106"/>
        <v>29625.743787409592</v>
      </c>
      <c r="AE436" s="912">
        <f t="shared" si="107"/>
        <v>34365.862793395121</v>
      </c>
      <c r="AF436" s="923" cm="1">
        <f t="array" ref="AF436">IF(O436="Quantum",IFERROR(_xlfn.LET(_xlpm.b,_xlfn.SWITCH(LOWER(B436),"zipper bag","Zipper pouch","open bag","Open pouch","sup with zipper","Stand-up pouch","stand-up pouch","Stand-up pouch",B436),_xlpm.w,G436,_xlpm.q,K436,_xlpm.types,'Converting-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missing"),IFERROR(_xlfn.LET(_xlpm.s,O436,_xlpm.b,_xlfn.SWITCH(LOWER(B436),"zipper bag","Zipper pouch","open bag","Open pouch",B436),_xlpm.w,G436,_xlpm.q,K436,_xlpm.src,'Converting-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36" s="923">
        <f>IFERROR(IF(OR(B436="Zipper pouch",B436="SUP with zipper"),HELPER!$DE$2*(AH436+AI436)/K436,HELPER!$DE$2*AH436/K436),"Data is missing")</f>
        <v>1.3886054708011223E-2</v>
      </c>
      <c r="AH436" s="923">
        <f t="shared" si="108"/>
        <v>1.113971225667602</v>
      </c>
      <c r="AI436" s="923">
        <f>IF(OR(B436="Zipper pouch",B436="SUP with zipper"),HELPER!$DC$2*G436/1000,"")</f>
        <v>4.3199999999999995E-2</v>
      </c>
      <c r="AJ436" s="923" cm="1">
        <f t="array" ref="AJ436">IF(INDEX('Laminates- copilot'!$E$6:$E$257,ROUNDUP((ROW()-5)/3,0))+50&gt;IF(O436="Quantum",760,1220),"Width exceeds supplier maximum",IFERROR(AF436+AG436+N(AI436)+AH436*G436/1000/MAX(1,MIN(MAX(2,INT(900/INDEX('Laminates- copilot'!$E$6:$E$257,ROUNDUP((ROW()-5)/3,0)))),INT((IF(O436="Quantum",760,1220)-50)/INDEX('Laminates- copilot'!$E$6:$E$257,ROUNDUP((ROW()-5)/3,0))))),"Data is missing"))</f>
        <v>0.44438615681114385</v>
      </c>
      <c r="AK436" s="203">
        <f t="shared" si="109"/>
        <v>592.5148757481918</v>
      </c>
      <c r="AL436" t="str">
        <f t="shared" si="110"/>
        <v>PASS</v>
      </c>
      <c r="AM436" s="50" t="str">
        <f t="shared" si="111"/>
        <v/>
      </c>
    </row>
    <row r="437" spans="1:39">
      <c r="A437" t="s">
        <v>2065</v>
      </c>
      <c r="B437" t="s">
        <v>262</v>
      </c>
      <c r="C437" s="50" t="s">
        <v>2206</v>
      </c>
      <c r="D437">
        <f>'Laminates- copilot'!B149</f>
        <v>918</v>
      </c>
      <c r="E437" s="858">
        <f>'Laminates- copilot'!D149</f>
        <v>51</v>
      </c>
      <c r="F437" s="858">
        <v>300</v>
      </c>
      <c r="G437" s="858">
        <v>300</v>
      </c>
      <c r="H437" s="858">
        <v>0</v>
      </c>
      <c r="I437" s="858">
        <v>10</v>
      </c>
      <c r="J437" s="858">
        <v>610</v>
      </c>
      <c r="K437" s="858">
        <v>50000</v>
      </c>
      <c r="L437" s="858" t="str">
        <f>'Laminates- copilot'!K149</f>
        <v>Printed</v>
      </c>
      <c r="M437" s="858" t="str">
        <f>'Laminates- copilot'!L149</f>
        <v>5-8</v>
      </c>
      <c r="N437" s="858">
        <f>'Laminates- copilot'!M149</f>
        <v>8</v>
      </c>
      <c r="O437" s="858" t="str">
        <f>'Laminates- copilot'!O149</f>
        <v>Marma</v>
      </c>
      <c r="P437" s="858" t="str">
        <f>'Laminates- copilot'!N149</f>
        <v>Europe to US</v>
      </c>
      <c r="Q437" s="858">
        <f t="shared" si="96"/>
        <v>15000</v>
      </c>
      <c r="R437" s="858">
        <f t="shared" si="97"/>
        <v>15000</v>
      </c>
      <c r="S437" s="858">
        <f>IFERROR('Laminates- copilot'!Q149/'Laminates- copilot'!P149*Q437,"")</f>
        <v>909.495</v>
      </c>
      <c r="T437" s="203">
        <f>IFERROR('Laminates- copilot'!R149/'Laminates- copilot'!P149*Q437,"")</f>
        <v>16709.56838501403</v>
      </c>
      <c r="U437" s="912">
        <f>IFERROR('Laminates- copilot'!S149/'Laminates- copilot'!P149*Q437,"")</f>
        <v>19383.099326616277</v>
      </c>
      <c r="V437" s="913">
        <f t="shared" si="98"/>
        <v>18.372358710068809</v>
      </c>
      <c r="W437" s="914">
        <f t="shared" si="99"/>
        <v>21.31193610367982</v>
      </c>
      <c r="X437" s="913">
        <f t="shared" si="100"/>
        <v>1.113971225667602</v>
      </c>
      <c r="Y437" s="913">
        <f t="shared" si="101"/>
        <v>18.372358710068809</v>
      </c>
      <c r="Z437" s="95">
        <f t="shared" si="102"/>
        <v>27488</v>
      </c>
      <c r="AA437" s="50" t="str">
        <f t="shared" si="103"/>
        <v>MOQ OK</v>
      </c>
      <c r="AB437" s="923">
        <f t="shared" si="104"/>
        <v>0.52733566875062443</v>
      </c>
      <c r="AC437" s="924">
        <f t="shared" si="105"/>
        <v>0.61170937575072426</v>
      </c>
      <c r="AD437" s="203">
        <f t="shared" si="106"/>
        <v>26366.783437531223</v>
      </c>
      <c r="AE437" s="912">
        <f t="shared" si="107"/>
        <v>30585.468787536218</v>
      </c>
      <c r="AF437" s="923" cm="1">
        <f t="array" ref="AF437">IF(O437="Quantum",IFERROR(_xlfn.LET(_xlpm.b,_xlfn.SWITCH(LOWER(B437),"zipper bag","Zipper pouch","open bag","Open pouch","sup with zipper","Stand-up pouch","stand-up pouch","Stand-up pouch",B437),_xlpm.w,G437,_xlpm.q,K437,_xlpm.types,'Converting-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missing"),IFERROR(_xlfn.LET(_xlpm.s,O437,_xlpm.b,_xlfn.SWITCH(LOWER(B437),"zipper bag","Zipper pouch","open bag","Open pouch",B437),_xlpm.w,G437,_xlpm.q,K437,_xlpm.src,'Converting-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37" s="923">
        <f>IFERROR(IF(OR(B437="Zipper pouch",B437="SUP with zipper"),HELPER!$DE$2*(AH437+AI437)/K437,HELPER!$DE$2*AH437/K437),"Data is missing")</f>
        <v>1.3367654708011224E-2</v>
      </c>
      <c r="AH437" s="923">
        <f t="shared" si="108"/>
        <v>1.113971225667602</v>
      </c>
      <c r="AI437" s="923" t="str">
        <f>IF(OR(B437="Zipper pouch",B437="SUP with zipper"),HELPER!$DC$2*G437/1000,"")</f>
        <v/>
      </c>
      <c r="AJ437" s="923" cm="1">
        <f t="array" ref="AJ437">IF(INDEX('Laminates- copilot'!$E$6:$E$257,ROUNDUP((ROW()-5)/3,0))+50&gt;IF(O437="Quantum",760,1220),"Width exceeds supplier maximum",IFERROR(AF437+AG437+N(AI437)+AH437*G437/1000/MAX(1,MIN(MAX(2,INT(900/INDEX('Laminates- copilot'!$E$6:$E$257,ROUNDUP((ROW()-5)/3,0)))),INT((IF(O437="Quantum",760,1220)-50)/INDEX('Laminates- copilot'!$E$6:$E$257,ROUNDUP((ROW()-5)/3,0))))),"Data is missing"))</f>
        <v>0.3955017515629683</v>
      </c>
      <c r="AK437" s="203">
        <f t="shared" si="109"/>
        <v>527.33566875062445</v>
      </c>
      <c r="AL437" t="str">
        <f t="shared" si="110"/>
        <v>PASS</v>
      </c>
      <c r="AM437" s="50" t="str">
        <f t="shared" si="111"/>
        <v/>
      </c>
    </row>
    <row r="438" spans="1:39" hidden="1">
      <c r="A438" t="s">
        <v>2066</v>
      </c>
      <c r="B438" t="s">
        <v>251</v>
      </c>
      <c r="C438" s="50" t="s">
        <v>2207</v>
      </c>
      <c r="D438">
        <f>'Laminates- copilot'!B150</f>
        <v>918</v>
      </c>
      <c r="E438" s="858">
        <f>'Laminates- copilot'!D150</f>
        <v>51</v>
      </c>
      <c r="F438" s="858">
        <v>350</v>
      </c>
      <c r="G438" s="858">
        <v>400</v>
      </c>
      <c r="H438" s="858">
        <v>60</v>
      </c>
      <c r="I438" s="858">
        <v>0</v>
      </c>
      <c r="J438" s="858">
        <v>820</v>
      </c>
      <c r="K438" s="858">
        <v>100000</v>
      </c>
      <c r="L438" s="858" t="str">
        <f>'Laminates- copilot'!K150</f>
        <v>Not Printed</v>
      </c>
      <c r="M438" s="858" t="str">
        <f>'Laminates- copilot'!L150</f>
        <v>0</v>
      </c>
      <c r="N438" s="858">
        <f>'Laminates- copilot'!M150</f>
        <v>1</v>
      </c>
      <c r="O438" s="858" t="str">
        <f>'Laminates- copilot'!O150</f>
        <v>Bastin</v>
      </c>
      <c r="P438" s="858" t="str">
        <f>'Laminates- copilot'!N150</f>
        <v>Europe to Europe</v>
      </c>
      <c r="Q438" s="858">
        <f t="shared" si="96"/>
        <v>40000</v>
      </c>
      <c r="R438" s="858">
        <f t="shared" si="97"/>
        <v>40000</v>
      </c>
      <c r="S438" s="858">
        <f>IFERROR('Laminates- copilot'!Q150/'Laminates- copilot'!P150*Q438,"")</f>
        <v>943.18</v>
      </c>
      <c r="T438" s="203">
        <f>IFERROR('Laminates- copilot'!R150/'Laminates- copilot'!P150*Q438,"")</f>
        <v>13349.486324843749</v>
      </c>
      <c r="U438" s="912">
        <f>IFERROR('Laminates- copilot'!S150/'Laminates- copilot'!P150*Q438,"")</f>
        <v>15485.404136818748</v>
      </c>
      <c r="V438" s="913">
        <f t="shared" si="98"/>
        <v>14.15369953226717</v>
      </c>
      <c r="W438" s="914">
        <f t="shared" si="99"/>
        <v>16.418291457429916</v>
      </c>
      <c r="X438" s="913">
        <f t="shared" si="100"/>
        <v>0.33373715812109372</v>
      </c>
      <c r="Y438" s="913">
        <f t="shared" si="101"/>
        <v>14.15369953226717</v>
      </c>
      <c r="Z438" s="95">
        <f t="shared" si="102"/>
        <v>53013</v>
      </c>
      <c r="AA438" s="50" t="str">
        <f t="shared" si="103"/>
        <v>MOQ OK</v>
      </c>
      <c r="AB438" s="923">
        <f t="shared" si="104"/>
        <v>0.29955925108371023</v>
      </c>
      <c r="AC438" s="924">
        <f t="shared" si="105"/>
        <v>0.34748873125710383</v>
      </c>
      <c r="AD438" s="203">
        <f t="shared" si="106"/>
        <v>29955.925108371022</v>
      </c>
      <c r="AE438" s="912">
        <f t="shared" si="107"/>
        <v>34748.873125710386</v>
      </c>
      <c r="AF438" s="923" cm="1">
        <f t="array" ref="AF438">IF(O438="Quantum",IFERROR(_xlfn.LET(_xlpm.b,_xlfn.SWITCH(LOWER(B438),"zipper bag","Zipper pouch","open bag","Open pouch","sup with zipper","Stand-up pouch","stand-up pouch","Stand-up pouch",B438),_xlpm.w,G438,_xlpm.q,K438,_xlpm.types,'Converting-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missing"),IFERROR(_xlfn.LET(_xlpm.s,O438,_xlpm.b,_xlfn.SWITCH(LOWER(B438),"zipper bag","Zipper pouch","open bag","Open pouch",B438),_xlpm.w,G438,_xlpm.q,K438,_xlpm.src,'Converting-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38" s="923">
        <f>IFERROR(IF(OR(B438="Zipper pouch",B438="SUP with zipper"),HELPER!$DE$2*(AH438+AI438)/K438,HELPER!$DE$2*AH438/K438),"Data is missing")</f>
        <v>2.3480229487265625E-3</v>
      </c>
      <c r="AH438" s="923">
        <f t="shared" si="108"/>
        <v>0.33373715812109372</v>
      </c>
      <c r="AI438" s="923">
        <f>IF(OR(B438="Zipper pouch",B438="SUP with zipper"),HELPER!$DC$2*G438/1000,"")</f>
        <v>5.7599999999999991E-2</v>
      </c>
      <c r="AJ438" s="923" cm="1">
        <f t="array" ref="AJ438">IF(INDEX('Laminates- copilot'!$E$6:$E$257,ROUNDUP((ROW()-5)/3,0))+50&gt;IF(O438="Quantum",760,1220),"Width exceeds supplier maximum",IFERROR(AF438+AG438+N(AI438)+AH438*G438/1000/MAX(1,MIN(MAX(2,INT(900/INDEX('Laminates- copilot'!$E$6:$E$257,ROUNDUP((ROW()-5)/3,0)))),INT((IF(O438="Quantum",760,1220)-50)/INDEX('Laminates- copilot'!$E$6:$E$257,ROUNDUP((ROW()-5)/3,0))))),"Data is missing"))</f>
        <v>0.22466943831278269</v>
      </c>
      <c r="AK438" s="203">
        <f t="shared" si="109"/>
        <v>299.55925108371025</v>
      </c>
      <c r="AL438" t="str">
        <f t="shared" si="110"/>
        <v>PASS</v>
      </c>
      <c r="AM438" s="50" t="str">
        <f t="shared" si="111"/>
        <v/>
      </c>
    </row>
    <row r="439" spans="1:39" hidden="1">
      <c r="A439" t="s">
        <v>2067</v>
      </c>
      <c r="B439" t="s">
        <v>261</v>
      </c>
      <c r="C439" s="50" t="s">
        <v>2207</v>
      </c>
      <c r="D439">
        <f>'Laminates- copilot'!B150</f>
        <v>918</v>
      </c>
      <c r="E439" s="858">
        <f>'Laminates- copilot'!D150</f>
        <v>51</v>
      </c>
      <c r="F439" s="858">
        <v>350</v>
      </c>
      <c r="G439" s="858">
        <v>400</v>
      </c>
      <c r="H439" s="858">
        <v>60</v>
      </c>
      <c r="I439" s="858">
        <v>0</v>
      </c>
      <c r="J439" s="858">
        <v>820</v>
      </c>
      <c r="K439" s="858">
        <v>100000</v>
      </c>
      <c r="L439" s="858" t="str">
        <f>'Laminates- copilot'!K150</f>
        <v>Not Printed</v>
      </c>
      <c r="M439" s="858" t="str">
        <f>'Laminates- copilot'!L150</f>
        <v>0</v>
      </c>
      <c r="N439" s="858">
        <f>'Laminates- copilot'!M150</f>
        <v>1</v>
      </c>
      <c r="O439" s="858" t="str">
        <f>'Laminates- copilot'!O150</f>
        <v>Bastin</v>
      </c>
      <c r="P439" s="858" t="str">
        <f>'Laminates- copilot'!N150</f>
        <v>Europe to Europe</v>
      </c>
      <c r="Q439" s="858">
        <f t="shared" si="96"/>
        <v>40000</v>
      </c>
      <c r="R439" s="858">
        <f t="shared" si="97"/>
        <v>40000</v>
      </c>
      <c r="S439" s="858">
        <f>IFERROR('Laminates- copilot'!Q150/'Laminates- copilot'!P150*Q439,"")</f>
        <v>943.18</v>
      </c>
      <c r="T439" s="203">
        <f>IFERROR('Laminates- copilot'!R150/'Laminates- copilot'!P150*Q439,"")</f>
        <v>13349.486324843749</v>
      </c>
      <c r="U439" s="912">
        <f>IFERROR('Laminates- copilot'!S150/'Laminates- copilot'!P150*Q439,"")</f>
        <v>15485.404136818748</v>
      </c>
      <c r="V439" s="913">
        <f t="shared" si="98"/>
        <v>14.15369953226717</v>
      </c>
      <c r="W439" s="914">
        <f t="shared" si="99"/>
        <v>16.418291457429916</v>
      </c>
      <c r="X439" s="913">
        <f t="shared" si="100"/>
        <v>0.33373715812109372</v>
      </c>
      <c r="Y439" s="913">
        <f t="shared" si="101"/>
        <v>14.15369953226717</v>
      </c>
      <c r="Z439" s="95">
        <f t="shared" si="102"/>
        <v>53013</v>
      </c>
      <c r="AA439" s="50" t="str">
        <f t="shared" si="103"/>
        <v>MOQ OK</v>
      </c>
      <c r="AB439" s="923">
        <f t="shared" si="104"/>
        <v>0.28962576993071693</v>
      </c>
      <c r="AC439" s="924">
        <f t="shared" si="105"/>
        <v>0.3359658931196316</v>
      </c>
      <c r="AD439" s="203">
        <f t="shared" si="106"/>
        <v>28962.576993071692</v>
      </c>
      <c r="AE439" s="912">
        <f t="shared" si="107"/>
        <v>33596.589311963158</v>
      </c>
      <c r="AF439" s="923" cm="1">
        <f t="array" ref="AF439">IF(O439="Quantum",IFERROR(_xlfn.LET(_xlpm.b,_xlfn.SWITCH(LOWER(B439),"zipper bag","Zipper pouch","open bag","Open pouch","sup with zipper","Stand-up pouch","stand-up pouch","Stand-up pouch",B439),_xlpm.w,G439,_xlpm.q,K439,_xlpm.types,'Converting-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missing"),IFERROR(_xlfn.LET(_xlpm.s,O439,_xlpm.b,_xlfn.SWITCH(LOWER(B439),"zipper bag","Zipper pouch","open bag","Open pouch",B439),_xlpm.w,G439,_xlpm.q,K439,_xlpm.src,'Converting-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39" s="923">
        <f>IFERROR(IF(OR(B439="Zipper pouch",B439="SUP with zipper"),HELPER!$DE$2*(AH439+AI439)/K439,HELPER!$DE$2*AH439/K439),"Data is missing")</f>
        <v>2.3480229487265625E-3</v>
      </c>
      <c r="AH439" s="923">
        <f t="shared" si="108"/>
        <v>0.33373715812109372</v>
      </c>
      <c r="AI439" s="923">
        <f>IF(OR(B439="Zipper pouch",B439="SUP with zipper"),HELPER!$DC$2*G439/1000,"")</f>
        <v>5.7599999999999991E-2</v>
      </c>
      <c r="AJ439" s="923" cm="1">
        <f t="array" ref="AJ439">IF(INDEX('Laminates- copilot'!$E$6:$E$257,ROUNDUP((ROW()-5)/3,0))+50&gt;IF(O439="Quantum",760,1220),"Width exceeds supplier maximum",IFERROR(AF439+AG439+N(AI439)+AH439*G439/1000/MAX(1,MIN(MAX(2,INT(900/INDEX('Laminates- copilot'!$E$6:$E$257,ROUNDUP((ROW()-5)/3,0)))),INT((IF(O439="Quantum",760,1220)-50)/INDEX('Laminates- copilot'!$E$6:$E$257,ROUNDUP((ROW()-5)/3,0))))),"Data is missing"))</f>
        <v>0.21721932744803768</v>
      </c>
      <c r="AK439" s="203">
        <f t="shared" si="109"/>
        <v>289.6257699307169</v>
      </c>
      <c r="AL439" t="str">
        <f t="shared" si="110"/>
        <v>PASS</v>
      </c>
      <c r="AM439" s="50" t="str">
        <f t="shared" si="111"/>
        <v/>
      </c>
    </row>
    <row r="440" spans="1:39" hidden="1">
      <c r="A440" t="s">
        <v>2068</v>
      </c>
      <c r="B440" t="s">
        <v>262</v>
      </c>
      <c r="C440" s="50" t="s">
        <v>2207</v>
      </c>
      <c r="D440">
        <f>'Laminates- copilot'!B150</f>
        <v>918</v>
      </c>
      <c r="E440" s="858">
        <f>'Laminates- copilot'!D150</f>
        <v>51</v>
      </c>
      <c r="F440" s="858">
        <v>350</v>
      </c>
      <c r="G440" s="858">
        <v>400</v>
      </c>
      <c r="H440" s="858">
        <v>0</v>
      </c>
      <c r="I440" s="858">
        <v>0</v>
      </c>
      <c r="J440" s="858">
        <v>700</v>
      </c>
      <c r="K440" s="858">
        <v>100000</v>
      </c>
      <c r="L440" s="858" t="str">
        <f>'Laminates- copilot'!K150</f>
        <v>Not Printed</v>
      </c>
      <c r="M440" s="858" t="str">
        <f>'Laminates- copilot'!L150</f>
        <v>0</v>
      </c>
      <c r="N440" s="858">
        <f>'Laminates- copilot'!M150</f>
        <v>1</v>
      </c>
      <c r="O440" s="858" t="str">
        <f>'Laminates- copilot'!O150</f>
        <v>Bastin</v>
      </c>
      <c r="P440" s="858" t="str">
        <f>'Laminates- copilot'!N150</f>
        <v>Europe to Europe</v>
      </c>
      <c r="Q440" s="858">
        <f t="shared" si="96"/>
        <v>40000</v>
      </c>
      <c r="R440" s="858">
        <f t="shared" si="97"/>
        <v>40000</v>
      </c>
      <c r="S440" s="858">
        <f>IFERROR('Laminates- copilot'!Q150/'Laminates- copilot'!P150*Q440,"")</f>
        <v>943.18</v>
      </c>
      <c r="T440" s="203">
        <f>IFERROR('Laminates- copilot'!R150/'Laminates- copilot'!P150*Q440,"")</f>
        <v>13349.486324843749</v>
      </c>
      <c r="U440" s="912">
        <f>IFERROR('Laminates- copilot'!S150/'Laminates- copilot'!P150*Q440,"")</f>
        <v>15485.404136818748</v>
      </c>
      <c r="V440" s="913">
        <f t="shared" si="98"/>
        <v>14.15369953226717</v>
      </c>
      <c r="W440" s="914">
        <f t="shared" si="99"/>
        <v>16.418291457429916</v>
      </c>
      <c r="X440" s="913">
        <f t="shared" si="100"/>
        <v>0.33373715812109372</v>
      </c>
      <c r="Y440" s="913">
        <f t="shared" si="101"/>
        <v>14.15369953226717</v>
      </c>
      <c r="Z440" s="95">
        <f t="shared" si="102"/>
        <v>53013</v>
      </c>
      <c r="AA440" s="50" t="str">
        <f t="shared" si="103"/>
        <v>MOQ OK</v>
      </c>
      <c r="AB440" s="923">
        <f t="shared" si="104"/>
        <v>0.19923697154329503</v>
      </c>
      <c r="AC440" s="924">
        <f t="shared" si="105"/>
        <v>0.23111488699022223</v>
      </c>
      <c r="AD440" s="203">
        <f t="shared" si="106"/>
        <v>19923.697154329504</v>
      </c>
      <c r="AE440" s="912">
        <f t="shared" si="107"/>
        <v>23111.488699022222</v>
      </c>
      <c r="AF440" s="923" cm="1">
        <f t="array" ref="AF440">IF(O440="Quantum",IFERROR(_xlfn.LET(_xlpm.b,_xlfn.SWITCH(LOWER(B440),"zipper bag","Zipper pouch","open bag","Open pouch","sup with zipper","Stand-up pouch","stand-up pouch","Stand-up pouch",B440),_xlpm.w,G440,_xlpm.q,K440,_xlpm.types,'Converting-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missing"),IFERROR(_xlfn.LET(_xlpm.s,O440,_xlpm.b,_xlfn.SWITCH(LOWER(B440),"zipper bag","Zipper pouch","open bag","Open pouch",B440),_xlpm.w,G440,_xlpm.q,K440,_xlpm.src,'Converting-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440" s="923">
        <f>IFERROR(IF(OR(B440="Zipper pouch",B440="SUP with zipper"),HELPER!$DE$2*(AH440+AI440)/K440,HELPER!$DE$2*AH440/K440),"Data is missing")</f>
        <v>2.0024229487265624E-3</v>
      </c>
      <c r="AH440" s="923">
        <f t="shared" si="108"/>
        <v>0.33373715812109372</v>
      </c>
      <c r="AI440" s="923" t="str">
        <f>IF(OR(B440="Zipper pouch",B440="SUP with zipper"),HELPER!$DC$2*G440/1000,"")</f>
        <v/>
      </c>
      <c r="AJ440" s="923" cm="1">
        <f t="array" ref="AJ440">IF(INDEX('Laminates- copilot'!$E$6:$E$257,ROUNDUP((ROW()-5)/3,0))+50&gt;IF(O440="Quantum",760,1220),"Width exceeds supplier maximum",IFERROR(AF440+AG440+N(AI440)+AH440*G440/1000/MAX(1,MIN(MAX(2,INT(900/INDEX('Laminates- copilot'!$E$6:$E$257,ROUNDUP((ROW()-5)/3,0)))),INT((IF(O440="Quantum",760,1220)-50)/INDEX('Laminates- copilot'!$E$6:$E$257,ROUNDUP((ROW()-5)/3,0))))),"Data is missing"))</f>
        <v>0.14942772865747128</v>
      </c>
      <c r="AK440" s="203">
        <f t="shared" si="109"/>
        <v>199.23697154329503</v>
      </c>
      <c r="AL440" t="str">
        <f t="shared" si="110"/>
        <v>PASS</v>
      </c>
      <c r="AM440" s="50" t="str">
        <f t="shared" si="111"/>
        <v/>
      </c>
    </row>
    <row r="441" spans="1:39" hidden="1">
      <c r="A441" t="s">
        <v>2069</v>
      </c>
      <c r="B441" t="s">
        <v>251</v>
      </c>
      <c r="C441" s="50" t="s">
        <v>2208</v>
      </c>
      <c r="D441">
        <f>'Laminates- copilot'!B151</f>
        <v>918</v>
      </c>
      <c r="E441" s="858">
        <f>'Laminates- copilot'!D151</f>
        <v>51</v>
      </c>
      <c r="F441" s="858">
        <v>400</v>
      </c>
      <c r="G441" s="858">
        <v>500</v>
      </c>
      <c r="H441" s="858">
        <v>80</v>
      </c>
      <c r="I441" s="858">
        <v>0</v>
      </c>
      <c r="J441" s="858">
        <v>960</v>
      </c>
      <c r="K441" s="858">
        <v>100000</v>
      </c>
      <c r="L441" s="858" t="str">
        <f>'Laminates- copilot'!K151</f>
        <v>Printed</v>
      </c>
      <c r="M441" s="858" t="str">
        <f>'Laminates- copilot'!L151</f>
        <v>3-4</v>
      </c>
      <c r="N441" s="858">
        <f>'Laminates- copilot'!M151</f>
        <v>4</v>
      </c>
      <c r="O441" s="858" t="str">
        <f>'Laminates- copilot'!O151</f>
        <v>Quantum</v>
      </c>
      <c r="P441" s="858" t="str">
        <f>'Laminates- copilot'!N151</f>
        <v>Europe to US</v>
      </c>
      <c r="Q441" s="858">
        <f t="shared" si="96"/>
        <v>50000</v>
      </c>
      <c r="R441" s="858">
        <f t="shared" si="97"/>
        <v>50000</v>
      </c>
      <c r="S441" s="858">
        <f>IFERROR('Laminates- copilot'!Q151/'Laminates- copilot'!P151*Q441,"")</f>
        <v>2021.1</v>
      </c>
      <c r="T441" s="203">
        <f>IFERROR('Laminates- copilot'!R151/'Laminates- copilot'!P151*Q441,"")</f>
        <v>73163.817504511855</v>
      </c>
      <c r="U441" s="912">
        <f>IFERROR('Laminates- copilot'!S151/'Laminates- copilot'!P151*Q441,"")</f>
        <v>84870.028305233747</v>
      </c>
      <c r="V441" s="913">
        <f t="shared" si="98"/>
        <v>36.199998765282203</v>
      </c>
      <c r="W441" s="914">
        <f t="shared" si="99"/>
        <v>41.99199856772735</v>
      </c>
      <c r="X441" s="913">
        <f t="shared" si="100"/>
        <v>1.463276350090237</v>
      </c>
      <c r="Y441" s="913">
        <f t="shared" si="101"/>
        <v>36.199998765282203</v>
      </c>
      <c r="Z441" s="95">
        <f t="shared" si="102"/>
        <v>24740</v>
      </c>
      <c r="AA441" s="50" t="str">
        <f t="shared" si="103"/>
        <v>MOQ OK</v>
      </c>
      <c r="AB441" s="923">
        <f t="shared" si="104"/>
        <v>1.4454572204110432</v>
      </c>
      <c r="AC441" s="924">
        <f t="shared" si="105"/>
        <v>1.6767303756768099</v>
      </c>
      <c r="AD441" s="203">
        <f t="shared" si="106"/>
        <v>144545.72204110431</v>
      </c>
      <c r="AE441" s="912">
        <f t="shared" si="107"/>
        <v>167673.03756768099</v>
      </c>
      <c r="AF441" s="923" cm="1">
        <f t="array" ref="AF441">IF(O441="Quantum",IFERROR(_xlfn.LET(_xlpm.b,_xlfn.SWITCH(LOWER(B441),"zipper bag","Zipper pouch","open bag","Open pouch","sup with zipper","Stand-up pouch","stand-up pouch","Stand-up pouch",B441),_xlpm.w,G441,_xlpm.q,K441,_xlpm.types,'Converting-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missing"),IFERROR(_xlfn.LET(_xlpm.s,O441,_xlpm.b,_xlfn.SWITCH(LOWER(B441),"zipper bag","Zipper pouch","open bag","Open pouch",B441),_xlpm.w,G441,_xlpm.q,K441,_xlpm.src,'Converting-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441" s="923">
        <f>IFERROR(IF(OR(B441="Zipper pouch",B441="SUP with zipper"),HELPER!$DE$2*(AH441+AI441)/K441,HELPER!$DE$2*AH441/K441),"Data is missing")</f>
        <v>9.2116581005414234E-3</v>
      </c>
      <c r="AH441" s="923">
        <f t="shared" si="108"/>
        <v>1.463276350090237</v>
      </c>
      <c r="AI441" s="923">
        <f>IF(OR(B441="Zipper pouch",B441="SUP with zipper"),HELPER!$DC$2*G441/1000,"")</f>
        <v>7.1999999999999995E-2</v>
      </c>
      <c r="AJ441" s="923" cm="1">
        <f t="array" ref="AJ441">IF(INDEX('Laminates- copilot'!$E$6:$E$257,ROUNDUP((ROW()-5)/3,0))+50&gt;IF(O441="Quantum",760,1220),"Width exceeds supplier maximum",IFERROR(AF441+AG441+N(AI441)+AH441*G441/1000/MAX(1,MIN(MAX(2,INT(900/INDEX('Laminates- copilot'!$E$6:$E$257,ROUNDUP((ROW()-5)/3,0)))),INT((IF(O441="Quantum",760,1220)-50)/INDEX('Laminates- copilot'!$E$6:$E$257,ROUNDUP((ROW()-5)/3,0))))),"Data is missing"))</f>
        <v>1.0840929153082823</v>
      </c>
      <c r="AK441" s="203">
        <f t="shared" si="109"/>
        <v>1445.4572204110432</v>
      </c>
      <c r="AL441" t="str">
        <f t="shared" si="110"/>
        <v>PASS</v>
      </c>
      <c r="AM441" s="50" t="str">
        <f t="shared" si="111"/>
        <v/>
      </c>
    </row>
    <row r="442" spans="1:39" hidden="1">
      <c r="A442" t="s">
        <v>2070</v>
      </c>
      <c r="B442" t="s">
        <v>261</v>
      </c>
      <c r="C442" s="50" t="s">
        <v>2208</v>
      </c>
      <c r="D442">
        <f>'Laminates- copilot'!B151</f>
        <v>918</v>
      </c>
      <c r="E442" s="858">
        <f>'Laminates- copilot'!D151</f>
        <v>51</v>
      </c>
      <c r="F442" s="858">
        <v>400</v>
      </c>
      <c r="G442" s="858">
        <v>500</v>
      </c>
      <c r="H442" s="858">
        <v>80</v>
      </c>
      <c r="I442" s="858">
        <v>0</v>
      </c>
      <c r="J442" s="858">
        <v>960</v>
      </c>
      <c r="K442" s="858">
        <v>100000</v>
      </c>
      <c r="L442" s="858" t="str">
        <f>'Laminates- copilot'!K151</f>
        <v>Printed</v>
      </c>
      <c r="M442" s="858" t="str">
        <f>'Laminates- copilot'!L151</f>
        <v>3-4</v>
      </c>
      <c r="N442" s="858">
        <f>'Laminates- copilot'!M151</f>
        <v>4</v>
      </c>
      <c r="O442" s="858" t="str">
        <f>'Laminates- copilot'!O151</f>
        <v>Quantum</v>
      </c>
      <c r="P442" s="858" t="str">
        <f>'Laminates- copilot'!N151</f>
        <v>Europe to US</v>
      </c>
      <c r="Q442" s="858">
        <f t="shared" si="96"/>
        <v>50000</v>
      </c>
      <c r="R442" s="858">
        <f t="shared" si="97"/>
        <v>50000</v>
      </c>
      <c r="S442" s="858">
        <f>IFERROR('Laminates- copilot'!Q151/'Laminates- copilot'!P151*Q442,"")</f>
        <v>2021.1</v>
      </c>
      <c r="T442" s="203">
        <f>IFERROR('Laminates- copilot'!R151/'Laminates- copilot'!P151*Q442,"")</f>
        <v>73163.817504511855</v>
      </c>
      <c r="U442" s="912">
        <f>IFERROR('Laminates- copilot'!S151/'Laminates- copilot'!P151*Q442,"")</f>
        <v>84870.028305233747</v>
      </c>
      <c r="V442" s="913">
        <f t="shared" si="98"/>
        <v>36.199998765282203</v>
      </c>
      <c r="W442" s="914">
        <f t="shared" si="99"/>
        <v>41.99199856772735</v>
      </c>
      <c r="X442" s="913">
        <f t="shared" si="100"/>
        <v>1.463276350090237</v>
      </c>
      <c r="Y442" s="913">
        <f t="shared" si="101"/>
        <v>36.199998765282203</v>
      </c>
      <c r="Z442" s="95">
        <f t="shared" si="102"/>
        <v>24740</v>
      </c>
      <c r="AA442" s="50" t="str">
        <f t="shared" si="103"/>
        <v>MOQ OK</v>
      </c>
      <c r="AB442" s="923">
        <f t="shared" si="104"/>
        <v>1.4060393436155589</v>
      </c>
      <c r="AC442" s="924">
        <f t="shared" si="105"/>
        <v>1.6310056385940483</v>
      </c>
      <c r="AD442" s="203">
        <f t="shared" si="106"/>
        <v>140603.9343615559</v>
      </c>
      <c r="AE442" s="912">
        <f t="shared" si="107"/>
        <v>163100.56385940485</v>
      </c>
      <c r="AF442" s="923" cm="1">
        <f t="array" ref="AF442">IF(O442="Quantum",IFERROR(_xlfn.LET(_xlpm.b,_xlfn.SWITCH(LOWER(B442),"zipper bag","Zipper pouch","open bag","Open pouch","sup with zipper","Stand-up pouch","stand-up pouch","Stand-up pouch",B442),_xlpm.w,G442,_xlpm.q,K442,_xlpm.types,'Converting-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missing"),IFERROR(_xlfn.LET(_xlpm.s,O442,_xlpm.b,_xlfn.SWITCH(LOWER(B442),"zipper bag","Zipper pouch","open bag","Open pouch",B442),_xlpm.w,G442,_xlpm.q,K442,_xlpm.src,'Converting-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442" s="923">
        <f>IFERROR(IF(OR(B442="Zipper pouch",B442="SUP with zipper"),HELPER!$DE$2*(AH442+AI442)/K442,HELPER!$DE$2*AH442/K442),"Data is missing")</f>
        <v>9.2116581005414234E-3</v>
      </c>
      <c r="AH442" s="923">
        <f t="shared" si="108"/>
        <v>1.463276350090237</v>
      </c>
      <c r="AI442" s="923">
        <f>IF(OR(B442="Zipper pouch",B442="SUP with zipper"),HELPER!$DC$2*G442/1000,"")</f>
        <v>7.1999999999999995E-2</v>
      </c>
      <c r="AJ442" s="923" cm="1">
        <f t="array" ref="AJ442">IF(INDEX('Laminates- copilot'!$E$6:$E$257,ROUNDUP((ROW()-5)/3,0))+50&gt;IF(O442="Quantum",760,1220),"Width exceeds supplier maximum",IFERROR(AF442+AG442+N(AI442)+AH442*G442/1000/MAX(1,MIN(MAX(2,INT(900/INDEX('Laminates- copilot'!$E$6:$E$257,ROUNDUP((ROW()-5)/3,0)))),INT((IF(O442="Quantum",760,1220)-50)/INDEX('Laminates- copilot'!$E$6:$E$257,ROUNDUP((ROW()-5)/3,0))))),"Data is missing"))</f>
        <v>1.0545295077116692</v>
      </c>
      <c r="AK442" s="203">
        <f t="shared" si="109"/>
        <v>1406.0393436155589</v>
      </c>
      <c r="AL442" t="str">
        <f t="shared" si="110"/>
        <v>PASS</v>
      </c>
      <c r="AM442" s="50" t="str">
        <f t="shared" si="111"/>
        <v/>
      </c>
    </row>
    <row r="443" spans="1:39" hidden="1">
      <c r="A443" t="s">
        <v>2071</v>
      </c>
      <c r="B443" t="s">
        <v>262</v>
      </c>
      <c r="C443" s="50" t="s">
        <v>2208</v>
      </c>
      <c r="D443">
        <f>'Laminates- copilot'!B151</f>
        <v>918</v>
      </c>
      <c r="E443" s="858">
        <f>'Laminates- copilot'!D151</f>
        <v>51</v>
      </c>
      <c r="F443" s="858">
        <v>400</v>
      </c>
      <c r="G443" s="858">
        <v>500</v>
      </c>
      <c r="H443" s="858">
        <v>0</v>
      </c>
      <c r="I443" s="858">
        <v>20</v>
      </c>
      <c r="J443" s="858">
        <v>820</v>
      </c>
      <c r="K443" s="858">
        <v>100000</v>
      </c>
      <c r="L443" s="858" t="str">
        <f>'Laminates- copilot'!K151</f>
        <v>Printed</v>
      </c>
      <c r="M443" s="858" t="str">
        <f>'Laminates- copilot'!L151</f>
        <v>3-4</v>
      </c>
      <c r="N443" s="858">
        <f>'Laminates- copilot'!M151</f>
        <v>4</v>
      </c>
      <c r="O443" s="858" t="str">
        <f>'Laminates- copilot'!O151</f>
        <v>Quantum</v>
      </c>
      <c r="P443" s="858" t="str">
        <f>'Laminates- copilot'!N151</f>
        <v>Europe to US</v>
      </c>
      <c r="Q443" s="858">
        <f t="shared" si="96"/>
        <v>50000</v>
      </c>
      <c r="R443" s="858">
        <f t="shared" si="97"/>
        <v>50000</v>
      </c>
      <c r="S443" s="858">
        <f>IFERROR('Laminates- copilot'!Q151/'Laminates- copilot'!P151*Q443,"")</f>
        <v>2021.1</v>
      </c>
      <c r="T443" s="203">
        <f>IFERROR('Laminates- copilot'!R151/'Laminates- copilot'!P151*Q443,"")</f>
        <v>73163.817504511855</v>
      </c>
      <c r="U443" s="912">
        <f>IFERROR('Laminates- copilot'!S151/'Laminates- copilot'!P151*Q443,"")</f>
        <v>84870.028305233747</v>
      </c>
      <c r="V443" s="913">
        <f t="shared" si="98"/>
        <v>36.199998765282203</v>
      </c>
      <c r="W443" s="914">
        <f t="shared" si="99"/>
        <v>41.99199856772735</v>
      </c>
      <c r="X443" s="913">
        <f t="shared" si="100"/>
        <v>1.463276350090237</v>
      </c>
      <c r="Y443" s="913">
        <f t="shared" si="101"/>
        <v>36.199998765282203</v>
      </c>
      <c r="Z443" s="95">
        <f t="shared" si="102"/>
        <v>24740</v>
      </c>
      <c r="AA443" s="50" t="str">
        <f t="shared" si="103"/>
        <v>MOQ OK</v>
      </c>
      <c r="AB443" s="923">
        <f t="shared" si="104"/>
        <v>1.2756301916044588</v>
      </c>
      <c r="AC443" s="924">
        <f t="shared" si="105"/>
        <v>1.4797310222611721</v>
      </c>
      <c r="AD443" s="203">
        <f t="shared" si="106"/>
        <v>127563.01916044588</v>
      </c>
      <c r="AE443" s="912">
        <f t="shared" si="107"/>
        <v>147973.10222611722</v>
      </c>
      <c r="AF443" s="923" cm="1">
        <f t="array" ref="AF443">IF(O443="Quantum",IFERROR(_xlfn.LET(_xlpm.b,_xlfn.SWITCH(LOWER(B443),"zipper bag","Zipper pouch","open bag","Open pouch","sup with zipper","Stand-up pouch","stand-up pouch","Stand-up pouch",B443),_xlpm.w,G443,_xlpm.q,K443,_xlpm.types,'Converting-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missing"),IFERROR(_xlfn.LET(_xlpm.s,O443,_xlpm.b,_xlfn.SWITCH(LOWER(B443),"zipper bag","Zipper pouch","open bag","Open pouch",B443),_xlpm.w,G443,_xlpm.q,K443,_xlpm.src,'Converting-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443" s="923">
        <f>IFERROR(IF(OR(B443="Zipper pouch",B443="SUP with zipper"),HELPER!$DE$2*(AH443+AI443)/K443,HELPER!$DE$2*AH443/K443),"Data is missing")</f>
        <v>8.7796581005414234E-3</v>
      </c>
      <c r="AH443" s="923">
        <f t="shared" si="108"/>
        <v>1.463276350090237</v>
      </c>
      <c r="AI443" s="923" t="str">
        <f>IF(OR(B443="Zipper pouch",B443="SUP with zipper"),HELPER!$DC$2*G443/1000,"")</f>
        <v/>
      </c>
      <c r="AJ443" s="923" cm="1">
        <f t="array" ref="AJ443">IF(INDEX('Laminates- copilot'!$E$6:$E$257,ROUNDUP((ROW()-5)/3,0))+50&gt;IF(O443="Quantum",760,1220),"Width exceeds supplier maximum",IFERROR(AF443+AG443+N(AI443)+AH443*G443/1000/MAX(1,MIN(MAX(2,INT(900/INDEX('Laminates- copilot'!$E$6:$E$257,ROUNDUP((ROW()-5)/3,0)))),INT((IF(O443="Quantum",760,1220)-50)/INDEX('Laminates- copilot'!$E$6:$E$257,ROUNDUP((ROW()-5)/3,0))))),"Data is missing"))</f>
        <v>0.95672264370334403</v>
      </c>
      <c r="AK443" s="203">
        <f t="shared" si="109"/>
        <v>1275.6301916044588</v>
      </c>
      <c r="AL443" t="str">
        <f t="shared" si="110"/>
        <v>PASS</v>
      </c>
      <c r="AM443" s="50" t="str">
        <f t="shared" si="111"/>
        <v/>
      </c>
    </row>
    <row r="444" spans="1:39" hidden="1">
      <c r="A444" t="s">
        <v>2072</v>
      </c>
      <c r="B444" t="s">
        <v>251</v>
      </c>
      <c r="C444" s="50" t="s">
        <v>2209</v>
      </c>
      <c r="D444">
        <f>'Laminates- copilot'!B152</f>
        <v>918</v>
      </c>
      <c r="E444" s="858">
        <f>'Laminates- copilot'!D152</f>
        <v>51</v>
      </c>
      <c r="F444" s="858">
        <v>600</v>
      </c>
      <c r="G444" s="858">
        <v>200</v>
      </c>
      <c r="H444" s="858">
        <v>50</v>
      </c>
      <c r="I444" s="858">
        <v>0</v>
      </c>
      <c r="J444" s="858">
        <v>1300</v>
      </c>
      <c r="K444" s="858">
        <v>200000</v>
      </c>
      <c r="L444" s="858" t="str">
        <f>'Laminates- copilot'!K152</f>
        <v>Printed</v>
      </c>
      <c r="M444" s="858" t="str">
        <f>'Laminates- copilot'!L152</f>
        <v>5-8</v>
      </c>
      <c r="N444" s="858">
        <f>'Laminates- copilot'!M152</f>
        <v>8</v>
      </c>
      <c r="O444" s="858" t="str">
        <f>'Laminates- copilot'!O152</f>
        <v>Marma</v>
      </c>
      <c r="P444" s="858" t="str">
        <f>'Laminates- copilot'!N152</f>
        <v>Europe to Europe</v>
      </c>
      <c r="Q444" s="858">
        <f t="shared" si="96"/>
        <v>40000</v>
      </c>
      <c r="R444" s="858">
        <f t="shared" si="97"/>
        <v>40000</v>
      </c>
      <c r="S444" s="858">
        <f>IFERROR('Laminates- copilot'!Q152/'Laminates- copilot'!P152*Q444,"")</f>
        <v>2425.3200000000002</v>
      </c>
      <c r="T444" s="203">
        <f>IFERROR('Laminates- copilot'!R152/'Laminates- copilot'!P152*Q444,"")</f>
        <v>52247.947095698422</v>
      </c>
      <c r="U444" s="912">
        <f>IFERROR('Laminates- copilot'!S152/'Laminates- copilot'!P152*Q444,"")</f>
        <v>60607.618631010155</v>
      </c>
      <c r="V444" s="913">
        <f t="shared" si="98"/>
        <v>21.542702445738467</v>
      </c>
      <c r="W444" s="914">
        <f t="shared" si="99"/>
        <v>24.989534837056617</v>
      </c>
      <c r="X444" s="913">
        <f t="shared" si="100"/>
        <v>1.3061986773924605</v>
      </c>
      <c r="Y444" s="913">
        <f t="shared" si="101"/>
        <v>21.542702445738467</v>
      </c>
      <c r="Z444" s="95">
        <f t="shared" si="102"/>
        <v>41232</v>
      </c>
      <c r="AA444" s="50" t="str">
        <f t="shared" si="103"/>
        <v>MOQ OK</v>
      </c>
      <c r="AB444" s="923">
        <f t="shared" si="104"/>
        <v>0.45002549567276257</v>
      </c>
      <c r="AC444" s="924">
        <f t="shared" si="105"/>
        <v>0.52202957498040459</v>
      </c>
      <c r="AD444" s="203">
        <f t="shared" si="106"/>
        <v>90005.099134552511</v>
      </c>
      <c r="AE444" s="912">
        <f t="shared" si="107"/>
        <v>104405.9149960809</v>
      </c>
      <c r="AF444" s="923" cm="1">
        <f t="array" ref="AF444">IF(O444="Quantum",IFERROR(_xlfn.LET(_xlpm.b,_xlfn.SWITCH(LOWER(B444),"zipper bag","Zipper pouch","open bag","Open pouch","sup with zipper","Stand-up pouch","stand-up pouch","Stand-up pouch",B444),_xlpm.w,G444,_xlpm.q,K444,_xlpm.types,'Converting-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missing"),IFERROR(_xlfn.LET(_xlpm.s,O444,_xlpm.b,_xlfn.SWITCH(LOWER(B444),"zipper bag","Zipper pouch","open bag","Open pouch",B444),_xlpm.w,G444,_xlpm.q,K444,_xlpm.src,'Converting-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444" s="923">
        <f>IFERROR(IF(OR(B444="Zipper pouch",B444="SUP with zipper"),HELPER!$DE$2*(AH444+AI444)/K444,HELPER!$DE$2*AH444/K444),"Data is missing")</f>
        <v>4.0049960321773817E-3</v>
      </c>
      <c r="AH444" s="923">
        <f t="shared" si="108"/>
        <v>1.3061986773924605</v>
      </c>
      <c r="AI444" s="923">
        <f>IF(OR(B444="Zipper pouch",B444="SUP with zipper"),HELPER!$DC$2*G444/1000,"")</f>
        <v>2.8799999999999996E-2</v>
      </c>
      <c r="AJ444" s="923" cm="1">
        <f t="array" ref="AJ444">IF(INDEX('Laminates- copilot'!$E$6:$E$257,ROUNDUP((ROW()-5)/3,0))+50&gt;IF(O444="Quantum",760,1220),"Width exceeds supplier maximum",IFERROR(AF444+AG444+N(AI444)+AH444*G444/1000/MAX(1,MIN(MAX(2,INT(900/INDEX('Laminates- copilot'!$E$6:$E$257,ROUNDUP((ROW()-5)/3,0)))),INT((IF(O444="Quantum",760,1220)-50)/INDEX('Laminates- copilot'!$E$6:$E$257,ROUNDUP((ROW()-5)/3,0))))),"Data is missing"))</f>
        <v>0.33751912175457194</v>
      </c>
      <c r="AK444" s="203">
        <f t="shared" si="109"/>
        <v>450.02549567276259</v>
      </c>
      <c r="AL444" t="str">
        <f t="shared" si="110"/>
        <v>PASS</v>
      </c>
      <c r="AM444" s="50" t="str">
        <f t="shared" si="111"/>
        <v/>
      </c>
    </row>
    <row r="445" spans="1:39" hidden="1">
      <c r="A445" t="s">
        <v>2073</v>
      </c>
      <c r="B445" t="s">
        <v>261</v>
      </c>
      <c r="C445" s="50" t="s">
        <v>2209</v>
      </c>
      <c r="D445">
        <f>'Laminates- copilot'!B152</f>
        <v>918</v>
      </c>
      <c r="E445" s="858">
        <f>'Laminates- copilot'!D152</f>
        <v>51</v>
      </c>
      <c r="F445" s="858">
        <v>600</v>
      </c>
      <c r="G445" s="858">
        <v>200</v>
      </c>
      <c r="H445" s="858">
        <v>50</v>
      </c>
      <c r="I445" s="858">
        <v>0</v>
      </c>
      <c r="J445" s="858">
        <v>1300</v>
      </c>
      <c r="K445" s="858">
        <v>200000</v>
      </c>
      <c r="L445" s="858" t="str">
        <f>'Laminates- copilot'!K152</f>
        <v>Printed</v>
      </c>
      <c r="M445" s="858" t="str">
        <f>'Laminates- copilot'!L152</f>
        <v>5-8</v>
      </c>
      <c r="N445" s="858">
        <f>'Laminates- copilot'!M152</f>
        <v>8</v>
      </c>
      <c r="O445" s="858" t="str">
        <f>'Laminates- copilot'!O152</f>
        <v>Marma</v>
      </c>
      <c r="P445" s="858" t="str">
        <f>'Laminates- copilot'!N152</f>
        <v>Europe to Europe</v>
      </c>
      <c r="Q445" s="858">
        <f t="shared" si="96"/>
        <v>40000</v>
      </c>
      <c r="R445" s="858">
        <f t="shared" si="97"/>
        <v>40000</v>
      </c>
      <c r="S445" s="858">
        <f>IFERROR('Laminates- copilot'!Q152/'Laminates- copilot'!P152*Q445,"")</f>
        <v>2425.3200000000002</v>
      </c>
      <c r="T445" s="203">
        <f>IFERROR('Laminates- copilot'!R152/'Laminates- copilot'!P152*Q445,"")</f>
        <v>52247.947095698422</v>
      </c>
      <c r="U445" s="912">
        <f>IFERROR('Laminates- copilot'!S152/'Laminates- copilot'!P152*Q445,"")</f>
        <v>60607.618631010155</v>
      </c>
      <c r="V445" s="913">
        <f t="shared" si="98"/>
        <v>21.542702445738467</v>
      </c>
      <c r="W445" s="914">
        <f t="shared" si="99"/>
        <v>24.989534837056617</v>
      </c>
      <c r="X445" s="913">
        <f t="shared" si="100"/>
        <v>1.3061986773924605</v>
      </c>
      <c r="Y445" s="913">
        <f t="shared" si="101"/>
        <v>21.542702445738467</v>
      </c>
      <c r="Z445" s="95">
        <f t="shared" si="102"/>
        <v>41232</v>
      </c>
      <c r="AA445" s="50" t="str">
        <f t="shared" si="103"/>
        <v>MOQ OK</v>
      </c>
      <c r="AB445" s="923">
        <f t="shared" si="104"/>
        <v>0.44529526655228951</v>
      </c>
      <c r="AC445" s="924">
        <f t="shared" si="105"/>
        <v>0.51654250920065581</v>
      </c>
      <c r="AD445" s="203">
        <f t="shared" si="106"/>
        <v>89059.053310457908</v>
      </c>
      <c r="AE445" s="912">
        <f t="shared" si="107"/>
        <v>103308.50184013117</v>
      </c>
      <c r="AF445" s="923" cm="1">
        <f t="array" ref="AF445">IF(O445="Quantum",IFERROR(_xlfn.LET(_xlpm.b,_xlfn.SWITCH(LOWER(B445),"zipper bag","Zipper pouch","open bag","Open pouch","sup with zipper","Stand-up pouch","stand-up pouch","Stand-up pouch",B445),_xlpm.w,G445,_xlpm.q,K445,_xlpm.types,'Converting-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missing"),IFERROR(_xlfn.LET(_xlpm.s,O445,_xlpm.b,_xlfn.SWITCH(LOWER(B445),"zipper bag","Zipper pouch","open bag","Open pouch",B445),_xlpm.w,G445,_xlpm.q,K445,_xlpm.src,'Converting-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445" s="923">
        <f>IFERROR(IF(OR(B445="Zipper pouch",B445="SUP with zipper"),HELPER!$DE$2*(AH445+AI445)/K445,HELPER!$DE$2*AH445/K445),"Data is missing")</f>
        <v>4.0049960321773817E-3</v>
      </c>
      <c r="AH445" s="923">
        <f t="shared" si="108"/>
        <v>1.3061986773924605</v>
      </c>
      <c r="AI445" s="923">
        <f>IF(OR(B445="Zipper pouch",B445="SUP with zipper"),HELPER!$DC$2*G445/1000,"")</f>
        <v>2.8799999999999996E-2</v>
      </c>
      <c r="AJ445" s="923" cm="1">
        <f t="array" ref="AJ445">IF(INDEX('Laminates- copilot'!$E$6:$E$257,ROUNDUP((ROW()-5)/3,0))+50&gt;IF(O445="Quantum",760,1220),"Width exceeds supplier maximum",IFERROR(AF445+AG445+N(AI445)+AH445*G445/1000/MAX(1,MIN(MAX(2,INT(900/INDEX('Laminates- copilot'!$E$6:$E$257,ROUNDUP((ROW()-5)/3,0)))),INT((IF(O445="Quantum",760,1220)-50)/INDEX('Laminates- copilot'!$E$6:$E$257,ROUNDUP((ROW()-5)/3,0))))),"Data is missing"))</f>
        <v>0.33397144991421712</v>
      </c>
      <c r="AK445" s="203">
        <f t="shared" si="109"/>
        <v>445.29526655228949</v>
      </c>
      <c r="AL445" t="str">
        <f t="shared" si="110"/>
        <v>PASS</v>
      </c>
      <c r="AM445" s="50" t="str">
        <f t="shared" si="111"/>
        <v/>
      </c>
    </row>
    <row r="446" spans="1:39" hidden="1">
      <c r="A446" t="s">
        <v>2074</v>
      </c>
      <c r="B446" t="s">
        <v>262</v>
      </c>
      <c r="C446" s="50" t="s">
        <v>2209</v>
      </c>
      <c r="D446">
        <f>'Laminates- copilot'!B152</f>
        <v>918</v>
      </c>
      <c r="E446" s="858">
        <f>'Laminates- copilot'!D152</f>
        <v>51</v>
      </c>
      <c r="F446" s="858">
        <v>600</v>
      </c>
      <c r="G446" s="858">
        <v>200</v>
      </c>
      <c r="H446" s="858">
        <v>0</v>
      </c>
      <c r="I446" s="858">
        <v>0</v>
      </c>
      <c r="J446" s="858">
        <v>1200</v>
      </c>
      <c r="K446" s="858">
        <v>200000</v>
      </c>
      <c r="L446" s="858" t="str">
        <f>'Laminates- copilot'!K152</f>
        <v>Printed</v>
      </c>
      <c r="M446" s="858" t="str">
        <f>'Laminates- copilot'!L152</f>
        <v>5-8</v>
      </c>
      <c r="N446" s="858">
        <f>'Laminates- copilot'!M152</f>
        <v>8</v>
      </c>
      <c r="O446" s="858" t="str">
        <f>'Laminates- copilot'!O152</f>
        <v>Marma</v>
      </c>
      <c r="P446" s="858" t="str">
        <f>'Laminates- copilot'!N152</f>
        <v>Europe to Europe</v>
      </c>
      <c r="Q446" s="858">
        <f t="shared" si="96"/>
        <v>40000</v>
      </c>
      <c r="R446" s="858">
        <f t="shared" si="97"/>
        <v>40000</v>
      </c>
      <c r="S446" s="858">
        <f>IFERROR('Laminates- copilot'!Q152/'Laminates- copilot'!P152*Q446,"")</f>
        <v>2425.3200000000002</v>
      </c>
      <c r="T446" s="203">
        <f>IFERROR('Laminates- copilot'!R152/'Laminates- copilot'!P152*Q446,"")</f>
        <v>52247.947095698422</v>
      </c>
      <c r="U446" s="912">
        <f>IFERROR('Laminates- copilot'!S152/'Laminates- copilot'!P152*Q446,"")</f>
        <v>60607.618631010155</v>
      </c>
      <c r="V446" s="913">
        <f t="shared" si="98"/>
        <v>21.542702445738467</v>
      </c>
      <c r="W446" s="914">
        <f t="shared" si="99"/>
        <v>24.989534837056617</v>
      </c>
      <c r="X446" s="913">
        <f t="shared" si="100"/>
        <v>1.3061986773924605</v>
      </c>
      <c r="Y446" s="913">
        <f t="shared" si="101"/>
        <v>21.542702445738467</v>
      </c>
      <c r="Z446" s="95">
        <f t="shared" si="102"/>
        <v>41232</v>
      </c>
      <c r="AA446" s="50" t="str">
        <f t="shared" si="103"/>
        <v>MOQ OK</v>
      </c>
      <c r="AB446" s="923">
        <f t="shared" si="104"/>
        <v>0.40149486764181347</v>
      </c>
      <c r="AC446" s="924">
        <f t="shared" si="105"/>
        <v>0.46573404646450361</v>
      </c>
      <c r="AD446" s="203">
        <f t="shared" si="106"/>
        <v>80298.973528362694</v>
      </c>
      <c r="AE446" s="912">
        <f t="shared" si="107"/>
        <v>93146.809292900725</v>
      </c>
      <c r="AF446" s="923" cm="1">
        <f t="array" ref="AF446">IF(O446="Quantum",IFERROR(_xlfn.LET(_xlpm.b,_xlfn.SWITCH(LOWER(B446),"zipper bag","Zipper pouch","open bag","Open pouch","sup with zipper","Stand-up pouch","stand-up pouch","Stand-up pouch",B446),_xlpm.w,G446,_xlpm.q,K446,_xlpm.types,'Converting-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missing"),IFERROR(_xlfn.LET(_xlpm.s,O446,_xlpm.b,_xlfn.SWITCH(LOWER(B446),"zipper bag","Zipper pouch","open bag","Open pouch",B446),_xlpm.w,G446,_xlpm.q,K446,_xlpm.src,'Converting-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446" s="923">
        <f>IFERROR(IF(OR(B446="Zipper pouch",B446="SUP with zipper"),HELPER!$DE$2*(AH446+AI446)/K446,HELPER!$DE$2*AH446/K446),"Data is missing")</f>
        <v>3.9185960321773813E-3</v>
      </c>
      <c r="AH446" s="923">
        <f t="shared" si="108"/>
        <v>1.3061986773924605</v>
      </c>
      <c r="AI446" s="923" t="str">
        <f>IF(OR(B446="Zipper pouch",B446="SUP with zipper"),HELPER!$DC$2*G446/1000,"")</f>
        <v/>
      </c>
      <c r="AJ446" s="923" cm="1">
        <f t="array" ref="AJ446">IF(INDEX('Laminates- copilot'!$E$6:$E$257,ROUNDUP((ROW()-5)/3,0))+50&gt;IF(O446="Quantum",760,1220),"Width exceeds supplier maximum",IFERROR(AF446+AG446+N(AI446)+AH446*G446/1000/MAX(1,MIN(MAX(2,INT(900/INDEX('Laminates- copilot'!$E$6:$E$257,ROUNDUP((ROW()-5)/3,0)))),INT((IF(O446="Quantum",760,1220)-50)/INDEX('Laminates- copilot'!$E$6:$E$257,ROUNDUP((ROW()-5)/3,0))))),"Data is missing"))</f>
        <v>0.30112115073136009</v>
      </c>
      <c r="AK446" s="203">
        <f t="shared" si="109"/>
        <v>401.49486764181347</v>
      </c>
      <c r="AL446" t="str">
        <f t="shared" si="110"/>
        <v>PASS</v>
      </c>
      <c r="AM446" s="50" t="str">
        <f t="shared" si="111"/>
        <v/>
      </c>
    </row>
    <row r="447" spans="1:39" hidden="1">
      <c r="A447" t="s">
        <v>2075</v>
      </c>
      <c r="B447" t="s">
        <v>251</v>
      </c>
      <c r="C447" s="50" t="s">
        <v>2210</v>
      </c>
      <c r="D447">
        <f>'Laminates- copilot'!B153</f>
        <v>918</v>
      </c>
      <c r="E447" s="858">
        <f>'Laminates- copilot'!D153</f>
        <v>51</v>
      </c>
      <c r="F447" s="858">
        <v>700</v>
      </c>
      <c r="G447" s="858">
        <v>300</v>
      </c>
      <c r="H447" s="858">
        <v>75</v>
      </c>
      <c r="I447" s="858">
        <v>0</v>
      </c>
      <c r="J447" s="858">
        <v>1550</v>
      </c>
      <c r="K447" s="858">
        <v>200000</v>
      </c>
      <c r="L447" s="858" t="str">
        <f>'Laminates- copilot'!K153</f>
        <v>Not Printed</v>
      </c>
      <c r="M447" s="858" t="str">
        <f>'Laminates- copilot'!L153</f>
        <v>0</v>
      </c>
      <c r="N447" s="858">
        <f>'Laminates- copilot'!M153</f>
        <v>1</v>
      </c>
      <c r="O447" s="858" t="str">
        <f>'Laminates- copilot'!O153</f>
        <v>Bastin</v>
      </c>
      <c r="P447" s="858" t="str">
        <f>'Laminates- copilot'!N153</f>
        <v>Europe to US</v>
      </c>
      <c r="Q447" s="858">
        <f t="shared" si="96"/>
        <v>60000</v>
      </c>
      <c r="R447" s="858">
        <f t="shared" si="97"/>
        <v>60000</v>
      </c>
      <c r="S447" s="858">
        <f>IFERROR('Laminates- copilot'!Q153/'Laminates- copilot'!P153*Q447,"")</f>
        <v>1010.55</v>
      </c>
      <c r="T447" s="203">
        <f>IFERROR('Laminates- copilot'!R153/'Laminates- copilot'!P153*Q447,"")</f>
        <v>17229.31131178635</v>
      </c>
      <c r="U447" s="912">
        <f>IFERROR('Laminates- copilot'!S153/'Laminates- copilot'!P153*Q447,"")</f>
        <v>19986.001121672165</v>
      </c>
      <c r="V447" s="913">
        <f t="shared" si="98"/>
        <v>17.049439722711742</v>
      </c>
      <c r="W447" s="914">
        <f t="shared" si="99"/>
        <v>19.77735007834562</v>
      </c>
      <c r="X447" s="913">
        <f t="shared" si="100"/>
        <v>0.28715518852977251</v>
      </c>
      <c r="Y447" s="913">
        <f t="shared" si="101"/>
        <v>17.049439722711742</v>
      </c>
      <c r="Z447" s="95">
        <f t="shared" si="102"/>
        <v>98957</v>
      </c>
      <c r="AA447" s="50" t="str">
        <f t="shared" si="103"/>
        <v>MOQ OK</v>
      </c>
      <c r="AB447" s="923">
        <f t="shared" si="104"/>
        <v>0.19180948702006864</v>
      </c>
      <c r="AC447" s="924">
        <f t="shared" si="105"/>
        <v>0.22249900494327962</v>
      </c>
      <c r="AD447" s="203">
        <f t="shared" si="106"/>
        <v>38361.897404013725</v>
      </c>
      <c r="AE447" s="912">
        <f t="shared" si="107"/>
        <v>44499.800988655916</v>
      </c>
      <c r="AF447" s="923" cm="1">
        <f t="array" ref="AF447">IF(O447="Quantum",IFERROR(_xlfn.LET(_xlpm.b,_xlfn.SWITCH(LOWER(B447),"zipper bag","Zipper pouch","open bag","Open pouch","sup with zipper","Stand-up pouch","stand-up pouch","Stand-up pouch",B447),_xlpm.w,G447,_xlpm.q,K447,_xlpm.types,'Converting-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missing"),IFERROR(_xlfn.LET(_xlpm.s,O447,_xlpm.b,_xlfn.SWITCH(LOWER(B447),"zipper bag","Zipper pouch","open bag","Open pouch",B447),_xlpm.w,G447,_xlpm.q,K447,_xlpm.src,'Converting-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447" s="923">
        <f>IFERROR(IF(OR(B447="Zipper pouch",B447="SUP with zipper"),HELPER!$DE$2*(AH447+AI447)/K447,HELPER!$DE$2*AH447/K447),"Data is missing")</f>
        <v>9.9106556558931753E-4</v>
      </c>
      <c r="AH447" s="923">
        <f t="shared" si="108"/>
        <v>0.28715518852977251</v>
      </c>
      <c r="AI447" s="923">
        <f>IF(OR(B447="Zipper pouch",B447="SUP with zipper"),HELPER!$DC$2*G447/1000,"")</f>
        <v>4.3199999999999995E-2</v>
      </c>
      <c r="AJ447" s="923" cm="1">
        <f t="array" ref="AJ447">IF(INDEX('Laminates- copilot'!$E$6:$E$257,ROUNDUP((ROW()-5)/3,0))+50&gt;IF(O447="Quantum",760,1220),"Width exceeds supplier maximum",IFERROR(AF447+AG447+N(AI447)+AH447*G447/1000/MAX(1,MIN(MAX(2,INT(900/INDEX('Laminates- copilot'!$E$6:$E$257,ROUNDUP((ROW()-5)/3,0)))),INT((IF(O447="Quantum",760,1220)-50)/INDEX('Laminates- copilot'!$E$6:$E$257,ROUNDUP((ROW()-5)/3,0))))),"Data is missing"))</f>
        <v>0.14385711526505149</v>
      </c>
      <c r="AK447" s="203">
        <f t="shared" si="109"/>
        <v>191.80948702006864</v>
      </c>
      <c r="AL447" t="str">
        <f t="shared" si="110"/>
        <v>PASS</v>
      </c>
      <c r="AM447" s="50" t="str">
        <f t="shared" si="111"/>
        <v/>
      </c>
    </row>
    <row r="448" spans="1:39" hidden="1">
      <c r="A448" t="s">
        <v>2076</v>
      </c>
      <c r="B448" t="s">
        <v>261</v>
      </c>
      <c r="C448" s="50" t="s">
        <v>2210</v>
      </c>
      <c r="D448">
        <f>'Laminates- copilot'!B153</f>
        <v>918</v>
      </c>
      <c r="E448" s="858">
        <f>'Laminates- copilot'!D153</f>
        <v>51</v>
      </c>
      <c r="F448" s="858">
        <v>700</v>
      </c>
      <c r="G448" s="858">
        <v>300</v>
      </c>
      <c r="H448" s="858">
        <v>75</v>
      </c>
      <c r="I448" s="858">
        <v>0</v>
      </c>
      <c r="J448" s="858">
        <v>1550</v>
      </c>
      <c r="K448" s="858">
        <v>200000</v>
      </c>
      <c r="L448" s="858" t="str">
        <f>'Laminates- copilot'!K153</f>
        <v>Not Printed</v>
      </c>
      <c r="M448" s="858" t="str">
        <f>'Laminates- copilot'!L153</f>
        <v>0</v>
      </c>
      <c r="N448" s="858">
        <f>'Laminates- copilot'!M153</f>
        <v>1</v>
      </c>
      <c r="O448" s="858" t="str">
        <f>'Laminates- copilot'!O153</f>
        <v>Bastin</v>
      </c>
      <c r="P448" s="858" t="str">
        <f>'Laminates- copilot'!N153</f>
        <v>Europe to US</v>
      </c>
      <c r="Q448" s="858">
        <f t="shared" si="96"/>
        <v>60000</v>
      </c>
      <c r="R448" s="858">
        <f t="shared" si="97"/>
        <v>60000</v>
      </c>
      <c r="S448" s="858">
        <f>IFERROR('Laminates- copilot'!Q153/'Laminates- copilot'!P153*Q448,"")</f>
        <v>1010.55</v>
      </c>
      <c r="T448" s="203">
        <f>IFERROR('Laminates- copilot'!R153/'Laminates- copilot'!P153*Q448,"")</f>
        <v>17229.31131178635</v>
      </c>
      <c r="U448" s="912">
        <f>IFERROR('Laminates- copilot'!S153/'Laminates- copilot'!P153*Q448,"")</f>
        <v>19986.001121672165</v>
      </c>
      <c r="V448" s="913">
        <f t="shared" si="98"/>
        <v>17.049439722711742</v>
      </c>
      <c r="W448" s="914">
        <f t="shared" si="99"/>
        <v>19.77735007834562</v>
      </c>
      <c r="X448" s="913">
        <f t="shared" si="100"/>
        <v>0.28715518852977251</v>
      </c>
      <c r="Y448" s="913">
        <f t="shared" si="101"/>
        <v>17.049439722711742</v>
      </c>
      <c r="Z448" s="95">
        <f t="shared" si="102"/>
        <v>98957</v>
      </c>
      <c r="AA448" s="50" t="str">
        <f t="shared" si="103"/>
        <v>MOQ OK</v>
      </c>
      <c r="AB448" s="923">
        <f t="shared" si="104"/>
        <v>0.18421329555013258</v>
      </c>
      <c r="AC448" s="924">
        <f t="shared" si="105"/>
        <v>0.21368742283815378</v>
      </c>
      <c r="AD448" s="203">
        <f t="shared" si="106"/>
        <v>36842.659110026514</v>
      </c>
      <c r="AE448" s="912">
        <f t="shared" si="107"/>
        <v>42737.484567630752</v>
      </c>
      <c r="AF448" s="923" cm="1">
        <f t="array" ref="AF448">IF(O448="Quantum",IFERROR(_xlfn.LET(_xlpm.b,_xlfn.SWITCH(LOWER(B448),"zipper bag","Zipper pouch","open bag","Open pouch","sup with zipper","Stand-up pouch","stand-up pouch","Stand-up pouch",B448),_xlpm.w,G448,_xlpm.q,K448,_xlpm.types,'Converting-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missing"),IFERROR(_xlfn.LET(_xlpm.s,O448,_xlpm.b,_xlfn.SWITCH(LOWER(B448),"zipper bag","Zipper pouch","open bag","Open pouch",B448),_xlpm.w,G448,_xlpm.q,K448,_xlpm.src,'Converting-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448" s="923">
        <f>IFERROR(IF(OR(B448="Zipper pouch",B448="SUP with zipper"),HELPER!$DE$2*(AH448+AI448)/K448,HELPER!$DE$2*AH448/K448),"Data is missing")</f>
        <v>9.9106556558931753E-4</v>
      </c>
      <c r="AH448" s="923">
        <f t="shared" si="108"/>
        <v>0.28715518852977251</v>
      </c>
      <c r="AI448" s="923">
        <f>IF(OR(B448="Zipper pouch",B448="SUP with zipper"),HELPER!$DC$2*G448/1000,"")</f>
        <v>4.3199999999999995E-2</v>
      </c>
      <c r="AJ448" s="923" cm="1">
        <f t="array" ref="AJ448">IF(INDEX('Laminates- copilot'!$E$6:$E$257,ROUNDUP((ROW()-5)/3,0))+50&gt;IF(O448="Quantum",760,1220),"Width exceeds supplier maximum",IFERROR(AF448+AG448+N(AI448)+AH448*G448/1000/MAX(1,MIN(MAX(2,INT(900/INDEX('Laminates- copilot'!$E$6:$E$257,ROUNDUP((ROW()-5)/3,0)))),INT((IF(O448="Quantum",760,1220)-50)/INDEX('Laminates- copilot'!$E$6:$E$257,ROUNDUP((ROW()-5)/3,0))))),"Data is missing"))</f>
        <v>0.13815997166259944</v>
      </c>
      <c r="AK448" s="203">
        <f t="shared" si="109"/>
        <v>184.21329555013259</v>
      </c>
      <c r="AL448" t="str">
        <f t="shared" si="110"/>
        <v>PASS</v>
      </c>
      <c r="AM448" s="50" t="str">
        <f t="shared" si="111"/>
        <v/>
      </c>
    </row>
    <row r="449" spans="1:39" hidden="1">
      <c r="A449" t="s">
        <v>2077</v>
      </c>
      <c r="B449" t="s">
        <v>262</v>
      </c>
      <c r="C449" s="50" t="s">
        <v>2210</v>
      </c>
      <c r="D449">
        <f>'Laminates- copilot'!B153</f>
        <v>918</v>
      </c>
      <c r="E449" s="858">
        <f>'Laminates- copilot'!D153</f>
        <v>51</v>
      </c>
      <c r="F449" s="858">
        <v>700</v>
      </c>
      <c r="G449" s="858">
        <v>300</v>
      </c>
      <c r="H449" s="858">
        <v>0</v>
      </c>
      <c r="I449" s="858">
        <v>0</v>
      </c>
      <c r="J449" s="858">
        <v>1400</v>
      </c>
      <c r="K449" s="858">
        <v>200000</v>
      </c>
      <c r="L449" s="858" t="str">
        <f>'Laminates- copilot'!K153</f>
        <v>Not Printed</v>
      </c>
      <c r="M449" s="858" t="str">
        <f>'Laminates- copilot'!L153</f>
        <v>0</v>
      </c>
      <c r="N449" s="858">
        <f>'Laminates- copilot'!M153</f>
        <v>1</v>
      </c>
      <c r="O449" s="858" t="str">
        <f>'Laminates- copilot'!O153</f>
        <v>Bastin</v>
      </c>
      <c r="P449" s="858" t="str">
        <f>'Laminates- copilot'!N153</f>
        <v>Europe to US</v>
      </c>
      <c r="Q449" s="858">
        <f t="shared" si="96"/>
        <v>60000</v>
      </c>
      <c r="R449" s="858">
        <f t="shared" si="97"/>
        <v>60000</v>
      </c>
      <c r="S449" s="858">
        <f>IFERROR('Laminates- copilot'!Q153/'Laminates- copilot'!P153*Q449,"")</f>
        <v>1010.55</v>
      </c>
      <c r="T449" s="203">
        <f>IFERROR('Laminates- copilot'!R153/'Laminates- copilot'!P153*Q449,"")</f>
        <v>17229.31131178635</v>
      </c>
      <c r="U449" s="912">
        <f>IFERROR('Laminates- copilot'!S153/'Laminates- copilot'!P153*Q449,"")</f>
        <v>19986.001121672165</v>
      </c>
      <c r="V449" s="913">
        <f t="shared" si="98"/>
        <v>17.049439722711742</v>
      </c>
      <c r="W449" s="914">
        <f t="shared" si="99"/>
        <v>19.77735007834562</v>
      </c>
      <c r="X449" s="913">
        <f t="shared" si="100"/>
        <v>0.28715518852977251</v>
      </c>
      <c r="Y449" s="913">
        <f t="shared" si="101"/>
        <v>17.049439722711742</v>
      </c>
      <c r="Z449" s="95">
        <f t="shared" si="102"/>
        <v>98957</v>
      </c>
      <c r="AA449" s="50" t="str">
        <f t="shared" si="103"/>
        <v>MOQ OK</v>
      </c>
      <c r="AB449" s="923">
        <f t="shared" si="104"/>
        <v>0.11748608645329491</v>
      </c>
      <c r="AC449" s="924">
        <f t="shared" si="105"/>
        <v>0.13628386028582207</v>
      </c>
      <c r="AD449" s="203">
        <f t="shared" si="106"/>
        <v>23497.21729065898</v>
      </c>
      <c r="AE449" s="912">
        <f t="shared" si="107"/>
        <v>27256.772057164417</v>
      </c>
      <c r="AF449" s="923" cm="1">
        <f t="array" ref="AF449">IF(O449="Quantum",IFERROR(_xlfn.LET(_xlpm.b,_xlfn.SWITCH(LOWER(B449),"zipper bag","Zipper pouch","open bag","Open pouch","sup with zipper","Stand-up pouch","stand-up pouch","Stand-up pouch",B449),_xlpm.w,G449,_xlpm.q,K449,_xlpm.types,'Converting-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missing"),IFERROR(_xlfn.LET(_xlpm.s,O449,_xlpm.b,_xlfn.SWITCH(LOWER(B449),"zipper bag","Zipper pouch","open bag","Open pouch",B449),_xlpm.w,G449,_xlpm.q,K449,_xlpm.src,'Converting-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449" s="923">
        <f>IFERROR(IF(OR(B449="Zipper pouch",B449="SUP with zipper"),HELPER!$DE$2*(AH449+AI449)/K449,HELPER!$DE$2*AH449/K449),"Data is missing")</f>
        <v>8.6146556558931752E-4</v>
      </c>
      <c r="AH449" s="923">
        <f t="shared" si="108"/>
        <v>0.28715518852977251</v>
      </c>
      <c r="AI449" s="923" t="str">
        <f>IF(OR(B449="Zipper pouch",B449="SUP with zipper"),HELPER!$DC$2*G449/1000,"")</f>
        <v/>
      </c>
      <c r="AJ449" s="923" cm="1">
        <f t="array" ref="AJ449">IF(INDEX('Laminates- copilot'!$E$6:$E$257,ROUNDUP((ROW()-5)/3,0))+50&gt;IF(O449="Quantum",760,1220),"Width exceeds supplier maximum",IFERROR(AF449+AG449+N(AI449)+AH449*G449/1000/MAX(1,MIN(MAX(2,INT(900/INDEX('Laminates- copilot'!$E$6:$E$257,ROUNDUP((ROW()-5)/3,0)))),INT((IF(O449="Quantum",760,1220)-50)/INDEX('Laminates- copilot'!$E$6:$E$257,ROUNDUP((ROW()-5)/3,0))))),"Data is missing"))</f>
        <v>8.8114564839971182E-2</v>
      </c>
      <c r="AK449" s="203">
        <f t="shared" si="109"/>
        <v>117.4860864532949</v>
      </c>
      <c r="AL449" t="str">
        <f t="shared" si="110"/>
        <v>PASS</v>
      </c>
      <c r="AM449" s="50" t="str">
        <f t="shared" si="111"/>
        <v/>
      </c>
    </row>
    <row r="450" spans="1:39" hidden="1">
      <c r="A450" t="s">
        <v>2078</v>
      </c>
      <c r="B450" t="s">
        <v>251</v>
      </c>
      <c r="C450" s="50" t="s">
        <v>1626</v>
      </c>
      <c r="D450">
        <f>'Laminates- copilot'!B154</f>
        <v>918</v>
      </c>
      <c r="E450" s="858">
        <f>'Laminates- copilot'!D154</f>
        <v>51</v>
      </c>
      <c r="F450" s="858">
        <v>250</v>
      </c>
      <c r="G450" s="858">
        <v>400</v>
      </c>
      <c r="H450" s="858">
        <v>50</v>
      </c>
      <c r="I450" s="858">
        <v>0</v>
      </c>
      <c r="J450" s="858">
        <v>600</v>
      </c>
      <c r="K450" s="858">
        <v>1000000</v>
      </c>
      <c r="L450" s="858" t="str">
        <f>'Laminates- copilot'!K154</f>
        <v>Printed</v>
      </c>
      <c r="M450" s="858" t="str">
        <f>'Laminates- copilot'!L154</f>
        <v>3-4</v>
      </c>
      <c r="N450" s="858">
        <f>'Laminates- copilot'!M154</f>
        <v>4</v>
      </c>
      <c r="O450" s="858" t="str">
        <f>'Laminates- copilot'!O154</f>
        <v>Marma</v>
      </c>
      <c r="P450" s="858" t="str">
        <f>'Laminates- copilot'!N154</f>
        <v>Europe to Europe</v>
      </c>
      <c r="Q450" s="858">
        <f t="shared" si="96"/>
        <v>400000</v>
      </c>
      <c r="R450" s="858">
        <f t="shared" si="97"/>
        <v>400000</v>
      </c>
      <c r="S450" s="858">
        <f>IFERROR('Laminates- copilot'!Q154/'Laminates- copilot'!P154*Q450,"")</f>
        <v>16168.8</v>
      </c>
      <c r="T450" s="203">
        <f>IFERROR('Laminates- copilot'!R154/'Laminates- copilot'!P154*Q450,"")</f>
        <v>346235.08424374997</v>
      </c>
      <c r="U450" s="912">
        <f>IFERROR('Laminates- copilot'!S154/'Laminates- copilot'!P154*Q450,"")</f>
        <v>401632.6977227499</v>
      </c>
      <c r="V450" s="913">
        <f t="shared" si="98"/>
        <v>21.413777413521721</v>
      </c>
      <c r="W450" s="914">
        <f t="shared" si="99"/>
        <v>24.839981799685191</v>
      </c>
      <c r="X450" s="913">
        <f t="shared" si="100"/>
        <v>0.86558771060937489</v>
      </c>
      <c r="Y450" s="913">
        <f t="shared" si="101"/>
        <v>21.413777413521721</v>
      </c>
      <c r="Z450" s="95">
        <f t="shared" si="102"/>
        <v>30924</v>
      </c>
      <c r="AA450" s="50" t="str">
        <f t="shared" si="103"/>
        <v>MOQ OK</v>
      </c>
      <c r="AB450" s="923">
        <f t="shared" si="104"/>
        <v>0.63731265874114218</v>
      </c>
      <c r="AC450" s="924">
        <f t="shared" si="105"/>
        <v>0.73928268413972487</v>
      </c>
      <c r="AD450" s="203">
        <f t="shared" si="106"/>
        <v>637312.65874114214</v>
      </c>
      <c r="AE450" s="912">
        <f t="shared" si="107"/>
        <v>739282.68413972482</v>
      </c>
      <c r="AF450" s="923" cm="1">
        <f t="array" ref="AF450">IF(O450="Quantum",IFERROR(_xlfn.LET(_xlpm.b,_xlfn.SWITCH(LOWER(B450),"zipper bag","Zipper pouch","open bag","Open pouch","sup with zipper","Stand-up pouch","stand-up pouch","Stand-up pouch",B450),_xlpm.w,G450,_xlpm.q,K450,_xlpm.types,'Converting-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missing"),IFERROR(_xlfn.LET(_xlpm.s,O450,_xlpm.b,_xlfn.SWITCH(LOWER(B450),"zipper bag","Zipper pouch","open bag","Open pouch",B450),_xlpm.w,G450,_xlpm.q,K450,_xlpm.src,'Converting-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450" s="923">
        <f>IFERROR(IF(OR(B450="Zipper pouch",B450="SUP with zipper"),HELPER!$DE$2*(AH450+AI450)/K450,HELPER!$DE$2*AH450/K450),"Data is missing")</f>
        <v>5.5391262636562489E-4</v>
      </c>
      <c r="AH450" s="923">
        <f t="shared" si="108"/>
        <v>0.86558771060937489</v>
      </c>
      <c r="AI450" s="923">
        <f>IF(OR(B450="Zipper pouch",B450="SUP with zipper"),HELPER!$DC$2*G450/1000,"")</f>
        <v>5.7599999999999991E-2</v>
      </c>
      <c r="AJ450" s="923" cm="1">
        <f t="array" ref="AJ450">IF(INDEX('Laminates- copilot'!$E$6:$E$257,ROUNDUP((ROW()-5)/3,0))+50&gt;IF(O450="Quantum",760,1220),"Width exceeds supplier maximum",IFERROR(AF450+AG450+N(AI450)+AH450*G450/1000/MAX(1,MIN(MAX(2,INT(900/INDEX('Laminates- copilot'!$E$6:$E$257,ROUNDUP((ROW()-5)/3,0)))),INT((IF(O450="Quantum",760,1220)-50)/INDEX('Laminates- copilot'!$E$6:$E$257,ROUNDUP((ROW()-5)/3,0))))),"Data is missing"))</f>
        <v>0.47798449405585663</v>
      </c>
      <c r="AK450" s="203">
        <f t="shared" si="109"/>
        <v>637.31265874114217</v>
      </c>
      <c r="AL450" t="str">
        <f t="shared" si="110"/>
        <v>PASS</v>
      </c>
      <c r="AM450" s="50" t="str">
        <f t="shared" si="111"/>
        <v/>
      </c>
    </row>
    <row r="451" spans="1:39" hidden="1">
      <c r="A451" t="s">
        <v>2079</v>
      </c>
      <c r="B451" t="s">
        <v>261</v>
      </c>
      <c r="C451" s="50" t="s">
        <v>1626</v>
      </c>
      <c r="D451">
        <f>'Laminates- copilot'!B154</f>
        <v>918</v>
      </c>
      <c r="E451" s="858">
        <f>'Laminates- copilot'!D154</f>
        <v>51</v>
      </c>
      <c r="F451" s="858">
        <v>250</v>
      </c>
      <c r="G451" s="858">
        <v>400</v>
      </c>
      <c r="H451" s="858">
        <v>50</v>
      </c>
      <c r="I451" s="858">
        <v>0</v>
      </c>
      <c r="J451" s="858">
        <v>600</v>
      </c>
      <c r="K451" s="858">
        <v>1000000</v>
      </c>
      <c r="L451" s="858" t="str">
        <f>'Laminates- copilot'!K154</f>
        <v>Printed</v>
      </c>
      <c r="M451" s="858" t="str">
        <f>'Laminates- copilot'!L154</f>
        <v>3-4</v>
      </c>
      <c r="N451" s="858">
        <f>'Laminates- copilot'!M154</f>
        <v>4</v>
      </c>
      <c r="O451" s="858" t="str">
        <f>'Laminates- copilot'!O154</f>
        <v>Marma</v>
      </c>
      <c r="P451" s="858" t="str">
        <f>'Laminates- copilot'!N154</f>
        <v>Europe to Europe</v>
      </c>
      <c r="Q451" s="858">
        <f t="shared" si="96"/>
        <v>400000</v>
      </c>
      <c r="R451" s="858">
        <f t="shared" si="97"/>
        <v>400000</v>
      </c>
      <c r="S451" s="858">
        <f>IFERROR('Laminates- copilot'!Q154/'Laminates- copilot'!P154*Q451,"")</f>
        <v>16168.8</v>
      </c>
      <c r="T451" s="203">
        <f>IFERROR('Laminates- copilot'!R154/'Laminates- copilot'!P154*Q451,"")</f>
        <v>346235.08424374997</v>
      </c>
      <c r="U451" s="912">
        <f>IFERROR('Laminates- copilot'!S154/'Laminates- copilot'!P154*Q451,"")</f>
        <v>401632.6977227499</v>
      </c>
      <c r="V451" s="913">
        <f t="shared" si="98"/>
        <v>21.413777413521721</v>
      </c>
      <c r="W451" s="914">
        <f t="shared" si="99"/>
        <v>24.839981799685191</v>
      </c>
      <c r="X451" s="913">
        <f t="shared" si="100"/>
        <v>0.86558771060937489</v>
      </c>
      <c r="Y451" s="913">
        <f t="shared" si="101"/>
        <v>21.413777413521721</v>
      </c>
      <c r="Z451" s="95">
        <f t="shared" si="102"/>
        <v>30924</v>
      </c>
      <c r="AA451" s="50" t="str">
        <f t="shared" si="103"/>
        <v>MOQ OK</v>
      </c>
      <c r="AB451" s="923">
        <f t="shared" si="104"/>
        <v>0.62967151939268573</v>
      </c>
      <c r="AC451" s="924">
        <f t="shared" si="105"/>
        <v>0.73041896249551541</v>
      </c>
      <c r="AD451" s="203">
        <f t="shared" si="106"/>
        <v>629671.51939268573</v>
      </c>
      <c r="AE451" s="912">
        <f t="shared" si="107"/>
        <v>730418.96249551536</v>
      </c>
      <c r="AF451" s="923" cm="1">
        <f t="array" ref="AF451">IF(O451="Quantum",IFERROR(_xlfn.LET(_xlpm.b,_xlfn.SWITCH(LOWER(B451),"zipper bag","Zipper pouch","open bag","Open pouch","sup with zipper","Stand-up pouch","stand-up pouch","Stand-up pouch",B451),_xlpm.w,G451,_xlpm.q,K451,_xlpm.types,'Converting-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missing"),IFERROR(_xlfn.LET(_xlpm.s,O451,_xlpm.b,_xlfn.SWITCH(LOWER(B451),"zipper bag","Zipper pouch","open bag","Open pouch",B451),_xlpm.w,G451,_xlpm.q,K451,_xlpm.src,'Converting-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451" s="923">
        <f>IFERROR(IF(OR(B451="Zipper pouch",B451="SUP with zipper"),HELPER!$DE$2*(AH451+AI451)/K451,HELPER!$DE$2*AH451/K451),"Data is missing")</f>
        <v>5.5391262636562489E-4</v>
      </c>
      <c r="AH451" s="923">
        <f t="shared" si="108"/>
        <v>0.86558771060937489</v>
      </c>
      <c r="AI451" s="923">
        <f>IF(OR(B451="Zipper pouch",B451="SUP with zipper"),HELPER!$DC$2*G451/1000,"")</f>
        <v>5.7599999999999991E-2</v>
      </c>
      <c r="AJ451" s="923" cm="1">
        <f t="array" ref="AJ451">IF(INDEX('Laminates- copilot'!$E$6:$E$257,ROUNDUP((ROW()-5)/3,0))+50&gt;IF(O451="Quantum",760,1220),"Width exceeds supplier maximum",IFERROR(AF451+AG451+N(AI451)+AH451*G451/1000/MAX(1,MIN(MAX(2,INT(900/INDEX('Laminates- copilot'!$E$6:$E$257,ROUNDUP((ROW()-5)/3,0)))),INT((IF(O451="Quantum",760,1220)-50)/INDEX('Laminates- copilot'!$E$6:$E$257,ROUNDUP((ROW()-5)/3,0))))),"Data is missing"))</f>
        <v>0.47225363954451433</v>
      </c>
      <c r="AK451" s="203">
        <f t="shared" si="109"/>
        <v>629.6715193926857</v>
      </c>
      <c r="AL451" t="str">
        <f t="shared" si="110"/>
        <v>PASS</v>
      </c>
      <c r="AM451" s="50" t="str">
        <f t="shared" si="111"/>
        <v/>
      </c>
    </row>
    <row r="452" spans="1:39" hidden="1">
      <c r="A452" t="s">
        <v>2080</v>
      </c>
      <c r="B452" t="s">
        <v>262</v>
      </c>
      <c r="C452" s="50" t="s">
        <v>1626</v>
      </c>
      <c r="D452">
        <f>'Laminates- copilot'!B154</f>
        <v>918</v>
      </c>
      <c r="E452" s="858">
        <f>'Laminates- copilot'!D154</f>
        <v>51</v>
      </c>
      <c r="F452" s="858">
        <v>250</v>
      </c>
      <c r="G452" s="858">
        <v>400</v>
      </c>
      <c r="H452" s="858">
        <v>0</v>
      </c>
      <c r="I452" s="858">
        <v>15</v>
      </c>
      <c r="J452" s="858">
        <v>515</v>
      </c>
      <c r="K452" s="858">
        <v>1000000</v>
      </c>
      <c r="L452" s="858" t="str">
        <f>'Laminates- copilot'!K154</f>
        <v>Printed</v>
      </c>
      <c r="M452" s="858" t="str">
        <f>'Laminates- copilot'!L154</f>
        <v>3-4</v>
      </c>
      <c r="N452" s="858">
        <f>'Laminates- copilot'!M154</f>
        <v>4</v>
      </c>
      <c r="O452" s="858" t="str">
        <f>'Laminates- copilot'!O154</f>
        <v>Marma</v>
      </c>
      <c r="P452" s="858" t="str">
        <f>'Laminates- copilot'!N154</f>
        <v>Europe to Europe</v>
      </c>
      <c r="Q452" s="858">
        <f t="shared" si="96"/>
        <v>400000</v>
      </c>
      <c r="R452" s="858">
        <f t="shared" si="97"/>
        <v>400000</v>
      </c>
      <c r="S452" s="858">
        <f>IFERROR('Laminates- copilot'!Q154/'Laminates- copilot'!P154*Q452,"")</f>
        <v>16168.8</v>
      </c>
      <c r="T452" s="203">
        <f>IFERROR('Laminates- copilot'!R154/'Laminates- copilot'!P154*Q452,"")</f>
        <v>346235.08424374997</v>
      </c>
      <c r="U452" s="912">
        <f>IFERROR('Laminates- copilot'!S154/'Laminates- copilot'!P154*Q452,"")</f>
        <v>401632.6977227499</v>
      </c>
      <c r="V452" s="913">
        <f t="shared" si="98"/>
        <v>21.413777413521721</v>
      </c>
      <c r="W452" s="914">
        <f t="shared" si="99"/>
        <v>24.839981799685191</v>
      </c>
      <c r="X452" s="913">
        <f t="shared" si="100"/>
        <v>0.86558771060937489</v>
      </c>
      <c r="Y452" s="913">
        <f t="shared" si="101"/>
        <v>21.413777413521721</v>
      </c>
      <c r="Z452" s="95">
        <f t="shared" si="102"/>
        <v>30924</v>
      </c>
      <c r="AA452" s="50" t="str">
        <f t="shared" si="103"/>
        <v>MOQ OK</v>
      </c>
      <c r="AB452" s="923">
        <f t="shared" si="104"/>
        <v>0.54272697909466894</v>
      </c>
      <c r="AC452" s="924">
        <f t="shared" si="105"/>
        <v>0.62956329574981595</v>
      </c>
      <c r="AD452" s="203">
        <f t="shared" si="106"/>
        <v>542726.97909466899</v>
      </c>
      <c r="AE452" s="912">
        <f t="shared" si="107"/>
        <v>629563.295749816</v>
      </c>
      <c r="AF452" s="923" cm="1">
        <f t="array" ref="AF452">IF(O452="Quantum",IFERROR(_xlfn.LET(_xlpm.b,_xlfn.SWITCH(LOWER(B452),"zipper bag","Zipper pouch","open bag","Open pouch","sup with zipper","Stand-up pouch","stand-up pouch","Stand-up pouch",B452),_xlpm.w,G452,_xlpm.q,K452,_xlpm.types,'Converting-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missing"),IFERROR(_xlfn.LET(_xlpm.s,O452,_xlpm.b,_xlfn.SWITCH(LOWER(B452),"zipper bag","Zipper pouch","open bag","Open pouch",B452),_xlpm.w,G452,_xlpm.q,K452,_xlpm.src,'Converting-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452" s="923">
        <f>IFERROR(IF(OR(B452="Zipper pouch",B452="SUP with zipper"),HELPER!$DE$2*(AH452+AI452)/K452,HELPER!$DE$2*AH452/K452),"Data is missing")</f>
        <v>5.1935262636562489E-4</v>
      </c>
      <c r="AH452" s="923">
        <f t="shared" si="108"/>
        <v>0.86558771060937489</v>
      </c>
      <c r="AI452" s="923" t="str">
        <f>IF(OR(B452="Zipper pouch",B452="SUP with zipper"),HELPER!$DC$2*G452/1000,"")</f>
        <v/>
      </c>
      <c r="AJ452" s="923" cm="1">
        <f t="array" ref="AJ452">IF(INDEX('Laminates- copilot'!$E$6:$E$257,ROUNDUP((ROW()-5)/3,0))+50&gt;IF(O452="Quantum",760,1220),"Width exceeds supplier maximum",IFERROR(AF452+AG452+N(AI452)+AH452*G452/1000/MAX(1,MIN(MAX(2,INT(900/INDEX('Laminates- copilot'!$E$6:$E$257,ROUNDUP((ROW()-5)/3,0)))),INT((IF(O452="Quantum",760,1220)-50)/INDEX('Laminates- copilot'!$E$6:$E$257,ROUNDUP((ROW()-5)/3,0))))),"Data is missing"))</f>
        <v>0.4070452343210017</v>
      </c>
      <c r="AK452" s="203">
        <f t="shared" si="109"/>
        <v>542.72697909466899</v>
      </c>
      <c r="AL452" t="str">
        <f t="shared" si="110"/>
        <v>PASS</v>
      </c>
      <c r="AM452" s="50" t="str">
        <f t="shared" si="111"/>
        <v/>
      </c>
    </row>
    <row r="453" spans="1:39" hidden="1">
      <c r="A453" t="s">
        <v>2081</v>
      </c>
      <c r="B453" t="s">
        <v>251</v>
      </c>
      <c r="C453" s="50" t="s">
        <v>1627</v>
      </c>
      <c r="D453">
        <f>'Laminates- copilot'!B155</f>
        <v>918</v>
      </c>
      <c r="E453" s="858">
        <f>'Laminates- copilot'!D155</f>
        <v>51</v>
      </c>
      <c r="F453" s="858">
        <v>350</v>
      </c>
      <c r="G453" s="858">
        <v>500</v>
      </c>
      <c r="H453" s="858">
        <v>100</v>
      </c>
      <c r="I453" s="858">
        <v>0</v>
      </c>
      <c r="J453" s="858">
        <v>900</v>
      </c>
      <c r="K453" s="858">
        <v>1600000</v>
      </c>
      <c r="L453" s="858" t="str">
        <f>'Laminates- copilot'!K155</f>
        <v>Printed</v>
      </c>
      <c r="M453" s="858" t="str">
        <f>'Laminates- copilot'!L155</f>
        <v>1-2</v>
      </c>
      <c r="N453" s="858">
        <f>'Laminates- copilot'!M155</f>
        <v>2</v>
      </c>
      <c r="O453" s="858" t="str">
        <f>'Laminates- copilot'!O155</f>
        <v>Quantum</v>
      </c>
      <c r="P453" s="858" t="str">
        <f>'Laminates- copilot'!N155</f>
        <v>Europe to Europe</v>
      </c>
      <c r="Q453" s="858">
        <f t="shared" si="96"/>
        <v>800000</v>
      </c>
      <c r="R453" s="858">
        <f t="shared" si="97"/>
        <v>800000</v>
      </c>
      <c r="S453" s="858">
        <f>IFERROR('Laminates- copilot'!Q155/'Laminates- copilot'!P155*Q453,"")</f>
        <v>24253.200000000001</v>
      </c>
      <c r="T453" s="203">
        <f>IFERROR('Laminates- copilot'!R155/'Laminates- copilot'!P155*Q453,"")</f>
        <v>924156.41790520481</v>
      </c>
      <c r="U453" s="912">
        <f>IFERROR('Laminates- copilot'!S155/'Laminates- copilot'!P155*Q453,"")</f>
        <v>1072021.4447700374</v>
      </c>
      <c r="V453" s="913">
        <f t="shared" si="98"/>
        <v>38.104514781769204</v>
      </c>
      <c r="W453" s="914">
        <f t="shared" si="99"/>
        <v>44.201237146852264</v>
      </c>
      <c r="X453" s="913">
        <f t="shared" si="100"/>
        <v>1.155195522381506</v>
      </c>
      <c r="Y453" s="913">
        <f t="shared" si="101"/>
        <v>38.104514781769204</v>
      </c>
      <c r="Z453" s="95">
        <f t="shared" si="102"/>
        <v>32986</v>
      </c>
      <c r="AA453" s="50" t="str">
        <f t="shared" si="103"/>
        <v>MOQ OK</v>
      </c>
      <c r="AB453" s="923">
        <f t="shared" si="104"/>
        <v>1.2221944923473005</v>
      </c>
      <c r="AC453" s="924">
        <f t="shared" si="105"/>
        <v>1.4177456111228686</v>
      </c>
      <c r="AD453" s="203">
        <f t="shared" si="106"/>
        <v>1955511.1877556809</v>
      </c>
      <c r="AE453" s="912">
        <f t="shared" si="107"/>
        <v>2268392.9777965895</v>
      </c>
      <c r="AF453" s="923" cm="1">
        <f t="array" ref="AF453">IF(O453="Quantum",IFERROR(_xlfn.LET(_xlpm.b,_xlfn.SWITCH(LOWER(B453),"zipper bag","Zipper pouch","open bag","Open pouch","sup with zipper","Stand-up pouch","stand-up pouch","Stand-up pouch",B453),_xlpm.w,G453,_xlpm.q,K453,_xlpm.types,'Converting-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missing"),IFERROR(_xlfn.LET(_xlpm.s,O453,_xlpm.b,_xlfn.SWITCH(LOWER(B453),"zipper bag","Zipper pouch","open bag","Open pouch",B453),_xlpm.w,G453,_xlpm.q,K453,_xlpm.src,'Converting-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453" s="923">
        <f>IFERROR(IF(OR(B453="Zipper pouch",B453="SUP with zipper"),HELPER!$DE$2*(AH453+AI453)/K453,HELPER!$DE$2*AH453/K453),"Data is missing")</f>
        <v>4.6019832089306477E-4</v>
      </c>
      <c r="AH453" s="923">
        <f t="shared" si="108"/>
        <v>1.155195522381506</v>
      </c>
      <c r="AI453" s="923">
        <f>IF(OR(B453="Zipper pouch",B453="SUP with zipper"),HELPER!$DC$2*G453/1000,"")</f>
        <v>7.1999999999999995E-2</v>
      </c>
      <c r="AJ453" s="923" cm="1">
        <f t="array" ref="AJ453">IF(INDEX('Laminates- copilot'!$E$6:$E$257,ROUNDUP((ROW()-5)/3,0))+50&gt;IF(O453="Quantum",760,1220),"Width exceeds supplier maximum",IFERROR(AF453+AG453+N(AI453)+AH453*G453/1000/MAX(1,MIN(MAX(2,INT(900/INDEX('Laminates- copilot'!$E$6:$E$257,ROUNDUP((ROW()-5)/3,0)))),INT((IF(O453="Quantum",760,1220)-50)/INDEX('Laminates- copilot'!$E$6:$E$257,ROUNDUP((ROW()-5)/3,0))))),"Data is missing"))</f>
        <v>0.91664586926047531</v>
      </c>
      <c r="AK453" s="203">
        <f t="shared" si="109"/>
        <v>1222.1944923473004</v>
      </c>
      <c r="AL453" t="str">
        <f t="shared" si="110"/>
        <v>PASS</v>
      </c>
      <c r="AM453" s="50" t="str">
        <f t="shared" si="111"/>
        <v/>
      </c>
    </row>
    <row r="454" spans="1:39" hidden="1">
      <c r="A454" t="s">
        <v>2082</v>
      </c>
      <c r="B454" t="s">
        <v>261</v>
      </c>
      <c r="C454" s="50" t="s">
        <v>1627</v>
      </c>
      <c r="D454">
        <f>'Laminates- copilot'!B155</f>
        <v>918</v>
      </c>
      <c r="E454" s="858">
        <f>'Laminates- copilot'!D155</f>
        <v>51</v>
      </c>
      <c r="F454" s="858">
        <v>350</v>
      </c>
      <c r="G454" s="858">
        <v>500</v>
      </c>
      <c r="H454" s="858">
        <v>100</v>
      </c>
      <c r="I454" s="858">
        <v>0</v>
      </c>
      <c r="J454" s="858">
        <v>900</v>
      </c>
      <c r="K454" s="858">
        <v>1600000</v>
      </c>
      <c r="L454" s="858" t="str">
        <f>'Laminates- copilot'!K155</f>
        <v>Printed</v>
      </c>
      <c r="M454" s="858" t="str">
        <f>'Laminates- copilot'!L155</f>
        <v>1-2</v>
      </c>
      <c r="N454" s="858">
        <f>'Laminates- copilot'!M155</f>
        <v>2</v>
      </c>
      <c r="O454" s="858" t="str">
        <f>'Laminates- copilot'!O155</f>
        <v>Quantum</v>
      </c>
      <c r="P454" s="858" t="str">
        <f>'Laminates- copilot'!N155</f>
        <v>Europe to Europe</v>
      </c>
      <c r="Q454" s="858">
        <f t="shared" ref="Q454:Q517" si="112">K454*G454/1000</f>
        <v>800000</v>
      </c>
      <c r="R454" s="858">
        <f t="shared" ref="R454:R517" si="113">Q454</f>
        <v>800000</v>
      </c>
      <c r="S454" s="858">
        <f>IFERROR('Laminates- copilot'!Q155/'Laminates- copilot'!P155*Q454,"")</f>
        <v>24253.200000000001</v>
      </c>
      <c r="T454" s="203">
        <f>IFERROR('Laminates- copilot'!R155/'Laminates- copilot'!P155*Q454,"")</f>
        <v>924156.41790520481</v>
      </c>
      <c r="U454" s="912">
        <f>IFERROR('Laminates- copilot'!S155/'Laminates- copilot'!P155*Q454,"")</f>
        <v>1072021.4447700374</v>
      </c>
      <c r="V454" s="913">
        <f t="shared" ref="V454:V517" si="114">IFERROR(T454/S454,"")</f>
        <v>38.104514781769204</v>
      </c>
      <c r="W454" s="914">
        <f t="shared" ref="W454:W517" si="115">IFERROR(U454/S454,"")</f>
        <v>44.201237146852264</v>
      </c>
      <c r="X454" s="913">
        <f t="shared" ref="X454:X517" si="116">IFERROR(T454/Q454,"")</f>
        <v>1.155195522381506</v>
      </c>
      <c r="Y454" s="913">
        <f t="shared" ref="Y454:Y517" si="117">V454</f>
        <v>38.104514781769204</v>
      </c>
      <c r="Z454" s="95">
        <f t="shared" ref="Z454:Z517" si="118">IFERROR(ROUNDUP((500*Q454/S454)*1000/G454,0),"")</f>
        <v>32986</v>
      </c>
      <c r="AA454" s="50" t="str">
        <f t="shared" ref="AA454:AA517" si="119">IF(OR(K454="",Z454=""),"MOQ data missing",IF(K454&gt;=Z454,"MOQ OK","Below MOQ by "&amp;TEXT(Z454-K454,"#,##0")&amp;" bags"))</f>
        <v>MOQ OK</v>
      </c>
      <c r="AB454" s="923">
        <f t="shared" ref="AB454:AB517" si="120">IFERROR(AJ454/(1-25%),"Data is missing")</f>
        <v>1.1827766155518162</v>
      </c>
      <c r="AC454" s="924">
        <f t="shared" ref="AC454:AC517" si="121">IFERROR(AB454*1.16,"Data is missing")</f>
        <v>1.3720208740401068</v>
      </c>
      <c r="AD454" s="203">
        <f t="shared" ref="AD454:AD517" si="122">IFERROR(AB454*K454,"Data is missing")</f>
        <v>1892442.5848829059</v>
      </c>
      <c r="AE454" s="912">
        <f t="shared" ref="AE454:AE517" si="123">IFERROR(AD454*1.16,"Data is missing")</f>
        <v>2195233.3984641708</v>
      </c>
      <c r="AF454" s="923" cm="1">
        <f t="array" ref="AF454">IF(O454="Quantum",IFERROR(_xlfn.LET(_xlpm.b,_xlfn.SWITCH(LOWER(B454),"zipper bag","Zipper pouch","open bag","Open pouch","sup with zipper","Stand-up pouch","stand-up pouch","Stand-up pouch",B454),_xlpm.w,G454,_xlpm.q,K454,_xlpm.types,'Converting-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missing"),IFERROR(_xlfn.LET(_xlpm.s,O454,_xlpm.b,_xlfn.SWITCH(LOWER(B454),"zipper bag","Zipper pouch","open bag","Open pouch",B454),_xlpm.w,G454,_xlpm.q,K454,_xlpm.src,'Converting-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454" s="923">
        <f>IFERROR(IF(OR(B454="Zipper pouch",B454="SUP with zipper"),HELPER!$DE$2*(AH454+AI454)/K454,HELPER!$DE$2*AH454/K454),"Data is missing")</f>
        <v>4.6019832089306477E-4</v>
      </c>
      <c r="AH454" s="923">
        <f t="shared" ref="AH454:AH517" si="124">X454</f>
        <v>1.155195522381506</v>
      </c>
      <c r="AI454" s="923">
        <f>IF(OR(B454="Zipper pouch",B454="SUP with zipper"),HELPER!$DC$2*G454/1000,"")</f>
        <v>7.1999999999999995E-2</v>
      </c>
      <c r="AJ454" s="923" cm="1">
        <f t="array" ref="AJ454">IF(INDEX('Laminates- copilot'!$E$6:$E$257,ROUNDUP((ROW()-5)/3,0))+50&gt;IF(O454="Quantum",760,1220),"Width exceeds supplier maximum",IFERROR(AF454+AG454+N(AI454)+AH454*G454/1000/MAX(1,MIN(MAX(2,INT(900/INDEX('Laminates- copilot'!$E$6:$E$257,ROUNDUP((ROW()-5)/3,0)))),INT((IF(O454="Quantum",760,1220)-50)/INDEX('Laminates- copilot'!$E$6:$E$257,ROUNDUP((ROW()-5)/3,0))))),"Data is missing"))</f>
        <v>0.88708246166386218</v>
      </c>
      <c r="AK454" s="203">
        <f t="shared" ref="AK454:AK517" si="125">IFERROR(AB454*1000,"Data is missing")</f>
        <v>1182.7766155518161</v>
      </c>
      <c r="AL454" t="str">
        <f t="shared" ref="AL454:AL517" si="126">IF(AND(ISNUMBER(AB454),ISNUMBER(AD454),K454&gt;0,ISNUMBER(AJ454),AM454=""),IF(AND(ABS(AD454-AB454*K454)&lt;0.05,ABS(AB454-AJ454/(1-25%))&lt;0.0001),"PASS","CHECK"),"CHECK")</f>
        <v>PASS</v>
      </c>
      <c r="AM454" s="50" t="str">
        <f t="shared" ref="AM454:AM517" si="127">_xlfn.TEXTJOIN("; ",TRUE,IF(OR(AF454="Data is missing",AG454="Data is missing",AJ454="Data is missing"),"Missing conversion data",""),IF(NOT(ISNUMBER(S454)),"Missing laminate weight",""),IF(NOT(ISNUMBER(T454)),"Missing laminate cost",""))</f>
        <v/>
      </c>
    </row>
    <row r="455" spans="1:39" hidden="1">
      <c r="A455" t="s">
        <v>2083</v>
      </c>
      <c r="B455" t="s">
        <v>262</v>
      </c>
      <c r="C455" s="50" t="s">
        <v>1627</v>
      </c>
      <c r="D455">
        <f>'Laminates- copilot'!B155</f>
        <v>918</v>
      </c>
      <c r="E455" s="858">
        <f>'Laminates- copilot'!D155</f>
        <v>51</v>
      </c>
      <c r="F455" s="858">
        <v>350</v>
      </c>
      <c r="G455" s="858">
        <v>500</v>
      </c>
      <c r="H455" s="858">
        <v>0</v>
      </c>
      <c r="I455" s="858">
        <v>25</v>
      </c>
      <c r="J455" s="858">
        <v>725</v>
      </c>
      <c r="K455" s="858">
        <v>1600000</v>
      </c>
      <c r="L455" s="858" t="str">
        <f>'Laminates- copilot'!K155</f>
        <v>Printed</v>
      </c>
      <c r="M455" s="858" t="str">
        <f>'Laminates- copilot'!L155</f>
        <v>1-2</v>
      </c>
      <c r="N455" s="858">
        <f>'Laminates- copilot'!M155</f>
        <v>2</v>
      </c>
      <c r="O455" s="858" t="str">
        <f>'Laminates- copilot'!O155</f>
        <v>Quantum</v>
      </c>
      <c r="P455" s="858" t="str">
        <f>'Laminates- copilot'!N155</f>
        <v>Europe to Europe</v>
      </c>
      <c r="Q455" s="858">
        <f t="shared" si="112"/>
        <v>800000</v>
      </c>
      <c r="R455" s="858">
        <f t="shared" si="113"/>
        <v>800000</v>
      </c>
      <c r="S455" s="858">
        <f>IFERROR('Laminates- copilot'!Q155/'Laminates- copilot'!P155*Q455,"")</f>
        <v>24253.200000000001</v>
      </c>
      <c r="T455" s="203">
        <f>IFERROR('Laminates- copilot'!R155/'Laminates- copilot'!P155*Q455,"")</f>
        <v>924156.41790520481</v>
      </c>
      <c r="U455" s="912">
        <f>IFERROR('Laminates- copilot'!S155/'Laminates- copilot'!P155*Q455,"")</f>
        <v>1072021.4447700374</v>
      </c>
      <c r="V455" s="913">
        <f t="shared" si="114"/>
        <v>38.104514781769204</v>
      </c>
      <c r="W455" s="914">
        <f t="shared" si="115"/>
        <v>44.201237146852264</v>
      </c>
      <c r="X455" s="913">
        <f t="shared" si="116"/>
        <v>1.155195522381506</v>
      </c>
      <c r="Y455" s="913">
        <f t="shared" si="117"/>
        <v>38.104514781769204</v>
      </c>
      <c r="Z455" s="95">
        <f t="shared" si="118"/>
        <v>32986</v>
      </c>
      <c r="AA455" s="50" t="str">
        <f t="shared" si="119"/>
        <v>MOQ OK</v>
      </c>
      <c r="AB455" s="923">
        <f t="shared" si="120"/>
        <v>1.0549764290579575</v>
      </c>
      <c r="AC455" s="924">
        <f t="shared" si="121"/>
        <v>1.2237726577072305</v>
      </c>
      <c r="AD455" s="203">
        <f t="shared" si="122"/>
        <v>1687962.2864927321</v>
      </c>
      <c r="AE455" s="912">
        <f t="shared" si="123"/>
        <v>1958036.2523315691</v>
      </c>
      <c r="AF455" s="923" cm="1">
        <f t="array" ref="AF455">IF(O455="Quantum",IFERROR(_xlfn.LET(_xlpm.b,_xlfn.SWITCH(LOWER(B455),"zipper bag","Zipper pouch","open bag","Open pouch","sup with zipper","Stand-up pouch","stand-up pouch","Stand-up pouch",B455),_xlpm.w,G455,_xlpm.q,K455,_xlpm.types,'Converting-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missing"),IFERROR(_xlfn.LET(_xlpm.s,O455,_xlpm.b,_xlfn.SWITCH(LOWER(B455),"zipper bag","Zipper pouch","open bag","Open pouch",B455),_xlpm.w,G455,_xlpm.q,K455,_xlpm.src,'Converting-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455" s="923">
        <f>IFERROR(IF(OR(B455="Zipper pouch",B455="SUP with zipper"),HELPER!$DE$2*(AH455+AI455)/K455,HELPER!$DE$2*AH455/K455),"Data is missing")</f>
        <v>4.3319832089306471E-4</v>
      </c>
      <c r="AH455" s="923">
        <f t="shared" si="124"/>
        <v>1.155195522381506</v>
      </c>
      <c r="AI455" s="923" t="str">
        <f>IF(OR(B455="Zipper pouch",B455="SUP with zipper"),HELPER!$DC$2*G455/1000,"")</f>
        <v/>
      </c>
      <c r="AJ455" s="923" cm="1">
        <f t="array" ref="AJ455">IF(INDEX('Laminates- copilot'!$E$6:$E$257,ROUNDUP((ROW()-5)/3,0))+50&gt;IF(O455="Quantum",760,1220),"Width exceeds supplier maximum",IFERROR(AF455+AG455+N(AI455)+AH455*G455/1000/MAX(1,MIN(MAX(2,INT(900/INDEX('Laminates- copilot'!$E$6:$E$257,ROUNDUP((ROW()-5)/3,0)))),INT((IF(O455="Quantum",760,1220)-50)/INDEX('Laminates- copilot'!$E$6:$E$257,ROUNDUP((ROW()-5)/3,0))))),"Data is missing"))</f>
        <v>0.79123232179346814</v>
      </c>
      <c r="AK455" s="203">
        <f t="shared" si="125"/>
        <v>1054.9764290579576</v>
      </c>
      <c r="AL455" t="str">
        <f t="shared" si="126"/>
        <v>PASS</v>
      </c>
      <c r="AM455" s="50" t="str">
        <f t="shared" si="127"/>
        <v/>
      </c>
    </row>
    <row r="456" spans="1:39" hidden="1">
      <c r="A456" t="s">
        <v>2084</v>
      </c>
      <c r="B456" t="s">
        <v>251</v>
      </c>
      <c r="C456" s="50" t="s">
        <v>2203</v>
      </c>
      <c r="D456">
        <f>'Laminates- copilot'!B156</f>
        <v>919</v>
      </c>
      <c r="E456" s="858">
        <f>'Laminates- copilot'!D156</f>
        <v>121</v>
      </c>
      <c r="F456" s="858">
        <v>100</v>
      </c>
      <c r="G456" s="858">
        <v>100</v>
      </c>
      <c r="H456" s="858">
        <v>20</v>
      </c>
      <c r="I456" s="858">
        <v>0</v>
      </c>
      <c r="J456" s="858">
        <v>240</v>
      </c>
      <c r="K456" s="858">
        <v>25000</v>
      </c>
      <c r="L456" s="858" t="str">
        <f>'Laminates- copilot'!K156</f>
        <v>Not Printed</v>
      </c>
      <c r="M456" s="858" t="str">
        <f>'Laminates- copilot'!L156</f>
        <v>0</v>
      </c>
      <c r="N456" s="858">
        <f>'Laminates- copilot'!M156</f>
        <v>1</v>
      </c>
      <c r="O456" s="858" t="str">
        <f>'Laminates- copilot'!O156</f>
        <v>Marma</v>
      </c>
      <c r="P456" s="858" t="str">
        <f>'Laminates- copilot'!N156</f>
        <v>Europe to Europe</v>
      </c>
      <c r="Q456" s="858">
        <f t="shared" si="112"/>
        <v>2500</v>
      </c>
      <c r="R456" s="858">
        <f t="shared" si="113"/>
        <v>2500</v>
      </c>
      <c r="S456" s="858">
        <f>IFERROR('Laminates- copilot'!Q156/'Laminates- copilot'!P156*Q456,"")</f>
        <v>33.710999999999999</v>
      </c>
      <c r="T456" s="203">
        <f>IFERROR('Laminates- copilot'!R156/'Laminates- copilot'!P156*Q456,"")</f>
        <v>274.28228598905463</v>
      </c>
      <c r="U456" s="912">
        <f>IFERROR('Laminates- copilot'!S156/'Laminates- copilot'!P156*Q456,"")</f>
        <v>318.16745174730335</v>
      </c>
      <c r="V456" s="913">
        <f t="shared" si="114"/>
        <v>8.1362844765523015</v>
      </c>
      <c r="W456" s="914">
        <f t="shared" si="115"/>
        <v>9.4380899928006698</v>
      </c>
      <c r="X456" s="913">
        <f t="shared" si="116"/>
        <v>0.10971291439562185</v>
      </c>
      <c r="Y456" s="913">
        <f t="shared" si="117"/>
        <v>8.1362844765523015</v>
      </c>
      <c r="Z456" s="95">
        <f t="shared" si="118"/>
        <v>370799</v>
      </c>
      <c r="AA456" s="50" t="str">
        <f t="shared" si="119"/>
        <v>Below MOQ by 345,799 bags</v>
      </c>
      <c r="AB456" s="923">
        <f t="shared" si="120"/>
        <v>7.6192137193799303E-2</v>
      </c>
      <c r="AC456" s="924">
        <f t="shared" si="121"/>
        <v>8.8382879144807192E-2</v>
      </c>
      <c r="AD456" s="203">
        <f t="shared" si="122"/>
        <v>1904.8034298449825</v>
      </c>
      <c r="AE456" s="912">
        <f t="shared" si="123"/>
        <v>2209.5719786201794</v>
      </c>
      <c r="AF456" s="923" cm="1">
        <f t="array" ref="AF456">IF(O456="Quantum",IFERROR(_xlfn.LET(_xlpm.b,_xlfn.SWITCH(LOWER(B456),"zipper bag","Zipper pouch","open bag","Open pouch","sup with zipper","Stand-up pouch","stand-up pouch","Stand-up pouch",B456),_xlpm.w,G456,_xlpm.q,K456,_xlpm.types,'Converting-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missing"),IFERROR(_xlfn.LET(_xlpm.s,O456,_xlpm.b,_xlfn.SWITCH(LOWER(B456),"zipper bag","Zipper pouch","open bag","Open pouch",B456),_xlpm.w,G456,_xlpm.q,K456,_xlpm.src,'Converting-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456" s="923">
        <f>IFERROR(IF(OR(B456="Zipper pouch",B456="SUP with zipper"),HELPER!$DE$2*(AH456+AI456)/K456,HELPER!$DE$2*AH456/K456),"Data is missing")</f>
        <v>2.9787099454949241E-3</v>
      </c>
      <c r="AH456" s="923">
        <f t="shared" si="124"/>
        <v>0.10971291439562185</v>
      </c>
      <c r="AI456" s="923">
        <f>IF(OR(B456="Zipper pouch",B456="SUP with zipper"),HELPER!$DC$2*G456/1000,"")</f>
        <v>1.4399999999999998E-2</v>
      </c>
      <c r="AJ456" s="923" cm="1">
        <f t="array" ref="AJ456">IF(INDEX('Laminates- copilot'!$E$6:$E$257,ROUNDUP((ROW()-5)/3,0))+50&gt;IF(O456="Quantum",760,1220),"Width exceeds supplier maximum",IFERROR(AF456+AG456+N(AI456)+AH456*G456/1000/MAX(1,MIN(MAX(2,INT(900/INDEX('Laminates- copilot'!$E$6:$E$257,ROUNDUP((ROW()-5)/3,0)))),INT((IF(O456="Quantum",760,1220)-50)/INDEX('Laminates- copilot'!$E$6:$E$257,ROUNDUP((ROW()-5)/3,0))))),"Data is missing"))</f>
        <v>5.7144102895349477E-2</v>
      </c>
      <c r="AK456" s="203">
        <f t="shared" si="125"/>
        <v>76.192137193799297</v>
      </c>
      <c r="AL456" t="str">
        <f t="shared" si="126"/>
        <v>PASS</v>
      </c>
      <c r="AM456" s="50" t="str">
        <f t="shared" si="127"/>
        <v/>
      </c>
    </row>
    <row r="457" spans="1:39" hidden="1">
      <c r="A457" t="s">
        <v>2085</v>
      </c>
      <c r="B457" t="s">
        <v>261</v>
      </c>
      <c r="C457" s="50" t="s">
        <v>2203</v>
      </c>
      <c r="D457">
        <f>'Laminates- copilot'!B156</f>
        <v>919</v>
      </c>
      <c r="E457" s="858">
        <f>'Laminates- copilot'!D156</f>
        <v>121</v>
      </c>
      <c r="F457" s="858">
        <v>100</v>
      </c>
      <c r="G457" s="858">
        <v>100</v>
      </c>
      <c r="H457" s="858">
        <v>20</v>
      </c>
      <c r="I457" s="858">
        <v>0</v>
      </c>
      <c r="J457" s="858">
        <v>240</v>
      </c>
      <c r="K457" s="858">
        <v>25000</v>
      </c>
      <c r="L457" s="858" t="str">
        <f>'Laminates- copilot'!K156</f>
        <v>Not Printed</v>
      </c>
      <c r="M457" s="858" t="str">
        <f>'Laminates- copilot'!L156</f>
        <v>0</v>
      </c>
      <c r="N457" s="858">
        <f>'Laminates- copilot'!M156</f>
        <v>1</v>
      </c>
      <c r="O457" s="858" t="str">
        <f>'Laminates- copilot'!O156</f>
        <v>Marma</v>
      </c>
      <c r="P457" s="858" t="str">
        <f>'Laminates- copilot'!N156</f>
        <v>Europe to Europe</v>
      </c>
      <c r="Q457" s="858">
        <f t="shared" si="112"/>
        <v>2500</v>
      </c>
      <c r="R457" s="858">
        <f t="shared" si="113"/>
        <v>2500</v>
      </c>
      <c r="S457" s="858">
        <f>IFERROR('Laminates- copilot'!Q156/'Laminates- copilot'!P156*Q457,"")</f>
        <v>33.710999999999999</v>
      </c>
      <c r="T457" s="203">
        <f>IFERROR('Laminates- copilot'!R156/'Laminates- copilot'!P156*Q457,"")</f>
        <v>274.28228598905463</v>
      </c>
      <c r="U457" s="912">
        <f>IFERROR('Laminates- copilot'!S156/'Laminates- copilot'!P156*Q457,"")</f>
        <v>318.16745174730335</v>
      </c>
      <c r="V457" s="913">
        <f t="shared" si="114"/>
        <v>8.1362844765523015</v>
      </c>
      <c r="W457" s="914">
        <f t="shared" si="115"/>
        <v>9.4380899928006698</v>
      </c>
      <c r="X457" s="913">
        <f t="shared" si="116"/>
        <v>0.10971291439562185</v>
      </c>
      <c r="Y457" s="913">
        <f t="shared" si="117"/>
        <v>8.1362844765523015</v>
      </c>
      <c r="Z457" s="95">
        <f t="shared" si="118"/>
        <v>370799</v>
      </c>
      <c r="AA457" s="50" t="str">
        <f t="shared" si="119"/>
        <v>Below MOQ by 345,799 bags</v>
      </c>
      <c r="AB457" s="923">
        <f t="shared" si="120"/>
        <v>7.2766798865180907E-2</v>
      </c>
      <c r="AC457" s="924">
        <f t="shared" si="121"/>
        <v>8.4409486683609841E-2</v>
      </c>
      <c r="AD457" s="203">
        <f t="shared" si="122"/>
        <v>1819.1699716295227</v>
      </c>
      <c r="AE457" s="912">
        <f t="shared" si="123"/>
        <v>2110.2371670902462</v>
      </c>
      <c r="AF457" s="923" cm="1">
        <f t="array" ref="AF457">IF(O457="Quantum",IFERROR(_xlfn.LET(_xlpm.b,_xlfn.SWITCH(LOWER(B457),"zipper bag","Zipper pouch","open bag","Open pouch","sup with zipper","Stand-up pouch","stand-up pouch","Stand-up pouch",B457),_xlpm.w,G457,_xlpm.q,K457,_xlpm.types,'Converting-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missing"),IFERROR(_xlfn.LET(_xlpm.s,O457,_xlpm.b,_xlfn.SWITCH(LOWER(B457),"zipper bag","Zipper pouch","open bag","Open pouch",B457),_xlpm.w,G457,_xlpm.q,K457,_xlpm.src,'Converting-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457" s="923">
        <f>IFERROR(IF(OR(B457="Zipper pouch",B457="SUP with zipper"),HELPER!$DE$2*(AH457+AI457)/K457,HELPER!$DE$2*AH457/K457),"Data is missing")</f>
        <v>2.9787099454949241E-3</v>
      </c>
      <c r="AH457" s="923">
        <f t="shared" si="124"/>
        <v>0.10971291439562185</v>
      </c>
      <c r="AI457" s="923">
        <f>IF(OR(B457="Zipper pouch",B457="SUP with zipper"),HELPER!$DC$2*G457/1000,"")</f>
        <v>1.4399999999999998E-2</v>
      </c>
      <c r="AJ457" s="923" cm="1">
        <f t="array" ref="AJ457">IF(INDEX('Laminates- copilot'!$E$6:$E$257,ROUNDUP((ROW()-5)/3,0))+50&gt;IF(O457="Quantum",760,1220),"Width exceeds supplier maximum",IFERROR(AF457+AG457+N(AI457)+AH457*G457/1000/MAX(1,MIN(MAX(2,INT(900/INDEX('Laminates- copilot'!$E$6:$E$257,ROUNDUP((ROW()-5)/3,0)))),INT((IF(O457="Quantum",760,1220)-50)/INDEX('Laminates- copilot'!$E$6:$E$257,ROUNDUP((ROW()-5)/3,0))))),"Data is missing"))</f>
        <v>5.4575099148885677E-2</v>
      </c>
      <c r="AK457" s="203">
        <f t="shared" si="125"/>
        <v>72.766798865180903</v>
      </c>
      <c r="AL457" t="str">
        <f t="shared" si="126"/>
        <v>PASS</v>
      </c>
      <c r="AM457" s="50" t="str">
        <f t="shared" si="127"/>
        <v/>
      </c>
    </row>
    <row r="458" spans="1:39" hidden="1">
      <c r="A458" t="s">
        <v>2086</v>
      </c>
      <c r="B458" t="s">
        <v>262</v>
      </c>
      <c r="C458" s="50" t="s">
        <v>2203</v>
      </c>
      <c r="D458">
        <f>'Laminates- copilot'!B156</f>
        <v>919</v>
      </c>
      <c r="E458" s="858">
        <f>'Laminates- copilot'!D156</f>
        <v>121</v>
      </c>
      <c r="F458" s="858">
        <v>100</v>
      </c>
      <c r="G458" s="858">
        <v>100</v>
      </c>
      <c r="H458" s="858">
        <v>0</v>
      </c>
      <c r="I458" s="858">
        <v>0</v>
      </c>
      <c r="J458" s="858">
        <v>200</v>
      </c>
      <c r="K458" s="858">
        <v>25000</v>
      </c>
      <c r="L458" s="858" t="str">
        <f>'Laminates- copilot'!K156</f>
        <v>Not Printed</v>
      </c>
      <c r="M458" s="858" t="str">
        <f>'Laminates- copilot'!L156</f>
        <v>0</v>
      </c>
      <c r="N458" s="858">
        <f>'Laminates- copilot'!M156</f>
        <v>1</v>
      </c>
      <c r="O458" s="858" t="str">
        <f>'Laminates- copilot'!O156</f>
        <v>Marma</v>
      </c>
      <c r="P458" s="858" t="str">
        <f>'Laminates- copilot'!N156</f>
        <v>Europe to Europe</v>
      </c>
      <c r="Q458" s="858">
        <f t="shared" si="112"/>
        <v>2500</v>
      </c>
      <c r="R458" s="858">
        <f t="shared" si="113"/>
        <v>2500</v>
      </c>
      <c r="S458" s="858">
        <f>IFERROR('Laminates- copilot'!Q156/'Laminates- copilot'!P156*Q458,"")</f>
        <v>33.710999999999999</v>
      </c>
      <c r="T458" s="203">
        <f>IFERROR('Laminates- copilot'!R156/'Laminates- copilot'!P156*Q458,"")</f>
        <v>274.28228598905463</v>
      </c>
      <c r="U458" s="912">
        <f>IFERROR('Laminates- copilot'!S156/'Laminates- copilot'!P156*Q458,"")</f>
        <v>318.16745174730335</v>
      </c>
      <c r="V458" s="913">
        <f t="shared" si="114"/>
        <v>8.1362844765523015</v>
      </c>
      <c r="W458" s="914">
        <f t="shared" si="115"/>
        <v>9.4380899928006698</v>
      </c>
      <c r="X458" s="913">
        <f t="shared" si="116"/>
        <v>0.10971291439562185</v>
      </c>
      <c r="Y458" s="913">
        <f t="shared" si="117"/>
        <v>8.1362844765523015</v>
      </c>
      <c r="Z458" s="95">
        <f t="shared" si="118"/>
        <v>370799</v>
      </c>
      <c r="AA458" s="50" t="str">
        <f t="shared" si="119"/>
        <v>Below MOQ by 345,799 bags</v>
      </c>
      <c r="AB458" s="923">
        <f t="shared" si="120"/>
        <v>4.9335394517315299E-2</v>
      </c>
      <c r="AC458" s="924">
        <f t="shared" si="121"/>
        <v>5.7229057640085741E-2</v>
      </c>
      <c r="AD458" s="203">
        <f t="shared" si="122"/>
        <v>1233.3848629328825</v>
      </c>
      <c r="AE458" s="912">
        <f t="shared" si="123"/>
        <v>1430.7264410021435</v>
      </c>
      <c r="AF458" s="923" cm="1">
        <f t="array" ref="AF458">IF(O458="Quantum",IFERROR(_xlfn.LET(_xlpm.b,_xlfn.SWITCH(LOWER(B458),"zipper bag","Zipper pouch","open bag","Open pouch","sup with zipper","Stand-up pouch","stand-up pouch","Stand-up pouch",B458),_xlpm.w,G458,_xlpm.q,K458,_xlpm.types,'Converting-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missing"),IFERROR(_xlfn.LET(_xlpm.s,O458,_xlpm.b,_xlfn.SWITCH(LOWER(B458),"zipper bag","Zipper pouch","open bag","Open pouch",B458),_xlpm.w,G458,_xlpm.q,K458,_xlpm.src,'Converting-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458" s="923">
        <f>IFERROR(IF(OR(B458="Zipper pouch",B458="SUP with zipper"),HELPER!$DE$2*(AH458+AI458)/K458,HELPER!$DE$2*AH458/K458),"Data is missing")</f>
        <v>2.6331099454949243E-3</v>
      </c>
      <c r="AH458" s="923">
        <f t="shared" si="124"/>
        <v>0.10971291439562185</v>
      </c>
      <c r="AI458" s="923" t="str">
        <f>IF(OR(B458="Zipper pouch",B458="SUP with zipper"),HELPER!$DC$2*G458/1000,"")</f>
        <v/>
      </c>
      <c r="AJ458" s="923" cm="1">
        <f t="array" ref="AJ458">IF(INDEX('Laminates- copilot'!$E$6:$E$257,ROUNDUP((ROW()-5)/3,0))+50&gt;IF(O458="Quantum",760,1220),"Width exceeds supplier maximum",IFERROR(AF458+AG458+N(AI458)+AH458*G458/1000/MAX(1,MIN(MAX(2,INT(900/INDEX('Laminates- copilot'!$E$6:$E$257,ROUNDUP((ROW()-5)/3,0)))),INT((IF(O458="Quantum",760,1220)-50)/INDEX('Laminates- copilot'!$E$6:$E$257,ROUNDUP((ROW()-5)/3,0))))),"Data is missing"))</f>
        <v>3.7001545887986473E-2</v>
      </c>
      <c r="AK458" s="203">
        <f t="shared" si="125"/>
        <v>49.335394517315301</v>
      </c>
      <c r="AL458" t="str">
        <f t="shared" si="126"/>
        <v>PASS</v>
      </c>
      <c r="AM458" s="50" t="str">
        <f t="shared" si="127"/>
        <v/>
      </c>
    </row>
    <row r="459" spans="1:39" hidden="1">
      <c r="A459" t="s">
        <v>2087</v>
      </c>
      <c r="B459" t="s">
        <v>251</v>
      </c>
      <c r="C459" s="50" t="s">
        <v>2204</v>
      </c>
      <c r="D459">
        <f>'Laminates- copilot'!B157</f>
        <v>919</v>
      </c>
      <c r="E459" s="858">
        <f>'Laminates- copilot'!D157</f>
        <v>121</v>
      </c>
      <c r="F459" s="858">
        <v>150</v>
      </c>
      <c r="G459" s="858">
        <v>150</v>
      </c>
      <c r="H459" s="858">
        <v>25</v>
      </c>
      <c r="I459" s="858">
        <v>0</v>
      </c>
      <c r="J459" s="858">
        <v>350</v>
      </c>
      <c r="K459" s="858">
        <v>25000</v>
      </c>
      <c r="L459" s="858" t="str">
        <f>'Laminates- copilot'!K157</f>
        <v>Printed</v>
      </c>
      <c r="M459" s="858" t="str">
        <f>'Laminates- copilot'!L157</f>
        <v>1-2</v>
      </c>
      <c r="N459" s="858">
        <f>'Laminates- copilot'!M157</f>
        <v>1</v>
      </c>
      <c r="O459" s="858" t="str">
        <f>'Laminates- copilot'!O157</f>
        <v>Bastin</v>
      </c>
      <c r="P459" s="858" t="str">
        <f>'Laminates- copilot'!N157</f>
        <v>Europe to US</v>
      </c>
      <c r="Q459" s="858">
        <f t="shared" si="112"/>
        <v>3750</v>
      </c>
      <c r="R459" s="858">
        <f t="shared" si="113"/>
        <v>3750</v>
      </c>
      <c r="S459" s="858">
        <f>IFERROR('Laminates- copilot'!Q157/'Laminates- copilot'!P157*Q459,"")</f>
        <v>50.566500000000012</v>
      </c>
      <c r="T459" s="203">
        <f>IFERROR('Laminates- copilot'!R157/'Laminates- copilot'!P157*Q459,"")</f>
        <v>11515.02113358482</v>
      </c>
      <c r="U459" s="912">
        <f>IFERROR('Laminates- copilot'!S157/'Laminates- copilot'!P157*Q459,"")</f>
        <v>13357.424514958391</v>
      </c>
      <c r="V459" s="913">
        <f t="shared" si="114"/>
        <v>227.72035109380354</v>
      </c>
      <c r="W459" s="914">
        <f t="shared" si="115"/>
        <v>264.1556072688121</v>
      </c>
      <c r="X459" s="913">
        <f t="shared" si="116"/>
        <v>3.0706723022892852</v>
      </c>
      <c r="Y459" s="913">
        <f t="shared" si="117"/>
        <v>227.72035109380354</v>
      </c>
      <c r="Z459" s="95">
        <f t="shared" si="118"/>
        <v>247200</v>
      </c>
      <c r="AA459" s="50" t="str">
        <f t="shared" si="119"/>
        <v>Below MOQ by 222,200 bags</v>
      </c>
      <c r="AB459" s="923">
        <f t="shared" si="120"/>
        <v>0.29076642482654763</v>
      </c>
      <c r="AC459" s="924">
        <f t="shared" si="121"/>
        <v>0.33728905279879523</v>
      </c>
      <c r="AD459" s="203">
        <f t="shared" si="122"/>
        <v>7269.1606206636907</v>
      </c>
      <c r="AE459" s="912">
        <f t="shared" si="123"/>
        <v>8432.2263199698809</v>
      </c>
      <c r="AF459" s="923" cm="1">
        <f t="array" ref="AF459">IF(O459="Quantum",IFERROR(_xlfn.LET(_xlpm.b,_xlfn.SWITCH(LOWER(B459),"zipper bag","Zipper pouch","open bag","Open pouch","sup with zipper","Stand-up pouch","stand-up pouch","Stand-up pouch",B459),_xlpm.w,G459,_xlpm.q,K459,_xlpm.types,'Converting-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missing"),IFERROR(_xlfn.LET(_xlpm.s,O459,_xlpm.b,_xlfn.SWITCH(LOWER(B459),"zipper bag","Zipper pouch","open bag","Open pouch",B459),_xlpm.w,G459,_xlpm.q,K459,_xlpm.src,'Converting-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459" s="923">
        <f>IFERROR(IF(OR(B459="Zipper pouch",B459="SUP with zipper"),HELPER!$DE$2*(AH459+AI459)/K459,HELPER!$DE$2*AH459/K459),"Data is missing")</f>
        <v>7.4214535254942843E-2</v>
      </c>
      <c r="AH459" s="923">
        <f t="shared" si="124"/>
        <v>3.0706723022892852</v>
      </c>
      <c r="AI459" s="923">
        <f>IF(OR(B459="Zipper pouch",B459="SUP with zipper"),HELPER!$DC$2*G459/1000,"")</f>
        <v>2.1599999999999998E-2</v>
      </c>
      <c r="AJ459" s="923" cm="1">
        <f t="array" ref="AJ459">IF(INDEX('Laminates- copilot'!$E$6:$E$257,ROUNDUP((ROW()-5)/3,0))+50&gt;IF(O459="Quantum",760,1220),"Width exceeds supplier maximum",IFERROR(AF459+AG459+N(AI459)+AH459*G459/1000/MAX(1,MIN(MAX(2,INT(900/INDEX('Laminates- copilot'!$E$6:$E$257,ROUNDUP((ROW()-5)/3,0)))),INT((IF(O459="Quantum",760,1220)-50)/INDEX('Laminates- copilot'!$E$6:$E$257,ROUNDUP((ROW()-5)/3,0))))),"Data is missing"))</f>
        <v>0.21807481861991071</v>
      </c>
      <c r="AK459" s="203">
        <f t="shared" si="125"/>
        <v>290.76642482654762</v>
      </c>
      <c r="AL459" t="str">
        <f t="shared" si="126"/>
        <v>PASS</v>
      </c>
      <c r="AM459" s="50" t="str">
        <f t="shared" si="127"/>
        <v/>
      </c>
    </row>
    <row r="460" spans="1:39" hidden="1">
      <c r="A460" t="s">
        <v>2088</v>
      </c>
      <c r="B460" t="s">
        <v>261</v>
      </c>
      <c r="C460" s="50" t="s">
        <v>2204</v>
      </c>
      <c r="D460">
        <f>'Laminates- copilot'!B157</f>
        <v>919</v>
      </c>
      <c r="E460" s="858">
        <f>'Laminates- copilot'!D157</f>
        <v>121</v>
      </c>
      <c r="F460" s="858">
        <v>150</v>
      </c>
      <c r="G460" s="858">
        <v>150</v>
      </c>
      <c r="H460" s="858">
        <v>25</v>
      </c>
      <c r="I460" s="858">
        <v>0</v>
      </c>
      <c r="J460" s="858">
        <v>350</v>
      </c>
      <c r="K460" s="858">
        <v>25000</v>
      </c>
      <c r="L460" s="858" t="str">
        <f>'Laminates- copilot'!K157</f>
        <v>Printed</v>
      </c>
      <c r="M460" s="858" t="str">
        <f>'Laminates- copilot'!L157</f>
        <v>1-2</v>
      </c>
      <c r="N460" s="858">
        <f>'Laminates- copilot'!M157</f>
        <v>1</v>
      </c>
      <c r="O460" s="858" t="str">
        <f>'Laminates- copilot'!O157</f>
        <v>Bastin</v>
      </c>
      <c r="P460" s="858" t="str">
        <f>'Laminates- copilot'!N157</f>
        <v>Europe to US</v>
      </c>
      <c r="Q460" s="858">
        <f t="shared" si="112"/>
        <v>3750</v>
      </c>
      <c r="R460" s="858">
        <f t="shared" si="113"/>
        <v>3750</v>
      </c>
      <c r="S460" s="858">
        <f>IFERROR('Laminates- copilot'!Q157/'Laminates- copilot'!P157*Q460,"")</f>
        <v>50.566500000000012</v>
      </c>
      <c r="T460" s="203">
        <f>IFERROR('Laminates- copilot'!R157/'Laminates- copilot'!P157*Q460,"")</f>
        <v>11515.02113358482</v>
      </c>
      <c r="U460" s="912">
        <f>IFERROR('Laminates- copilot'!S157/'Laminates- copilot'!P157*Q460,"")</f>
        <v>13357.424514958391</v>
      </c>
      <c r="V460" s="913">
        <f t="shared" si="114"/>
        <v>227.72035109380354</v>
      </c>
      <c r="W460" s="914">
        <f t="shared" si="115"/>
        <v>264.1556072688121</v>
      </c>
      <c r="X460" s="913">
        <f t="shared" si="116"/>
        <v>3.0706723022892852</v>
      </c>
      <c r="Y460" s="913">
        <f t="shared" si="117"/>
        <v>227.72035109380354</v>
      </c>
      <c r="Z460" s="95">
        <f t="shared" si="118"/>
        <v>247200</v>
      </c>
      <c r="AA460" s="50" t="str">
        <f t="shared" si="119"/>
        <v>Below MOQ by 222,200 bags</v>
      </c>
      <c r="AB460" s="923">
        <f t="shared" si="120"/>
        <v>0.28560101462699106</v>
      </c>
      <c r="AC460" s="924">
        <f t="shared" si="121"/>
        <v>0.33129717696730959</v>
      </c>
      <c r="AD460" s="203">
        <f t="shared" si="122"/>
        <v>7140.0253656747764</v>
      </c>
      <c r="AE460" s="912">
        <f t="shared" si="123"/>
        <v>8282.4294241827392</v>
      </c>
      <c r="AF460" s="923" cm="1">
        <f t="array" ref="AF460">IF(O460="Quantum",IFERROR(_xlfn.LET(_xlpm.b,_xlfn.SWITCH(LOWER(B460),"zipper bag","Zipper pouch","open bag","Open pouch","sup with zipper","Stand-up pouch","stand-up pouch","Stand-up pouch",B460),_xlpm.w,G460,_xlpm.q,K460,_xlpm.types,'Converting-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missing"),IFERROR(_xlfn.LET(_xlpm.s,O460,_xlpm.b,_xlfn.SWITCH(LOWER(B460),"zipper bag","Zipper pouch","open bag","Open pouch",B460),_xlpm.w,G460,_xlpm.q,K460,_xlpm.src,'Converting-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60" s="923">
        <f>IFERROR(IF(OR(B460="Zipper pouch",B460="SUP with zipper"),HELPER!$DE$2*(AH460+AI460)/K460,HELPER!$DE$2*AH460/K460),"Data is missing")</f>
        <v>7.4214535254942843E-2</v>
      </c>
      <c r="AH460" s="923">
        <f t="shared" si="124"/>
        <v>3.0706723022892852</v>
      </c>
      <c r="AI460" s="923">
        <f>IF(OR(B460="Zipper pouch",B460="SUP with zipper"),HELPER!$DC$2*G460/1000,"")</f>
        <v>2.1599999999999998E-2</v>
      </c>
      <c r="AJ460" s="923" cm="1">
        <f t="array" ref="AJ460">IF(INDEX('Laminates- copilot'!$E$6:$E$257,ROUNDUP((ROW()-5)/3,0))+50&gt;IF(O460="Quantum",760,1220),"Width exceeds supplier maximum",IFERROR(AF460+AG460+N(AI460)+AH460*G460/1000/MAX(1,MIN(MAX(2,INT(900/INDEX('Laminates- copilot'!$E$6:$E$257,ROUNDUP((ROW()-5)/3,0)))),INT((IF(O460="Quantum",760,1220)-50)/INDEX('Laminates- copilot'!$E$6:$E$257,ROUNDUP((ROW()-5)/3,0))))),"Data is missing"))</f>
        <v>0.21420076097024329</v>
      </c>
      <c r="AK460" s="203">
        <f t="shared" si="125"/>
        <v>285.60101462699106</v>
      </c>
      <c r="AL460" t="str">
        <f t="shared" si="126"/>
        <v>PASS</v>
      </c>
      <c r="AM460" s="50" t="str">
        <f t="shared" si="127"/>
        <v/>
      </c>
    </row>
    <row r="461" spans="1:39" hidden="1">
      <c r="A461" t="s">
        <v>2089</v>
      </c>
      <c r="B461" t="s">
        <v>262</v>
      </c>
      <c r="C461" s="50" t="s">
        <v>2204</v>
      </c>
      <c r="D461">
        <f>'Laminates- copilot'!B157</f>
        <v>919</v>
      </c>
      <c r="E461" s="858">
        <f>'Laminates- copilot'!D157</f>
        <v>121</v>
      </c>
      <c r="F461" s="858">
        <v>150</v>
      </c>
      <c r="G461" s="858">
        <v>150</v>
      </c>
      <c r="H461" s="858">
        <v>0</v>
      </c>
      <c r="I461" s="858">
        <v>0</v>
      </c>
      <c r="J461" s="858">
        <v>300</v>
      </c>
      <c r="K461" s="858">
        <v>25000</v>
      </c>
      <c r="L461" s="858" t="str">
        <f>'Laminates- copilot'!K157</f>
        <v>Printed</v>
      </c>
      <c r="M461" s="858" t="str">
        <f>'Laminates- copilot'!L157</f>
        <v>1-2</v>
      </c>
      <c r="N461" s="858">
        <f>'Laminates- copilot'!M157</f>
        <v>1</v>
      </c>
      <c r="O461" s="858" t="str">
        <f>'Laminates- copilot'!O157</f>
        <v>Bastin</v>
      </c>
      <c r="P461" s="858" t="str">
        <f>'Laminates- copilot'!N157</f>
        <v>Europe to US</v>
      </c>
      <c r="Q461" s="858">
        <f t="shared" si="112"/>
        <v>3750</v>
      </c>
      <c r="R461" s="858">
        <f t="shared" si="113"/>
        <v>3750</v>
      </c>
      <c r="S461" s="858">
        <f>IFERROR('Laminates- copilot'!Q157/'Laminates- copilot'!P157*Q461,"")</f>
        <v>50.566500000000012</v>
      </c>
      <c r="T461" s="203">
        <f>IFERROR('Laminates- copilot'!R157/'Laminates- copilot'!P157*Q461,"")</f>
        <v>11515.02113358482</v>
      </c>
      <c r="U461" s="912">
        <f>IFERROR('Laminates- copilot'!S157/'Laminates- copilot'!P157*Q461,"")</f>
        <v>13357.424514958391</v>
      </c>
      <c r="V461" s="913">
        <f t="shared" si="114"/>
        <v>227.72035109380354</v>
      </c>
      <c r="W461" s="914">
        <f t="shared" si="115"/>
        <v>264.1556072688121</v>
      </c>
      <c r="X461" s="913">
        <f t="shared" si="116"/>
        <v>3.0706723022892852</v>
      </c>
      <c r="Y461" s="913">
        <f t="shared" si="117"/>
        <v>227.72035109380354</v>
      </c>
      <c r="Z461" s="95">
        <f t="shared" si="118"/>
        <v>247200</v>
      </c>
      <c r="AA461" s="50" t="str">
        <f t="shared" si="119"/>
        <v>Below MOQ by 222,200 bags</v>
      </c>
      <c r="AB461" s="923">
        <f t="shared" si="120"/>
        <v>0.2502757757907349</v>
      </c>
      <c r="AC461" s="924">
        <f t="shared" si="121"/>
        <v>0.29031989991725249</v>
      </c>
      <c r="AD461" s="203">
        <f t="shared" si="122"/>
        <v>6256.8943947683729</v>
      </c>
      <c r="AE461" s="912">
        <f t="shared" si="123"/>
        <v>7257.997497931312</v>
      </c>
      <c r="AF461" s="923" cm="1">
        <f t="array" ref="AF461">IF(O461="Quantum",IFERROR(_xlfn.LET(_xlpm.b,_xlfn.SWITCH(LOWER(B461),"zipper bag","Zipper pouch","open bag","Open pouch","sup with zipper","Stand-up pouch","stand-up pouch","Stand-up pouch",B461),_xlpm.w,G461,_xlpm.q,K461,_xlpm.types,'Converting-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missing"),IFERROR(_xlfn.LET(_xlpm.s,O461,_xlpm.b,_xlfn.SWITCH(LOWER(B461),"zipper bag","Zipper pouch","open bag","Open pouch",B461),_xlpm.w,G461,_xlpm.q,K461,_xlpm.src,'Converting-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61" s="923">
        <f>IFERROR(IF(OR(B461="Zipper pouch",B461="SUP with zipper"),HELPER!$DE$2*(AH461+AI461)/K461,HELPER!$DE$2*AH461/K461),"Data is missing")</f>
        <v>7.3696135254942841E-2</v>
      </c>
      <c r="AH461" s="923">
        <f t="shared" si="124"/>
        <v>3.0706723022892852</v>
      </c>
      <c r="AI461" s="923" t="str">
        <f>IF(OR(B461="Zipper pouch",B461="SUP with zipper"),HELPER!$DC$2*G461/1000,"")</f>
        <v/>
      </c>
      <c r="AJ461" s="923" cm="1">
        <f t="array" ref="AJ461">IF(INDEX('Laminates- copilot'!$E$6:$E$257,ROUNDUP((ROW()-5)/3,0))+50&gt;IF(O461="Quantum",760,1220),"Width exceeds supplier maximum",IFERROR(AF461+AG461+N(AI461)+AH461*G461/1000/MAX(1,MIN(MAX(2,INT(900/INDEX('Laminates- copilot'!$E$6:$E$257,ROUNDUP((ROW()-5)/3,0)))),INT((IF(O461="Quantum",760,1220)-50)/INDEX('Laminates- copilot'!$E$6:$E$257,ROUNDUP((ROW()-5)/3,0))))),"Data is missing"))</f>
        <v>0.18770683184305118</v>
      </c>
      <c r="AK461" s="203">
        <f t="shared" si="125"/>
        <v>250.27577579073491</v>
      </c>
      <c r="AL461" t="str">
        <f t="shared" si="126"/>
        <v>PASS</v>
      </c>
      <c r="AM461" s="50" t="str">
        <f t="shared" si="127"/>
        <v/>
      </c>
    </row>
    <row r="462" spans="1:39" hidden="1">
      <c r="A462" t="s">
        <v>2090</v>
      </c>
      <c r="B462" t="s">
        <v>251</v>
      </c>
      <c r="C462" s="50" t="s">
        <v>2205</v>
      </c>
      <c r="D462">
        <f>'Laminates- copilot'!B158</f>
        <v>919</v>
      </c>
      <c r="E462" s="858">
        <f>'Laminates- copilot'!D158</f>
        <v>121</v>
      </c>
      <c r="F462" s="858">
        <v>250</v>
      </c>
      <c r="G462" s="858">
        <v>200</v>
      </c>
      <c r="H462" s="858">
        <v>40</v>
      </c>
      <c r="I462" s="858">
        <v>0</v>
      </c>
      <c r="J462" s="858">
        <v>580</v>
      </c>
      <c r="K462" s="858">
        <v>50000</v>
      </c>
      <c r="L462" s="858" t="str">
        <f>'Laminates- copilot'!K158</f>
        <v>Printed</v>
      </c>
      <c r="M462" s="858" t="str">
        <f>'Laminates- copilot'!L158</f>
        <v>3-4</v>
      </c>
      <c r="N462" s="858">
        <f>'Laminates- copilot'!M158</f>
        <v>4</v>
      </c>
      <c r="O462" s="858" t="str">
        <f>'Laminates- copilot'!O158</f>
        <v>Quantum</v>
      </c>
      <c r="P462" s="858" t="str">
        <f>'Laminates- copilot'!N158</f>
        <v>Europe to Europe</v>
      </c>
      <c r="Q462" s="858">
        <f t="shared" si="112"/>
        <v>10000</v>
      </c>
      <c r="R462" s="858">
        <f t="shared" si="113"/>
        <v>10000</v>
      </c>
      <c r="S462" s="858">
        <f>IFERROR('Laminates- copilot'!Q158/'Laminates- copilot'!P158*Q462,"")</f>
        <v>393.29500000000002</v>
      </c>
      <c r="T462" s="203">
        <f>IFERROR('Laminates- copilot'!R158/'Laminates- copilot'!P158*Q462,"")</f>
        <v>7233.3652021548469</v>
      </c>
      <c r="U462" s="912">
        <f>IFERROR('Laminates- copilot'!S158/'Laminates- copilot'!P158*Q462,"")</f>
        <v>8390.7036344996213</v>
      </c>
      <c r="V462" s="913">
        <f t="shared" si="114"/>
        <v>18.39170394272708</v>
      </c>
      <c r="W462" s="914">
        <f t="shared" si="115"/>
        <v>21.334376573563411</v>
      </c>
      <c r="X462" s="913">
        <f t="shared" si="116"/>
        <v>0.72333652021548467</v>
      </c>
      <c r="Y462" s="913">
        <f t="shared" si="117"/>
        <v>18.39170394272708</v>
      </c>
      <c r="Z462" s="95">
        <f t="shared" si="118"/>
        <v>63566</v>
      </c>
      <c r="AA462" s="50" t="str">
        <f t="shared" si="119"/>
        <v>Below MOQ by 13,566 bags</v>
      </c>
      <c r="AB462" s="923">
        <f t="shared" si="120"/>
        <v>0.30257651359753163</v>
      </c>
      <c r="AC462" s="924">
        <f t="shared" si="121"/>
        <v>0.35098875577313665</v>
      </c>
      <c r="AD462" s="203">
        <f t="shared" si="122"/>
        <v>15128.825679876581</v>
      </c>
      <c r="AE462" s="912">
        <f t="shared" si="123"/>
        <v>17549.437788656833</v>
      </c>
      <c r="AF462" s="923" cm="1">
        <f t="array" ref="AF462">IF(O462="Quantum",IFERROR(_xlfn.LET(_xlpm.b,_xlfn.SWITCH(LOWER(B462),"zipper bag","Zipper pouch","open bag","Open pouch","sup with zipper","Stand-up pouch","stand-up pouch","Stand-up pouch",B462),_xlpm.w,G462,_xlpm.q,K462,_xlpm.types,'Converting-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missing"),IFERROR(_xlfn.LET(_xlpm.s,O462,_xlpm.b,_xlfn.SWITCH(LOWER(B462),"zipper bag","Zipper pouch","open bag","Open pouch",B462),_xlpm.w,G462,_xlpm.q,K462,_xlpm.src,'Converting-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462" s="923">
        <f>IFERROR(IF(OR(B462="Zipper pouch",B462="SUP with zipper"),HELPER!$DE$2*(AH462+AI462)/K462,HELPER!$DE$2*AH462/K462),"Data is missing")</f>
        <v>9.0256382425858168E-3</v>
      </c>
      <c r="AH462" s="923">
        <f t="shared" si="124"/>
        <v>0.72333652021548467</v>
      </c>
      <c r="AI462" s="923">
        <f>IF(OR(B462="Zipper pouch",B462="SUP with zipper"),HELPER!$DC$2*G462/1000,"")</f>
        <v>2.8799999999999996E-2</v>
      </c>
      <c r="AJ462" s="923" cm="1">
        <f t="array" ref="AJ462">IF(INDEX('Laminates- copilot'!$E$6:$E$257,ROUNDUP((ROW()-5)/3,0))+50&gt;IF(O462="Quantum",760,1220),"Width exceeds supplier maximum",IFERROR(AF462+AG462+N(AI462)+AH462*G462/1000/MAX(1,MIN(MAX(2,INT(900/INDEX('Laminates- copilot'!$E$6:$E$257,ROUNDUP((ROW()-5)/3,0)))),INT((IF(O462="Quantum",760,1220)-50)/INDEX('Laminates- copilot'!$E$6:$E$257,ROUNDUP((ROW()-5)/3,0))))),"Data is missing"))</f>
        <v>0.22693238519814873</v>
      </c>
      <c r="AK462" s="203">
        <f t="shared" si="125"/>
        <v>302.57651359753163</v>
      </c>
      <c r="AL462" t="str">
        <f t="shared" si="126"/>
        <v>PASS</v>
      </c>
      <c r="AM462" s="50" t="str">
        <f t="shared" si="127"/>
        <v/>
      </c>
    </row>
    <row r="463" spans="1:39" hidden="1">
      <c r="A463" t="s">
        <v>2091</v>
      </c>
      <c r="B463" t="s">
        <v>261</v>
      </c>
      <c r="C463" s="50" t="s">
        <v>2205</v>
      </c>
      <c r="D463">
        <f>'Laminates- copilot'!B158</f>
        <v>919</v>
      </c>
      <c r="E463" s="858">
        <f>'Laminates- copilot'!D158</f>
        <v>121</v>
      </c>
      <c r="F463" s="858">
        <v>250</v>
      </c>
      <c r="G463" s="858">
        <v>200</v>
      </c>
      <c r="H463" s="858">
        <v>40</v>
      </c>
      <c r="I463" s="858">
        <v>0</v>
      </c>
      <c r="J463" s="858">
        <v>580</v>
      </c>
      <c r="K463" s="858">
        <v>50000</v>
      </c>
      <c r="L463" s="858" t="str">
        <f>'Laminates- copilot'!K158</f>
        <v>Printed</v>
      </c>
      <c r="M463" s="858" t="str">
        <f>'Laminates- copilot'!L158</f>
        <v>3-4</v>
      </c>
      <c r="N463" s="858">
        <f>'Laminates- copilot'!M158</f>
        <v>4</v>
      </c>
      <c r="O463" s="858" t="str">
        <f>'Laminates- copilot'!O158</f>
        <v>Quantum</v>
      </c>
      <c r="P463" s="858" t="str">
        <f>'Laminates- copilot'!N158</f>
        <v>Europe to Europe</v>
      </c>
      <c r="Q463" s="858">
        <f t="shared" si="112"/>
        <v>10000</v>
      </c>
      <c r="R463" s="858">
        <f t="shared" si="113"/>
        <v>10000</v>
      </c>
      <c r="S463" s="858">
        <f>IFERROR('Laminates- copilot'!Q158/'Laminates- copilot'!P158*Q463,"")</f>
        <v>393.29500000000002</v>
      </c>
      <c r="T463" s="203">
        <f>IFERROR('Laminates- copilot'!R158/'Laminates- copilot'!P158*Q463,"")</f>
        <v>7233.3652021548469</v>
      </c>
      <c r="U463" s="912">
        <f>IFERROR('Laminates- copilot'!S158/'Laminates- copilot'!P158*Q463,"")</f>
        <v>8390.7036344996213</v>
      </c>
      <c r="V463" s="913">
        <f t="shared" si="114"/>
        <v>18.39170394272708</v>
      </c>
      <c r="W463" s="914">
        <f t="shared" si="115"/>
        <v>21.334376573563411</v>
      </c>
      <c r="X463" s="913">
        <f t="shared" si="116"/>
        <v>0.72333652021548467</v>
      </c>
      <c r="Y463" s="913">
        <f t="shared" si="117"/>
        <v>18.39170394272708</v>
      </c>
      <c r="Z463" s="95">
        <f t="shared" si="118"/>
        <v>63566</v>
      </c>
      <c r="AA463" s="50" t="str">
        <f t="shared" si="119"/>
        <v>Below MOQ by 13,566 bags</v>
      </c>
      <c r="AB463" s="923">
        <f t="shared" si="120"/>
        <v>0.28680936287933795</v>
      </c>
      <c r="AC463" s="924">
        <f t="shared" si="121"/>
        <v>0.33269886094003198</v>
      </c>
      <c r="AD463" s="203">
        <f t="shared" si="122"/>
        <v>14340.468143966897</v>
      </c>
      <c r="AE463" s="912">
        <f t="shared" si="123"/>
        <v>16634.943047001598</v>
      </c>
      <c r="AF463" s="923" cm="1">
        <f t="array" ref="AF463">IF(O463="Quantum",IFERROR(_xlfn.LET(_xlpm.b,_xlfn.SWITCH(LOWER(B463),"zipper bag","Zipper pouch","open bag","Open pouch","sup with zipper","Stand-up pouch","stand-up pouch","Stand-up pouch",B463),_xlpm.w,G463,_xlpm.q,K463,_xlpm.types,'Converting-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missing"),IFERROR(_xlfn.LET(_xlpm.s,O463,_xlpm.b,_xlfn.SWITCH(LOWER(B463),"zipper bag","Zipper pouch","open bag","Open pouch",B463),_xlpm.w,G463,_xlpm.q,K463,_xlpm.src,'Converting-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463" s="923">
        <f>IFERROR(IF(OR(B463="Zipper pouch",B463="SUP with zipper"),HELPER!$DE$2*(AH463+AI463)/K463,HELPER!$DE$2*AH463/K463),"Data is missing")</f>
        <v>9.0256382425858168E-3</v>
      </c>
      <c r="AH463" s="923">
        <f t="shared" si="124"/>
        <v>0.72333652021548467</v>
      </c>
      <c r="AI463" s="923">
        <f>IF(OR(B463="Zipper pouch",B463="SUP with zipper"),HELPER!$DC$2*G463/1000,"")</f>
        <v>2.8799999999999996E-2</v>
      </c>
      <c r="AJ463" s="923" cm="1">
        <f t="array" ref="AJ463">IF(INDEX('Laminates- copilot'!$E$6:$E$257,ROUNDUP((ROW()-5)/3,0))+50&gt;IF(O463="Quantum",760,1220),"Width exceeds supplier maximum",IFERROR(AF463+AG463+N(AI463)+AH463*G463/1000/MAX(1,MIN(MAX(2,INT(900/INDEX('Laminates- copilot'!$E$6:$E$257,ROUNDUP((ROW()-5)/3,0)))),INT((IF(O463="Quantum",760,1220)-50)/INDEX('Laminates- copilot'!$E$6:$E$257,ROUNDUP((ROW()-5)/3,0))))),"Data is missing"))</f>
        <v>0.21510702215950345</v>
      </c>
      <c r="AK463" s="203">
        <f t="shared" si="125"/>
        <v>286.80936287933793</v>
      </c>
      <c r="AL463" t="str">
        <f t="shared" si="126"/>
        <v>PASS</v>
      </c>
      <c r="AM463" s="50" t="str">
        <f t="shared" si="127"/>
        <v/>
      </c>
    </row>
    <row r="464" spans="1:39" hidden="1">
      <c r="A464" t="s">
        <v>2092</v>
      </c>
      <c r="B464" t="s">
        <v>262</v>
      </c>
      <c r="C464" s="50" t="s">
        <v>2205</v>
      </c>
      <c r="D464">
        <f>'Laminates- copilot'!B158</f>
        <v>919</v>
      </c>
      <c r="E464" s="858">
        <f>'Laminates- copilot'!D158</f>
        <v>121</v>
      </c>
      <c r="F464" s="858">
        <v>250</v>
      </c>
      <c r="G464" s="858">
        <v>200</v>
      </c>
      <c r="H464" s="858">
        <v>0</v>
      </c>
      <c r="I464" s="858">
        <v>0</v>
      </c>
      <c r="J464" s="858">
        <v>500</v>
      </c>
      <c r="K464" s="858">
        <v>50000</v>
      </c>
      <c r="L464" s="858" t="str">
        <f>'Laminates- copilot'!K158</f>
        <v>Printed</v>
      </c>
      <c r="M464" s="858" t="str">
        <f>'Laminates- copilot'!L158</f>
        <v>3-4</v>
      </c>
      <c r="N464" s="858">
        <f>'Laminates- copilot'!M158</f>
        <v>4</v>
      </c>
      <c r="O464" s="858" t="str">
        <f>'Laminates- copilot'!O158</f>
        <v>Quantum</v>
      </c>
      <c r="P464" s="858" t="str">
        <f>'Laminates- copilot'!N158</f>
        <v>Europe to Europe</v>
      </c>
      <c r="Q464" s="858">
        <f t="shared" si="112"/>
        <v>10000</v>
      </c>
      <c r="R464" s="858">
        <f t="shared" si="113"/>
        <v>10000</v>
      </c>
      <c r="S464" s="858">
        <f>IFERROR('Laminates- copilot'!Q158/'Laminates- copilot'!P158*Q464,"")</f>
        <v>393.29500000000002</v>
      </c>
      <c r="T464" s="203">
        <f>IFERROR('Laminates- copilot'!R158/'Laminates- copilot'!P158*Q464,"")</f>
        <v>7233.3652021548469</v>
      </c>
      <c r="U464" s="912">
        <f>IFERROR('Laminates- copilot'!S158/'Laminates- copilot'!P158*Q464,"")</f>
        <v>8390.7036344996213</v>
      </c>
      <c r="V464" s="913">
        <f t="shared" si="114"/>
        <v>18.39170394272708</v>
      </c>
      <c r="W464" s="914">
        <f t="shared" si="115"/>
        <v>21.334376573563411</v>
      </c>
      <c r="X464" s="913">
        <f t="shared" si="116"/>
        <v>0.72333652021548467</v>
      </c>
      <c r="Y464" s="913">
        <f t="shared" si="117"/>
        <v>18.39170394272708</v>
      </c>
      <c r="Z464" s="95">
        <f t="shared" si="118"/>
        <v>63566</v>
      </c>
      <c r="AA464" s="50" t="str">
        <f t="shared" si="119"/>
        <v>Below MOQ by 13,566 bags</v>
      </c>
      <c r="AB464" s="923">
        <f t="shared" si="120"/>
        <v>0.23073714115535768</v>
      </c>
      <c r="AC464" s="924">
        <f t="shared" si="121"/>
        <v>0.26765508374021491</v>
      </c>
      <c r="AD464" s="203">
        <f t="shared" si="122"/>
        <v>11536.857057767884</v>
      </c>
      <c r="AE464" s="912">
        <f t="shared" si="123"/>
        <v>13382.754187010743</v>
      </c>
      <c r="AF464" s="923" cm="1">
        <f t="array" ref="AF464">IF(O464="Quantum",IFERROR(_xlfn.LET(_xlpm.b,_xlfn.SWITCH(LOWER(B464),"zipper bag","Zipper pouch","open bag","Open pouch","sup with zipper","Stand-up pouch","stand-up pouch","Stand-up pouch",B464),_xlpm.w,G464,_xlpm.q,K464,_xlpm.types,'Converting-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missing"),IFERROR(_xlfn.LET(_xlpm.s,O464,_xlpm.b,_xlfn.SWITCH(LOWER(B464),"zipper bag","Zipper pouch","open bag","Open pouch",B464),_xlpm.w,G464,_xlpm.q,K464,_xlpm.src,'Converting-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464" s="923">
        <f>IFERROR(IF(OR(B464="Zipper pouch",B464="SUP with zipper"),HELPER!$DE$2*(AH464+AI464)/K464,HELPER!$DE$2*AH464/K464),"Data is missing")</f>
        <v>8.680038242585817E-3</v>
      </c>
      <c r="AH464" s="923">
        <f t="shared" si="124"/>
        <v>0.72333652021548467</v>
      </c>
      <c r="AI464" s="923" t="str">
        <f>IF(OR(B464="Zipper pouch",B464="SUP with zipper"),HELPER!$DC$2*G464/1000,"")</f>
        <v/>
      </c>
      <c r="AJ464" s="923" cm="1">
        <f t="array" ref="AJ464">IF(INDEX('Laminates- copilot'!$E$6:$E$257,ROUNDUP((ROW()-5)/3,0))+50&gt;IF(O464="Quantum",760,1220),"Width exceeds supplier maximum",IFERROR(AF464+AG464+N(AI464)+AH464*G464/1000/MAX(1,MIN(MAX(2,INT(900/INDEX('Laminates- copilot'!$E$6:$E$257,ROUNDUP((ROW()-5)/3,0)))),INT((IF(O464="Quantum",760,1220)-50)/INDEX('Laminates- copilot'!$E$6:$E$257,ROUNDUP((ROW()-5)/3,0))))),"Data is missing"))</f>
        <v>0.17305285586651825</v>
      </c>
      <c r="AK464" s="203">
        <f t="shared" si="125"/>
        <v>230.73714115535768</v>
      </c>
      <c r="AL464" t="str">
        <f t="shared" si="126"/>
        <v>PASS</v>
      </c>
      <c r="AM464" s="50" t="str">
        <f t="shared" si="127"/>
        <v/>
      </c>
    </row>
    <row r="465" spans="1:39">
      <c r="A465" t="s">
        <v>2093</v>
      </c>
      <c r="B465" t="s">
        <v>251</v>
      </c>
      <c r="C465" s="50" t="s">
        <v>2206</v>
      </c>
      <c r="D465">
        <f>'Laminates- copilot'!B159</f>
        <v>919</v>
      </c>
      <c r="E465" s="858">
        <f>'Laminates- copilot'!D159</f>
        <v>121</v>
      </c>
      <c r="F465" s="858">
        <v>300</v>
      </c>
      <c r="G465" s="858">
        <v>300</v>
      </c>
      <c r="H465" s="858">
        <v>50</v>
      </c>
      <c r="I465" s="858">
        <v>0</v>
      </c>
      <c r="J465" s="858">
        <v>700</v>
      </c>
      <c r="K465" s="858">
        <v>50000</v>
      </c>
      <c r="L465" s="858" t="str">
        <f>'Laminates- copilot'!K159</f>
        <v>Printed</v>
      </c>
      <c r="M465" s="858" t="str">
        <f>'Laminates- copilot'!L159</f>
        <v>5-8</v>
      </c>
      <c r="N465" s="858">
        <f>'Laminates- copilot'!M159</f>
        <v>8</v>
      </c>
      <c r="O465" s="858" t="str">
        <f>'Laminates- copilot'!O159</f>
        <v>Marma</v>
      </c>
      <c r="P465" s="858" t="str">
        <f>'Laminates- copilot'!N159</f>
        <v>Europe to US</v>
      </c>
      <c r="Q465" s="858">
        <f t="shared" si="112"/>
        <v>15000</v>
      </c>
      <c r="R465" s="858">
        <f t="shared" si="113"/>
        <v>15000</v>
      </c>
      <c r="S465" s="858">
        <f>IFERROR('Laminates- copilot'!Q159/'Laminates- copilot'!P159*Q465,"")</f>
        <v>1516.9950000000001</v>
      </c>
      <c r="T465" s="203">
        <f>IFERROR('Laminates- copilot'!R159/'Laminates- copilot'!P159*Q465,"")</f>
        <v>21349.392394201393</v>
      </c>
      <c r="U465" s="912">
        <f>IFERROR('Laminates- copilot'!S159/'Laminates- copilot'!P159*Q465,"")</f>
        <v>24765.295177273612</v>
      </c>
      <c r="V465" s="913">
        <f t="shared" si="114"/>
        <v>14.07347578218873</v>
      </c>
      <c r="W465" s="914">
        <f t="shared" si="115"/>
        <v>16.325231907338924</v>
      </c>
      <c r="X465" s="913">
        <f t="shared" si="116"/>
        <v>1.4232928262800928</v>
      </c>
      <c r="Y465" s="913">
        <f t="shared" si="117"/>
        <v>14.07347578218873</v>
      </c>
      <c r="Z465" s="95">
        <f t="shared" si="118"/>
        <v>16480</v>
      </c>
      <c r="AA465" s="50" t="str">
        <f t="shared" si="119"/>
        <v>MOQ OK</v>
      </c>
      <c r="AB465" s="923">
        <f t="shared" si="120"/>
        <v>0.72703588581063106</v>
      </c>
      <c r="AC465" s="924">
        <f t="shared" si="121"/>
        <v>0.84336162754033195</v>
      </c>
      <c r="AD465" s="203">
        <f t="shared" si="122"/>
        <v>36351.79429053155</v>
      </c>
      <c r="AE465" s="912">
        <f t="shared" si="123"/>
        <v>42168.081377016599</v>
      </c>
      <c r="AF465" s="923" cm="1">
        <f t="array" ref="AF465">IF(O465="Quantum",IFERROR(_xlfn.LET(_xlpm.b,_xlfn.SWITCH(LOWER(B465),"zipper bag","Zipper pouch","open bag","Open pouch","sup with zipper","Stand-up pouch","stand-up pouch","Stand-up pouch",B465),_xlpm.w,G465,_xlpm.q,K465,_xlpm.types,'Converting-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missing"),IFERROR(_xlfn.LET(_xlpm.s,O465,_xlpm.b,_xlfn.SWITCH(LOWER(B465),"zipper bag","Zipper pouch","open bag","Open pouch",B465),_xlpm.w,G465,_xlpm.q,K465,_xlpm.src,'Converting-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65" s="923">
        <f>IFERROR(IF(OR(B465="Zipper pouch",B465="SUP with zipper"),HELPER!$DE$2*(AH465+AI465)/K465,HELPER!$DE$2*AH465/K465),"Data is missing")</f>
        <v>1.7597913915361113E-2</v>
      </c>
      <c r="AH465" s="923">
        <f t="shared" si="124"/>
        <v>1.4232928262800928</v>
      </c>
      <c r="AI465" s="923">
        <f>IF(OR(B465="Zipper pouch",B465="SUP with zipper"),HELPER!$DC$2*G465/1000,"")</f>
        <v>4.3199999999999995E-2</v>
      </c>
      <c r="AJ465" s="923" cm="1">
        <f t="array" ref="AJ465">IF(INDEX('Laminates- copilot'!$E$6:$E$257,ROUNDUP((ROW()-5)/3,0))+50&gt;IF(O465="Quantum",760,1220),"Width exceeds supplier maximum",IFERROR(AF465+AG465+N(AI465)+AH465*G465/1000/MAX(1,MIN(MAX(2,INT(900/INDEX('Laminates- copilot'!$E$6:$E$257,ROUNDUP((ROW()-5)/3,0)))),INT((IF(O465="Quantum",760,1220)-50)/INDEX('Laminates- copilot'!$E$6:$E$257,ROUNDUP((ROW()-5)/3,0))))),"Data is missing"))</f>
        <v>0.54527691435797332</v>
      </c>
      <c r="AK465" s="203">
        <f t="shared" si="125"/>
        <v>727.03588581063104</v>
      </c>
      <c r="AL465" t="str">
        <f t="shared" si="126"/>
        <v>PASS</v>
      </c>
      <c r="AM465" s="50" t="str">
        <f t="shared" si="127"/>
        <v/>
      </c>
    </row>
    <row r="466" spans="1:39">
      <c r="A466" t="s">
        <v>2094</v>
      </c>
      <c r="B466" t="s">
        <v>261</v>
      </c>
      <c r="C466" s="50" t="s">
        <v>2206</v>
      </c>
      <c r="D466">
        <f>'Laminates- copilot'!B159</f>
        <v>919</v>
      </c>
      <c r="E466" s="858">
        <f>'Laminates- copilot'!D159</f>
        <v>121</v>
      </c>
      <c r="F466" s="858">
        <v>300</v>
      </c>
      <c r="G466" s="858">
        <v>300</v>
      </c>
      <c r="H466" s="858">
        <v>50</v>
      </c>
      <c r="I466" s="858">
        <v>0</v>
      </c>
      <c r="J466" s="858">
        <v>700</v>
      </c>
      <c r="K466" s="858">
        <v>50000</v>
      </c>
      <c r="L466" s="858" t="str">
        <f>'Laminates- copilot'!K159</f>
        <v>Printed</v>
      </c>
      <c r="M466" s="858" t="str">
        <f>'Laminates- copilot'!L159</f>
        <v>5-8</v>
      </c>
      <c r="N466" s="858">
        <f>'Laminates- copilot'!M159</f>
        <v>8</v>
      </c>
      <c r="O466" s="858" t="str">
        <f>'Laminates- copilot'!O159</f>
        <v>Marma</v>
      </c>
      <c r="P466" s="858" t="str">
        <f>'Laminates- copilot'!N159</f>
        <v>Europe to US</v>
      </c>
      <c r="Q466" s="858">
        <f t="shared" si="112"/>
        <v>15000</v>
      </c>
      <c r="R466" s="858">
        <f t="shared" si="113"/>
        <v>15000</v>
      </c>
      <c r="S466" s="858">
        <f>IFERROR('Laminates- copilot'!Q159/'Laminates- copilot'!P159*Q466,"")</f>
        <v>1516.9950000000001</v>
      </c>
      <c r="T466" s="203">
        <f>IFERROR('Laminates- copilot'!R159/'Laminates- copilot'!P159*Q466,"")</f>
        <v>21349.392394201393</v>
      </c>
      <c r="U466" s="912">
        <f>IFERROR('Laminates- copilot'!S159/'Laminates- copilot'!P159*Q466,"")</f>
        <v>24765.295177273612</v>
      </c>
      <c r="V466" s="913">
        <f t="shared" si="114"/>
        <v>14.07347578218873</v>
      </c>
      <c r="W466" s="914">
        <f t="shared" si="115"/>
        <v>16.325231907338924</v>
      </c>
      <c r="X466" s="913">
        <f t="shared" si="116"/>
        <v>1.4232928262800928</v>
      </c>
      <c r="Y466" s="913">
        <f t="shared" si="117"/>
        <v>14.07347578218873</v>
      </c>
      <c r="Z466" s="95">
        <f t="shared" si="118"/>
        <v>16480</v>
      </c>
      <c r="AA466" s="50" t="str">
        <f t="shared" si="119"/>
        <v>MOQ OK</v>
      </c>
      <c r="AB466" s="923">
        <f t="shared" si="120"/>
        <v>0.72119266160298789</v>
      </c>
      <c r="AC466" s="924">
        <f t="shared" si="121"/>
        <v>0.83658348745946587</v>
      </c>
      <c r="AD466" s="203">
        <f t="shared" si="122"/>
        <v>36059.633080149397</v>
      </c>
      <c r="AE466" s="912">
        <f t="shared" si="123"/>
        <v>41829.174372973299</v>
      </c>
      <c r="AF466" s="923" cm="1">
        <f t="array" ref="AF466">IF(O466="Quantum",IFERROR(_xlfn.LET(_xlpm.b,_xlfn.SWITCH(LOWER(B466),"zipper bag","Zipper pouch","open bag","Open pouch","sup with zipper","Stand-up pouch","stand-up pouch","Stand-up pouch",B466),_xlpm.w,G466,_xlpm.q,K466,_xlpm.types,'Converting-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missing"),IFERROR(_xlfn.LET(_xlpm.s,O466,_xlpm.b,_xlfn.SWITCH(LOWER(B466),"zipper bag","Zipper pouch","open bag","Open pouch",B466),_xlpm.w,G466,_xlpm.q,K466,_xlpm.src,'Converting-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66" s="923">
        <f>IFERROR(IF(OR(B466="Zipper pouch",B466="SUP with zipper"),HELPER!$DE$2*(AH466+AI466)/K466,HELPER!$DE$2*AH466/K466),"Data is missing")</f>
        <v>1.7597913915361113E-2</v>
      </c>
      <c r="AH466" s="923">
        <f t="shared" si="124"/>
        <v>1.4232928262800928</v>
      </c>
      <c r="AI466" s="923">
        <f>IF(OR(B466="Zipper pouch",B466="SUP with zipper"),HELPER!$DC$2*G466/1000,"")</f>
        <v>4.3199999999999995E-2</v>
      </c>
      <c r="AJ466" s="923" cm="1">
        <f t="array" ref="AJ466">IF(INDEX('Laminates- copilot'!$E$6:$E$257,ROUNDUP((ROW()-5)/3,0))+50&gt;IF(O466="Quantum",760,1220),"Width exceeds supplier maximum",IFERROR(AF466+AG466+N(AI466)+AH466*G466/1000/MAX(1,MIN(MAX(2,INT(900/INDEX('Laminates- copilot'!$E$6:$E$257,ROUNDUP((ROW()-5)/3,0)))),INT((IF(O466="Quantum",760,1220)-50)/INDEX('Laminates- copilot'!$E$6:$E$257,ROUNDUP((ROW()-5)/3,0))))),"Data is missing"))</f>
        <v>0.54089449620224095</v>
      </c>
      <c r="AK466" s="203">
        <f t="shared" si="125"/>
        <v>721.19266160298787</v>
      </c>
      <c r="AL466" t="str">
        <f t="shared" si="126"/>
        <v>PASS</v>
      </c>
      <c r="AM466" s="50" t="str">
        <f t="shared" si="127"/>
        <v/>
      </c>
    </row>
    <row r="467" spans="1:39">
      <c r="A467" t="s">
        <v>2095</v>
      </c>
      <c r="B467" t="s">
        <v>262</v>
      </c>
      <c r="C467" s="50" t="s">
        <v>2206</v>
      </c>
      <c r="D467">
        <f>'Laminates- copilot'!B159</f>
        <v>919</v>
      </c>
      <c r="E467" s="858">
        <f>'Laminates- copilot'!D159</f>
        <v>121</v>
      </c>
      <c r="F467" s="858">
        <v>300</v>
      </c>
      <c r="G467" s="858">
        <v>300</v>
      </c>
      <c r="H467" s="858">
        <v>0</v>
      </c>
      <c r="I467" s="858">
        <v>10</v>
      </c>
      <c r="J467" s="858">
        <v>610</v>
      </c>
      <c r="K467" s="858">
        <v>50000</v>
      </c>
      <c r="L467" s="858" t="str">
        <f>'Laminates- copilot'!K159</f>
        <v>Printed</v>
      </c>
      <c r="M467" s="858" t="str">
        <f>'Laminates- copilot'!L159</f>
        <v>5-8</v>
      </c>
      <c r="N467" s="858">
        <f>'Laminates- copilot'!M159</f>
        <v>8</v>
      </c>
      <c r="O467" s="858" t="str">
        <f>'Laminates- copilot'!O159</f>
        <v>Marma</v>
      </c>
      <c r="P467" s="858" t="str">
        <f>'Laminates- copilot'!N159</f>
        <v>Europe to US</v>
      </c>
      <c r="Q467" s="858">
        <f t="shared" si="112"/>
        <v>15000</v>
      </c>
      <c r="R467" s="858">
        <f t="shared" si="113"/>
        <v>15000</v>
      </c>
      <c r="S467" s="858">
        <f>IFERROR('Laminates- copilot'!Q159/'Laminates- copilot'!P159*Q467,"")</f>
        <v>1516.9950000000001</v>
      </c>
      <c r="T467" s="203">
        <f>IFERROR('Laminates- copilot'!R159/'Laminates- copilot'!P159*Q467,"")</f>
        <v>21349.392394201393</v>
      </c>
      <c r="U467" s="912">
        <f>IFERROR('Laminates- copilot'!S159/'Laminates- copilot'!P159*Q467,"")</f>
        <v>24765.295177273612</v>
      </c>
      <c r="V467" s="913">
        <f t="shared" si="114"/>
        <v>14.07347578218873</v>
      </c>
      <c r="W467" s="914">
        <f t="shared" si="115"/>
        <v>16.325231907338924</v>
      </c>
      <c r="X467" s="913">
        <f t="shared" si="116"/>
        <v>1.4232928262800928</v>
      </c>
      <c r="Y467" s="913">
        <f t="shared" si="117"/>
        <v>14.07347578218873</v>
      </c>
      <c r="Z467" s="95">
        <f t="shared" si="118"/>
        <v>16480</v>
      </c>
      <c r="AA467" s="50" t="str">
        <f t="shared" si="119"/>
        <v>MOQ OK</v>
      </c>
      <c r="AB467" s="923">
        <f t="shared" si="120"/>
        <v>0.65601345460542049</v>
      </c>
      <c r="AC467" s="924">
        <f t="shared" si="121"/>
        <v>0.76097560734228775</v>
      </c>
      <c r="AD467" s="203">
        <f t="shared" si="122"/>
        <v>32800.672730271028</v>
      </c>
      <c r="AE467" s="912">
        <f t="shared" si="123"/>
        <v>38048.780367114392</v>
      </c>
      <c r="AF467" s="923" cm="1">
        <f t="array" ref="AF467">IF(O467="Quantum",IFERROR(_xlfn.LET(_xlpm.b,_xlfn.SWITCH(LOWER(B467),"zipper bag","Zipper pouch","open bag","Open pouch","sup with zipper","Stand-up pouch","stand-up pouch","Stand-up pouch",B467),_xlpm.w,G467,_xlpm.q,K467,_xlpm.types,'Converting-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missing"),IFERROR(_xlfn.LET(_xlpm.s,O467,_xlpm.b,_xlfn.SWITCH(LOWER(B467),"zipper bag","Zipper pouch","open bag","Open pouch",B467),_xlpm.w,G467,_xlpm.q,K467,_xlpm.src,'Converting-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67" s="923">
        <f>IFERROR(IF(OR(B467="Zipper pouch",B467="SUP with zipper"),HELPER!$DE$2*(AH467+AI467)/K467,HELPER!$DE$2*AH467/K467),"Data is missing")</f>
        <v>1.7079513915361114E-2</v>
      </c>
      <c r="AH467" s="923">
        <f t="shared" si="124"/>
        <v>1.4232928262800928</v>
      </c>
      <c r="AI467" s="923" t="str">
        <f>IF(OR(B467="Zipper pouch",B467="SUP with zipper"),HELPER!$DC$2*G467/1000,"")</f>
        <v/>
      </c>
      <c r="AJ467" s="923" cm="1">
        <f t="array" ref="AJ467">IF(INDEX('Laminates- copilot'!$E$6:$E$257,ROUNDUP((ROW()-5)/3,0))+50&gt;IF(O467="Quantum",760,1220),"Width exceeds supplier maximum",IFERROR(AF467+AG467+N(AI467)+AH467*G467/1000/MAX(1,MIN(MAX(2,INT(900/INDEX('Laminates- copilot'!$E$6:$E$257,ROUNDUP((ROW()-5)/3,0)))),INT((IF(O467="Quantum",760,1220)-50)/INDEX('Laminates- copilot'!$E$6:$E$257,ROUNDUP((ROW()-5)/3,0))))),"Data is missing"))</f>
        <v>0.49201009095406539</v>
      </c>
      <c r="AK467" s="203">
        <f t="shared" si="125"/>
        <v>656.01345460542052</v>
      </c>
      <c r="AL467" t="str">
        <f t="shared" si="126"/>
        <v>PASS</v>
      </c>
      <c r="AM467" s="50" t="str">
        <f t="shared" si="127"/>
        <v/>
      </c>
    </row>
    <row r="468" spans="1:39" hidden="1">
      <c r="A468" t="s">
        <v>2096</v>
      </c>
      <c r="B468" t="s">
        <v>251</v>
      </c>
      <c r="C468" s="50" t="s">
        <v>2207</v>
      </c>
      <c r="D468">
        <f>'Laminates- copilot'!B160</f>
        <v>919</v>
      </c>
      <c r="E468" s="858">
        <f>'Laminates- copilot'!D160</f>
        <v>121</v>
      </c>
      <c r="F468" s="858">
        <v>350</v>
      </c>
      <c r="G468" s="858">
        <v>400</v>
      </c>
      <c r="H468" s="858">
        <v>60</v>
      </c>
      <c r="I468" s="858">
        <v>0</v>
      </c>
      <c r="J468" s="858">
        <v>820</v>
      </c>
      <c r="K468" s="858">
        <v>100000</v>
      </c>
      <c r="L468" s="858" t="str">
        <f>'Laminates- copilot'!K160</f>
        <v>Not Printed</v>
      </c>
      <c r="M468" s="858" t="str">
        <f>'Laminates- copilot'!L160</f>
        <v>0</v>
      </c>
      <c r="N468" s="858">
        <f>'Laminates- copilot'!M160</f>
        <v>1</v>
      </c>
      <c r="O468" s="858" t="str">
        <f>'Laminates- copilot'!O160</f>
        <v>Bastin</v>
      </c>
      <c r="P468" s="858" t="str">
        <f>'Laminates- copilot'!N160</f>
        <v>Europe to Europe</v>
      </c>
      <c r="Q468" s="858">
        <f t="shared" si="112"/>
        <v>40000</v>
      </c>
      <c r="R468" s="858">
        <f t="shared" si="113"/>
        <v>40000</v>
      </c>
      <c r="S468" s="858">
        <f>IFERROR('Laminates- copilot'!Q160/'Laminates- copilot'!P160*Q468,"")</f>
        <v>1573.18</v>
      </c>
      <c r="T468" s="203">
        <f>IFERROR('Laminates- copilot'!R160/'Laminates- copilot'!P160*Q468,"")</f>
        <v>16516.344783749999</v>
      </c>
      <c r="U468" s="912">
        <f>IFERROR('Laminates- copilot'!S160/'Laminates- copilot'!P160*Q468,"")</f>
        <v>19158.959949149998</v>
      </c>
      <c r="V468" s="913">
        <f t="shared" si="114"/>
        <v>10.498699947717361</v>
      </c>
      <c r="W468" s="914">
        <f t="shared" si="115"/>
        <v>12.178491939352138</v>
      </c>
      <c r="X468" s="913">
        <f t="shared" si="116"/>
        <v>0.41290861959374997</v>
      </c>
      <c r="Y468" s="913">
        <f t="shared" si="117"/>
        <v>10.498699947717361</v>
      </c>
      <c r="Z468" s="95">
        <f t="shared" si="118"/>
        <v>31783</v>
      </c>
      <c r="AA468" s="50" t="str">
        <f t="shared" si="119"/>
        <v>MOQ OK</v>
      </c>
      <c r="AB468" s="923">
        <f t="shared" si="120"/>
        <v>0.32130501250153315</v>
      </c>
      <c r="AC468" s="924">
        <f t="shared" si="121"/>
        <v>0.37271381450177843</v>
      </c>
      <c r="AD468" s="203">
        <f t="shared" si="122"/>
        <v>32130.501250153317</v>
      </c>
      <c r="AE468" s="912">
        <f t="shared" si="123"/>
        <v>37271.381450177847</v>
      </c>
      <c r="AF468" s="923" cm="1">
        <f t="array" ref="AF468">IF(O468="Quantum",IFERROR(_xlfn.LET(_xlpm.b,_xlfn.SWITCH(LOWER(B468),"zipper bag","Zipper pouch","open bag","Open pouch","sup with zipper","Stand-up pouch","stand-up pouch","Stand-up pouch",B468),_xlpm.w,G468,_xlpm.q,K468,_xlpm.types,'Converting-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missing"),IFERROR(_xlfn.LET(_xlpm.s,O468,_xlpm.b,_xlfn.SWITCH(LOWER(B468),"zipper bag","Zipper pouch","open bag","Open pouch",B468),_xlpm.w,G468,_xlpm.q,K468,_xlpm.src,'Converting-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68" s="923">
        <f>IFERROR(IF(OR(B468="Zipper pouch",B468="SUP with zipper"),HELPER!$DE$2*(AH468+AI468)/K468,HELPER!$DE$2*AH468/K468),"Data is missing")</f>
        <v>2.8230517175624999E-3</v>
      </c>
      <c r="AH468" s="923">
        <f t="shared" si="124"/>
        <v>0.41290861959374997</v>
      </c>
      <c r="AI468" s="923">
        <f>IF(OR(B468="Zipper pouch",B468="SUP with zipper"),HELPER!$DC$2*G468/1000,"")</f>
        <v>5.7599999999999991E-2</v>
      </c>
      <c r="AJ468" s="923" cm="1">
        <f t="array" ref="AJ468">IF(INDEX('Laminates- copilot'!$E$6:$E$257,ROUNDUP((ROW()-5)/3,0))+50&gt;IF(O468="Quantum",760,1220),"Width exceeds supplier maximum",IFERROR(AF468+AG468+N(AI468)+AH468*G468/1000/MAX(1,MIN(MAX(2,INT(900/INDEX('Laminates- copilot'!$E$6:$E$257,ROUNDUP((ROW()-5)/3,0)))),INT((IF(O468="Quantum",760,1220)-50)/INDEX('Laminates- copilot'!$E$6:$E$257,ROUNDUP((ROW()-5)/3,0))))),"Data is missing"))</f>
        <v>0.24097875937614988</v>
      </c>
      <c r="AK468" s="203">
        <f t="shared" si="125"/>
        <v>321.30501250153316</v>
      </c>
      <c r="AL468" t="str">
        <f t="shared" si="126"/>
        <v>PASS</v>
      </c>
      <c r="AM468" s="50" t="str">
        <f t="shared" si="127"/>
        <v/>
      </c>
    </row>
    <row r="469" spans="1:39" hidden="1">
      <c r="A469" t="s">
        <v>2097</v>
      </c>
      <c r="B469" t="s">
        <v>261</v>
      </c>
      <c r="C469" s="50" t="s">
        <v>2207</v>
      </c>
      <c r="D469">
        <f>'Laminates- copilot'!B160</f>
        <v>919</v>
      </c>
      <c r="E469" s="858">
        <f>'Laminates- copilot'!D160</f>
        <v>121</v>
      </c>
      <c r="F469" s="858">
        <v>350</v>
      </c>
      <c r="G469" s="858">
        <v>400</v>
      </c>
      <c r="H469" s="858">
        <v>60</v>
      </c>
      <c r="I469" s="858">
        <v>0</v>
      </c>
      <c r="J469" s="858">
        <v>820</v>
      </c>
      <c r="K469" s="858">
        <v>100000</v>
      </c>
      <c r="L469" s="858" t="str">
        <f>'Laminates- copilot'!K160</f>
        <v>Not Printed</v>
      </c>
      <c r="M469" s="858" t="str">
        <f>'Laminates- copilot'!L160</f>
        <v>0</v>
      </c>
      <c r="N469" s="858">
        <f>'Laminates- copilot'!M160</f>
        <v>1</v>
      </c>
      <c r="O469" s="858" t="str">
        <f>'Laminates- copilot'!O160</f>
        <v>Bastin</v>
      </c>
      <c r="P469" s="858" t="str">
        <f>'Laminates- copilot'!N160</f>
        <v>Europe to Europe</v>
      </c>
      <c r="Q469" s="858">
        <f t="shared" si="112"/>
        <v>40000</v>
      </c>
      <c r="R469" s="858">
        <f t="shared" si="113"/>
        <v>40000</v>
      </c>
      <c r="S469" s="858">
        <f>IFERROR('Laminates- copilot'!Q160/'Laminates- copilot'!P160*Q469,"")</f>
        <v>1573.18</v>
      </c>
      <c r="T469" s="203">
        <f>IFERROR('Laminates- copilot'!R160/'Laminates- copilot'!P160*Q469,"")</f>
        <v>16516.344783749999</v>
      </c>
      <c r="U469" s="912">
        <f>IFERROR('Laminates- copilot'!S160/'Laminates- copilot'!P160*Q469,"")</f>
        <v>19158.959949149998</v>
      </c>
      <c r="V469" s="913">
        <f t="shared" si="114"/>
        <v>10.498699947717361</v>
      </c>
      <c r="W469" s="914">
        <f t="shared" si="115"/>
        <v>12.178491939352138</v>
      </c>
      <c r="X469" s="913">
        <f t="shared" si="116"/>
        <v>0.41290861959374997</v>
      </c>
      <c r="Y469" s="913">
        <f t="shared" si="117"/>
        <v>10.498699947717361</v>
      </c>
      <c r="Z469" s="95">
        <f t="shared" si="118"/>
        <v>31783</v>
      </c>
      <c r="AA469" s="50" t="str">
        <f t="shared" si="119"/>
        <v>MOQ OK</v>
      </c>
      <c r="AB469" s="923">
        <f t="shared" si="120"/>
        <v>0.31137153134853984</v>
      </c>
      <c r="AC469" s="924">
        <f t="shared" si="121"/>
        <v>0.36119097636430619</v>
      </c>
      <c r="AD469" s="203">
        <f t="shared" si="122"/>
        <v>31137.153134853983</v>
      </c>
      <c r="AE469" s="912">
        <f t="shared" si="123"/>
        <v>36119.097636430619</v>
      </c>
      <c r="AF469" s="923" cm="1">
        <f t="array" ref="AF469">IF(O469="Quantum",IFERROR(_xlfn.LET(_xlpm.b,_xlfn.SWITCH(LOWER(B469),"zipper bag","Zipper pouch","open bag","Open pouch","sup with zipper","Stand-up pouch","stand-up pouch","Stand-up pouch",B469),_xlpm.w,G469,_xlpm.q,K469,_xlpm.types,'Converting-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missing"),IFERROR(_xlfn.LET(_xlpm.s,O469,_xlpm.b,_xlfn.SWITCH(LOWER(B469),"zipper bag","Zipper pouch","open bag","Open pouch",B469),_xlpm.w,G469,_xlpm.q,K469,_xlpm.src,'Converting-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69" s="923">
        <f>IFERROR(IF(OR(B469="Zipper pouch",B469="SUP with zipper"),HELPER!$DE$2*(AH469+AI469)/K469,HELPER!$DE$2*AH469/K469),"Data is missing")</f>
        <v>2.8230517175624999E-3</v>
      </c>
      <c r="AH469" s="923">
        <f t="shared" si="124"/>
        <v>0.41290861959374997</v>
      </c>
      <c r="AI469" s="923">
        <f>IF(OR(B469="Zipper pouch",B469="SUP with zipper"),HELPER!$DC$2*G469/1000,"")</f>
        <v>5.7599999999999991E-2</v>
      </c>
      <c r="AJ469" s="923" cm="1">
        <f t="array" ref="AJ469">IF(INDEX('Laminates- copilot'!$E$6:$E$257,ROUNDUP((ROW()-5)/3,0))+50&gt;IF(O469="Quantum",760,1220),"Width exceeds supplier maximum",IFERROR(AF469+AG469+N(AI469)+AH469*G469/1000/MAX(1,MIN(MAX(2,INT(900/INDEX('Laminates- copilot'!$E$6:$E$257,ROUNDUP((ROW()-5)/3,0)))),INT((IF(O469="Quantum",760,1220)-50)/INDEX('Laminates- copilot'!$E$6:$E$257,ROUNDUP((ROW()-5)/3,0))))),"Data is missing"))</f>
        <v>0.23352864851140487</v>
      </c>
      <c r="AK469" s="203">
        <f t="shared" si="125"/>
        <v>311.37153134853986</v>
      </c>
      <c r="AL469" t="str">
        <f t="shared" si="126"/>
        <v>PASS</v>
      </c>
      <c r="AM469" s="50" t="str">
        <f t="shared" si="127"/>
        <v/>
      </c>
    </row>
    <row r="470" spans="1:39" hidden="1">
      <c r="A470" t="s">
        <v>2098</v>
      </c>
      <c r="B470" t="s">
        <v>262</v>
      </c>
      <c r="C470" s="50" t="s">
        <v>2207</v>
      </c>
      <c r="D470">
        <f>'Laminates- copilot'!B160</f>
        <v>919</v>
      </c>
      <c r="E470" s="858">
        <f>'Laminates- copilot'!D160</f>
        <v>121</v>
      </c>
      <c r="F470" s="858">
        <v>350</v>
      </c>
      <c r="G470" s="858">
        <v>400</v>
      </c>
      <c r="H470" s="858">
        <v>0</v>
      </c>
      <c r="I470" s="858">
        <v>0</v>
      </c>
      <c r="J470" s="858">
        <v>700</v>
      </c>
      <c r="K470" s="858">
        <v>100000</v>
      </c>
      <c r="L470" s="858" t="str">
        <f>'Laminates- copilot'!K160</f>
        <v>Not Printed</v>
      </c>
      <c r="M470" s="858" t="str">
        <f>'Laminates- copilot'!L160</f>
        <v>0</v>
      </c>
      <c r="N470" s="858">
        <f>'Laminates- copilot'!M160</f>
        <v>1</v>
      </c>
      <c r="O470" s="858" t="str">
        <f>'Laminates- copilot'!O160</f>
        <v>Bastin</v>
      </c>
      <c r="P470" s="858" t="str">
        <f>'Laminates- copilot'!N160</f>
        <v>Europe to Europe</v>
      </c>
      <c r="Q470" s="858">
        <f t="shared" si="112"/>
        <v>40000</v>
      </c>
      <c r="R470" s="858">
        <f t="shared" si="113"/>
        <v>40000</v>
      </c>
      <c r="S470" s="858">
        <f>IFERROR('Laminates- copilot'!Q160/'Laminates- copilot'!P160*Q470,"")</f>
        <v>1573.18</v>
      </c>
      <c r="T470" s="203">
        <f>IFERROR('Laminates- copilot'!R160/'Laminates- copilot'!P160*Q470,"")</f>
        <v>16516.344783749999</v>
      </c>
      <c r="U470" s="912">
        <f>IFERROR('Laminates- copilot'!S160/'Laminates- copilot'!P160*Q470,"")</f>
        <v>19158.959949149998</v>
      </c>
      <c r="V470" s="913">
        <f t="shared" si="114"/>
        <v>10.498699947717361</v>
      </c>
      <c r="W470" s="914">
        <f t="shared" si="115"/>
        <v>12.178491939352138</v>
      </c>
      <c r="X470" s="913">
        <f t="shared" si="116"/>
        <v>0.41290861959374997</v>
      </c>
      <c r="Y470" s="913">
        <f t="shared" si="117"/>
        <v>10.498699947717361</v>
      </c>
      <c r="Z470" s="95">
        <f t="shared" si="118"/>
        <v>31783</v>
      </c>
      <c r="AA470" s="50" t="str">
        <f t="shared" si="119"/>
        <v>MOQ OK</v>
      </c>
      <c r="AB470" s="923">
        <f t="shared" si="120"/>
        <v>0.22098273296111795</v>
      </c>
      <c r="AC470" s="924">
        <f t="shared" si="121"/>
        <v>0.2563399702348968</v>
      </c>
      <c r="AD470" s="203">
        <f t="shared" si="122"/>
        <v>22098.273296111794</v>
      </c>
      <c r="AE470" s="912">
        <f t="shared" si="123"/>
        <v>25633.997023489679</v>
      </c>
      <c r="AF470" s="923" cm="1">
        <f t="array" ref="AF470">IF(O470="Quantum",IFERROR(_xlfn.LET(_xlpm.b,_xlfn.SWITCH(LOWER(B470),"zipper bag","Zipper pouch","open bag","Open pouch","sup with zipper","Stand-up pouch","stand-up pouch","Stand-up pouch",B470),_xlpm.w,G470,_xlpm.q,K470,_xlpm.types,'Converting-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missing"),IFERROR(_xlfn.LET(_xlpm.s,O470,_xlpm.b,_xlfn.SWITCH(LOWER(B470),"zipper bag","Zipper pouch","open bag","Open pouch",B470),_xlpm.w,G470,_xlpm.q,K470,_xlpm.src,'Converting-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470" s="923">
        <f>IFERROR(IF(OR(B470="Zipper pouch",B470="SUP with zipper"),HELPER!$DE$2*(AH470+AI470)/K470,HELPER!$DE$2*AH470/K470),"Data is missing")</f>
        <v>2.4774517175624997E-3</v>
      </c>
      <c r="AH470" s="923">
        <f t="shared" si="124"/>
        <v>0.41290861959374997</v>
      </c>
      <c r="AI470" s="923" t="str">
        <f>IF(OR(B470="Zipper pouch",B470="SUP with zipper"),HELPER!$DC$2*G470/1000,"")</f>
        <v/>
      </c>
      <c r="AJ470" s="923" cm="1">
        <f t="array" ref="AJ470">IF(INDEX('Laminates- copilot'!$E$6:$E$257,ROUNDUP((ROW()-5)/3,0))+50&gt;IF(O470="Quantum",760,1220),"Width exceeds supplier maximum",IFERROR(AF470+AG470+N(AI470)+AH470*G470/1000/MAX(1,MIN(MAX(2,INT(900/INDEX('Laminates- copilot'!$E$6:$E$257,ROUNDUP((ROW()-5)/3,0)))),INT((IF(O470="Quantum",760,1220)-50)/INDEX('Laminates- copilot'!$E$6:$E$257,ROUNDUP((ROW()-5)/3,0))))),"Data is missing"))</f>
        <v>0.16573704972083847</v>
      </c>
      <c r="AK470" s="203">
        <f t="shared" si="125"/>
        <v>220.98273296111796</v>
      </c>
      <c r="AL470" t="str">
        <f t="shared" si="126"/>
        <v>PASS</v>
      </c>
      <c r="AM470" s="50" t="str">
        <f t="shared" si="127"/>
        <v/>
      </c>
    </row>
    <row r="471" spans="1:39" hidden="1">
      <c r="A471" t="s">
        <v>2099</v>
      </c>
      <c r="B471" t="s">
        <v>251</v>
      </c>
      <c r="C471" s="50" t="s">
        <v>2208</v>
      </c>
      <c r="D471">
        <f>'Laminates- copilot'!B161</f>
        <v>919</v>
      </c>
      <c r="E471" s="858">
        <f>'Laminates- copilot'!D161</f>
        <v>121</v>
      </c>
      <c r="F471" s="858">
        <v>400</v>
      </c>
      <c r="G471" s="858">
        <v>500</v>
      </c>
      <c r="H471" s="858">
        <v>80</v>
      </c>
      <c r="I471" s="858">
        <v>0</v>
      </c>
      <c r="J471" s="858">
        <v>960</v>
      </c>
      <c r="K471" s="858">
        <v>100000</v>
      </c>
      <c r="L471" s="858" t="str">
        <f>'Laminates- copilot'!K161</f>
        <v>Printed</v>
      </c>
      <c r="M471" s="858" t="str">
        <f>'Laminates- copilot'!L161</f>
        <v>3-4</v>
      </c>
      <c r="N471" s="858">
        <f>'Laminates- copilot'!M161</f>
        <v>4</v>
      </c>
      <c r="O471" s="858" t="str">
        <f>'Laminates- copilot'!O161</f>
        <v>Quantum</v>
      </c>
      <c r="P471" s="858" t="str">
        <f>'Laminates- copilot'!N161</f>
        <v>Europe to US</v>
      </c>
      <c r="Q471" s="858">
        <f t="shared" si="112"/>
        <v>50000</v>
      </c>
      <c r="R471" s="858">
        <f t="shared" si="113"/>
        <v>50000</v>
      </c>
      <c r="S471" s="858">
        <f>IFERROR('Laminates- copilot'!Q161/'Laminates- copilot'!P161*Q471,"")</f>
        <v>3371.1</v>
      </c>
      <c r="T471" s="203">
        <f>IFERROR('Laminates- copilot'!R161/'Laminates- copilot'!P161*Q471,"")</f>
        <v>85721.984848543114</v>
      </c>
      <c r="U471" s="912">
        <f>IFERROR('Laminates- copilot'!S161/'Laminates- copilot'!P161*Q471,"")</f>
        <v>99437.502424310005</v>
      </c>
      <c r="V471" s="913">
        <f t="shared" si="114"/>
        <v>25.428490655436836</v>
      </c>
      <c r="W471" s="914">
        <f t="shared" si="115"/>
        <v>29.497049160306727</v>
      </c>
      <c r="X471" s="913">
        <f t="shared" si="116"/>
        <v>1.7144396969708622</v>
      </c>
      <c r="Y471" s="913">
        <f t="shared" si="117"/>
        <v>25.428490655436836</v>
      </c>
      <c r="Z471" s="95">
        <f t="shared" si="118"/>
        <v>14832</v>
      </c>
      <c r="AA471" s="50" t="str">
        <f t="shared" si="119"/>
        <v>MOQ OK</v>
      </c>
      <c r="AB471" s="923">
        <f t="shared" si="120"/>
        <v>1.6149087584398381</v>
      </c>
      <c r="AC471" s="924">
        <f t="shared" si="121"/>
        <v>1.873294159790212</v>
      </c>
      <c r="AD471" s="203">
        <f t="shared" si="122"/>
        <v>161490.87584398381</v>
      </c>
      <c r="AE471" s="912">
        <f t="shared" si="123"/>
        <v>187329.4159790212</v>
      </c>
      <c r="AF471" s="923" cm="1">
        <f t="array" ref="AF471">IF(O471="Quantum",IFERROR(_xlfn.LET(_xlpm.b,_xlfn.SWITCH(LOWER(B471),"zipper bag","Zipper pouch","open bag","Open pouch","sup with zipper","Stand-up pouch","stand-up pouch","Stand-up pouch",B471),_xlpm.w,G471,_xlpm.q,K471,_xlpm.types,'Converting-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missing"),IFERROR(_xlfn.LET(_xlpm.s,O471,_xlpm.b,_xlfn.SWITCH(LOWER(B471),"zipper bag","Zipper pouch","open bag","Open pouch",B471),_xlpm.w,G471,_xlpm.q,K471,_xlpm.src,'Converting-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471" s="923">
        <f>IFERROR(IF(OR(B471="Zipper pouch",B471="SUP with zipper"),HELPER!$DE$2*(AH471+AI471)/K471,HELPER!$DE$2*AH471/K471),"Data is missing")</f>
        <v>1.0718638181825174E-2</v>
      </c>
      <c r="AH471" s="923">
        <f t="shared" si="124"/>
        <v>1.7144396969708622</v>
      </c>
      <c r="AI471" s="923">
        <f>IF(OR(B471="Zipper pouch",B471="SUP with zipper"),HELPER!$DC$2*G471/1000,"")</f>
        <v>7.1999999999999995E-2</v>
      </c>
      <c r="AJ471" s="923" cm="1">
        <f t="array" ref="AJ471">IF(INDEX('Laminates- copilot'!$E$6:$E$257,ROUNDUP((ROW()-5)/3,0))+50&gt;IF(O471="Quantum",760,1220),"Width exceeds supplier maximum",IFERROR(AF471+AG471+N(AI471)+AH471*G471/1000/MAX(1,MIN(MAX(2,INT(900/INDEX('Laminates- copilot'!$E$6:$E$257,ROUNDUP((ROW()-5)/3,0)))),INT((IF(O471="Quantum",760,1220)-50)/INDEX('Laminates- copilot'!$E$6:$E$257,ROUNDUP((ROW()-5)/3,0))))),"Data is missing"))</f>
        <v>1.2111815688298786</v>
      </c>
      <c r="AK471" s="203">
        <f t="shared" si="125"/>
        <v>1614.908758439838</v>
      </c>
      <c r="AL471" t="str">
        <f t="shared" si="126"/>
        <v>PASS</v>
      </c>
      <c r="AM471" s="50" t="str">
        <f t="shared" si="127"/>
        <v/>
      </c>
    </row>
    <row r="472" spans="1:39" hidden="1">
      <c r="A472" t="s">
        <v>2100</v>
      </c>
      <c r="B472" t="s">
        <v>261</v>
      </c>
      <c r="C472" s="50" t="s">
        <v>2208</v>
      </c>
      <c r="D472">
        <f>'Laminates- copilot'!B161</f>
        <v>919</v>
      </c>
      <c r="E472" s="858">
        <f>'Laminates- copilot'!D161</f>
        <v>121</v>
      </c>
      <c r="F472" s="858">
        <v>400</v>
      </c>
      <c r="G472" s="858">
        <v>500</v>
      </c>
      <c r="H472" s="858">
        <v>80</v>
      </c>
      <c r="I472" s="858">
        <v>0</v>
      </c>
      <c r="J472" s="858">
        <v>960</v>
      </c>
      <c r="K472" s="858">
        <v>100000</v>
      </c>
      <c r="L472" s="858" t="str">
        <f>'Laminates- copilot'!K161</f>
        <v>Printed</v>
      </c>
      <c r="M472" s="858" t="str">
        <f>'Laminates- copilot'!L161</f>
        <v>3-4</v>
      </c>
      <c r="N472" s="858">
        <f>'Laminates- copilot'!M161</f>
        <v>4</v>
      </c>
      <c r="O472" s="858" t="str">
        <f>'Laminates- copilot'!O161</f>
        <v>Quantum</v>
      </c>
      <c r="P472" s="858" t="str">
        <f>'Laminates- copilot'!N161</f>
        <v>Europe to US</v>
      </c>
      <c r="Q472" s="858">
        <f t="shared" si="112"/>
        <v>50000</v>
      </c>
      <c r="R472" s="858">
        <f t="shared" si="113"/>
        <v>50000</v>
      </c>
      <c r="S472" s="858">
        <f>IFERROR('Laminates- copilot'!Q161/'Laminates- copilot'!P161*Q472,"")</f>
        <v>3371.1</v>
      </c>
      <c r="T472" s="203">
        <f>IFERROR('Laminates- copilot'!R161/'Laminates- copilot'!P161*Q472,"")</f>
        <v>85721.984848543114</v>
      </c>
      <c r="U472" s="912">
        <f>IFERROR('Laminates- copilot'!S161/'Laminates- copilot'!P161*Q472,"")</f>
        <v>99437.502424310005</v>
      </c>
      <c r="V472" s="913">
        <f t="shared" si="114"/>
        <v>25.428490655436836</v>
      </c>
      <c r="W472" s="914">
        <f t="shared" si="115"/>
        <v>29.497049160306727</v>
      </c>
      <c r="X472" s="913">
        <f t="shared" si="116"/>
        <v>1.7144396969708622</v>
      </c>
      <c r="Y472" s="913">
        <f t="shared" si="117"/>
        <v>25.428490655436836</v>
      </c>
      <c r="Z472" s="95">
        <f t="shared" si="118"/>
        <v>14832</v>
      </c>
      <c r="AA472" s="50" t="str">
        <f t="shared" si="119"/>
        <v>MOQ OK</v>
      </c>
      <c r="AB472" s="923">
        <f t="shared" si="120"/>
        <v>1.575490881644354</v>
      </c>
      <c r="AC472" s="924">
        <f t="shared" si="121"/>
        <v>1.8275694227074506</v>
      </c>
      <c r="AD472" s="203">
        <f t="shared" si="122"/>
        <v>157549.08816443541</v>
      </c>
      <c r="AE472" s="912">
        <f t="shared" si="123"/>
        <v>182756.94227074506</v>
      </c>
      <c r="AF472" s="923" cm="1">
        <f t="array" ref="AF472">IF(O472="Quantum",IFERROR(_xlfn.LET(_xlpm.b,_xlfn.SWITCH(LOWER(B472),"zipper bag","Zipper pouch","open bag","Open pouch","sup with zipper","Stand-up pouch","stand-up pouch","Stand-up pouch",B472),_xlpm.w,G472,_xlpm.q,K472,_xlpm.types,'Converting-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missing"),IFERROR(_xlfn.LET(_xlpm.s,O472,_xlpm.b,_xlfn.SWITCH(LOWER(B472),"zipper bag","Zipper pouch","open bag","Open pouch",B472),_xlpm.w,G472,_xlpm.q,K472,_xlpm.src,'Converting-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472" s="923">
        <f>IFERROR(IF(OR(B472="Zipper pouch",B472="SUP with zipper"),HELPER!$DE$2*(AH472+AI472)/K472,HELPER!$DE$2*AH472/K472),"Data is missing")</f>
        <v>1.0718638181825174E-2</v>
      </c>
      <c r="AH472" s="923">
        <f t="shared" si="124"/>
        <v>1.7144396969708622</v>
      </c>
      <c r="AI472" s="923">
        <f>IF(OR(B472="Zipper pouch",B472="SUP with zipper"),HELPER!$DC$2*G472/1000,"")</f>
        <v>7.1999999999999995E-2</v>
      </c>
      <c r="AJ472" s="923" cm="1">
        <f t="array" ref="AJ472">IF(INDEX('Laminates- copilot'!$E$6:$E$257,ROUNDUP((ROW()-5)/3,0))+50&gt;IF(O472="Quantum",760,1220),"Width exceeds supplier maximum",IFERROR(AF472+AG472+N(AI472)+AH472*G472/1000/MAX(1,MIN(MAX(2,INT(900/INDEX('Laminates- copilot'!$E$6:$E$257,ROUNDUP((ROW()-5)/3,0)))),INT((IF(O472="Quantum",760,1220)-50)/INDEX('Laminates- copilot'!$E$6:$E$257,ROUNDUP((ROW()-5)/3,0))))),"Data is missing"))</f>
        <v>1.1816181612332655</v>
      </c>
      <c r="AK472" s="203">
        <f t="shared" si="125"/>
        <v>1575.490881644354</v>
      </c>
      <c r="AL472" t="str">
        <f t="shared" si="126"/>
        <v>PASS</v>
      </c>
      <c r="AM472" s="50" t="str">
        <f t="shared" si="127"/>
        <v/>
      </c>
    </row>
    <row r="473" spans="1:39" hidden="1">
      <c r="A473" t="s">
        <v>2101</v>
      </c>
      <c r="B473" t="s">
        <v>262</v>
      </c>
      <c r="C473" s="50" t="s">
        <v>2208</v>
      </c>
      <c r="D473">
        <f>'Laminates- copilot'!B161</f>
        <v>919</v>
      </c>
      <c r="E473" s="858">
        <f>'Laminates- copilot'!D161</f>
        <v>121</v>
      </c>
      <c r="F473" s="858">
        <v>400</v>
      </c>
      <c r="G473" s="858">
        <v>500</v>
      </c>
      <c r="H473" s="858">
        <v>0</v>
      </c>
      <c r="I473" s="858">
        <v>20</v>
      </c>
      <c r="J473" s="858">
        <v>820</v>
      </c>
      <c r="K473" s="858">
        <v>100000</v>
      </c>
      <c r="L473" s="858" t="str">
        <f>'Laminates- copilot'!K161</f>
        <v>Printed</v>
      </c>
      <c r="M473" s="858" t="str">
        <f>'Laminates- copilot'!L161</f>
        <v>3-4</v>
      </c>
      <c r="N473" s="858">
        <f>'Laminates- copilot'!M161</f>
        <v>4</v>
      </c>
      <c r="O473" s="858" t="str">
        <f>'Laminates- copilot'!O161</f>
        <v>Quantum</v>
      </c>
      <c r="P473" s="858" t="str">
        <f>'Laminates- copilot'!N161</f>
        <v>Europe to US</v>
      </c>
      <c r="Q473" s="858">
        <f t="shared" si="112"/>
        <v>50000</v>
      </c>
      <c r="R473" s="858">
        <f t="shared" si="113"/>
        <v>50000</v>
      </c>
      <c r="S473" s="858">
        <f>IFERROR('Laminates- copilot'!Q161/'Laminates- copilot'!P161*Q473,"")</f>
        <v>3371.1</v>
      </c>
      <c r="T473" s="203">
        <f>IFERROR('Laminates- copilot'!R161/'Laminates- copilot'!P161*Q473,"")</f>
        <v>85721.984848543114</v>
      </c>
      <c r="U473" s="912">
        <f>IFERROR('Laminates- copilot'!S161/'Laminates- copilot'!P161*Q473,"")</f>
        <v>99437.502424310005</v>
      </c>
      <c r="V473" s="913">
        <f t="shared" si="114"/>
        <v>25.428490655436836</v>
      </c>
      <c r="W473" s="914">
        <f t="shared" si="115"/>
        <v>29.497049160306727</v>
      </c>
      <c r="X473" s="913">
        <f t="shared" si="116"/>
        <v>1.7144396969708622</v>
      </c>
      <c r="Y473" s="913">
        <f t="shared" si="117"/>
        <v>25.428490655436836</v>
      </c>
      <c r="Z473" s="95">
        <f t="shared" si="118"/>
        <v>14832</v>
      </c>
      <c r="AA473" s="50" t="str">
        <f t="shared" si="119"/>
        <v>MOQ OK</v>
      </c>
      <c r="AB473" s="923">
        <f t="shared" si="120"/>
        <v>1.4450817296332541</v>
      </c>
      <c r="AC473" s="924">
        <f t="shared" si="121"/>
        <v>1.6762948063745746</v>
      </c>
      <c r="AD473" s="203">
        <f t="shared" si="122"/>
        <v>144508.1729633254</v>
      </c>
      <c r="AE473" s="912">
        <f t="shared" si="123"/>
        <v>167629.48063745745</v>
      </c>
      <c r="AF473" s="923" cm="1">
        <f t="array" ref="AF473">IF(O473="Quantum",IFERROR(_xlfn.LET(_xlpm.b,_xlfn.SWITCH(LOWER(B473),"zipper bag","Zipper pouch","open bag","Open pouch","sup with zipper","Stand-up pouch","stand-up pouch","Stand-up pouch",B473),_xlpm.w,G473,_xlpm.q,K473,_xlpm.types,'Converting-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missing"),IFERROR(_xlfn.LET(_xlpm.s,O473,_xlpm.b,_xlfn.SWITCH(LOWER(B473),"zipper bag","Zipper pouch","open bag","Open pouch",B473),_xlpm.w,G473,_xlpm.q,K473,_xlpm.src,'Converting-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473" s="923">
        <f>IFERROR(IF(OR(B473="Zipper pouch",B473="SUP with zipper"),HELPER!$DE$2*(AH473+AI473)/K473,HELPER!$DE$2*AH473/K473),"Data is missing")</f>
        <v>1.0286638181825174E-2</v>
      </c>
      <c r="AH473" s="923">
        <f t="shared" si="124"/>
        <v>1.7144396969708622</v>
      </c>
      <c r="AI473" s="923" t="str">
        <f>IF(OR(B473="Zipper pouch",B473="SUP with zipper"),HELPER!$DC$2*G473/1000,"")</f>
        <v/>
      </c>
      <c r="AJ473" s="923" cm="1">
        <f t="array" ref="AJ473">IF(INDEX('Laminates- copilot'!$E$6:$E$257,ROUNDUP((ROW()-5)/3,0))+50&gt;IF(O473="Quantum",760,1220),"Width exceeds supplier maximum",IFERROR(AF473+AG473+N(AI473)+AH473*G473/1000/MAX(1,MIN(MAX(2,INT(900/INDEX('Laminates- copilot'!$E$6:$E$257,ROUNDUP((ROW()-5)/3,0)))),INT((IF(O473="Quantum",760,1220)-50)/INDEX('Laminates- copilot'!$E$6:$E$257,ROUNDUP((ROW()-5)/3,0))))),"Data is missing"))</f>
        <v>1.0838112972249405</v>
      </c>
      <c r="AK473" s="203">
        <f t="shared" si="125"/>
        <v>1445.0817296332541</v>
      </c>
      <c r="AL473" t="str">
        <f t="shared" si="126"/>
        <v>PASS</v>
      </c>
      <c r="AM473" s="50" t="str">
        <f t="shared" si="127"/>
        <v/>
      </c>
    </row>
    <row r="474" spans="1:39" hidden="1">
      <c r="A474" t="s">
        <v>2102</v>
      </c>
      <c r="B474" t="s">
        <v>251</v>
      </c>
      <c r="C474" s="50" t="s">
        <v>2209</v>
      </c>
      <c r="D474">
        <f>'Laminates- copilot'!B162</f>
        <v>919</v>
      </c>
      <c r="E474" s="858">
        <f>'Laminates- copilot'!D162</f>
        <v>121</v>
      </c>
      <c r="F474" s="858">
        <v>600</v>
      </c>
      <c r="G474" s="858">
        <v>200</v>
      </c>
      <c r="H474" s="858">
        <v>50</v>
      </c>
      <c r="I474" s="858">
        <v>0</v>
      </c>
      <c r="J474" s="858">
        <v>1300</v>
      </c>
      <c r="K474" s="858">
        <v>200000</v>
      </c>
      <c r="L474" s="858" t="str">
        <f>'Laminates- copilot'!K162</f>
        <v>Printed</v>
      </c>
      <c r="M474" s="858" t="str">
        <f>'Laminates- copilot'!L162</f>
        <v>5-8</v>
      </c>
      <c r="N474" s="858">
        <f>'Laminates- copilot'!M162</f>
        <v>8</v>
      </c>
      <c r="O474" s="858" t="str">
        <f>'Laminates- copilot'!O162</f>
        <v>Marma</v>
      </c>
      <c r="P474" s="858" t="str">
        <f>'Laminates- copilot'!N162</f>
        <v>Europe to Europe</v>
      </c>
      <c r="Q474" s="858">
        <f t="shared" si="112"/>
        <v>40000</v>
      </c>
      <c r="R474" s="858">
        <f t="shared" si="113"/>
        <v>40000</v>
      </c>
      <c r="S474" s="858">
        <f>IFERROR('Laminates- copilot'!Q162/'Laminates- copilot'!P162*Q474,"")</f>
        <v>4045.32</v>
      </c>
      <c r="T474" s="203">
        <f>IFERROR('Laminates- copilot'!R162/'Laminates- copilot'!P162*Q474,"")</f>
        <v>49946.805802173032</v>
      </c>
      <c r="U474" s="912">
        <f>IFERROR('Laminates- copilot'!S162/'Laminates- copilot'!P162*Q474,"")</f>
        <v>57938.294730520713</v>
      </c>
      <c r="V474" s="913">
        <f t="shared" si="114"/>
        <v>12.346812069792508</v>
      </c>
      <c r="W474" s="914">
        <f t="shared" si="115"/>
        <v>14.322302000959308</v>
      </c>
      <c r="X474" s="913">
        <f t="shared" si="116"/>
        <v>1.2486701450543258</v>
      </c>
      <c r="Y474" s="913">
        <f t="shared" si="117"/>
        <v>12.346812069792508</v>
      </c>
      <c r="Z474" s="95">
        <f t="shared" si="118"/>
        <v>24720</v>
      </c>
      <c r="AA474" s="50" t="str">
        <f t="shared" si="119"/>
        <v>MOQ OK</v>
      </c>
      <c r="AB474" s="923">
        <f t="shared" si="120"/>
        <v>0.43445443958657409</v>
      </c>
      <c r="AC474" s="924">
        <f t="shared" si="121"/>
        <v>0.50396714992042591</v>
      </c>
      <c r="AD474" s="203">
        <f t="shared" si="122"/>
        <v>86890.887917314816</v>
      </c>
      <c r="AE474" s="912">
        <f t="shared" si="123"/>
        <v>100793.42998408517</v>
      </c>
      <c r="AF474" s="923" cm="1">
        <f t="array" ref="AF474">IF(O474="Quantum",IFERROR(_xlfn.LET(_xlpm.b,_xlfn.SWITCH(LOWER(B474),"zipper bag","Zipper pouch","open bag","Open pouch","sup with zipper","Stand-up pouch","stand-up pouch","Stand-up pouch",B474),_xlpm.w,G474,_xlpm.q,K474,_xlpm.types,'Converting-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missing"),IFERROR(_xlfn.LET(_xlpm.s,O474,_xlpm.b,_xlfn.SWITCH(LOWER(B474),"zipper bag","Zipper pouch","open bag","Open pouch",B474),_xlpm.w,G474,_xlpm.q,K474,_xlpm.src,'Converting-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474" s="923">
        <f>IFERROR(IF(OR(B474="Zipper pouch",B474="SUP with zipper"),HELPER!$DE$2*(AH474+AI474)/K474,HELPER!$DE$2*AH474/K474),"Data is missing")</f>
        <v>3.8324104351629773E-3</v>
      </c>
      <c r="AH474" s="923">
        <f t="shared" si="124"/>
        <v>1.2486701450543258</v>
      </c>
      <c r="AI474" s="923">
        <f>IF(OR(B474="Zipper pouch",B474="SUP with zipper"),HELPER!$DC$2*G474/1000,"")</f>
        <v>2.8799999999999996E-2</v>
      </c>
      <c r="AJ474" s="923" cm="1">
        <f t="array" ref="AJ474">IF(INDEX('Laminates- copilot'!$E$6:$E$257,ROUNDUP((ROW()-5)/3,0))+50&gt;IF(O474="Quantum",760,1220),"Width exceeds supplier maximum",IFERROR(AF474+AG474+N(AI474)+AH474*G474/1000/MAX(1,MIN(MAX(2,INT(900/INDEX('Laminates- copilot'!$E$6:$E$257,ROUNDUP((ROW()-5)/3,0)))),INT((IF(O474="Quantum",760,1220)-50)/INDEX('Laminates- copilot'!$E$6:$E$257,ROUNDUP((ROW()-5)/3,0))))),"Data is missing"))</f>
        <v>0.32584082968993056</v>
      </c>
      <c r="AK474" s="203">
        <f t="shared" si="125"/>
        <v>434.4544395865741</v>
      </c>
      <c r="AL474" t="str">
        <f t="shared" si="126"/>
        <v>PASS</v>
      </c>
      <c r="AM474" s="50" t="str">
        <f t="shared" si="127"/>
        <v/>
      </c>
    </row>
    <row r="475" spans="1:39" hidden="1">
      <c r="A475" t="s">
        <v>2103</v>
      </c>
      <c r="B475" t="s">
        <v>261</v>
      </c>
      <c r="C475" s="50" t="s">
        <v>2209</v>
      </c>
      <c r="D475">
        <f>'Laminates- copilot'!B162</f>
        <v>919</v>
      </c>
      <c r="E475" s="858">
        <f>'Laminates- copilot'!D162</f>
        <v>121</v>
      </c>
      <c r="F475" s="858">
        <v>600</v>
      </c>
      <c r="G475" s="858">
        <v>200</v>
      </c>
      <c r="H475" s="858">
        <v>50</v>
      </c>
      <c r="I475" s="858">
        <v>0</v>
      </c>
      <c r="J475" s="858">
        <v>1300</v>
      </c>
      <c r="K475" s="858">
        <v>200000</v>
      </c>
      <c r="L475" s="858" t="str">
        <f>'Laminates- copilot'!K162</f>
        <v>Printed</v>
      </c>
      <c r="M475" s="858" t="str">
        <f>'Laminates- copilot'!L162</f>
        <v>5-8</v>
      </c>
      <c r="N475" s="858">
        <f>'Laminates- copilot'!M162</f>
        <v>8</v>
      </c>
      <c r="O475" s="858" t="str">
        <f>'Laminates- copilot'!O162</f>
        <v>Marma</v>
      </c>
      <c r="P475" s="858" t="str">
        <f>'Laminates- copilot'!N162</f>
        <v>Europe to Europe</v>
      </c>
      <c r="Q475" s="858">
        <f t="shared" si="112"/>
        <v>40000</v>
      </c>
      <c r="R475" s="858">
        <f t="shared" si="113"/>
        <v>40000</v>
      </c>
      <c r="S475" s="858">
        <f>IFERROR('Laminates- copilot'!Q162/'Laminates- copilot'!P162*Q475,"")</f>
        <v>4045.32</v>
      </c>
      <c r="T475" s="203">
        <f>IFERROR('Laminates- copilot'!R162/'Laminates- copilot'!P162*Q475,"")</f>
        <v>49946.805802173032</v>
      </c>
      <c r="U475" s="912">
        <f>IFERROR('Laminates- copilot'!S162/'Laminates- copilot'!P162*Q475,"")</f>
        <v>57938.294730520713</v>
      </c>
      <c r="V475" s="913">
        <f t="shared" si="114"/>
        <v>12.346812069792508</v>
      </c>
      <c r="W475" s="914">
        <f t="shared" si="115"/>
        <v>14.322302000959308</v>
      </c>
      <c r="X475" s="913">
        <f t="shared" si="116"/>
        <v>1.2486701450543258</v>
      </c>
      <c r="Y475" s="913">
        <f t="shared" si="117"/>
        <v>12.346812069792508</v>
      </c>
      <c r="Z475" s="95">
        <f t="shared" si="118"/>
        <v>24720</v>
      </c>
      <c r="AA475" s="50" t="str">
        <f t="shared" si="119"/>
        <v>MOQ OK</v>
      </c>
      <c r="AB475" s="923">
        <f t="shared" si="120"/>
        <v>0.42972421046610104</v>
      </c>
      <c r="AC475" s="924">
        <f t="shared" si="121"/>
        <v>0.49848008414067718</v>
      </c>
      <c r="AD475" s="203">
        <f t="shared" si="122"/>
        <v>85944.842093220213</v>
      </c>
      <c r="AE475" s="912">
        <f t="shared" si="123"/>
        <v>99696.016828135442</v>
      </c>
      <c r="AF475" s="923" cm="1">
        <f t="array" ref="AF475">IF(O475="Quantum",IFERROR(_xlfn.LET(_xlpm.b,_xlfn.SWITCH(LOWER(B475),"zipper bag","Zipper pouch","open bag","Open pouch","sup with zipper","Stand-up pouch","stand-up pouch","Stand-up pouch",B475),_xlpm.w,G475,_xlpm.q,K475,_xlpm.types,'Converting-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missing"),IFERROR(_xlfn.LET(_xlpm.s,O475,_xlpm.b,_xlfn.SWITCH(LOWER(B475),"zipper bag","Zipper pouch","open bag","Open pouch",B475),_xlpm.w,G475,_xlpm.q,K475,_xlpm.src,'Converting-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475" s="923">
        <f>IFERROR(IF(OR(B475="Zipper pouch",B475="SUP with zipper"),HELPER!$DE$2*(AH475+AI475)/K475,HELPER!$DE$2*AH475/K475),"Data is missing")</f>
        <v>3.8324104351629773E-3</v>
      </c>
      <c r="AH475" s="923">
        <f t="shared" si="124"/>
        <v>1.2486701450543258</v>
      </c>
      <c r="AI475" s="923">
        <f>IF(OR(B475="Zipper pouch",B475="SUP with zipper"),HELPER!$DC$2*G475/1000,"")</f>
        <v>2.8799999999999996E-2</v>
      </c>
      <c r="AJ475" s="923" cm="1">
        <f t="array" ref="AJ475">IF(INDEX('Laminates- copilot'!$E$6:$E$257,ROUNDUP((ROW()-5)/3,0))+50&gt;IF(O475="Quantum",760,1220),"Width exceeds supplier maximum",IFERROR(AF475+AG475+N(AI475)+AH475*G475/1000/MAX(1,MIN(MAX(2,INT(900/INDEX('Laminates- copilot'!$E$6:$E$257,ROUNDUP((ROW()-5)/3,0)))),INT((IF(O475="Quantum",760,1220)-50)/INDEX('Laminates- copilot'!$E$6:$E$257,ROUNDUP((ROW()-5)/3,0))))),"Data is missing"))</f>
        <v>0.3222931578495758</v>
      </c>
      <c r="AK475" s="203">
        <f t="shared" si="125"/>
        <v>429.72421046610106</v>
      </c>
      <c r="AL475" t="str">
        <f t="shared" si="126"/>
        <v>PASS</v>
      </c>
      <c r="AM475" s="50" t="str">
        <f t="shared" si="127"/>
        <v/>
      </c>
    </row>
    <row r="476" spans="1:39" hidden="1">
      <c r="A476" t="s">
        <v>2104</v>
      </c>
      <c r="B476" t="s">
        <v>262</v>
      </c>
      <c r="C476" s="50" t="s">
        <v>2209</v>
      </c>
      <c r="D476">
        <f>'Laminates- copilot'!B162</f>
        <v>919</v>
      </c>
      <c r="E476" s="858">
        <f>'Laminates- copilot'!D162</f>
        <v>121</v>
      </c>
      <c r="F476" s="858">
        <v>600</v>
      </c>
      <c r="G476" s="858">
        <v>200</v>
      </c>
      <c r="H476" s="858">
        <v>0</v>
      </c>
      <c r="I476" s="858">
        <v>0</v>
      </c>
      <c r="J476" s="858">
        <v>1200</v>
      </c>
      <c r="K476" s="858">
        <v>200000</v>
      </c>
      <c r="L476" s="858" t="str">
        <f>'Laminates- copilot'!K162</f>
        <v>Printed</v>
      </c>
      <c r="M476" s="858" t="str">
        <f>'Laminates- copilot'!L162</f>
        <v>5-8</v>
      </c>
      <c r="N476" s="858">
        <f>'Laminates- copilot'!M162</f>
        <v>8</v>
      </c>
      <c r="O476" s="858" t="str">
        <f>'Laminates- copilot'!O162</f>
        <v>Marma</v>
      </c>
      <c r="P476" s="858" t="str">
        <f>'Laminates- copilot'!N162</f>
        <v>Europe to Europe</v>
      </c>
      <c r="Q476" s="858">
        <f t="shared" si="112"/>
        <v>40000</v>
      </c>
      <c r="R476" s="858">
        <f t="shared" si="113"/>
        <v>40000</v>
      </c>
      <c r="S476" s="858">
        <f>IFERROR('Laminates- copilot'!Q162/'Laminates- copilot'!P162*Q476,"")</f>
        <v>4045.32</v>
      </c>
      <c r="T476" s="203">
        <f>IFERROR('Laminates- copilot'!R162/'Laminates- copilot'!P162*Q476,"")</f>
        <v>49946.805802173032</v>
      </c>
      <c r="U476" s="912">
        <f>IFERROR('Laminates- copilot'!S162/'Laminates- copilot'!P162*Q476,"")</f>
        <v>57938.294730520713</v>
      </c>
      <c r="V476" s="913">
        <f t="shared" si="114"/>
        <v>12.346812069792508</v>
      </c>
      <c r="W476" s="914">
        <f t="shared" si="115"/>
        <v>14.322302000959308</v>
      </c>
      <c r="X476" s="913">
        <f t="shared" si="116"/>
        <v>1.2486701450543258</v>
      </c>
      <c r="Y476" s="913">
        <f t="shared" si="117"/>
        <v>12.346812069792508</v>
      </c>
      <c r="Z476" s="95">
        <f t="shared" si="118"/>
        <v>24720</v>
      </c>
      <c r="AA476" s="50" t="str">
        <f t="shared" si="119"/>
        <v>MOQ OK</v>
      </c>
      <c r="AB476" s="923">
        <f t="shared" si="120"/>
        <v>0.385923811555625</v>
      </c>
      <c r="AC476" s="924">
        <f t="shared" si="121"/>
        <v>0.44767162140452499</v>
      </c>
      <c r="AD476" s="203">
        <f t="shared" si="122"/>
        <v>77184.762311125</v>
      </c>
      <c r="AE476" s="912">
        <f t="shared" si="123"/>
        <v>89534.324280904999</v>
      </c>
      <c r="AF476" s="923" cm="1">
        <f t="array" ref="AF476">IF(O476="Quantum",IFERROR(_xlfn.LET(_xlpm.b,_xlfn.SWITCH(LOWER(B476),"zipper bag","Zipper pouch","open bag","Open pouch","sup with zipper","Stand-up pouch","stand-up pouch","Stand-up pouch",B476),_xlpm.w,G476,_xlpm.q,K476,_xlpm.types,'Converting-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missing"),IFERROR(_xlfn.LET(_xlpm.s,O476,_xlpm.b,_xlfn.SWITCH(LOWER(B476),"zipper bag","Zipper pouch","open bag","Open pouch",B476),_xlpm.w,G476,_xlpm.q,K476,_xlpm.src,'Converting-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476" s="923">
        <f>IFERROR(IF(OR(B476="Zipper pouch",B476="SUP with zipper"),HELPER!$DE$2*(AH476+AI476)/K476,HELPER!$DE$2*AH476/K476),"Data is missing")</f>
        <v>3.7460104351629774E-3</v>
      </c>
      <c r="AH476" s="923">
        <f t="shared" si="124"/>
        <v>1.2486701450543258</v>
      </c>
      <c r="AI476" s="923" t="str">
        <f>IF(OR(B476="Zipper pouch",B476="SUP with zipper"),HELPER!$DC$2*G476/1000,"")</f>
        <v/>
      </c>
      <c r="AJ476" s="923" cm="1">
        <f t="array" ref="AJ476">IF(INDEX('Laminates- copilot'!$E$6:$E$257,ROUNDUP((ROW()-5)/3,0))+50&gt;IF(O476="Quantum",760,1220),"Width exceeds supplier maximum",IFERROR(AF476+AG476+N(AI476)+AH476*G476/1000/MAX(1,MIN(MAX(2,INT(900/INDEX('Laminates- copilot'!$E$6:$E$257,ROUNDUP((ROW()-5)/3,0)))),INT((IF(O476="Quantum",760,1220)-50)/INDEX('Laminates- copilot'!$E$6:$E$257,ROUNDUP((ROW()-5)/3,0))))),"Data is missing"))</f>
        <v>0.28944285866671876</v>
      </c>
      <c r="AK476" s="203">
        <f t="shared" si="125"/>
        <v>385.92381155562498</v>
      </c>
      <c r="AL476" t="str">
        <f t="shared" si="126"/>
        <v>PASS</v>
      </c>
      <c r="AM476" s="50" t="str">
        <f t="shared" si="127"/>
        <v/>
      </c>
    </row>
    <row r="477" spans="1:39" hidden="1">
      <c r="A477" t="s">
        <v>2105</v>
      </c>
      <c r="B477" t="s">
        <v>251</v>
      </c>
      <c r="C477" s="50" t="s">
        <v>2210</v>
      </c>
      <c r="D477">
        <f>'Laminates- copilot'!B163</f>
        <v>919</v>
      </c>
      <c r="E477" s="858">
        <f>'Laminates- copilot'!D163</f>
        <v>121</v>
      </c>
      <c r="F477" s="858">
        <v>700</v>
      </c>
      <c r="G477" s="858">
        <v>300</v>
      </c>
      <c r="H477" s="858">
        <v>75</v>
      </c>
      <c r="I477" s="858">
        <v>0</v>
      </c>
      <c r="J477" s="858">
        <v>1550</v>
      </c>
      <c r="K477" s="858">
        <v>200000</v>
      </c>
      <c r="L477" s="858" t="str">
        <f>'Laminates- copilot'!K163</f>
        <v>Not Printed</v>
      </c>
      <c r="M477" s="858" t="str">
        <f>'Laminates- copilot'!L163</f>
        <v>0</v>
      </c>
      <c r="N477" s="858">
        <f>'Laminates- copilot'!M163</f>
        <v>1</v>
      </c>
      <c r="O477" s="858" t="str">
        <f>'Laminates- copilot'!O163</f>
        <v>Bastin</v>
      </c>
      <c r="P477" s="858" t="str">
        <f>'Laminates- copilot'!N163</f>
        <v>Europe to US</v>
      </c>
      <c r="Q477" s="858">
        <f t="shared" si="112"/>
        <v>60000</v>
      </c>
      <c r="R477" s="858">
        <f t="shared" si="113"/>
        <v>60000</v>
      </c>
      <c r="S477" s="858">
        <f>IFERROR('Laminates- copilot'!Q163/'Laminates- copilot'!P163*Q477,"")</f>
        <v>1685.5500000000002</v>
      </c>
      <c r="T477" s="203">
        <f>IFERROR('Laminates- copilot'!R163/'Laminates- copilot'!P163*Q477,"")</f>
        <v>23484.915435858285</v>
      </c>
      <c r="U477" s="912">
        <f>IFERROR('Laminates- copilot'!S163/'Laminates- copilot'!P163*Q477,"")</f>
        <v>27242.501905595607</v>
      </c>
      <c r="V477" s="913">
        <f t="shared" si="114"/>
        <v>13.933087381482769</v>
      </c>
      <c r="W477" s="914">
        <f t="shared" si="115"/>
        <v>16.162381362520012</v>
      </c>
      <c r="X477" s="913">
        <f t="shared" si="116"/>
        <v>0.39141525726430476</v>
      </c>
      <c r="Y477" s="913">
        <f t="shared" si="117"/>
        <v>13.933087381482769</v>
      </c>
      <c r="Z477" s="95">
        <f t="shared" si="118"/>
        <v>59328</v>
      </c>
      <c r="AA477" s="50" t="str">
        <f t="shared" si="119"/>
        <v>MOQ OK</v>
      </c>
      <c r="AB477" s="923">
        <f t="shared" si="120"/>
        <v>0.20612786979294442</v>
      </c>
      <c r="AC477" s="924">
        <f t="shared" si="121"/>
        <v>0.23910832895981551</v>
      </c>
      <c r="AD477" s="203">
        <f t="shared" si="122"/>
        <v>41225.573958588888</v>
      </c>
      <c r="AE477" s="912">
        <f t="shared" si="123"/>
        <v>47821.665791963103</v>
      </c>
      <c r="AF477" s="923" cm="1">
        <f t="array" ref="AF477">IF(O477="Quantum",IFERROR(_xlfn.LET(_xlpm.b,_xlfn.SWITCH(LOWER(B477),"zipper bag","Zipper pouch","open bag","Open pouch","sup with zipper","Stand-up pouch","stand-up pouch","Stand-up pouch",B477),_xlpm.w,G477,_xlpm.q,K477,_xlpm.types,'Converting-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missing"),IFERROR(_xlfn.LET(_xlpm.s,O477,_xlpm.b,_xlfn.SWITCH(LOWER(B477),"zipper bag","Zipper pouch","open bag","Open pouch",B477),_xlpm.w,G477,_xlpm.q,K477,_xlpm.src,'Converting-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477" s="923">
        <f>IFERROR(IF(OR(B477="Zipper pouch",B477="SUP with zipper"),HELPER!$DE$2*(AH477+AI477)/K477,HELPER!$DE$2*AH477/K477),"Data is missing")</f>
        <v>1.3038457717929142E-3</v>
      </c>
      <c r="AH477" s="923">
        <f t="shared" si="124"/>
        <v>0.39141525726430476</v>
      </c>
      <c r="AI477" s="923">
        <f>IF(OR(B477="Zipper pouch",B477="SUP with zipper"),HELPER!$DC$2*G477/1000,"")</f>
        <v>4.3199999999999995E-2</v>
      </c>
      <c r="AJ477" s="923" cm="1">
        <f t="array" ref="AJ477">IF(INDEX('Laminates- copilot'!$E$6:$E$257,ROUNDUP((ROW()-5)/3,0))+50&gt;IF(O477="Quantum",760,1220),"Width exceeds supplier maximum",IFERROR(AF477+AG477+N(AI477)+AH477*G477/1000/MAX(1,MIN(MAX(2,INT(900/INDEX('Laminates- copilot'!$E$6:$E$257,ROUNDUP((ROW()-5)/3,0)))),INT((IF(O477="Quantum",760,1220)-50)/INDEX('Laminates- copilot'!$E$6:$E$257,ROUNDUP((ROW()-5)/3,0))))),"Data is missing"))</f>
        <v>0.15459590234470832</v>
      </c>
      <c r="AK477" s="203">
        <f t="shared" si="125"/>
        <v>206.12786979294444</v>
      </c>
      <c r="AL477" t="str">
        <f t="shared" si="126"/>
        <v>PASS</v>
      </c>
      <c r="AM477" s="50" t="str">
        <f t="shared" si="127"/>
        <v/>
      </c>
    </row>
    <row r="478" spans="1:39" hidden="1">
      <c r="A478" t="s">
        <v>2106</v>
      </c>
      <c r="B478" t="s">
        <v>261</v>
      </c>
      <c r="C478" s="50" t="s">
        <v>2210</v>
      </c>
      <c r="D478">
        <f>'Laminates- copilot'!B163</f>
        <v>919</v>
      </c>
      <c r="E478" s="858">
        <f>'Laminates- copilot'!D163</f>
        <v>121</v>
      </c>
      <c r="F478" s="858">
        <v>700</v>
      </c>
      <c r="G478" s="858">
        <v>300</v>
      </c>
      <c r="H478" s="858">
        <v>75</v>
      </c>
      <c r="I478" s="858">
        <v>0</v>
      </c>
      <c r="J478" s="858">
        <v>1550</v>
      </c>
      <c r="K478" s="858">
        <v>200000</v>
      </c>
      <c r="L478" s="858" t="str">
        <f>'Laminates- copilot'!K163</f>
        <v>Not Printed</v>
      </c>
      <c r="M478" s="858" t="str">
        <f>'Laminates- copilot'!L163</f>
        <v>0</v>
      </c>
      <c r="N478" s="858">
        <f>'Laminates- copilot'!M163</f>
        <v>1</v>
      </c>
      <c r="O478" s="858" t="str">
        <f>'Laminates- copilot'!O163</f>
        <v>Bastin</v>
      </c>
      <c r="P478" s="858" t="str">
        <f>'Laminates- copilot'!N163</f>
        <v>Europe to US</v>
      </c>
      <c r="Q478" s="858">
        <f t="shared" si="112"/>
        <v>60000</v>
      </c>
      <c r="R478" s="858">
        <f t="shared" si="113"/>
        <v>60000</v>
      </c>
      <c r="S478" s="858">
        <f>IFERROR('Laminates- copilot'!Q163/'Laminates- copilot'!P163*Q478,"")</f>
        <v>1685.5500000000002</v>
      </c>
      <c r="T478" s="203">
        <f>IFERROR('Laminates- copilot'!R163/'Laminates- copilot'!P163*Q478,"")</f>
        <v>23484.915435858285</v>
      </c>
      <c r="U478" s="912">
        <f>IFERROR('Laminates- copilot'!S163/'Laminates- copilot'!P163*Q478,"")</f>
        <v>27242.501905595607</v>
      </c>
      <c r="V478" s="913">
        <f t="shared" si="114"/>
        <v>13.933087381482769</v>
      </c>
      <c r="W478" s="914">
        <f t="shared" si="115"/>
        <v>16.162381362520012</v>
      </c>
      <c r="X478" s="913">
        <f t="shared" si="116"/>
        <v>0.39141525726430476</v>
      </c>
      <c r="Y478" s="913">
        <f t="shared" si="117"/>
        <v>13.933087381482769</v>
      </c>
      <c r="Z478" s="95">
        <f t="shared" si="118"/>
        <v>59328</v>
      </c>
      <c r="AA478" s="50" t="str">
        <f t="shared" si="119"/>
        <v>MOQ OK</v>
      </c>
      <c r="AB478" s="923">
        <f t="shared" si="120"/>
        <v>0.19853167832300836</v>
      </c>
      <c r="AC478" s="924">
        <f t="shared" si="121"/>
        <v>0.23029674685468968</v>
      </c>
      <c r="AD478" s="203">
        <f t="shared" si="122"/>
        <v>39706.335664601669</v>
      </c>
      <c r="AE478" s="912">
        <f t="shared" si="123"/>
        <v>46059.349370937933</v>
      </c>
      <c r="AF478" s="923" cm="1">
        <f t="array" ref="AF478">IF(O478="Quantum",IFERROR(_xlfn.LET(_xlpm.b,_xlfn.SWITCH(LOWER(B478),"zipper bag","Zipper pouch","open bag","Open pouch","sup with zipper","Stand-up pouch","stand-up pouch","Stand-up pouch",B478),_xlpm.w,G478,_xlpm.q,K478,_xlpm.types,'Converting-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missing"),IFERROR(_xlfn.LET(_xlpm.s,O478,_xlpm.b,_xlfn.SWITCH(LOWER(B478),"zipper bag","Zipper pouch","open bag","Open pouch",B478),_xlpm.w,G478,_xlpm.q,K478,_xlpm.src,'Converting-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478" s="923">
        <f>IFERROR(IF(OR(B478="Zipper pouch",B478="SUP with zipper"),HELPER!$DE$2*(AH478+AI478)/K478,HELPER!$DE$2*AH478/K478),"Data is missing")</f>
        <v>1.3038457717929142E-3</v>
      </c>
      <c r="AH478" s="923">
        <f t="shared" si="124"/>
        <v>0.39141525726430476</v>
      </c>
      <c r="AI478" s="923">
        <f>IF(OR(B478="Zipper pouch",B478="SUP with zipper"),HELPER!$DC$2*G478/1000,"")</f>
        <v>4.3199999999999995E-2</v>
      </c>
      <c r="AJ478" s="923" cm="1">
        <f t="array" ref="AJ478">IF(INDEX('Laminates- copilot'!$E$6:$E$257,ROUNDUP((ROW()-5)/3,0))+50&gt;IF(O478="Quantum",760,1220),"Width exceeds supplier maximum",IFERROR(AF478+AG478+N(AI478)+AH478*G478/1000/MAX(1,MIN(MAX(2,INT(900/INDEX('Laminates- copilot'!$E$6:$E$257,ROUNDUP((ROW()-5)/3,0)))),INT((IF(O478="Quantum",760,1220)-50)/INDEX('Laminates- copilot'!$E$6:$E$257,ROUNDUP((ROW()-5)/3,0))))),"Data is missing"))</f>
        <v>0.14889875874225628</v>
      </c>
      <c r="AK478" s="203">
        <f t="shared" si="125"/>
        <v>198.53167832300835</v>
      </c>
      <c r="AL478" t="str">
        <f t="shared" si="126"/>
        <v>PASS</v>
      </c>
      <c r="AM478" s="50" t="str">
        <f t="shared" si="127"/>
        <v/>
      </c>
    </row>
    <row r="479" spans="1:39" hidden="1">
      <c r="A479" t="s">
        <v>2107</v>
      </c>
      <c r="B479" t="s">
        <v>262</v>
      </c>
      <c r="C479" s="50" t="s">
        <v>2210</v>
      </c>
      <c r="D479">
        <f>'Laminates- copilot'!B163</f>
        <v>919</v>
      </c>
      <c r="E479" s="858">
        <f>'Laminates- copilot'!D163</f>
        <v>121</v>
      </c>
      <c r="F479" s="858">
        <v>700</v>
      </c>
      <c r="G479" s="858">
        <v>300</v>
      </c>
      <c r="H479" s="858">
        <v>0</v>
      </c>
      <c r="I479" s="858">
        <v>0</v>
      </c>
      <c r="J479" s="858">
        <v>1400</v>
      </c>
      <c r="K479" s="858">
        <v>200000</v>
      </c>
      <c r="L479" s="858" t="str">
        <f>'Laminates- copilot'!K163</f>
        <v>Not Printed</v>
      </c>
      <c r="M479" s="858" t="str">
        <f>'Laminates- copilot'!L163</f>
        <v>0</v>
      </c>
      <c r="N479" s="858">
        <f>'Laminates- copilot'!M163</f>
        <v>1</v>
      </c>
      <c r="O479" s="858" t="str">
        <f>'Laminates- copilot'!O163</f>
        <v>Bastin</v>
      </c>
      <c r="P479" s="858" t="str">
        <f>'Laminates- copilot'!N163</f>
        <v>Europe to US</v>
      </c>
      <c r="Q479" s="858">
        <f t="shared" si="112"/>
        <v>60000</v>
      </c>
      <c r="R479" s="858">
        <f t="shared" si="113"/>
        <v>60000</v>
      </c>
      <c r="S479" s="858">
        <f>IFERROR('Laminates- copilot'!Q163/'Laminates- copilot'!P163*Q479,"")</f>
        <v>1685.5500000000002</v>
      </c>
      <c r="T479" s="203">
        <f>IFERROR('Laminates- copilot'!R163/'Laminates- copilot'!P163*Q479,"")</f>
        <v>23484.915435858285</v>
      </c>
      <c r="U479" s="912">
        <f>IFERROR('Laminates- copilot'!S163/'Laminates- copilot'!P163*Q479,"")</f>
        <v>27242.501905595607</v>
      </c>
      <c r="V479" s="913">
        <f t="shared" si="114"/>
        <v>13.933087381482769</v>
      </c>
      <c r="W479" s="914">
        <f t="shared" si="115"/>
        <v>16.162381362520012</v>
      </c>
      <c r="X479" s="913">
        <f t="shared" si="116"/>
        <v>0.39141525726430476</v>
      </c>
      <c r="Y479" s="913">
        <f t="shared" si="117"/>
        <v>13.933087381482769</v>
      </c>
      <c r="Z479" s="95">
        <f t="shared" si="118"/>
        <v>59328</v>
      </c>
      <c r="AA479" s="50" t="str">
        <f t="shared" si="119"/>
        <v>MOQ OK</v>
      </c>
      <c r="AB479" s="923">
        <f t="shared" si="120"/>
        <v>0.13180446922617065</v>
      </c>
      <c r="AC479" s="924">
        <f t="shared" si="121"/>
        <v>0.15289318430235793</v>
      </c>
      <c r="AD479" s="203">
        <f t="shared" si="122"/>
        <v>26360.893845234128</v>
      </c>
      <c r="AE479" s="912">
        <f t="shared" si="123"/>
        <v>30578.636860471586</v>
      </c>
      <c r="AF479" s="923" cm="1">
        <f t="array" ref="AF479">IF(O479="Quantum",IFERROR(_xlfn.LET(_xlpm.b,_xlfn.SWITCH(LOWER(B479),"zipper bag","Zipper pouch","open bag","Open pouch","sup with zipper","Stand-up pouch","stand-up pouch","Stand-up pouch",B479),_xlpm.w,G479,_xlpm.q,K479,_xlpm.types,'Converting-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missing"),IFERROR(_xlfn.LET(_xlpm.s,O479,_xlpm.b,_xlfn.SWITCH(LOWER(B479),"zipper bag","Zipper pouch","open bag","Open pouch",B479),_xlpm.w,G479,_xlpm.q,K479,_xlpm.src,'Converting-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479" s="923">
        <f>IFERROR(IF(OR(B479="Zipper pouch",B479="SUP with zipper"),HELPER!$DE$2*(AH479+AI479)/K479,HELPER!$DE$2*AH479/K479),"Data is missing")</f>
        <v>1.1742457717929143E-3</v>
      </c>
      <c r="AH479" s="923">
        <f t="shared" si="124"/>
        <v>0.39141525726430476</v>
      </c>
      <c r="AI479" s="923" t="str">
        <f>IF(OR(B479="Zipper pouch",B479="SUP with zipper"),HELPER!$DC$2*G479/1000,"")</f>
        <v/>
      </c>
      <c r="AJ479" s="923" cm="1">
        <f t="array" ref="AJ479">IF(INDEX('Laminates- copilot'!$E$6:$E$257,ROUNDUP((ROW()-5)/3,0))+50&gt;IF(O479="Quantum",760,1220),"Width exceeds supplier maximum",IFERROR(AF479+AG479+N(AI479)+AH479*G479/1000/MAX(1,MIN(MAX(2,INT(900/INDEX('Laminates- copilot'!$E$6:$E$257,ROUNDUP((ROW()-5)/3,0)))),INT((IF(O479="Quantum",760,1220)-50)/INDEX('Laminates- copilot'!$E$6:$E$257,ROUNDUP((ROW()-5)/3,0))))),"Data is missing"))</f>
        <v>9.8853351919627991E-2</v>
      </c>
      <c r="AK479" s="203">
        <f t="shared" si="125"/>
        <v>131.80446922617065</v>
      </c>
      <c r="AL479" t="str">
        <f t="shared" si="126"/>
        <v>PASS</v>
      </c>
      <c r="AM479" s="50" t="str">
        <f t="shared" si="127"/>
        <v/>
      </c>
    </row>
    <row r="480" spans="1:39" hidden="1">
      <c r="A480" t="s">
        <v>2108</v>
      </c>
      <c r="B480" t="s">
        <v>251</v>
      </c>
      <c r="C480" s="50" t="s">
        <v>1626</v>
      </c>
      <c r="D480">
        <f>'Laminates- copilot'!B164</f>
        <v>919</v>
      </c>
      <c r="E480" s="858">
        <f>'Laminates- copilot'!D164</f>
        <v>121</v>
      </c>
      <c r="F480" s="858">
        <v>250</v>
      </c>
      <c r="G480" s="858">
        <v>400</v>
      </c>
      <c r="H480" s="858">
        <v>50</v>
      </c>
      <c r="I480" s="858">
        <v>0</v>
      </c>
      <c r="J480" s="858">
        <v>600</v>
      </c>
      <c r="K480" s="858">
        <v>1000000</v>
      </c>
      <c r="L480" s="858" t="str">
        <f>'Laminates- copilot'!K164</f>
        <v>Printed</v>
      </c>
      <c r="M480" s="858" t="str">
        <f>'Laminates- copilot'!L164</f>
        <v>3-4</v>
      </c>
      <c r="N480" s="858">
        <f>'Laminates- copilot'!M164</f>
        <v>4</v>
      </c>
      <c r="O480" s="858" t="str">
        <f>'Laminates- copilot'!O164</f>
        <v>Marma</v>
      </c>
      <c r="P480" s="858" t="str">
        <f>'Laminates- copilot'!N164</f>
        <v>Europe to Europe</v>
      </c>
      <c r="Q480" s="858">
        <f t="shared" si="112"/>
        <v>400000</v>
      </c>
      <c r="R480" s="858">
        <f t="shared" si="113"/>
        <v>400000</v>
      </c>
      <c r="S480" s="858">
        <f>IFERROR('Laminates- copilot'!Q164/'Laminates- copilot'!P164*Q480,"")</f>
        <v>26968.799999999999</v>
      </c>
      <c r="T480" s="203">
        <f>IFERROR('Laminates- copilot'!R164/'Laminates- copilot'!P164*Q480,"")</f>
        <v>351499.28134999995</v>
      </c>
      <c r="U480" s="912">
        <f>IFERROR('Laminates- copilot'!S164/'Laminates- copilot'!P164*Q480,"")</f>
        <v>407739.16636599996</v>
      </c>
      <c r="V480" s="913">
        <f t="shared" si="114"/>
        <v>13.033552896309809</v>
      </c>
      <c r="W480" s="914">
        <f t="shared" si="115"/>
        <v>15.118921359719378</v>
      </c>
      <c r="X480" s="913">
        <f t="shared" si="116"/>
        <v>0.87874820337499981</v>
      </c>
      <c r="Y480" s="913">
        <f t="shared" si="117"/>
        <v>13.033552896309809</v>
      </c>
      <c r="Z480" s="95">
        <f t="shared" si="118"/>
        <v>18540</v>
      </c>
      <c r="AA480" s="50" t="str">
        <f t="shared" si="119"/>
        <v>MOQ OK</v>
      </c>
      <c r="AB480" s="923">
        <f t="shared" si="120"/>
        <v>0.64434211661035468</v>
      </c>
      <c r="AC480" s="924">
        <f t="shared" si="121"/>
        <v>0.7474368552680114</v>
      </c>
      <c r="AD480" s="203">
        <f t="shared" si="122"/>
        <v>644342.11661035463</v>
      </c>
      <c r="AE480" s="912">
        <f t="shared" si="123"/>
        <v>747436.85526801134</v>
      </c>
      <c r="AF480" s="923" cm="1">
        <f t="array" ref="AF480">IF(O480="Quantum",IFERROR(_xlfn.LET(_xlpm.b,_xlfn.SWITCH(LOWER(B480),"zipper bag","Zipper pouch","open bag","Open pouch","sup with zipper","Stand-up pouch","stand-up pouch","Stand-up pouch",B480),_xlpm.w,G480,_xlpm.q,K480,_xlpm.types,'Converting-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missing"),IFERROR(_xlfn.LET(_xlpm.s,O480,_xlpm.b,_xlfn.SWITCH(LOWER(B480),"zipper bag","Zipper pouch","open bag","Open pouch",B480),_xlpm.w,G480,_xlpm.q,K480,_xlpm.src,'Converting-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480" s="923">
        <f>IFERROR(IF(OR(B480="Zipper pouch",B480="SUP with zipper"),HELPER!$DE$2*(AH480+AI480)/K480,HELPER!$DE$2*AH480/K480),"Data is missing")</f>
        <v>5.6180892202499987E-4</v>
      </c>
      <c r="AH480" s="923">
        <f t="shared" si="124"/>
        <v>0.87874820337499981</v>
      </c>
      <c r="AI480" s="923">
        <f>IF(OR(B480="Zipper pouch",B480="SUP with zipper"),HELPER!$DC$2*G480/1000,"")</f>
        <v>5.7599999999999991E-2</v>
      </c>
      <c r="AJ480" s="923" cm="1">
        <f t="array" ref="AJ480">IF(INDEX('Laminates- copilot'!$E$6:$E$257,ROUNDUP((ROW()-5)/3,0))+50&gt;IF(O480="Quantum",760,1220),"Width exceeds supplier maximum",IFERROR(AF480+AG480+N(AI480)+AH480*G480/1000/MAX(1,MIN(MAX(2,INT(900/INDEX('Laminates- copilot'!$E$6:$E$257,ROUNDUP((ROW()-5)/3,0)))),INT((IF(O480="Quantum",760,1220)-50)/INDEX('Laminates- copilot'!$E$6:$E$257,ROUNDUP((ROW()-5)/3,0))))),"Data is missing"))</f>
        <v>0.48325658745776601</v>
      </c>
      <c r="AK480" s="203">
        <f t="shared" si="125"/>
        <v>644.34211661035465</v>
      </c>
      <c r="AL480" t="str">
        <f t="shared" si="126"/>
        <v>PASS</v>
      </c>
      <c r="AM480" s="50" t="str">
        <f t="shared" si="127"/>
        <v/>
      </c>
    </row>
    <row r="481" spans="1:39" hidden="1">
      <c r="A481" t="s">
        <v>2109</v>
      </c>
      <c r="B481" t="s">
        <v>261</v>
      </c>
      <c r="C481" s="50" t="s">
        <v>1626</v>
      </c>
      <c r="D481">
        <f>'Laminates- copilot'!B164</f>
        <v>919</v>
      </c>
      <c r="E481" s="858">
        <f>'Laminates- copilot'!D164</f>
        <v>121</v>
      </c>
      <c r="F481" s="858">
        <v>250</v>
      </c>
      <c r="G481" s="858">
        <v>400</v>
      </c>
      <c r="H481" s="858">
        <v>50</v>
      </c>
      <c r="I481" s="858">
        <v>0</v>
      </c>
      <c r="J481" s="858">
        <v>600</v>
      </c>
      <c r="K481" s="858">
        <v>1000000</v>
      </c>
      <c r="L481" s="858" t="str">
        <f>'Laminates- copilot'!K164</f>
        <v>Printed</v>
      </c>
      <c r="M481" s="858" t="str">
        <f>'Laminates- copilot'!L164</f>
        <v>3-4</v>
      </c>
      <c r="N481" s="858">
        <f>'Laminates- copilot'!M164</f>
        <v>4</v>
      </c>
      <c r="O481" s="858" t="str">
        <f>'Laminates- copilot'!O164</f>
        <v>Marma</v>
      </c>
      <c r="P481" s="858" t="str">
        <f>'Laminates- copilot'!N164</f>
        <v>Europe to Europe</v>
      </c>
      <c r="Q481" s="858">
        <f t="shared" si="112"/>
        <v>400000</v>
      </c>
      <c r="R481" s="858">
        <f t="shared" si="113"/>
        <v>400000</v>
      </c>
      <c r="S481" s="858">
        <f>IFERROR('Laminates- copilot'!Q164/'Laminates- copilot'!P164*Q481,"")</f>
        <v>26968.799999999999</v>
      </c>
      <c r="T481" s="203">
        <f>IFERROR('Laminates- copilot'!R164/'Laminates- copilot'!P164*Q481,"")</f>
        <v>351499.28134999995</v>
      </c>
      <c r="U481" s="912">
        <f>IFERROR('Laminates- copilot'!S164/'Laminates- copilot'!P164*Q481,"")</f>
        <v>407739.16636599996</v>
      </c>
      <c r="V481" s="913">
        <f t="shared" si="114"/>
        <v>13.033552896309809</v>
      </c>
      <c r="W481" s="914">
        <f t="shared" si="115"/>
        <v>15.118921359719378</v>
      </c>
      <c r="X481" s="913">
        <f t="shared" si="116"/>
        <v>0.87874820337499981</v>
      </c>
      <c r="Y481" s="913">
        <f t="shared" si="117"/>
        <v>13.033552896309809</v>
      </c>
      <c r="Z481" s="95">
        <f t="shared" si="118"/>
        <v>18540</v>
      </c>
      <c r="AA481" s="50" t="str">
        <f t="shared" si="119"/>
        <v>MOQ OK</v>
      </c>
      <c r="AB481" s="923">
        <f t="shared" si="120"/>
        <v>0.63670097726189823</v>
      </c>
      <c r="AC481" s="924">
        <f t="shared" si="121"/>
        <v>0.73857313362380195</v>
      </c>
      <c r="AD481" s="203">
        <f t="shared" si="122"/>
        <v>636700.97726189822</v>
      </c>
      <c r="AE481" s="912">
        <f t="shared" si="123"/>
        <v>738573.13362380187</v>
      </c>
      <c r="AF481" s="923" cm="1">
        <f t="array" ref="AF481">IF(O481="Quantum",IFERROR(_xlfn.LET(_xlpm.b,_xlfn.SWITCH(LOWER(B481),"zipper bag","Zipper pouch","open bag","Open pouch","sup with zipper","Stand-up pouch","stand-up pouch","Stand-up pouch",B481),_xlpm.w,G481,_xlpm.q,K481,_xlpm.types,'Converting-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missing"),IFERROR(_xlfn.LET(_xlpm.s,O481,_xlpm.b,_xlfn.SWITCH(LOWER(B481),"zipper bag","Zipper pouch","open bag","Open pouch",B481),_xlpm.w,G481,_xlpm.q,K481,_xlpm.src,'Converting-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481" s="923">
        <f>IFERROR(IF(OR(B481="Zipper pouch",B481="SUP with zipper"),HELPER!$DE$2*(AH481+AI481)/K481,HELPER!$DE$2*AH481/K481),"Data is missing")</f>
        <v>5.6180892202499987E-4</v>
      </c>
      <c r="AH481" s="923">
        <f t="shared" si="124"/>
        <v>0.87874820337499981</v>
      </c>
      <c r="AI481" s="923">
        <f>IF(OR(B481="Zipper pouch",B481="SUP with zipper"),HELPER!$DC$2*G481/1000,"")</f>
        <v>5.7599999999999991E-2</v>
      </c>
      <c r="AJ481" s="923" cm="1">
        <f t="array" ref="AJ481">IF(INDEX('Laminates- copilot'!$E$6:$E$257,ROUNDUP((ROW()-5)/3,0))+50&gt;IF(O481="Quantum",760,1220),"Width exceeds supplier maximum",IFERROR(AF481+AG481+N(AI481)+AH481*G481/1000/MAX(1,MIN(MAX(2,INT(900/INDEX('Laminates- copilot'!$E$6:$E$257,ROUNDUP((ROW()-5)/3,0)))),INT((IF(O481="Quantum",760,1220)-50)/INDEX('Laminates- copilot'!$E$6:$E$257,ROUNDUP((ROW()-5)/3,0))))),"Data is missing"))</f>
        <v>0.47752573294642364</v>
      </c>
      <c r="AK481" s="203">
        <f t="shared" si="125"/>
        <v>636.70097726189817</v>
      </c>
      <c r="AL481" t="str">
        <f t="shared" si="126"/>
        <v>PASS</v>
      </c>
      <c r="AM481" s="50" t="str">
        <f t="shared" si="127"/>
        <v/>
      </c>
    </row>
    <row r="482" spans="1:39" hidden="1">
      <c r="A482" t="s">
        <v>2110</v>
      </c>
      <c r="B482" t="s">
        <v>262</v>
      </c>
      <c r="C482" s="50" t="s">
        <v>1626</v>
      </c>
      <c r="D482">
        <f>'Laminates- copilot'!B164</f>
        <v>919</v>
      </c>
      <c r="E482" s="858">
        <f>'Laminates- copilot'!D164</f>
        <v>121</v>
      </c>
      <c r="F482" s="858">
        <v>250</v>
      </c>
      <c r="G482" s="858">
        <v>400</v>
      </c>
      <c r="H482" s="858">
        <v>0</v>
      </c>
      <c r="I482" s="858">
        <v>15</v>
      </c>
      <c r="J482" s="858">
        <v>515</v>
      </c>
      <c r="K482" s="858">
        <v>1000000</v>
      </c>
      <c r="L482" s="858" t="str">
        <f>'Laminates- copilot'!K164</f>
        <v>Printed</v>
      </c>
      <c r="M482" s="858" t="str">
        <f>'Laminates- copilot'!L164</f>
        <v>3-4</v>
      </c>
      <c r="N482" s="858">
        <f>'Laminates- copilot'!M164</f>
        <v>4</v>
      </c>
      <c r="O482" s="858" t="str">
        <f>'Laminates- copilot'!O164</f>
        <v>Marma</v>
      </c>
      <c r="P482" s="858" t="str">
        <f>'Laminates- copilot'!N164</f>
        <v>Europe to Europe</v>
      </c>
      <c r="Q482" s="858">
        <f t="shared" si="112"/>
        <v>400000</v>
      </c>
      <c r="R482" s="858">
        <f t="shared" si="113"/>
        <v>400000</v>
      </c>
      <c r="S482" s="858">
        <f>IFERROR('Laminates- copilot'!Q164/'Laminates- copilot'!P164*Q482,"")</f>
        <v>26968.799999999999</v>
      </c>
      <c r="T482" s="203">
        <f>IFERROR('Laminates- copilot'!R164/'Laminates- copilot'!P164*Q482,"")</f>
        <v>351499.28134999995</v>
      </c>
      <c r="U482" s="912">
        <f>IFERROR('Laminates- copilot'!S164/'Laminates- copilot'!P164*Q482,"")</f>
        <v>407739.16636599996</v>
      </c>
      <c r="V482" s="913">
        <f t="shared" si="114"/>
        <v>13.033552896309809</v>
      </c>
      <c r="W482" s="914">
        <f t="shared" si="115"/>
        <v>15.118921359719378</v>
      </c>
      <c r="X482" s="913">
        <f t="shared" si="116"/>
        <v>0.87874820337499981</v>
      </c>
      <c r="Y482" s="913">
        <f t="shared" si="117"/>
        <v>13.033552896309809</v>
      </c>
      <c r="Z482" s="95">
        <f t="shared" si="118"/>
        <v>18540</v>
      </c>
      <c r="AA482" s="50" t="str">
        <f t="shared" si="119"/>
        <v>MOQ OK</v>
      </c>
      <c r="AB482" s="923">
        <f t="shared" si="120"/>
        <v>0.54975643696388143</v>
      </c>
      <c r="AC482" s="924">
        <f t="shared" si="121"/>
        <v>0.63771746687810238</v>
      </c>
      <c r="AD482" s="203">
        <f t="shared" si="122"/>
        <v>549756.43696388148</v>
      </c>
      <c r="AE482" s="912">
        <f t="shared" si="123"/>
        <v>637717.46687810251</v>
      </c>
      <c r="AF482" s="923" cm="1">
        <f t="array" ref="AF482">IF(O482="Quantum",IFERROR(_xlfn.LET(_xlpm.b,_xlfn.SWITCH(LOWER(B482),"zipper bag","Zipper pouch","open bag","Open pouch","sup with zipper","Stand-up pouch","stand-up pouch","Stand-up pouch",B482),_xlpm.w,G482,_xlpm.q,K482,_xlpm.types,'Converting-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missing"),IFERROR(_xlfn.LET(_xlpm.s,O482,_xlpm.b,_xlfn.SWITCH(LOWER(B482),"zipper bag","Zipper pouch","open bag","Open pouch",B482),_xlpm.w,G482,_xlpm.q,K482,_xlpm.src,'Converting-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482" s="923">
        <f>IFERROR(IF(OR(B482="Zipper pouch",B482="SUP with zipper"),HELPER!$DE$2*(AH482+AI482)/K482,HELPER!$DE$2*AH482/K482),"Data is missing")</f>
        <v>5.2724892202499988E-4</v>
      </c>
      <c r="AH482" s="923">
        <f t="shared" si="124"/>
        <v>0.87874820337499981</v>
      </c>
      <c r="AI482" s="923" t="str">
        <f>IF(OR(B482="Zipper pouch",B482="SUP with zipper"),HELPER!$DC$2*G482/1000,"")</f>
        <v/>
      </c>
      <c r="AJ482" s="923" cm="1">
        <f t="array" ref="AJ482">IF(INDEX('Laminates- copilot'!$E$6:$E$257,ROUNDUP((ROW()-5)/3,0))+50&gt;IF(O482="Quantum",760,1220),"Width exceeds supplier maximum",IFERROR(AF482+AG482+N(AI482)+AH482*G482/1000/MAX(1,MIN(MAX(2,INT(900/INDEX('Laminates- copilot'!$E$6:$E$257,ROUNDUP((ROW()-5)/3,0)))),INT((IF(O482="Quantum",760,1220)-50)/INDEX('Laminates- copilot'!$E$6:$E$257,ROUNDUP((ROW()-5)/3,0))))),"Data is missing"))</f>
        <v>0.41231732772291108</v>
      </c>
      <c r="AK482" s="203">
        <f t="shared" si="125"/>
        <v>549.75643696388147</v>
      </c>
      <c r="AL482" t="str">
        <f t="shared" si="126"/>
        <v>PASS</v>
      </c>
      <c r="AM482" s="50" t="str">
        <f t="shared" si="127"/>
        <v/>
      </c>
    </row>
    <row r="483" spans="1:39" hidden="1">
      <c r="A483" t="s">
        <v>2111</v>
      </c>
      <c r="B483" t="s">
        <v>251</v>
      </c>
      <c r="C483" s="50" t="s">
        <v>1627</v>
      </c>
      <c r="D483">
        <f>'Laminates- copilot'!B165</f>
        <v>919</v>
      </c>
      <c r="E483" s="858">
        <f>'Laminates- copilot'!D165</f>
        <v>121</v>
      </c>
      <c r="F483" s="858">
        <v>350</v>
      </c>
      <c r="G483" s="858">
        <v>500</v>
      </c>
      <c r="H483" s="858">
        <v>100</v>
      </c>
      <c r="I483" s="858">
        <v>0</v>
      </c>
      <c r="J483" s="858">
        <v>900</v>
      </c>
      <c r="K483" s="858">
        <v>1600000</v>
      </c>
      <c r="L483" s="858" t="str">
        <f>'Laminates- copilot'!K165</f>
        <v>Printed</v>
      </c>
      <c r="M483" s="858" t="str">
        <f>'Laminates- copilot'!L165</f>
        <v>1-2</v>
      </c>
      <c r="N483" s="858">
        <f>'Laminates- copilot'!M165</f>
        <v>2</v>
      </c>
      <c r="O483" s="858" t="str">
        <f>'Laminates- copilot'!O165</f>
        <v>Quantum</v>
      </c>
      <c r="P483" s="858" t="str">
        <f>'Laminates- copilot'!N165</f>
        <v>Europe to Europe</v>
      </c>
      <c r="Q483" s="858">
        <f t="shared" si="112"/>
        <v>800000</v>
      </c>
      <c r="R483" s="858">
        <f t="shared" si="113"/>
        <v>800000</v>
      </c>
      <c r="S483" s="858">
        <f>IFERROR('Laminates- copilot'!Q165/'Laminates- copilot'!P165*Q483,"")</f>
        <v>40453.199999999997</v>
      </c>
      <c r="T483" s="203">
        <f>IFERROR('Laminates- copilot'!R165/'Laminates- copilot'!P165*Q483,"")</f>
        <v>1141836.7451697674</v>
      </c>
      <c r="U483" s="912">
        <f>IFERROR('Laminates- copilot'!S165/'Laminates- copilot'!P165*Q483,"")</f>
        <v>1324530.6243969302</v>
      </c>
      <c r="V483" s="913">
        <f t="shared" si="114"/>
        <v>28.226116726730332</v>
      </c>
      <c r="W483" s="914">
        <f t="shared" si="115"/>
        <v>32.742295403007184</v>
      </c>
      <c r="X483" s="913">
        <f t="shared" si="116"/>
        <v>1.4272959314622093</v>
      </c>
      <c r="Y483" s="913">
        <f t="shared" si="117"/>
        <v>28.226116726730332</v>
      </c>
      <c r="Z483" s="95">
        <f t="shared" si="118"/>
        <v>19776</v>
      </c>
      <c r="AA483" s="50" t="str">
        <f t="shared" si="119"/>
        <v>MOQ OK</v>
      </c>
      <c r="AB483" s="923">
        <f t="shared" si="120"/>
        <v>1.4037308152723096</v>
      </c>
      <c r="AC483" s="924">
        <f t="shared" si="121"/>
        <v>1.6283277457158789</v>
      </c>
      <c r="AD483" s="203">
        <f t="shared" si="122"/>
        <v>2245969.3044356955</v>
      </c>
      <c r="AE483" s="912">
        <f t="shared" si="123"/>
        <v>2605324.3931454066</v>
      </c>
      <c r="AF483" s="923" cm="1">
        <f t="array" ref="AF483">IF(O483="Quantum",IFERROR(_xlfn.LET(_xlpm.b,_xlfn.SWITCH(LOWER(B483),"zipper bag","Zipper pouch","open bag","Open pouch","sup with zipper","Stand-up pouch","stand-up pouch","Stand-up pouch",B483),_xlpm.w,G483,_xlpm.q,K483,_xlpm.types,'Converting-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missing"),IFERROR(_xlfn.LET(_xlpm.s,O483,_xlpm.b,_xlfn.SWITCH(LOWER(B483),"zipper bag","Zipper pouch","open bag","Open pouch",B483),_xlpm.w,G483,_xlpm.q,K483,_xlpm.src,'Converting-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483" s="923">
        <f>IFERROR(IF(OR(B483="Zipper pouch",B483="SUP with zipper"),HELPER!$DE$2*(AH483+AI483)/K483,HELPER!$DE$2*AH483/K483),"Data is missing")</f>
        <v>5.6223597429832855E-4</v>
      </c>
      <c r="AH483" s="923">
        <f t="shared" si="124"/>
        <v>1.4272959314622093</v>
      </c>
      <c r="AI483" s="923">
        <f>IF(OR(B483="Zipper pouch",B483="SUP with zipper"),HELPER!$DC$2*G483/1000,"")</f>
        <v>7.1999999999999995E-2</v>
      </c>
      <c r="AJ483" s="923" cm="1">
        <f t="array" ref="AJ483">IF(INDEX('Laminates- copilot'!$E$6:$E$257,ROUNDUP((ROW()-5)/3,0))+50&gt;IF(O483="Quantum",760,1220),"Width exceeds supplier maximum",IFERROR(AF483+AG483+N(AI483)+AH483*G483/1000/MAX(1,MIN(MAX(2,INT(900/INDEX('Laminates- copilot'!$E$6:$E$257,ROUNDUP((ROW()-5)/3,0)))),INT((IF(O483="Quantum",760,1220)-50)/INDEX('Laminates- copilot'!$E$6:$E$257,ROUNDUP((ROW()-5)/3,0))))),"Data is missing"))</f>
        <v>1.0527981114542322</v>
      </c>
      <c r="AK483" s="203">
        <f t="shared" si="125"/>
        <v>1403.7308152723097</v>
      </c>
      <c r="AL483" t="str">
        <f t="shared" si="126"/>
        <v>PASS</v>
      </c>
      <c r="AM483" s="50" t="str">
        <f t="shared" si="127"/>
        <v/>
      </c>
    </row>
    <row r="484" spans="1:39" hidden="1">
      <c r="A484" t="s">
        <v>2112</v>
      </c>
      <c r="B484" t="s">
        <v>261</v>
      </c>
      <c r="C484" s="50" t="s">
        <v>1627</v>
      </c>
      <c r="D484">
        <f>'Laminates- copilot'!B165</f>
        <v>919</v>
      </c>
      <c r="E484" s="858">
        <f>'Laminates- copilot'!D165</f>
        <v>121</v>
      </c>
      <c r="F484" s="858">
        <v>350</v>
      </c>
      <c r="G484" s="858">
        <v>500</v>
      </c>
      <c r="H484" s="858">
        <v>100</v>
      </c>
      <c r="I484" s="858">
        <v>0</v>
      </c>
      <c r="J484" s="858">
        <v>900</v>
      </c>
      <c r="K484" s="858">
        <v>1600000</v>
      </c>
      <c r="L484" s="858" t="str">
        <f>'Laminates- copilot'!K165</f>
        <v>Printed</v>
      </c>
      <c r="M484" s="858" t="str">
        <f>'Laminates- copilot'!L165</f>
        <v>1-2</v>
      </c>
      <c r="N484" s="858">
        <f>'Laminates- copilot'!M165</f>
        <v>2</v>
      </c>
      <c r="O484" s="858" t="str">
        <f>'Laminates- copilot'!O165</f>
        <v>Quantum</v>
      </c>
      <c r="P484" s="858" t="str">
        <f>'Laminates- copilot'!N165</f>
        <v>Europe to Europe</v>
      </c>
      <c r="Q484" s="858">
        <f t="shared" si="112"/>
        <v>800000</v>
      </c>
      <c r="R484" s="858">
        <f t="shared" si="113"/>
        <v>800000</v>
      </c>
      <c r="S484" s="858">
        <f>IFERROR('Laminates- copilot'!Q165/'Laminates- copilot'!P165*Q484,"")</f>
        <v>40453.199999999997</v>
      </c>
      <c r="T484" s="203">
        <f>IFERROR('Laminates- copilot'!R165/'Laminates- copilot'!P165*Q484,"")</f>
        <v>1141836.7451697674</v>
      </c>
      <c r="U484" s="912">
        <f>IFERROR('Laminates- copilot'!S165/'Laminates- copilot'!P165*Q484,"")</f>
        <v>1324530.6243969302</v>
      </c>
      <c r="V484" s="913">
        <f t="shared" si="114"/>
        <v>28.226116726730332</v>
      </c>
      <c r="W484" s="914">
        <f t="shared" si="115"/>
        <v>32.742295403007184</v>
      </c>
      <c r="X484" s="913">
        <f t="shared" si="116"/>
        <v>1.4272959314622093</v>
      </c>
      <c r="Y484" s="913">
        <f t="shared" si="117"/>
        <v>28.226116726730332</v>
      </c>
      <c r="Z484" s="95">
        <f t="shared" si="118"/>
        <v>19776</v>
      </c>
      <c r="AA484" s="50" t="str">
        <f t="shared" si="119"/>
        <v>MOQ OK</v>
      </c>
      <c r="AB484" s="923">
        <f t="shared" si="120"/>
        <v>1.3643129384768253</v>
      </c>
      <c r="AC484" s="924">
        <f t="shared" si="121"/>
        <v>1.5826030086331173</v>
      </c>
      <c r="AD484" s="203">
        <f t="shared" si="122"/>
        <v>2182900.7015629206</v>
      </c>
      <c r="AE484" s="912">
        <f t="shared" si="123"/>
        <v>2532164.8138129879</v>
      </c>
      <c r="AF484" s="923" cm="1">
        <f t="array" ref="AF484">IF(O484="Quantum",IFERROR(_xlfn.LET(_xlpm.b,_xlfn.SWITCH(LOWER(B484),"zipper bag","Zipper pouch","open bag","Open pouch","sup with zipper","Stand-up pouch","stand-up pouch","Stand-up pouch",B484),_xlpm.w,G484,_xlpm.q,K484,_xlpm.types,'Converting-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missing"),IFERROR(_xlfn.LET(_xlpm.s,O484,_xlpm.b,_xlfn.SWITCH(LOWER(B484),"zipper bag","Zipper pouch","open bag","Open pouch",B484),_xlpm.w,G484,_xlpm.q,K484,_xlpm.src,'Converting-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484" s="923">
        <f>IFERROR(IF(OR(B484="Zipper pouch",B484="SUP with zipper"),HELPER!$DE$2*(AH484+AI484)/K484,HELPER!$DE$2*AH484/K484),"Data is missing")</f>
        <v>5.6223597429832855E-4</v>
      </c>
      <c r="AH484" s="923">
        <f t="shared" si="124"/>
        <v>1.4272959314622093</v>
      </c>
      <c r="AI484" s="923">
        <f>IF(OR(B484="Zipper pouch",B484="SUP with zipper"),HELPER!$DC$2*G484/1000,"")</f>
        <v>7.1999999999999995E-2</v>
      </c>
      <c r="AJ484" s="923" cm="1">
        <f t="array" ref="AJ484">IF(INDEX('Laminates- copilot'!$E$6:$E$257,ROUNDUP((ROW()-5)/3,0))+50&gt;IF(O484="Quantum",760,1220),"Width exceeds supplier maximum",IFERROR(AF484+AG484+N(AI484)+AH484*G484/1000/MAX(1,MIN(MAX(2,INT(900/INDEX('Laminates- copilot'!$E$6:$E$257,ROUNDUP((ROW()-5)/3,0)))),INT((IF(O484="Quantum",760,1220)-50)/INDEX('Laminates- copilot'!$E$6:$E$257,ROUNDUP((ROW()-5)/3,0))))),"Data is missing"))</f>
        <v>1.0232347038576191</v>
      </c>
      <c r="AK484" s="203">
        <f t="shared" si="125"/>
        <v>1364.3129384768254</v>
      </c>
      <c r="AL484" t="str">
        <f t="shared" si="126"/>
        <v>PASS</v>
      </c>
      <c r="AM484" s="50" t="str">
        <f t="shared" si="127"/>
        <v/>
      </c>
    </row>
    <row r="485" spans="1:39" hidden="1">
      <c r="A485" t="s">
        <v>2113</v>
      </c>
      <c r="B485" t="s">
        <v>262</v>
      </c>
      <c r="C485" s="50" t="s">
        <v>1627</v>
      </c>
      <c r="D485">
        <f>'Laminates- copilot'!B165</f>
        <v>919</v>
      </c>
      <c r="E485" s="858">
        <f>'Laminates- copilot'!D165</f>
        <v>121</v>
      </c>
      <c r="F485" s="858">
        <v>350</v>
      </c>
      <c r="G485" s="858">
        <v>500</v>
      </c>
      <c r="H485" s="858">
        <v>0</v>
      </c>
      <c r="I485" s="858">
        <v>25</v>
      </c>
      <c r="J485" s="858">
        <v>725</v>
      </c>
      <c r="K485" s="858">
        <v>1600000</v>
      </c>
      <c r="L485" s="858" t="str">
        <f>'Laminates- copilot'!K165</f>
        <v>Printed</v>
      </c>
      <c r="M485" s="858" t="str">
        <f>'Laminates- copilot'!L165</f>
        <v>1-2</v>
      </c>
      <c r="N485" s="858">
        <f>'Laminates- copilot'!M165</f>
        <v>2</v>
      </c>
      <c r="O485" s="858" t="str">
        <f>'Laminates- copilot'!O165</f>
        <v>Quantum</v>
      </c>
      <c r="P485" s="858" t="str">
        <f>'Laminates- copilot'!N165</f>
        <v>Europe to Europe</v>
      </c>
      <c r="Q485" s="858">
        <f t="shared" si="112"/>
        <v>800000</v>
      </c>
      <c r="R485" s="858">
        <f t="shared" si="113"/>
        <v>800000</v>
      </c>
      <c r="S485" s="858">
        <f>IFERROR('Laminates- copilot'!Q165/'Laminates- copilot'!P165*Q485,"")</f>
        <v>40453.199999999997</v>
      </c>
      <c r="T485" s="203">
        <f>IFERROR('Laminates- copilot'!R165/'Laminates- copilot'!P165*Q485,"")</f>
        <v>1141836.7451697674</v>
      </c>
      <c r="U485" s="912">
        <f>IFERROR('Laminates- copilot'!S165/'Laminates- copilot'!P165*Q485,"")</f>
        <v>1324530.6243969302</v>
      </c>
      <c r="V485" s="913">
        <f t="shared" si="114"/>
        <v>28.226116726730332</v>
      </c>
      <c r="W485" s="914">
        <f t="shared" si="115"/>
        <v>32.742295403007184</v>
      </c>
      <c r="X485" s="913">
        <f t="shared" si="116"/>
        <v>1.4272959314622093</v>
      </c>
      <c r="Y485" s="913">
        <f t="shared" si="117"/>
        <v>28.226116726730332</v>
      </c>
      <c r="Z485" s="95">
        <f t="shared" si="118"/>
        <v>19776</v>
      </c>
      <c r="AA485" s="50" t="str">
        <f t="shared" si="119"/>
        <v>MOQ OK</v>
      </c>
      <c r="AB485" s="923">
        <f t="shared" si="120"/>
        <v>1.2365127519829668</v>
      </c>
      <c r="AC485" s="924">
        <f t="shared" si="121"/>
        <v>1.4343547923002415</v>
      </c>
      <c r="AD485" s="203">
        <f t="shared" si="122"/>
        <v>1978420.403172747</v>
      </c>
      <c r="AE485" s="912">
        <f t="shared" si="123"/>
        <v>2294967.6676803865</v>
      </c>
      <c r="AF485" s="923" cm="1">
        <f t="array" ref="AF485">IF(O485="Quantum",IFERROR(_xlfn.LET(_xlpm.b,_xlfn.SWITCH(LOWER(B485),"zipper bag","Zipper pouch","open bag","Open pouch","sup with zipper","Stand-up pouch","stand-up pouch","Stand-up pouch",B485),_xlpm.w,G485,_xlpm.q,K485,_xlpm.types,'Converting-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missing"),IFERROR(_xlfn.LET(_xlpm.s,O485,_xlpm.b,_xlfn.SWITCH(LOWER(B485),"zipper bag","Zipper pouch","open bag","Open pouch",B485),_xlpm.w,G485,_xlpm.q,K485,_xlpm.src,'Converting-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485" s="923">
        <f>IFERROR(IF(OR(B485="Zipper pouch",B485="SUP with zipper"),HELPER!$DE$2*(AH485+AI485)/K485,HELPER!$DE$2*AH485/K485),"Data is missing")</f>
        <v>5.3523597429832844E-4</v>
      </c>
      <c r="AH485" s="923">
        <f t="shared" si="124"/>
        <v>1.4272959314622093</v>
      </c>
      <c r="AI485" s="923" t="str">
        <f>IF(OR(B485="Zipper pouch",B485="SUP with zipper"),HELPER!$DC$2*G485/1000,"")</f>
        <v/>
      </c>
      <c r="AJ485" s="923" cm="1">
        <f t="array" ref="AJ485">IF(INDEX('Laminates- copilot'!$E$6:$E$257,ROUNDUP((ROW()-5)/3,0))+50&gt;IF(O485="Quantum",760,1220),"Width exceeds supplier maximum",IFERROR(AF485+AG485+N(AI485)+AH485*G485/1000/MAX(1,MIN(MAX(2,INT(900/INDEX('Laminates- copilot'!$E$6:$E$257,ROUNDUP((ROW()-5)/3,0)))),INT((IF(O485="Quantum",760,1220)-50)/INDEX('Laminates- copilot'!$E$6:$E$257,ROUNDUP((ROW()-5)/3,0))))),"Data is missing"))</f>
        <v>0.92738456398722513</v>
      </c>
      <c r="AK485" s="203">
        <f t="shared" si="125"/>
        <v>1236.5127519829668</v>
      </c>
      <c r="AL485" t="str">
        <f t="shared" si="126"/>
        <v>PASS</v>
      </c>
      <c r="AM485" s="50" t="str">
        <f t="shared" si="127"/>
        <v/>
      </c>
    </row>
    <row r="486" spans="1:39" hidden="1">
      <c r="A486" t="s">
        <v>2114</v>
      </c>
      <c r="B486" t="s">
        <v>251</v>
      </c>
      <c r="C486" s="50" t="s">
        <v>2203</v>
      </c>
      <c r="D486">
        <f>'Laminates- copilot'!B166</f>
        <v>923</v>
      </c>
      <c r="E486" s="858">
        <f>'Laminates- copilot'!D166</f>
        <v>121</v>
      </c>
      <c r="F486" s="858">
        <v>100</v>
      </c>
      <c r="G486" s="858">
        <v>100</v>
      </c>
      <c r="H486" s="858">
        <v>20</v>
      </c>
      <c r="I486" s="858">
        <v>0</v>
      </c>
      <c r="J486" s="858">
        <v>240</v>
      </c>
      <c r="K486" s="858">
        <v>25000</v>
      </c>
      <c r="L486" s="858" t="str">
        <f>'Laminates- copilot'!K166</f>
        <v>Not Printed</v>
      </c>
      <c r="M486" s="858" t="str">
        <f>'Laminates- copilot'!L166</f>
        <v>0</v>
      </c>
      <c r="N486" s="858">
        <f>'Laminates- copilot'!M166</f>
        <v>1</v>
      </c>
      <c r="O486" s="858" t="str">
        <f>'Laminates- copilot'!O166</f>
        <v>Marma</v>
      </c>
      <c r="P486" s="858" t="str">
        <f>'Laminates- copilot'!N166</f>
        <v>Europe to Europe</v>
      </c>
      <c r="Q486" s="858">
        <f t="shared" si="112"/>
        <v>2500</v>
      </c>
      <c r="R486" s="858">
        <f t="shared" si="113"/>
        <v>2500</v>
      </c>
      <c r="S486" s="858">
        <f>IFERROR('Laminates- copilot'!Q166/'Laminates- copilot'!P166*Q486,"")</f>
        <v>33.710999999999999</v>
      </c>
      <c r="T486" s="203">
        <f>IFERROR('Laminates- copilot'!R166/'Laminates- copilot'!P166*Q486,"")</f>
        <v>297.65765489677057</v>
      </c>
      <c r="U486" s="912">
        <f>IFERROR('Laminates- copilot'!S166/'Laminates- copilot'!P166*Q486,"")</f>
        <v>345.28287968025387</v>
      </c>
      <c r="V486" s="913">
        <f t="shared" si="114"/>
        <v>8.8296892675023155</v>
      </c>
      <c r="W486" s="914">
        <f t="shared" si="115"/>
        <v>10.242439550302688</v>
      </c>
      <c r="X486" s="913">
        <f t="shared" si="116"/>
        <v>0.11906306195870822</v>
      </c>
      <c r="Y486" s="913">
        <f t="shared" si="117"/>
        <v>8.8296892675023155</v>
      </c>
      <c r="Z486" s="95">
        <f t="shared" si="118"/>
        <v>370799</v>
      </c>
      <c r="AA486" s="50" t="str">
        <f t="shared" si="119"/>
        <v>Below MOQ by 345,799 bags</v>
      </c>
      <c r="AB486" s="923">
        <f t="shared" si="120"/>
        <v>7.6669439964638764E-2</v>
      </c>
      <c r="AC486" s="924">
        <f t="shared" si="121"/>
        <v>8.8936550358980959E-2</v>
      </c>
      <c r="AD486" s="203">
        <f t="shared" si="122"/>
        <v>1916.735999115969</v>
      </c>
      <c r="AE486" s="912">
        <f t="shared" si="123"/>
        <v>2223.4137589745237</v>
      </c>
      <c r="AF486" s="923" cm="1">
        <f t="array" ref="AF486">IF(O486="Quantum",IFERROR(_xlfn.LET(_xlpm.b,_xlfn.SWITCH(LOWER(B486),"zipper bag","Zipper pouch","open bag","Open pouch","sup with zipper","Stand-up pouch","stand-up pouch","Stand-up pouch",B486),_xlpm.w,G486,_xlpm.q,K486,_xlpm.types,'Converting-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missing"),IFERROR(_xlfn.LET(_xlpm.s,O486,_xlpm.b,_xlfn.SWITCH(LOWER(B486),"zipper bag","Zipper pouch","open bag","Open pouch",B486),_xlpm.w,G486,_xlpm.q,K486,_xlpm.src,'Converting-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486" s="923">
        <f>IFERROR(IF(OR(B486="Zipper pouch",B486="SUP with zipper"),HELPER!$DE$2*(AH486+AI486)/K486,HELPER!$DE$2*AH486/K486),"Data is missing")</f>
        <v>3.203113487008997E-3</v>
      </c>
      <c r="AH486" s="923">
        <f t="shared" si="124"/>
        <v>0.11906306195870822</v>
      </c>
      <c r="AI486" s="923">
        <f>IF(OR(B486="Zipper pouch",B486="SUP with zipper"),HELPER!$DC$2*G486/1000,"")</f>
        <v>1.4399999999999998E-2</v>
      </c>
      <c r="AJ486" s="923" cm="1">
        <f t="array" ref="AJ486">IF(INDEX('Laminates- copilot'!$E$6:$E$257,ROUNDUP((ROW()-5)/3,0))+50&gt;IF(O486="Quantum",760,1220),"Width exceeds supplier maximum",IFERROR(AF486+AG486+N(AI486)+AH486*G486/1000/MAX(1,MIN(MAX(2,INT(900/INDEX('Laminates- copilot'!$E$6:$E$257,ROUNDUP((ROW()-5)/3,0)))),INT((IF(O486="Quantum",760,1220)-50)/INDEX('Laminates- copilot'!$E$6:$E$257,ROUNDUP((ROW()-5)/3,0))))),"Data is missing"))</f>
        <v>5.7502079973479073E-2</v>
      </c>
      <c r="AK486" s="203">
        <f t="shared" si="125"/>
        <v>76.669439964638769</v>
      </c>
      <c r="AL486" t="str">
        <f t="shared" si="126"/>
        <v>PASS</v>
      </c>
      <c r="AM486" s="50" t="str">
        <f t="shared" si="127"/>
        <v/>
      </c>
    </row>
    <row r="487" spans="1:39" hidden="1">
      <c r="A487" t="s">
        <v>2115</v>
      </c>
      <c r="B487" t="s">
        <v>261</v>
      </c>
      <c r="C487" s="50" t="s">
        <v>2203</v>
      </c>
      <c r="D487">
        <f>'Laminates- copilot'!B166</f>
        <v>923</v>
      </c>
      <c r="E487" s="858">
        <f>'Laminates- copilot'!D166</f>
        <v>121</v>
      </c>
      <c r="F487" s="858">
        <v>100</v>
      </c>
      <c r="G487" s="858">
        <v>100</v>
      </c>
      <c r="H487" s="858">
        <v>20</v>
      </c>
      <c r="I487" s="858">
        <v>0</v>
      </c>
      <c r="J487" s="858">
        <v>240</v>
      </c>
      <c r="K487" s="858">
        <v>25000</v>
      </c>
      <c r="L487" s="858" t="str">
        <f>'Laminates- copilot'!K166</f>
        <v>Not Printed</v>
      </c>
      <c r="M487" s="858" t="str">
        <f>'Laminates- copilot'!L166</f>
        <v>0</v>
      </c>
      <c r="N487" s="858">
        <f>'Laminates- copilot'!M166</f>
        <v>1</v>
      </c>
      <c r="O487" s="858" t="str">
        <f>'Laminates- copilot'!O166</f>
        <v>Marma</v>
      </c>
      <c r="P487" s="858" t="str">
        <f>'Laminates- copilot'!N166</f>
        <v>Europe to Europe</v>
      </c>
      <c r="Q487" s="858">
        <f t="shared" si="112"/>
        <v>2500</v>
      </c>
      <c r="R487" s="858">
        <f t="shared" si="113"/>
        <v>2500</v>
      </c>
      <c r="S487" s="858">
        <f>IFERROR('Laminates- copilot'!Q166/'Laminates- copilot'!P166*Q487,"")</f>
        <v>33.710999999999999</v>
      </c>
      <c r="T487" s="203">
        <f>IFERROR('Laminates- copilot'!R166/'Laminates- copilot'!P166*Q487,"")</f>
        <v>297.65765489677057</v>
      </c>
      <c r="U487" s="912">
        <f>IFERROR('Laminates- copilot'!S166/'Laminates- copilot'!P166*Q487,"")</f>
        <v>345.28287968025387</v>
      </c>
      <c r="V487" s="913">
        <f t="shared" si="114"/>
        <v>8.8296892675023155</v>
      </c>
      <c r="W487" s="914">
        <f t="shared" si="115"/>
        <v>10.242439550302688</v>
      </c>
      <c r="X487" s="913">
        <f t="shared" si="116"/>
        <v>0.11906306195870822</v>
      </c>
      <c r="Y487" s="913">
        <f t="shared" si="117"/>
        <v>8.8296892675023155</v>
      </c>
      <c r="Z487" s="95">
        <f t="shared" si="118"/>
        <v>370799</v>
      </c>
      <c r="AA487" s="50" t="str">
        <f t="shared" si="119"/>
        <v>Below MOQ by 345,799 bags</v>
      </c>
      <c r="AB487" s="923">
        <f t="shared" si="120"/>
        <v>7.3244101636020367E-2</v>
      </c>
      <c r="AC487" s="924">
        <f t="shared" si="121"/>
        <v>8.4963157897783623E-2</v>
      </c>
      <c r="AD487" s="203">
        <f t="shared" si="122"/>
        <v>1831.1025409005092</v>
      </c>
      <c r="AE487" s="912">
        <f t="shared" si="123"/>
        <v>2124.0789474445905</v>
      </c>
      <c r="AF487" s="923" cm="1">
        <f t="array" ref="AF487">IF(O487="Quantum",IFERROR(_xlfn.LET(_xlpm.b,_xlfn.SWITCH(LOWER(B487),"zipper bag","Zipper pouch","open bag","Open pouch","sup with zipper","Stand-up pouch","stand-up pouch","Stand-up pouch",B487),_xlpm.w,G487,_xlpm.q,K487,_xlpm.types,'Converting-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missing"),IFERROR(_xlfn.LET(_xlpm.s,O487,_xlpm.b,_xlfn.SWITCH(LOWER(B487),"zipper bag","Zipper pouch","open bag","Open pouch",B487),_xlpm.w,G487,_xlpm.q,K487,_xlpm.src,'Converting-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487" s="923">
        <f>IFERROR(IF(OR(B487="Zipper pouch",B487="SUP with zipper"),HELPER!$DE$2*(AH487+AI487)/K487,HELPER!$DE$2*AH487/K487),"Data is missing")</f>
        <v>3.203113487008997E-3</v>
      </c>
      <c r="AH487" s="923">
        <f t="shared" si="124"/>
        <v>0.11906306195870822</v>
      </c>
      <c r="AI487" s="923">
        <f>IF(OR(B487="Zipper pouch",B487="SUP with zipper"),HELPER!$DC$2*G487/1000,"")</f>
        <v>1.4399999999999998E-2</v>
      </c>
      <c r="AJ487" s="923" cm="1">
        <f t="array" ref="AJ487">IF(INDEX('Laminates- copilot'!$E$6:$E$257,ROUNDUP((ROW()-5)/3,0))+50&gt;IF(O487="Quantum",760,1220),"Width exceeds supplier maximum",IFERROR(AF487+AG487+N(AI487)+AH487*G487/1000/MAX(1,MIN(MAX(2,INT(900/INDEX('Laminates- copilot'!$E$6:$E$257,ROUNDUP((ROW()-5)/3,0)))),INT((IF(O487="Quantum",760,1220)-50)/INDEX('Laminates- copilot'!$E$6:$E$257,ROUNDUP((ROW()-5)/3,0))))),"Data is missing"))</f>
        <v>5.4933076227015272E-2</v>
      </c>
      <c r="AK487" s="203">
        <f t="shared" si="125"/>
        <v>73.244101636020361</v>
      </c>
      <c r="AL487" t="str">
        <f t="shared" si="126"/>
        <v>PASS</v>
      </c>
      <c r="AM487" s="50" t="str">
        <f t="shared" si="127"/>
        <v/>
      </c>
    </row>
    <row r="488" spans="1:39" hidden="1">
      <c r="A488" t="s">
        <v>2116</v>
      </c>
      <c r="B488" t="s">
        <v>262</v>
      </c>
      <c r="C488" s="50" t="s">
        <v>2203</v>
      </c>
      <c r="D488">
        <f>'Laminates- copilot'!B166</f>
        <v>923</v>
      </c>
      <c r="E488" s="858">
        <f>'Laminates- copilot'!D166</f>
        <v>121</v>
      </c>
      <c r="F488" s="858">
        <v>100</v>
      </c>
      <c r="G488" s="858">
        <v>100</v>
      </c>
      <c r="H488" s="858">
        <v>0</v>
      </c>
      <c r="I488" s="858">
        <v>0</v>
      </c>
      <c r="J488" s="858">
        <v>200</v>
      </c>
      <c r="K488" s="858">
        <v>25000</v>
      </c>
      <c r="L488" s="858" t="str">
        <f>'Laminates- copilot'!K166</f>
        <v>Not Printed</v>
      </c>
      <c r="M488" s="858" t="str">
        <f>'Laminates- copilot'!L166</f>
        <v>0</v>
      </c>
      <c r="N488" s="858">
        <f>'Laminates- copilot'!M166</f>
        <v>1</v>
      </c>
      <c r="O488" s="858" t="str">
        <f>'Laminates- copilot'!O166</f>
        <v>Marma</v>
      </c>
      <c r="P488" s="858" t="str">
        <f>'Laminates- copilot'!N166</f>
        <v>Europe to Europe</v>
      </c>
      <c r="Q488" s="858">
        <f t="shared" si="112"/>
        <v>2500</v>
      </c>
      <c r="R488" s="858">
        <f t="shared" si="113"/>
        <v>2500</v>
      </c>
      <c r="S488" s="858">
        <f>IFERROR('Laminates- copilot'!Q166/'Laminates- copilot'!P166*Q488,"")</f>
        <v>33.710999999999999</v>
      </c>
      <c r="T488" s="203">
        <f>IFERROR('Laminates- copilot'!R166/'Laminates- copilot'!P166*Q488,"")</f>
        <v>297.65765489677057</v>
      </c>
      <c r="U488" s="912">
        <f>IFERROR('Laminates- copilot'!S166/'Laminates- copilot'!P166*Q488,"")</f>
        <v>345.28287968025387</v>
      </c>
      <c r="V488" s="913">
        <f t="shared" si="114"/>
        <v>8.8296892675023155</v>
      </c>
      <c r="W488" s="914">
        <f t="shared" si="115"/>
        <v>10.242439550302688</v>
      </c>
      <c r="X488" s="913">
        <f t="shared" si="116"/>
        <v>0.11906306195870822</v>
      </c>
      <c r="Y488" s="913">
        <f t="shared" si="117"/>
        <v>8.8296892675023155</v>
      </c>
      <c r="Z488" s="95">
        <f t="shared" si="118"/>
        <v>370799</v>
      </c>
      <c r="AA488" s="50" t="str">
        <f t="shared" si="119"/>
        <v>Below MOQ by 345,799 bags</v>
      </c>
      <c r="AB488" s="923">
        <f t="shared" si="120"/>
        <v>4.9812697288154746E-2</v>
      </c>
      <c r="AC488" s="924">
        <f t="shared" si="121"/>
        <v>5.7782728854259502E-2</v>
      </c>
      <c r="AD488" s="203">
        <f t="shared" si="122"/>
        <v>1245.3174322038687</v>
      </c>
      <c r="AE488" s="912">
        <f t="shared" si="123"/>
        <v>1444.5682213564876</v>
      </c>
      <c r="AF488" s="923" cm="1">
        <f t="array" ref="AF488">IF(O488="Quantum",IFERROR(_xlfn.LET(_xlpm.b,_xlfn.SWITCH(LOWER(B488),"zipper bag","Zipper pouch","open bag","Open pouch","sup with zipper","Stand-up pouch","stand-up pouch","Stand-up pouch",B488),_xlpm.w,G488,_xlpm.q,K488,_xlpm.types,'Converting-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missing"),IFERROR(_xlfn.LET(_xlpm.s,O488,_xlpm.b,_xlfn.SWITCH(LOWER(B488),"zipper bag","Zipper pouch","open bag","Open pouch",B488),_xlpm.w,G488,_xlpm.q,K488,_xlpm.src,'Converting-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488" s="923">
        <f>IFERROR(IF(OR(B488="Zipper pouch",B488="SUP with zipper"),HELPER!$DE$2*(AH488+AI488)/K488,HELPER!$DE$2*AH488/K488),"Data is missing")</f>
        <v>2.8575134870089973E-3</v>
      </c>
      <c r="AH488" s="923">
        <f t="shared" si="124"/>
        <v>0.11906306195870822</v>
      </c>
      <c r="AI488" s="923" t="str">
        <f>IF(OR(B488="Zipper pouch",B488="SUP with zipper"),HELPER!$DC$2*G488/1000,"")</f>
        <v/>
      </c>
      <c r="AJ488" s="923" cm="1">
        <f t="array" ref="AJ488">IF(INDEX('Laminates- copilot'!$E$6:$E$257,ROUNDUP((ROW()-5)/3,0))+50&gt;IF(O488="Quantum",760,1220),"Width exceeds supplier maximum",IFERROR(AF488+AG488+N(AI488)+AH488*G488/1000/MAX(1,MIN(MAX(2,INT(900/INDEX('Laminates- copilot'!$E$6:$E$257,ROUNDUP((ROW()-5)/3,0)))),INT((IF(O488="Quantum",760,1220)-50)/INDEX('Laminates- copilot'!$E$6:$E$257,ROUNDUP((ROW()-5)/3,0))))),"Data is missing"))</f>
        <v>3.7359522966116061E-2</v>
      </c>
      <c r="AK488" s="203">
        <f t="shared" si="125"/>
        <v>49.812697288154745</v>
      </c>
      <c r="AL488" t="str">
        <f t="shared" si="126"/>
        <v>PASS</v>
      </c>
      <c r="AM488" s="50" t="str">
        <f t="shared" si="127"/>
        <v/>
      </c>
    </row>
    <row r="489" spans="1:39" hidden="1">
      <c r="A489" t="s">
        <v>2117</v>
      </c>
      <c r="B489" t="s">
        <v>251</v>
      </c>
      <c r="C489" s="50" t="s">
        <v>2204</v>
      </c>
      <c r="D489">
        <f>'Laminates- copilot'!B167</f>
        <v>923</v>
      </c>
      <c r="E489" s="858">
        <f>'Laminates- copilot'!D167</f>
        <v>121</v>
      </c>
      <c r="F489" s="858">
        <v>150</v>
      </c>
      <c r="G489" s="858">
        <v>150</v>
      </c>
      <c r="H489" s="858">
        <v>25</v>
      </c>
      <c r="I489" s="858">
        <v>0</v>
      </c>
      <c r="J489" s="858">
        <v>350</v>
      </c>
      <c r="K489" s="858">
        <v>25000</v>
      </c>
      <c r="L489" s="858" t="str">
        <f>'Laminates- copilot'!K167</f>
        <v>Printed</v>
      </c>
      <c r="M489" s="858" t="str">
        <f>'Laminates- copilot'!L167</f>
        <v>1-2</v>
      </c>
      <c r="N489" s="858">
        <f>'Laminates- copilot'!M167</f>
        <v>1</v>
      </c>
      <c r="O489" s="858" t="str">
        <f>'Laminates- copilot'!O167</f>
        <v>Bastin</v>
      </c>
      <c r="P489" s="858" t="str">
        <f>'Laminates- copilot'!N167</f>
        <v>Europe to US</v>
      </c>
      <c r="Q489" s="858">
        <f t="shared" si="112"/>
        <v>3750</v>
      </c>
      <c r="R489" s="858">
        <f t="shared" si="113"/>
        <v>3750</v>
      </c>
      <c r="S489" s="858">
        <f>IFERROR('Laminates- copilot'!Q167/'Laminates- copilot'!P167*Q489,"")</f>
        <v>50.566500000000012</v>
      </c>
      <c r="T489" s="203">
        <f>IFERROR('Laminates- copilot'!R167/'Laminates- copilot'!P167*Q489,"")</f>
        <v>11650.101655776227</v>
      </c>
      <c r="U489" s="912">
        <f>IFERROR('Laminates- copilot'!S167/'Laminates- copilot'!P167*Q489,"")</f>
        <v>13514.117920700424</v>
      </c>
      <c r="V489" s="913">
        <f t="shared" si="114"/>
        <v>230.39169520880867</v>
      </c>
      <c r="W489" s="914">
        <f t="shared" si="115"/>
        <v>267.2543664422181</v>
      </c>
      <c r="X489" s="913">
        <f t="shared" si="116"/>
        <v>3.1066937748736603</v>
      </c>
      <c r="Y489" s="913">
        <f t="shared" si="117"/>
        <v>230.39169520880867</v>
      </c>
      <c r="Z489" s="95">
        <f t="shared" si="118"/>
        <v>247200</v>
      </c>
      <c r="AA489" s="50" t="str">
        <f t="shared" si="119"/>
        <v>Below MOQ by 222,200 bags</v>
      </c>
      <c r="AB489" s="923">
        <f t="shared" si="120"/>
        <v>0.29294829688022977</v>
      </c>
      <c r="AC489" s="924">
        <f t="shared" si="121"/>
        <v>0.33982002438106651</v>
      </c>
      <c r="AD489" s="203">
        <f t="shared" si="122"/>
        <v>7323.7074220057448</v>
      </c>
      <c r="AE489" s="912">
        <f t="shared" si="123"/>
        <v>8495.5006095266635</v>
      </c>
      <c r="AF489" s="923" cm="1">
        <f t="array" ref="AF489">IF(O489="Quantum",IFERROR(_xlfn.LET(_xlpm.b,_xlfn.SWITCH(LOWER(B489),"zipper bag","Zipper pouch","open bag","Open pouch","sup with zipper","Stand-up pouch","stand-up pouch","Stand-up pouch",B489),_xlpm.w,G489,_xlpm.q,K489,_xlpm.types,'Converting-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missing"),IFERROR(_xlfn.LET(_xlpm.s,O489,_xlpm.b,_xlfn.SWITCH(LOWER(B489),"zipper bag","Zipper pouch","open bag","Open pouch",B489),_xlpm.w,G489,_xlpm.q,K489,_xlpm.src,'Converting-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489" s="923">
        <f>IFERROR(IF(OR(B489="Zipper pouch",B489="SUP with zipper"),HELPER!$DE$2*(AH489+AI489)/K489,HELPER!$DE$2*AH489/K489),"Data is missing")</f>
        <v>7.5079050596967845E-2</v>
      </c>
      <c r="AH489" s="923">
        <f t="shared" si="124"/>
        <v>3.1066937748736603</v>
      </c>
      <c r="AI489" s="923">
        <f>IF(OR(B489="Zipper pouch",B489="SUP with zipper"),HELPER!$DC$2*G489/1000,"")</f>
        <v>2.1599999999999998E-2</v>
      </c>
      <c r="AJ489" s="923" cm="1">
        <f t="array" ref="AJ489">IF(INDEX('Laminates- copilot'!$E$6:$E$257,ROUNDUP((ROW()-5)/3,0))+50&gt;IF(O489="Quantum",760,1220),"Width exceeds supplier maximum",IFERROR(AF489+AG489+N(AI489)+AH489*G489/1000/MAX(1,MIN(MAX(2,INT(900/INDEX('Laminates- copilot'!$E$6:$E$257,ROUNDUP((ROW()-5)/3,0)))),INT((IF(O489="Quantum",760,1220)-50)/INDEX('Laminates- copilot'!$E$6:$E$257,ROUNDUP((ROW()-5)/3,0))))),"Data is missing"))</f>
        <v>0.21971122266017232</v>
      </c>
      <c r="AK489" s="203">
        <f t="shared" si="125"/>
        <v>292.94829688022975</v>
      </c>
      <c r="AL489" t="str">
        <f t="shared" si="126"/>
        <v>PASS</v>
      </c>
      <c r="AM489" s="50" t="str">
        <f t="shared" si="127"/>
        <v/>
      </c>
    </row>
    <row r="490" spans="1:39" hidden="1">
      <c r="A490" t="s">
        <v>2118</v>
      </c>
      <c r="B490" t="s">
        <v>261</v>
      </c>
      <c r="C490" s="50" t="s">
        <v>2204</v>
      </c>
      <c r="D490">
        <f>'Laminates- copilot'!B167</f>
        <v>923</v>
      </c>
      <c r="E490" s="858">
        <f>'Laminates- copilot'!D167</f>
        <v>121</v>
      </c>
      <c r="F490" s="858">
        <v>150</v>
      </c>
      <c r="G490" s="858">
        <v>150</v>
      </c>
      <c r="H490" s="858">
        <v>25</v>
      </c>
      <c r="I490" s="858">
        <v>0</v>
      </c>
      <c r="J490" s="858">
        <v>350</v>
      </c>
      <c r="K490" s="858">
        <v>25000</v>
      </c>
      <c r="L490" s="858" t="str">
        <f>'Laminates- copilot'!K167</f>
        <v>Printed</v>
      </c>
      <c r="M490" s="858" t="str">
        <f>'Laminates- copilot'!L167</f>
        <v>1-2</v>
      </c>
      <c r="N490" s="858">
        <f>'Laminates- copilot'!M167</f>
        <v>1</v>
      </c>
      <c r="O490" s="858" t="str">
        <f>'Laminates- copilot'!O167</f>
        <v>Bastin</v>
      </c>
      <c r="P490" s="858" t="str">
        <f>'Laminates- copilot'!N167</f>
        <v>Europe to US</v>
      </c>
      <c r="Q490" s="858">
        <f t="shared" si="112"/>
        <v>3750</v>
      </c>
      <c r="R490" s="858">
        <f t="shared" si="113"/>
        <v>3750</v>
      </c>
      <c r="S490" s="858">
        <f>IFERROR('Laminates- copilot'!Q167/'Laminates- copilot'!P167*Q490,"")</f>
        <v>50.566500000000012</v>
      </c>
      <c r="T490" s="203">
        <f>IFERROR('Laminates- copilot'!R167/'Laminates- copilot'!P167*Q490,"")</f>
        <v>11650.101655776227</v>
      </c>
      <c r="U490" s="912">
        <f>IFERROR('Laminates- copilot'!S167/'Laminates- copilot'!P167*Q490,"")</f>
        <v>13514.117920700424</v>
      </c>
      <c r="V490" s="913">
        <f t="shared" si="114"/>
        <v>230.39169520880867</v>
      </c>
      <c r="W490" s="914">
        <f t="shared" si="115"/>
        <v>267.2543664422181</v>
      </c>
      <c r="X490" s="913">
        <f t="shared" si="116"/>
        <v>3.1066937748736603</v>
      </c>
      <c r="Y490" s="913">
        <f t="shared" si="117"/>
        <v>230.39169520880867</v>
      </c>
      <c r="Z490" s="95">
        <f t="shared" si="118"/>
        <v>247200</v>
      </c>
      <c r="AA490" s="50" t="str">
        <f t="shared" si="119"/>
        <v>Below MOQ by 222,200 bags</v>
      </c>
      <c r="AB490" s="923">
        <f t="shared" si="120"/>
        <v>0.2877828866806732</v>
      </c>
      <c r="AC490" s="924">
        <f t="shared" si="121"/>
        <v>0.33382814854958087</v>
      </c>
      <c r="AD490" s="203">
        <f t="shared" si="122"/>
        <v>7194.5721670168296</v>
      </c>
      <c r="AE490" s="912">
        <f t="shared" si="123"/>
        <v>8345.7037137395218</v>
      </c>
      <c r="AF490" s="923" cm="1">
        <f t="array" ref="AF490">IF(O490="Quantum",IFERROR(_xlfn.LET(_xlpm.b,_xlfn.SWITCH(LOWER(B490),"zipper bag","Zipper pouch","open bag","Open pouch","sup with zipper","Stand-up pouch","stand-up pouch","Stand-up pouch",B490),_xlpm.w,G490,_xlpm.q,K490,_xlpm.types,'Converting-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missing"),IFERROR(_xlfn.LET(_xlpm.s,O490,_xlpm.b,_xlfn.SWITCH(LOWER(B490),"zipper bag","Zipper pouch","open bag","Open pouch",B490),_xlpm.w,G490,_xlpm.q,K490,_xlpm.src,'Converting-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90" s="923">
        <f>IFERROR(IF(OR(B490="Zipper pouch",B490="SUP with zipper"),HELPER!$DE$2*(AH490+AI490)/K490,HELPER!$DE$2*AH490/K490),"Data is missing")</f>
        <v>7.5079050596967845E-2</v>
      </c>
      <c r="AH490" s="923">
        <f t="shared" si="124"/>
        <v>3.1066937748736603</v>
      </c>
      <c r="AI490" s="923">
        <f>IF(OR(B490="Zipper pouch",B490="SUP with zipper"),HELPER!$DC$2*G490/1000,"")</f>
        <v>2.1599999999999998E-2</v>
      </c>
      <c r="AJ490" s="923" cm="1">
        <f t="array" ref="AJ490">IF(INDEX('Laminates- copilot'!$E$6:$E$257,ROUNDUP((ROW()-5)/3,0))+50&gt;IF(O490="Quantum",760,1220),"Width exceeds supplier maximum",IFERROR(AF490+AG490+N(AI490)+AH490*G490/1000/MAX(1,MIN(MAX(2,INT(900/INDEX('Laminates- copilot'!$E$6:$E$257,ROUNDUP((ROW()-5)/3,0)))),INT((IF(O490="Quantum",760,1220)-50)/INDEX('Laminates- copilot'!$E$6:$E$257,ROUNDUP((ROW()-5)/3,0))))),"Data is missing"))</f>
        <v>0.2158371650105049</v>
      </c>
      <c r="AK490" s="203">
        <f t="shared" si="125"/>
        <v>287.78288668067319</v>
      </c>
      <c r="AL490" t="str">
        <f t="shared" si="126"/>
        <v>PASS</v>
      </c>
      <c r="AM490" s="50" t="str">
        <f t="shared" si="127"/>
        <v/>
      </c>
    </row>
    <row r="491" spans="1:39" hidden="1">
      <c r="A491" t="s">
        <v>2119</v>
      </c>
      <c r="B491" t="s">
        <v>262</v>
      </c>
      <c r="C491" s="50" t="s">
        <v>2204</v>
      </c>
      <c r="D491">
        <f>'Laminates- copilot'!B167</f>
        <v>923</v>
      </c>
      <c r="E491" s="858">
        <f>'Laminates- copilot'!D167</f>
        <v>121</v>
      </c>
      <c r="F491" s="858">
        <v>150</v>
      </c>
      <c r="G491" s="858">
        <v>150</v>
      </c>
      <c r="H491" s="858">
        <v>0</v>
      </c>
      <c r="I491" s="858">
        <v>0</v>
      </c>
      <c r="J491" s="858">
        <v>300</v>
      </c>
      <c r="K491" s="858">
        <v>25000</v>
      </c>
      <c r="L491" s="858" t="str">
        <f>'Laminates- copilot'!K167</f>
        <v>Printed</v>
      </c>
      <c r="M491" s="858" t="str">
        <f>'Laminates- copilot'!L167</f>
        <v>1-2</v>
      </c>
      <c r="N491" s="858">
        <f>'Laminates- copilot'!M167</f>
        <v>1</v>
      </c>
      <c r="O491" s="858" t="str">
        <f>'Laminates- copilot'!O167</f>
        <v>Bastin</v>
      </c>
      <c r="P491" s="858" t="str">
        <f>'Laminates- copilot'!N167</f>
        <v>Europe to US</v>
      </c>
      <c r="Q491" s="858">
        <f t="shared" si="112"/>
        <v>3750</v>
      </c>
      <c r="R491" s="858">
        <f t="shared" si="113"/>
        <v>3750</v>
      </c>
      <c r="S491" s="858">
        <f>IFERROR('Laminates- copilot'!Q167/'Laminates- copilot'!P167*Q491,"")</f>
        <v>50.566500000000012</v>
      </c>
      <c r="T491" s="203">
        <f>IFERROR('Laminates- copilot'!R167/'Laminates- copilot'!P167*Q491,"")</f>
        <v>11650.101655776227</v>
      </c>
      <c r="U491" s="912">
        <f>IFERROR('Laminates- copilot'!S167/'Laminates- copilot'!P167*Q491,"")</f>
        <v>13514.117920700424</v>
      </c>
      <c r="V491" s="913">
        <f t="shared" si="114"/>
        <v>230.39169520880867</v>
      </c>
      <c r="W491" s="914">
        <f t="shared" si="115"/>
        <v>267.2543664422181</v>
      </c>
      <c r="X491" s="913">
        <f t="shared" si="116"/>
        <v>3.1066937748736603</v>
      </c>
      <c r="Y491" s="913">
        <f t="shared" si="117"/>
        <v>230.39169520880867</v>
      </c>
      <c r="Z491" s="95">
        <f t="shared" si="118"/>
        <v>247200</v>
      </c>
      <c r="AA491" s="50" t="str">
        <f t="shared" si="119"/>
        <v>Below MOQ by 222,200 bags</v>
      </c>
      <c r="AB491" s="923">
        <f t="shared" si="120"/>
        <v>0.25245764784441704</v>
      </c>
      <c r="AC491" s="924">
        <f t="shared" si="121"/>
        <v>0.29285087149952377</v>
      </c>
      <c r="AD491" s="203">
        <f t="shared" si="122"/>
        <v>6311.4411961104261</v>
      </c>
      <c r="AE491" s="912">
        <f t="shared" si="123"/>
        <v>7321.2717874880937</v>
      </c>
      <c r="AF491" s="923" cm="1">
        <f t="array" ref="AF491">IF(O491="Quantum",IFERROR(_xlfn.LET(_xlpm.b,_xlfn.SWITCH(LOWER(B491),"zipper bag","Zipper pouch","open bag","Open pouch","sup with zipper","Stand-up pouch","stand-up pouch","Stand-up pouch",B491),_xlpm.w,G491,_xlpm.q,K491,_xlpm.types,'Converting-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missing"),IFERROR(_xlfn.LET(_xlpm.s,O491,_xlpm.b,_xlfn.SWITCH(LOWER(B491),"zipper bag","Zipper pouch","open bag","Open pouch",B491),_xlpm.w,G491,_xlpm.q,K491,_xlpm.src,'Converting-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91" s="923">
        <f>IFERROR(IF(OR(B491="Zipper pouch",B491="SUP with zipper"),HELPER!$DE$2*(AH491+AI491)/K491,HELPER!$DE$2*AH491/K491),"Data is missing")</f>
        <v>7.4560650596967842E-2</v>
      </c>
      <c r="AH491" s="923">
        <f t="shared" si="124"/>
        <v>3.1066937748736603</v>
      </c>
      <c r="AI491" s="923" t="str">
        <f>IF(OR(B491="Zipper pouch",B491="SUP with zipper"),HELPER!$DC$2*G491/1000,"")</f>
        <v/>
      </c>
      <c r="AJ491" s="923" cm="1">
        <f t="array" ref="AJ491">IF(INDEX('Laminates- copilot'!$E$6:$E$257,ROUNDUP((ROW()-5)/3,0))+50&gt;IF(O491="Quantum",760,1220),"Width exceeds supplier maximum",IFERROR(AF491+AG491+N(AI491)+AH491*G491/1000/MAX(1,MIN(MAX(2,INT(900/INDEX('Laminates- copilot'!$E$6:$E$257,ROUNDUP((ROW()-5)/3,0)))),INT((IF(O491="Quantum",760,1220)-50)/INDEX('Laminates- copilot'!$E$6:$E$257,ROUNDUP((ROW()-5)/3,0))))),"Data is missing"))</f>
        <v>0.18934323588331278</v>
      </c>
      <c r="AK491" s="203">
        <f t="shared" si="125"/>
        <v>252.45764784441704</v>
      </c>
      <c r="AL491" t="str">
        <f t="shared" si="126"/>
        <v>PASS</v>
      </c>
      <c r="AM491" s="50" t="str">
        <f t="shared" si="127"/>
        <v/>
      </c>
    </row>
    <row r="492" spans="1:39" hidden="1">
      <c r="A492" t="s">
        <v>2120</v>
      </c>
      <c r="B492" t="s">
        <v>251</v>
      </c>
      <c r="C492" s="50" t="s">
        <v>2205</v>
      </c>
      <c r="D492">
        <f>'Laminates- copilot'!B168</f>
        <v>923</v>
      </c>
      <c r="E492" s="858">
        <f>'Laminates- copilot'!D168</f>
        <v>121</v>
      </c>
      <c r="F492" s="858">
        <v>250</v>
      </c>
      <c r="G492" s="858">
        <v>200</v>
      </c>
      <c r="H492" s="858">
        <v>40</v>
      </c>
      <c r="I492" s="858">
        <v>0</v>
      </c>
      <c r="J492" s="858">
        <v>580</v>
      </c>
      <c r="K492" s="858">
        <v>50000</v>
      </c>
      <c r="L492" s="858" t="str">
        <f>'Laminates- copilot'!K168</f>
        <v>Printed</v>
      </c>
      <c r="M492" s="858" t="str">
        <f>'Laminates- copilot'!L168</f>
        <v>3-4</v>
      </c>
      <c r="N492" s="858">
        <f>'Laminates- copilot'!M168</f>
        <v>4</v>
      </c>
      <c r="O492" s="858" t="str">
        <f>'Laminates- copilot'!O168</f>
        <v>Quantum</v>
      </c>
      <c r="P492" s="858" t="str">
        <f>'Laminates- copilot'!N168</f>
        <v>Europe to Europe</v>
      </c>
      <c r="Q492" s="858">
        <f t="shared" si="112"/>
        <v>10000</v>
      </c>
      <c r="R492" s="858">
        <f t="shared" si="113"/>
        <v>10000</v>
      </c>
      <c r="S492" s="858">
        <f>IFERROR('Laminates- copilot'!Q168/'Laminates- copilot'!P168*Q492,"")</f>
        <v>393.29500000000002</v>
      </c>
      <c r="T492" s="203">
        <f>IFERROR('Laminates- copilot'!R168/'Laminates- copilot'!P168*Q492,"")</f>
        <v>7498.0894244824512</v>
      </c>
      <c r="U492" s="912">
        <f>IFERROR('Laminates- copilot'!S168/'Laminates- copilot'!P168*Q492,"")</f>
        <v>8697.7837323996428</v>
      </c>
      <c r="V492" s="913">
        <f t="shared" si="114"/>
        <v>19.064797224684909</v>
      </c>
      <c r="W492" s="914">
        <f t="shared" si="115"/>
        <v>22.11516478063449</v>
      </c>
      <c r="X492" s="913">
        <f t="shared" si="116"/>
        <v>0.74980894244824514</v>
      </c>
      <c r="Y492" s="913">
        <f t="shared" si="117"/>
        <v>19.064797224684909</v>
      </c>
      <c r="Z492" s="95">
        <f t="shared" si="118"/>
        <v>63566</v>
      </c>
      <c r="AA492" s="50" t="str">
        <f t="shared" si="119"/>
        <v>Below MOQ by 13,566 bags</v>
      </c>
      <c r="AB492" s="923">
        <f t="shared" si="120"/>
        <v>0.30652972865095723</v>
      </c>
      <c r="AC492" s="924">
        <f t="shared" si="121"/>
        <v>0.35557448523511037</v>
      </c>
      <c r="AD492" s="203">
        <f t="shared" si="122"/>
        <v>15326.486432547861</v>
      </c>
      <c r="AE492" s="912">
        <f t="shared" si="123"/>
        <v>17778.724261755517</v>
      </c>
      <c r="AF492" s="923" cm="1">
        <f t="array" ref="AF492">IF(O492="Quantum",IFERROR(_xlfn.LET(_xlpm.b,_xlfn.SWITCH(LOWER(B492),"zipper bag","Zipper pouch","open bag","Open pouch","sup with zipper","Stand-up pouch","stand-up pouch","Stand-up pouch",B492),_xlpm.w,G492,_xlpm.q,K492,_xlpm.types,'Converting-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missing"),IFERROR(_xlfn.LET(_xlpm.s,O492,_xlpm.b,_xlfn.SWITCH(LOWER(B492),"zipper bag","Zipper pouch","open bag","Open pouch",B492),_xlpm.w,G492,_xlpm.q,K492,_xlpm.src,'Converting-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492" s="923">
        <f>IFERROR(IF(OR(B492="Zipper pouch",B492="SUP with zipper"),HELPER!$DE$2*(AH492+AI492)/K492,HELPER!$DE$2*AH492/K492),"Data is missing")</f>
        <v>9.343307309378943E-3</v>
      </c>
      <c r="AH492" s="923">
        <f t="shared" si="124"/>
        <v>0.74980894244824514</v>
      </c>
      <c r="AI492" s="923">
        <f>IF(OR(B492="Zipper pouch",B492="SUP with zipper"),HELPER!$DC$2*G492/1000,"")</f>
        <v>2.8799999999999996E-2</v>
      </c>
      <c r="AJ492" s="923" cm="1">
        <f t="array" ref="AJ492">IF(INDEX('Laminates- copilot'!$E$6:$E$257,ROUNDUP((ROW()-5)/3,0))+50&gt;IF(O492="Quantum",760,1220),"Width exceeds supplier maximum",IFERROR(AF492+AG492+N(AI492)+AH492*G492/1000/MAX(1,MIN(MAX(2,INT(900/INDEX('Laminates- copilot'!$E$6:$E$257,ROUNDUP((ROW()-5)/3,0)))),INT((IF(O492="Quantum",760,1220)-50)/INDEX('Laminates- copilot'!$E$6:$E$257,ROUNDUP((ROW()-5)/3,0))))),"Data is missing"))</f>
        <v>0.22989729648821791</v>
      </c>
      <c r="AK492" s="203">
        <f t="shared" si="125"/>
        <v>306.52972865095722</v>
      </c>
      <c r="AL492" t="str">
        <f t="shared" si="126"/>
        <v>PASS</v>
      </c>
      <c r="AM492" s="50" t="str">
        <f t="shared" si="127"/>
        <v/>
      </c>
    </row>
    <row r="493" spans="1:39" hidden="1">
      <c r="A493" t="s">
        <v>2121</v>
      </c>
      <c r="B493" t="s">
        <v>261</v>
      </c>
      <c r="C493" s="50" t="s">
        <v>2205</v>
      </c>
      <c r="D493">
        <f>'Laminates- copilot'!B168</f>
        <v>923</v>
      </c>
      <c r="E493" s="858">
        <f>'Laminates- copilot'!D168</f>
        <v>121</v>
      </c>
      <c r="F493" s="858">
        <v>250</v>
      </c>
      <c r="G493" s="858">
        <v>200</v>
      </c>
      <c r="H493" s="858">
        <v>40</v>
      </c>
      <c r="I493" s="858">
        <v>0</v>
      </c>
      <c r="J493" s="858">
        <v>580</v>
      </c>
      <c r="K493" s="858">
        <v>50000</v>
      </c>
      <c r="L493" s="858" t="str">
        <f>'Laminates- copilot'!K168</f>
        <v>Printed</v>
      </c>
      <c r="M493" s="858" t="str">
        <f>'Laminates- copilot'!L168</f>
        <v>3-4</v>
      </c>
      <c r="N493" s="858">
        <f>'Laminates- copilot'!M168</f>
        <v>4</v>
      </c>
      <c r="O493" s="858" t="str">
        <f>'Laminates- copilot'!O168</f>
        <v>Quantum</v>
      </c>
      <c r="P493" s="858" t="str">
        <f>'Laminates- copilot'!N168</f>
        <v>Europe to Europe</v>
      </c>
      <c r="Q493" s="858">
        <f t="shared" si="112"/>
        <v>10000</v>
      </c>
      <c r="R493" s="858">
        <f t="shared" si="113"/>
        <v>10000</v>
      </c>
      <c r="S493" s="858">
        <f>IFERROR('Laminates- copilot'!Q168/'Laminates- copilot'!P168*Q493,"")</f>
        <v>393.29500000000002</v>
      </c>
      <c r="T493" s="203">
        <f>IFERROR('Laminates- copilot'!R168/'Laminates- copilot'!P168*Q493,"")</f>
        <v>7498.0894244824512</v>
      </c>
      <c r="U493" s="912">
        <f>IFERROR('Laminates- copilot'!S168/'Laminates- copilot'!P168*Q493,"")</f>
        <v>8697.7837323996428</v>
      </c>
      <c r="V493" s="913">
        <f t="shared" si="114"/>
        <v>19.064797224684909</v>
      </c>
      <c r="W493" s="914">
        <f t="shared" si="115"/>
        <v>22.11516478063449</v>
      </c>
      <c r="X493" s="913">
        <f t="shared" si="116"/>
        <v>0.74980894244824514</v>
      </c>
      <c r="Y493" s="913">
        <f t="shared" si="117"/>
        <v>19.064797224684909</v>
      </c>
      <c r="Z493" s="95">
        <f t="shared" si="118"/>
        <v>63566</v>
      </c>
      <c r="AA493" s="50" t="str">
        <f t="shared" si="119"/>
        <v>Below MOQ by 13,566 bags</v>
      </c>
      <c r="AB493" s="923">
        <f t="shared" si="120"/>
        <v>0.29076257793276356</v>
      </c>
      <c r="AC493" s="924">
        <f t="shared" si="121"/>
        <v>0.3372845904020057</v>
      </c>
      <c r="AD493" s="203">
        <f t="shared" si="122"/>
        <v>14538.128896638178</v>
      </c>
      <c r="AE493" s="912">
        <f t="shared" si="123"/>
        <v>16864.229520100285</v>
      </c>
      <c r="AF493" s="923" cm="1">
        <f t="array" ref="AF493">IF(O493="Quantum",IFERROR(_xlfn.LET(_xlpm.b,_xlfn.SWITCH(LOWER(B493),"zipper bag","Zipper pouch","open bag","Open pouch","sup with zipper","Stand-up pouch","stand-up pouch","Stand-up pouch",B493),_xlpm.w,G493,_xlpm.q,K493,_xlpm.types,'Converting-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missing"),IFERROR(_xlfn.LET(_xlpm.s,O493,_xlpm.b,_xlfn.SWITCH(LOWER(B493),"zipper bag","Zipper pouch","open bag","Open pouch",B493),_xlpm.w,G493,_xlpm.q,K493,_xlpm.src,'Converting-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493" s="923">
        <f>IFERROR(IF(OR(B493="Zipper pouch",B493="SUP with zipper"),HELPER!$DE$2*(AH493+AI493)/K493,HELPER!$DE$2*AH493/K493),"Data is missing")</f>
        <v>9.343307309378943E-3</v>
      </c>
      <c r="AH493" s="923">
        <f t="shared" si="124"/>
        <v>0.74980894244824514</v>
      </c>
      <c r="AI493" s="923">
        <f>IF(OR(B493="Zipper pouch",B493="SUP with zipper"),HELPER!$DC$2*G493/1000,"")</f>
        <v>2.8799999999999996E-2</v>
      </c>
      <c r="AJ493" s="923" cm="1">
        <f t="array" ref="AJ493">IF(INDEX('Laminates- copilot'!$E$6:$E$257,ROUNDUP((ROW()-5)/3,0))+50&gt;IF(O493="Quantum",760,1220),"Width exceeds supplier maximum",IFERROR(AF493+AG493+N(AI493)+AH493*G493/1000/MAX(1,MIN(MAX(2,INT(900/INDEX('Laminates- copilot'!$E$6:$E$257,ROUNDUP((ROW()-5)/3,0)))),INT((IF(O493="Quantum",760,1220)-50)/INDEX('Laminates- copilot'!$E$6:$E$257,ROUNDUP((ROW()-5)/3,0))))),"Data is missing"))</f>
        <v>0.21807193344957265</v>
      </c>
      <c r="AK493" s="203">
        <f t="shared" si="125"/>
        <v>290.76257793276358</v>
      </c>
      <c r="AL493" t="str">
        <f t="shared" si="126"/>
        <v>PASS</v>
      </c>
      <c r="AM493" s="50" t="str">
        <f t="shared" si="127"/>
        <v/>
      </c>
    </row>
    <row r="494" spans="1:39" hidden="1">
      <c r="A494" t="s">
        <v>2122</v>
      </c>
      <c r="B494" t="s">
        <v>262</v>
      </c>
      <c r="C494" s="50" t="s">
        <v>2205</v>
      </c>
      <c r="D494">
        <f>'Laminates- copilot'!B168</f>
        <v>923</v>
      </c>
      <c r="E494" s="858">
        <f>'Laminates- copilot'!D168</f>
        <v>121</v>
      </c>
      <c r="F494" s="858">
        <v>250</v>
      </c>
      <c r="G494" s="858">
        <v>200</v>
      </c>
      <c r="H494" s="858">
        <v>0</v>
      </c>
      <c r="I494" s="858">
        <v>0</v>
      </c>
      <c r="J494" s="858">
        <v>500</v>
      </c>
      <c r="K494" s="858">
        <v>50000</v>
      </c>
      <c r="L494" s="858" t="str">
        <f>'Laminates- copilot'!K168</f>
        <v>Printed</v>
      </c>
      <c r="M494" s="858" t="str">
        <f>'Laminates- copilot'!L168</f>
        <v>3-4</v>
      </c>
      <c r="N494" s="858">
        <f>'Laminates- copilot'!M168</f>
        <v>4</v>
      </c>
      <c r="O494" s="858" t="str">
        <f>'Laminates- copilot'!O168</f>
        <v>Quantum</v>
      </c>
      <c r="P494" s="858" t="str">
        <f>'Laminates- copilot'!N168</f>
        <v>Europe to Europe</v>
      </c>
      <c r="Q494" s="858">
        <f t="shared" si="112"/>
        <v>10000</v>
      </c>
      <c r="R494" s="858">
        <f t="shared" si="113"/>
        <v>10000</v>
      </c>
      <c r="S494" s="858">
        <f>IFERROR('Laminates- copilot'!Q168/'Laminates- copilot'!P168*Q494,"")</f>
        <v>393.29500000000002</v>
      </c>
      <c r="T494" s="203">
        <f>IFERROR('Laminates- copilot'!R168/'Laminates- copilot'!P168*Q494,"")</f>
        <v>7498.0894244824512</v>
      </c>
      <c r="U494" s="912">
        <f>IFERROR('Laminates- copilot'!S168/'Laminates- copilot'!P168*Q494,"")</f>
        <v>8697.7837323996428</v>
      </c>
      <c r="V494" s="913">
        <f t="shared" si="114"/>
        <v>19.064797224684909</v>
      </c>
      <c r="W494" s="914">
        <f t="shared" si="115"/>
        <v>22.11516478063449</v>
      </c>
      <c r="X494" s="913">
        <f t="shared" si="116"/>
        <v>0.74980894244824514</v>
      </c>
      <c r="Y494" s="913">
        <f t="shared" si="117"/>
        <v>19.064797224684909</v>
      </c>
      <c r="Z494" s="95">
        <f t="shared" si="118"/>
        <v>63566</v>
      </c>
      <c r="AA494" s="50" t="str">
        <f t="shared" si="119"/>
        <v>Below MOQ by 13,566 bags</v>
      </c>
      <c r="AB494" s="923">
        <f t="shared" si="120"/>
        <v>0.23469035620878329</v>
      </c>
      <c r="AC494" s="924">
        <f t="shared" si="121"/>
        <v>0.27224081320218857</v>
      </c>
      <c r="AD494" s="203">
        <f t="shared" si="122"/>
        <v>11734.517810439163</v>
      </c>
      <c r="AE494" s="912">
        <f t="shared" si="123"/>
        <v>13612.040660109429</v>
      </c>
      <c r="AF494" s="923" cm="1">
        <f t="array" ref="AF494">IF(O494="Quantum",IFERROR(_xlfn.LET(_xlpm.b,_xlfn.SWITCH(LOWER(B494),"zipper bag","Zipper pouch","open bag","Open pouch","sup with zipper","Stand-up pouch","stand-up pouch","Stand-up pouch",B494),_xlpm.w,G494,_xlpm.q,K494,_xlpm.types,'Converting-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missing"),IFERROR(_xlfn.LET(_xlpm.s,O494,_xlpm.b,_xlfn.SWITCH(LOWER(B494),"zipper bag","Zipper pouch","open bag","Open pouch",B494),_xlpm.w,G494,_xlpm.q,K494,_xlpm.src,'Converting-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494" s="923">
        <f>IFERROR(IF(OR(B494="Zipper pouch",B494="SUP with zipper"),HELPER!$DE$2*(AH494+AI494)/K494,HELPER!$DE$2*AH494/K494),"Data is missing")</f>
        <v>8.9977073093789415E-3</v>
      </c>
      <c r="AH494" s="923">
        <f t="shared" si="124"/>
        <v>0.74980894244824514</v>
      </c>
      <c r="AI494" s="923" t="str">
        <f>IF(OR(B494="Zipper pouch",B494="SUP with zipper"),HELPER!$DC$2*G494/1000,"")</f>
        <v/>
      </c>
      <c r="AJ494" s="923" cm="1">
        <f t="array" ref="AJ494">IF(INDEX('Laminates- copilot'!$E$6:$E$257,ROUNDUP((ROW()-5)/3,0))+50&gt;IF(O494="Quantum",760,1220),"Width exceeds supplier maximum",IFERROR(AF494+AG494+N(AI494)+AH494*G494/1000/MAX(1,MIN(MAX(2,INT(900/INDEX('Laminates- copilot'!$E$6:$E$257,ROUNDUP((ROW()-5)/3,0)))),INT((IF(O494="Quantum",760,1220)-50)/INDEX('Laminates- copilot'!$E$6:$E$257,ROUNDUP((ROW()-5)/3,0))))),"Data is missing"))</f>
        <v>0.17601776715658746</v>
      </c>
      <c r="AK494" s="203">
        <f t="shared" si="125"/>
        <v>234.69035620878327</v>
      </c>
      <c r="AL494" t="str">
        <f t="shared" si="126"/>
        <v>PASS</v>
      </c>
      <c r="AM494" s="50" t="str">
        <f t="shared" si="127"/>
        <v/>
      </c>
    </row>
    <row r="495" spans="1:39">
      <c r="A495" t="s">
        <v>2123</v>
      </c>
      <c r="B495" t="s">
        <v>251</v>
      </c>
      <c r="C495" s="50" t="s">
        <v>2206</v>
      </c>
      <c r="D495">
        <f>'Laminates- copilot'!B169</f>
        <v>923</v>
      </c>
      <c r="E495" s="858">
        <f>'Laminates- copilot'!D169</f>
        <v>121</v>
      </c>
      <c r="F495" s="858">
        <v>300</v>
      </c>
      <c r="G495" s="858">
        <v>300</v>
      </c>
      <c r="H495" s="858">
        <v>50</v>
      </c>
      <c r="I495" s="858">
        <v>0</v>
      </c>
      <c r="J495" s="858">
        <v>700</v>
      </c>
      <c r="K495" s="858">
        <v>50000</v>
      </c>
      <c r="L495" s="858" t="str">
        <f>'Laminates- copilot'!K169</f>
        <v>Printed</v>
      </c>
      <c r="M495" s="858" t="str">
        <f>'Laminates- copilot'!L169</f>
        <v>5-8</v>
      </c>
      <c r="N495" s="858">
        <f>'Laminates- copilot'!M169</f>
        <v>8</v>
      </c>
      <c r="O495" s="858" t="str">
        <f>'Laminates- copilot'!O169</f>
        <v>Marma</v>
      </c>
      <c r="P495" s="858" t="str">
        <f>'Laminates- copilot'!N169</f>
        <v>Europe to US</v>
      </c>
      <c r="Q495" s="858">
        <f t="shared" si="112"/>
        <v>15000</v>
      </c>
      <c r="R495" s="858">
        <f t="shared" si="113"/>
        <v>15000</v>
      </c>
      <c r="S495" s="858">
        <f>IFERROR('Laminates- copilot'!Q169/'Laminates- copilot'!P169*Q495,"")</f>
        <v>1516.9950000000001</v>
      </c>
      <c r="T495" s="203">
        <f>IFERROR('Laminates- copilot'!R169/'Laminates- copilot'!P169*Q495,"")</f>
        <v>22369.54443697134</v>
      </c>
      <c r="U495" s="912">
        <f>IFERROR('Laminates- copilot'!S169/'Laminates- copilot'!P169*Q495,"")</f>
        <v>25948.671546886748</v>
      </c>
      <c r="V495" s="913">
        <f t="shared" si="114"/>
        <v>14.745957921398119</v>
      </c>
      <c r="W495" s="914">
        <f t="shared" si="115"/>
        <v>17.105311188821812</v>
      </c>
      <c r="X495" s="913">
        <f t="shared" si="116"/>
        <v>1.491302962464756</v>
      </c>
      <c r="Y495" s="913">
        <f t="shared" si="117"/>
        <v>14.745957921398119</v>
      </c>
      <c r="Z495" s="95">
        <f t="shared" si="118"/>
        <v>16480</v>
      </c>
      <c r="AA495" s="50" t="str">
        <f t="shared" si="119"/>
        <v>MOQ OK</v>
      </c>
      <c r="AB495" s="923">
        <f t="shared" si="120"/>
        <v>0.75532810246345106</v>
      </c>
      <c r="AC495" s="924">
        <f t="shared" si="121"/>
        <v>0.87618059885760313</v>
      </c>
      <c r="AD495" s="203">
        <f t="shared" si="122"/>
        <v>37766.405123172553</v>
      </c>
      <c r="AE495" s="912">
        <f t="shared" si="123"/>
        <v>43809.029942880159</v>
      </c>
      <c r="AF495" s="923" cm="1">
        <f t="array" ref="AF495">IF(O495="Quantum",IFERROR(_xlfn.LET(_xlpm.b,_xlfn.SWITCH(LOWER(B495),"zipper bag","Zipper pouch","open bag","Open pouch","sup with zipper","Stand-up pouch","stand-up pouch","Stand-up pouch",B495),_xlpm.w,G495,_xlpm.q,K495,_xlpm.types,'Converting-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missing"),IFERROR(_xlfn.LET(_xlpm.s,O495,_xlpm.b,_xlfn.SWITCH(LOWER(B495),"zipper bag","Zipper pouch","open bag","Open pouch",B495),_xlpm.w,G495,_xlpm.q,K495,_xlpm.src,'Converting-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95" s="923">
        <f>IFERROR(IF(OR(B495="Zipper pouch",B495="SUP with zipper"),HELPER!$DE$2*(AH495+AI495)/K495,HELPER!$DE$2*AH495/K495),"Data is missing")</f>
        <v>1.841403554957707E-2</v>
      </c>
      <c r="AH495" s="923">
        <f t="shared" si="124"/>
        <v>1.491302962464756</v>
      </c>
      <c r="AI495" s="923">
        <f>IF(OR(B495="Zipper pouch",B495="SUP with zipper"),HELPER!$DC$2*G495/1000,"")</f>
        <v>4.3199999999999995E-2</v>
      </c>
      <c r="AJ495" s="923" cm="1">
        <f t="array" ref="AJ495">IF(INDEX('Laminates- copilot'!$E$6:$E$257,ROUNDUP((ROW()-5)/3,0))+50&gt;IF(O495="Quantum",760,1220),"Width exceeds supplier maximum",IFERROR(AF495+AG495+N(AI495)+AH495*G495/1000/MAX(1,MIN(MAX(2,INT(900/INDEX('Laminates- copilot'!$E$6:$E$257,ROUNDUP((ROW()-5)/3,0)))),INT((IF(O495="Quantum",760,1220)-50)/INDEX('Laminates- copilot'!$E$6:$E$257,ROUNDUP((ROW()-5)/3,0))))),"Data is missing"))</f>
        <v>0.56649607684758829</v>
      </c>
      <c r="AK495" s="203">
        <f t="shared" si="125"/>
        <v>755.32810246345105</v>
      </c>
      <c r="AL495" t="str">
        <f t="shared" si="126"/>
        <v>PASS</v>
      </c>
      <c r="AM495" s="50" t="str">
        <f t="shared" si="127"/>
        <v/>
      </c>
    </row>
    <row r="496" spans="1:39">
      <c r="A496" t="s">
        <v>2124</v>
      </c>
      <c r="B496" t="s">
        <v>261</v>
      </c>
      <c r="C496" s="50" t="s">
        <v>2206</v>
      </c>
      <c r="D496">
        <f>'Laminates- copilot'!B169</f>
        <v>923</v>
      </c>
      <c r="E496" s="858">
        <f>'Laminates- copilot'!D169</f>
        <v>121</v>
      </c>
      <c r="F496" s="858">
        <v>300</v>
      </c>
      <c r="G496" s="858">
        <v>300</v>
      </c>
      <c r="H496" s="858">
        <v>50</v>
      </c>
      <c r="I496" s="858">
        <v>0</v>
      </c>
      <c r="J496" s="858">
        <v>700</v>
      </c>
      <c r="K496" s="858">
        <v>50000</v>
      </c>
      <c r="L496" s="858" t="str">
        <f>'Laminates- copilot'!K169</f>
        <v>Printed</v>
      </c>
      <c r="M496" s="858" t="str">
        <f>'Laminates- copilot'!L169</f>
        <v>5-8</v>
      </c>
      <c r="N496" s="858">
        <f>'Laminates- copilot'!M169</f>
        <v>8</v>
      </c>
      <c r="O496" s="858" t="str">
        <f>'Laminates- copilot'!O169</f>
        <v>Marma</v>
      </c>
      <c r="P496" s="858" t="str">
        <f>'Laminates- copilot'!N169</f>
        <v>Europe to US</v>
      </c>
      <c r="Q496" s="858">
        <f t="shared" si="112"/>
        <v>15000</v>
      </c>
      <c r="R496" s="858">
        <f t="shared" si="113"/>
        <v>15000</v>
      </c>
      <c r="S496" s="858">
        <f>IFERROR('Laminates- copilot'!Q169/'Laminates- copilot'!P169*Q496,"")</f>
        <v>1516.9950000000001</v>
      </c>
      <c r="T496" s="203">
        <f>IFERROR('Laminates- copilot'!R169/'Laminates- copilot'!P169*Q496,"")</f>
        <v>22369.54443697134</v>
      </c>
      <c r="U496" s="912">
        <f>IFERROR('Laminates- copilot'!S169/'Laminates- copilot'!P169*Q496,"")</f>
        <v>25948.671546886748</v>
      </c>
      <c r="V496" s="913">
        <f t="shared" si="114"/>
        <v>14.745957921398119</v>
      </c>
      <c r="W496" s="914">
        <f t="shared" si="115"/>
        <v>17.105311188821812</v>
      </c>
      <c r="X496" s="913">
        <f t="shared" si="116"/>
        <v>1.491302962464756</v>
      </c>
      <c r="Y496" s="913">
        <f t="shared" si="117"/>
        <v>14.745957921398119</v>
      </c>
      <c r="Z496" s="95">
        <f t="shared" si="118"/>
        <v>16480</v>
      </c>
      <c r="AA496" s="50" t="str">
        <f t="shared" si="119"/>
        <v>MOQ OK</v>
      </c>
      <c r="AB496" s="923">
        <f t="shared" si="120"/>
        <v>0.7494848782558079</v>
      </c>
      <c r="AC496" s="924">
        <f t="shared" si="121"/>
        <v>0.86940245877673705</v>
      </c>
      <c r="AD496" s="203">
        <f t="shared" si="122"/>
        <v>37474.243912790393</v>
      </c>
      <c r="AE496" s="912">
        <f t="shared" si="123"/>
        <v>43470.122938836852</v>
      </c>
      <c r="AF496" s="923" cm="1">
        <f t="array" ref="AF496">IF(O496="Quantum",IFERROR(_xlfn.LET(_xlpm.b,_xlfn.SWITCH(LOWER(B496),"zipper bag","Zipper pouch","open bag","Open pouch","sup with zipper","Stand-up pouch","stand-up pouch","Stand-up pouch",B496),_xlpm.w,G496,_xlpm.q,K496,_xlpm.types,'Converting-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missing"),IFERROR(_xlfn.LET(_xlpm.s,O496,_xlpm.b,_xlfn.SWITCH(LOWER(B496),"zipper bag","Zipper pouch","open bag","Open pouch",B496),_xlpm.w,G496,_xlpm.q,K496,_xlpm.src,'Converting-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96" s="923">
        <f>IFERROR(IF(OR(B496="Zipper pouch",B496="SUP with zipper"),HELPER!$DE$2*(AH496+AI496)/K496,HELPER!$DE$2*AH496/K496),"Data is missing")</f>
        <v>1.841403554957707E-2</v>
      </c>
      <c r="AH496" s="923">
        <f t="shared" si="124"/>
        <v>1.491302962464756</v>
      </c>
      <c r="AI496" s="923">
        <f>IF(OR(B496="Zipper pouch",B496="SUP with zipper"),HELPER!$DC$2*G496/1000,"")</f>
        <v>4.3199999999999995E-2</v>
      </c>
      <c r="AJ496" s="923" cm="1">
        <f t="array" ref="AJ496">IF(INDEX('Laminates- copilot'!$E$6:$E$257,ROUNDUP((ROW()-5)/3,0))+50&gt;IF(O496="Quantum",760,1220),"Width exceeds supplier maximum",IFERROR(AF496+AG496+N(AI496)+AH496*G496/1000/MAX(1,MIN(MAX(2,INT(900/INDEX('Laminates- copilot'!$E$6:$E$257,ROUNDUP((ROW()-5)/3,0)))),INT((IF(O496="Quantum",760,1220)-50)/INDEX('Laminates- copilot'!$E$6:$E$257,ROUNDUP((ROW()-5)/3,0))))),"Data is missing"))</f>
        <v>0.56211365869185592</v>
      </c>
      <c r="AK496" s="203">
        <f t="shared" si="125"/>
        <v>749.48487825580787</v>
      </c>
      <c r="AL496" t="str">
        <f t="shared" si="126"/>
        <v>PASS</v>
      </c>
      <c r="AM496" s="50" t="str">
        <f t="shared" si="127"/>
        <v/>
      </c>
    </row>
    <row r="497" spans="1:39">
      <c r="A497" t="s">
        <v>2125</v>
      </c>
      <c r="B497" t="s">
        <v>262</v>
      </c>
      <c r="C497" s="50" t="s">
        <v>2206</v>
      </c>
      <c r="D497">
        <f>'Laminates- copilot'!B169</f>
        <v>923</v>
      </c>
      <c r="E497" s="858">
        <f>'Laminates- copilot'!D169</f>
        <v>121</v>
      </c>
      <c r="F497" s="858">
        <v>300</v>
      </c>
      <c r="G497" s="858">
        <v>300</v>
      </c>
      <c r="H497" s="858">
        <v>0</v>
      </c>
      <c r="I497" s="858">
        <v>10</v>
      </c>
      <c r="J497" s="858">
        <v>610</v>
      </c>
      <c r="K497" s="858">
        <v>50000</v>
      </c>
      <c r="L497" s="858" t="str">
        <f>'Laminates- copilot'!K169</f>
        <v>Printed</v>
      </c>
      <c r="M497" s="858" t="str">
        <f>'Laminates- copilot'!L169</f>
        <v>5-8</v>
      </c>
      <c r="N497" s="858">
        <f>'Laminates- copilot'!M169</f>
        <v>8</v>
      </c>
      <c r="O497" s="858" t="str">
        <f>'Laminates- copilot'!O169</f>
        <v>Marma</v>
      </c>
      <c r="P497" s="858" t="str">
        <f>'Laminates- copilot'!N169</f>
        <v>Europe to US</v>
      </c>
      <c r="Q497" s="858">
        <f t="shared" si="112"/>
        <v>15000</v>
      </c>
      <c r="R497" s="858">
        <f t="shared" si="113"/>
        <v>15000</v>
      </c>
      <c r="S497" s="858">
        <f>IFERROR('Laminates- copilot'!Q169/'Laminates- copilot'!P169*Q497,"")</f>
        <v>1516.9950000000001</v>
      </c>
      <c r="T497" s="203">
        <f>IFERROR('Laminates- copilot'!R169/'Laminates- copilot'!P169*Q497,"")</f>
        <v>22369.54443697134</v>
      </c>
      <c r="U497" s="912">
        <f>IFERROR('Laminates- copilot'!S169/'Laminates- copilot'!P169*Q497,"")</f>
        <v>25948.671546886748</v>
      </c>
      <c r="V497" s="913">
        <f t="shared" si="114"/>
        <v>14.745957921398119</v>
      </c>
      <c r="W497" s="914">
        <f t="shared" si="115"/>
        <v>17.105311188821812</v>
      </c>
      <c r="X497" s="913">
        <f t="shared" si="116"/>
        <v>1.491302962464756</v>
      </c>
      <c r="Y497" s="913">
        <f t="shared" si="117"/>
        <v>14.745957921398119</v>
      </c>
      <c r="Z497" s="95">
        <f t="shared" si="118"/>
        <v>16480</v>
      </c>
      <c r="AA497" s="50" t="str">
        <f t="shared" si="119"/>
        <v>MOQ OK</v>
      </c>
      <c r="AB497" s="923">
        <f t="shared" si="120"/>
        <v>0.6843056712582406</v>
      </c>
      <c r="AC497" s="924">
        <f t="shared" si="121"/>
        <v>0.79379457865955905</v>
      </c>
      <c r="AD497" s="203">
        <f t="shared" si="122"/>
        <v>34215.283562912031</v>
      </c>
      <c r="AE497" s="912">
        <f t="shared" si="123"/>
        <v>39689.728932977952</v>
      </c>
      <c r="AF497" s="923" cm="1">
        <f t="array" ref="AF497">IF(O497="Quantum",IFERROR(_xlfn.LET(_xlpm.b,_xlfn.SWITCH(LOWER(B497),"zipper bag","Zipper pouch","open bag","Open pouch","sup with zipper","Stand-up pouch","stand-up pouch","Stand-up pouch",B497),_xlpm.w,G497,_xlpm.q,K497,_xlpm.types,'Converting-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missing"),IFERROR(_xlfn.LET(_xlpm.s,O497,_xlpm.b,_xlfn.SWITCH(LOWER(B497),"zipper bag","Zipper pouch","open bag","Open pouch",B497),_xlpm.w,G497,_xlpm.q,K497,_xlpm.src,'Converting-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97" s="923">
        <f>IFERROR(IF(OR(B497="Zipper pouch",B497="SUP with zipper"),HELPER!$DE$2*(AH497+AI497)/K497,HELPER!$DE$2*AH497/K497),"Data is missing")</f>
        <v>1.7895635549577075E-2</v>
      </c>
      <c r="AH497" s="923">
        <f t="shared" si="124"/>
        <v>1.491302962464756</v>
      </c>
      <c r="AI497" s="923" t="str">
        <f>IF(OR(B497="Zipper pouch",B497="SUP with zipper"),HELPER!$DC$2*G497/1000,"")</f>
        <v/>
      </c>
      <c r="AJ497" s="923" cm="1">
        <f t="array" ref="AJ497">IF(INDEX('Laminates- copilot'!$E$6:$E$257,ROUNDUP((ROW()-5)/3,0))+50&gt;IF(O497="Quantum",760,1220),"Width exceeds supplier maximum",IFERROR(AF497+AG497+N(AI497)+AH497*G497/1000/MAX(1,MIN(MAX(2,INT(900/INDEX('Laminates- copilot'!$E$6:$E$257,ROUNDUP((ROW()-5)/3,0)))),INT((IF(O497="Quantum",760,1220)-50)/INDEX('Laminates- copilot'!$E$6:$E$257,ROUNDUP((ROW()-5)/3,0))))),"Data is missing"))</f>
        <v>0.51322925344368042</v>
      </c>
      <c r="AK497" s="203">
        <f t="shared" si="125"/>
        <v>684.30567125824064</v>
      </c>
      <c r="AL497" t="str">
        <f t="shared" si="126"/>
        <v>PASS</v>
      </c>
      <c r="AM497" s="50" t="str">
        <f t="shared" si="127"/>
        <v/>
      </c>
    </row>
    <row r="498" spans="1:39" hidden="1">
      <c r="A498" t="s">
        <v>2126</v>
      </c>
      <c r="B498" t="s">
        <v>251</v>
      </c>
      <c r="C498" s="50" t="s">
        <v>2207</v>
      </c>
      <c r="D498">
        <f>'Laminates- copilot'!B170</f>
        <v>923</v>
      </c>
      <c r="E498" s="858">
        <f>'Laminates- copilot'!D170</f>
        <v>121</v>
      </c>
      <c r="F498" s="858">
        <v>350</v>
      </c>
      <c r="G498" s="858">
        <v>400</v>
      </c>
      <c r="H498" s="858">
        <v>60</v>
      </c>
      <c r="I498" s="858">
        <v>0</v>
      </c>
      <c r="J498" s="858">
        <v>820</v>
      </c>
      <c r="K498" s="858">
        <v>100000</v>
      </c>
      <c r="L498" s="858" t="str">
        <f>'Laminates- copilot'!K170</f>
        <v>Not Printed</v>
      </c>
      <c r="M498" s="858" t="str">
        <f>'Laminates- copilot'!L170</f>
        <v>0</v>
      </c>
      <c r="N498" s="858">
        <f>'Laminates- copilot'!M170</f>
        <v>1</v>
      </c>
      <c r="O498" s="858" t="str">
        <f>'Laminates- copilot'!O170</f>
        <v>Bastin</v>
      </c>
      <c r="P498" s="858" t="str">
        <f>'Laminates- copilot'!N170</f>
        <v>Europe to Europe</v>
      </c>
      <c r="Q498" s="858">
        <f t="shared" si="112"/>
        <v>40000</v>
      </c>
      <c r="R498" s="858">
        <f t="shared" si="113"/>
        <v>40000</v>
      </c>
      <c r="S498" s="858">
        <f>IFERROR('Laminates- copilot'!Q170/'Laminates- copilot'!P170*Q498,"")</f>
        <v>1573.18</v>
      </c>
      <c r="T498" s="203">
        <f>IFERROR('Laminates- copilot'!R170/'Laminates- copilot'!P170*Q498,"")</f>
        <v>17699.085749843747</v>
      </c>
      <c r="U498" s="912">
        <f>IFERROR('Laminates- copilot'!S170/'Laminates- copilot'!P170*Q498,"")</f>
        <v>20530.939469818743</v>
      </c>
      <c r="V498" s="913">
        <f t="shared" si="114"/>
        <v>11.250515357329579</v>
      </c>
      <c r="W498" s="914">
        <f t="shared" si="115"/>
        <v>13.050597814502309</v>
      </c>
      <c r="X498" s="913">
        <f t="shared" si="116"/>
        <v>0.4424771437460937</v>
      </c>
      <c r="Y498" s="913">
        <f t="shared" si="117"/>
        <v>11.250515357329579</v>
      </c>
      <c r="Z498" s="95">
        <f t="shared" si="118"/>
        <v>31783</v>
      </c>
      <c r="AA498" s="50" t="str">
        <f t="shared" si="119"/>
        <v>MOQ OK</v>
      </c>
      <c r="AB498" s="923">
        <f t="shared" si="120"/>
        <v>0.32942650046871025</v>
      </c>
      <c r="AC498" s="924">
        <f t="shared" si="121"/>
        <v>0.38213474054370389</v>
      </c>
      <c r="AD498" s="203">
        <f t="shared" si="122"/>
        <v>32942.650046871022</v>
      </c>
      <c r="AE498" s="912">
        <f t="shared" si="123"/>
        <v>38213.474054370381</v>
      </c>
      <c r="AF498" s="923" cm="1">
        <f t="array" ref="AF498">IF(O498="Quantum",IFERROR(_xlfn.LET(_xlpm.b,_xlfn.SWITCH(LOWER(B498),"zipper bag","Zipper pouch","open bag","Open pouch","sup with zipper","Stand-up pouch","stand-up pouch","Stand-up pouch",B498),_xlpm.w,G498,_xlpm.q,K498,_xlpm.types,'Converting-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missing"),IFERROR(_xlfn.LET(_xlpm.s,O498,_xlpm.b,_xlfn.SWITCH(LOWER(B498),"zipper bag","Zipper pouch","open bag","Open pouch",B498),_xlpm.w,G498,_xlpm.q,K498,_xlpm.src,'Converting-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98" s="923">
        <f>IFERROR(IF(OR(B498="Zipper pouch",B498="SUP with zipper"),HELPER!$DE$2*(AH498+AI498)/K498,HELPER!$DE$2*AH498/K498),"Data is missing")</f>
        <v>3.0004628624765621E-3</v>
      </c>
      <c r="AH498" s="923">
        <f t="shared" si="124"/>
        <v>0.4424771437460937</v>
      </c>
      <c r="AI498" s="923">
        <f>IF(OR(B498="Zipper pouch",B498="SUP with zipper"),HELPER!$DC$2*G498/1000,"")</f>
        <v>5.7599999999999991E-2</v>
      </c>
      <c r="AJ498" s="923" cm="1">
        <f t="array" ref="AJ498">IF(INDEX('Laminates- copilot'!$E$6:$E$257,ROUNDUP((ROW()-5)/3,0))+50&gt;IF(O498="Quantum",760,1220),"Width exceeds supplier maximum",IFERROR(AF498+AG498+N(AI498)+AH498*G498/1000/MAX(1,MIN(MAX(2,INT(900/INDEX('Laminates- copilot'!$E$6:$E$257,ROUNDUP((ROW()-5)/3,0)))),INT((IF(O498="Quantum",760,1220)-50)/INDEX('Laminates- copilot'!$E$6:$E$257,ROUNDUP((ROW()-5)/3,0))))),"Data is missing"))</f>
        <v>0.24706987535153269</v>
      </c>
      <c r="AK498" s="203">
        <f t="shared" si="125"/>
        <v>329.42650046871023</v>
      </c>
      <c r="AL498" t="str">
        <f t="shared" si="126"/>
        <v>PASS</v>
      </c>
      <c r="AM498" s="50" t="str">
        <f t="shared" si="127"/>
        <v/>
      </c>
    </row>
    <row r="499" spans="1:39" hidden="1">
      <c r="A499" t="s">
        <v>2127</v>
      </c>
      <c r="B499" t="s">
        <v>261</v>
      </c>
      <c r="C499" s="50" t="s">
        <v>2207</v>
      </c>
      <c r="D499">
        <f>'Laminates- copilot'!B170</f>
        <v>923</v>
      </c>
      <c r="E499" s="858">
        <f>'Laminates- copilot'!D170</f>
        <v>121</v>
      </c>
      <c r="F499" s="858">
        <v>350</v>
      </c>
      <c r="G499" s="858">
        <v>400</v>
      </c>
      <c r="H499" s="858">
        <v>60</v>
      </c>
      <c r="I499" s="858">
        <v>0</v>
      </c>
      <c r="J499" s="858">
        <v>820</v>
      </c>
      <c r="K499" s="858">
        <v>100000</v>
      </c>
      <c r="L499" s="858" t="str">
        <f>'Laminates- copilot'!K170</f>
        <v>Not Printed</v>
      </c>
      <c r="M499" s="858" t="str">
        <f>'Laminates- copilot'!L170</f>
        <v>0</v>
      </c>
      <c r="N499" s="858">
        <f>'Laminates- copilot'!M170</f>
        <v>1</v>
      </c>
      <c r="O499" s="858" t="str">
        <f>'Laminates- copilot'!O170</f>
        <v>Bastin</v>
      </c>
      <c r="P499" s="858" t="str">
        <f>'Laminates- copilot'!N170</f>
        <v>Europe to Europe</v>
      </c>
      <c r="Q499" s="858">
        <f t="shared" si="112"/>
        <v>40000</v>
      </c>
      <c r="R499" s="858">
        <f t="shared" si="113"/>
        <v>40000</v>
      </c>
      <c r="S499" s="858">
        <f>IFERROR('Laminates- copilot'!Q170/'Laminates- copilot'!P170*Q499,"")</f>
        <v>1573.18</v>
      </c>
      <c r="T499" s="203">
        <f>IFERROR('Laminates- copilot'!R170/'Laminates- copilot'!P170*Q499,"")</f>
        <v>17699.085749843747</v>
      </c>
      <c r="U499" s="912">
        <f>IFERROR('Laminates- copilot'!S170/'Laminates- copilot'!P170*Q499,"")</f>
        <v>20530.939469818743</v>
      </c>
      <c r="V499" s="913">
        <f t="shared" si="114"/>
        <v>11.250515357329579</v>
      </c>
      <c r="W499" s="914">
        <f t="shared" si="115"/>
        <v>13.050597814502309</v>
      </c>
      <c r="X499" s="913">
        <f t="shared" si="116"/>
        <v>0.4424771437460937</v>
      </c>
      <c r="Y499" s="913">
        <f t="shared" si="117"/>
        <v>11.250515357329579</v>
      </c>
      <c r="Z499" s="95">
        <f t="shared" si="118"/>
        <v>31783</v>
      </c>
      <c r="AA499" s="50" t="str">
        <f t="shared" si="119"/>
        <v>MOQ OK</v>
      </c>
      <c r="AB499" s="923">
        <f t="shared" si="120"/>
        <v>0.31949301931571689</v>
      </c>
      <c r="AC499" s="924">
        <f t="shared" si="121"/>
        <v>0.37061190240623154</v>
      </c>
      <c r="AD499" s="203">
        <f t="shared" si="122"/>
        <v>31949.301931571688</v>
      </c>
      <c r="AE499" s="912">
        <f t="shared" si="123"/>
        <v>37061.190240623153</v>
      </c>
      <c r="AF499" s="923" cm="1">
        <f t="array" ref="AF499">IF(O499="Quantum",IFERROR(_xlfn.LET(_xlpm.b,_xlfn.SWITCH(LOWER(B499),"zipper bag","Zipper pouch","open bag","Open pouch","sup with zipper","Stand-up pouch","stand-up pouch","Stand-up pouch",B499),_xlpm.w,G499,_xlpm.q,K499,_xlpm.types,'Converting-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missing"),IFERROR(_xlfn.LET(_xlpm.s,O499,_xlpm.b,_xlfn.SWITCH(LOWER(B499),"zipper bag","Zipper pouch","open bag","Open pouch",B499),_xlpm.w,G499,_xlpm.q,K499,_xlpm.src,'Converting-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99" s="923">
        <f>IFERROR(IF(OR(B499="Zipper pouch",B499="SUP with zipper"),HELPER!$DE$2*(AH499+AI499)/K499,HELPER!$DE$2*AH499/K499),"Data is missing")</f>
        <v>3.0004628624765621E-3</v>
      </c>
      <c r="AH499" s="923">
        <f t="shared" si="124"/>
        <v>0.4424771437460937</v>
      </c>
      <c r="AI499" s="923">
        <f>IF(OR(B499="Zipper pouch",B499="SUP with zipper"),HELPER!$DC$2*G499/1000,"")</f>
        <v>5.7599999999999991E-2</v>
      </c>
      <c r="AJ499" s="923" cm="1">
        <f t="array" ref="AJ499">IF(INDEX('Laminates- copilot'!$E$6:$E$257,ROUNDUP((ROW()-5)/3,0))+50&gt;IF(O499="Quantum",760,1220),"Width exceeds supplier maximum",IFERROR(AF499+AG499+N(AI499)+AH499*G499/1000/MAX(1,MIN(MAX(2,INT(900/INDEX('Laminates- copilot'!$E$6:$E$257,ROUNDUP((ROW()-5)/3,0)))),INT((IF(O499="Quantum",760,1220)-50)/INDEX('Laminates- copilot'!$E$6:$E$257,ROUNDUP((ROW()-5)/3,0))))),"Data is missing"))</f>
        <v>0.23961976448678768</v>
      </c>
      <c r="AK499" s="203">
        <f t="shared" si="125"/>
        <v>319.49301931571688</v>
      </c>
      <c r="AL499" t="str">
        <f t="shared" si="126"/>
        <v>PASS</v>
      </c>
      <c r="AM499" s="50" t="str">
        <f t="shared" si="127"/>
        <v/>
      </c>
    </row>
    <row r="500" spans="1:39" hidden="1">
      <c r="A500" t="s">
        <v>2128</v>
      </c>
      <c r="B500" t="s">
        <v>262</v>
      </c>
      <c r="C500" s="50" t="s">
        <v>2207</v>
      </c>
      <c r="D500">
        <f>'Laminates- copilot'!B170</f>
        <v>923</v>
      </c>
      <c r="E500" s="858">
        <f>'Laminates- copilot'!D170</f>
        <v>121</v>
      </c>
      <c r="F500" s="858">
        <v>350</v>
      </c>
      <c r="G500" s="858">
        <v>400</v>
      </c>
      <c r="H500" s="858">
        <v>0</v>
      </c>
      <c r="I500" s="858">
        <v>0</v>
      </c>
      <c r="J500" s="858">
        <v>700</v>
      </c>
      <c r="K500" s="858">
        <v>100000</v>
      </c>
      <c r="L500" s="858" t="str">
        <f>'Laminates- copilot'!K170</f>
        <v>Not Printed</v>
      </c>
      <c r="M500" s="858" t="str">
        <f>'Laminates- copilot'!L170</f>
        <v>0</v>
      </c>
      <c r="N500" s="858">
        <f>'Laminates- copilot'!M170</f>
        <v>1</v>
      </c>
      <c r="O500" s="858" t="str">
        <f>'Laminates- copilot'!O170</f>
        <v>Bastin</v>
      </c>
      <c r="P500" s="858" t="str">
        <f>'Laminates- copilot'!N170</f>
        <v>Europe to Europe</v>
      </c>
      <c r="Q500" s="858">
        <f t="shared" si="112"/>
        <v>40000</v>
      </c>
      <c r="R500" s="858">
        <f t="shared" si="113"/>
        <v>40000</v>
      </c>
      <c r="S500" s="858">
        <f>IFERROR('Laminates- copilot'!Q170/'Laminates- copilot'!P170*Q500,"")</f>
        <v>1573.18</v>
      </c>
      <c r="T500" s="203">
        <f>IFERROR('Laminates- copilot'!R170/'Laminates- copilot'!P170*Q500,"")</f>
        <v>17699.085749843747</v>
      </c>
      <c r="U500" s="912">
        <f>IFERROR('Laminates- copilot'!S170/'Laminates- copilot'!P170*Q500,"")</f>
        <v>20530.939469818743</v>
      </c>
      <c r="V500" s="913">
        <f t="shared" si="114"/>
        <v>11.250515357329579</v>
      </c>
      <c r="W500" s="914">
        <f t="shared" si="115"/>
        <v>13.050597814502309</v>
      </c>
      <c r="X500" s="913">
        <f t="shared" si="116"/>
        <v>0.4424771437460937</v>
      </c>
      <c r="Y500" s="913">
        <f t="shared" si="117"/>
        <v>11.250515357329579</v>
      </c>
      <c r="Z500" s="95">
        <f t="shared" si="118"/>
        <v>31783</v>
      </c>
      <c r="AA500" s="50" t="str">
        <f t="shared" si="119"/>
        <v>MOQ OK</v>
      </c>
      <c r="AB500" s="923">
        <f t="shared" si="120"/>
        <v>0.22910422092829505</v>
      </c>
      <c r="AC500" s="924">
        <f t="shared" si="121"/>
        <v>0.26576089627682226</v>
      </c>
      <c r="AD500" s="203">
        <f t="shared" si="122"/>
        <v>22910.422092829504</v>
      </c>
      <c r="AE500" s="912">
        <f t="shared" si="123"/>
        <v>26576.08962768222</v>
      </c>
      <c r="AF500" s="923" cm="1">
        <f t="array" ref="AF500">IF(O500="Quantum",IFERROR(_xlfn.LET(_xlpm.b,_xlfn.SWITCH(LOWER(B500),"zipper bag","Zipper pouch","open bag","Open pouch","sup with zipper","Stand-up pouch","stand-up pouch","Stand-up pouch",B500),_xlpm.w,G500,_xlpm.q,K500,_xlpm.types,'Converting-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missing"),IFERROR(_xlfn.LET(_xlpm.s,O500,_xlpm.b,_xlfn.SWITCH(LOWER(B500),"zipper bag","Zipper pouch","open bag","Open pouch",B500),_xlpm.w,G500,_xlpm.q,K500,_xlpm.src,'Converting-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500" s="923">
        <f>IFERROR(IF(OR(B500="Zipper pouch",B500="SUP with zipper"),HELPER!$DE$2*(AH500+AI500)/K500,HELPER!$DE$2*AH500/K500),"Data is missing")</f>
        <v>2.654862862476562E-3</v>
      </c>
      <c r="AH500" s="923">
        <f t="shared" si="124"/>
        <v>0.4424771437460937</v>
      </c>
      <c r="AI500" s="923" t="str">
        <f>IF(OR(B500="Zipper pouch",B500="SUP with zipper"),HELPER!$DC$2*G500/1000,"")</f>
        <v/>
      </c>
      <c r="AJ500" s="923" cm="1">
        <f t="array" ref="AJ500">IF(INDEX('Laminates- copilot'!$E$6:$E$257,ROUNDUP((ROW()-5)/3,0))+50&gt;IF(O500="Quantum",760,1220),"Width exceeds supplier maximum",IFERROR(AF500+AG500+N(AI500)+AH500*G500/1000/MAX(1,MIN(MAX(2,INT(900/INDEX('Laminates- copilot'!$E$6:$E$257,ROUNDUP((ROW()-5)/3,0)))),INT((IF(O500="Quantum",760,1220)-50)/INDEX('Laminates- copilot'!$E$6:$E$257,ROUNDUP((ROW()-5)/3,0))))),"Data is missing"))</f>
        <v>0.17182816569622128</v>
      </c>
      <c r="AK500" s="203">
        <f t="shared" si="125"/>
        <v>229.10422092829504</v>
      </c>
      <c r="AL500" t="str">
        <f t="shared" si="126"/>
        <v>PASS</v>
      </c>
      <c r="AM500" s="50" t="str">
        <f t="shared" si="127"/>
        <v/>
      </c>
    </row>
    <row r="501" spans="1:39" hidden="1">
      <c r="A501" t="s">
        <v>2129</v>
      </c>
      <c r="B501" t="s">
        <v>251</v>
      </c>
      <c r="C501" s="50" t="s">
        <v>2208</v>
      </c>
      <c r="D501">
        <f>'Laminates- copilot'!B171</f>
        <v>923</v>
      </c>
      <c r="E501" s="858">
        <f>'Laminates- copilot'!D171</f>
        <v>121</v>
      </c>
      <c r="F501" s="858">
        <v>400</v>
      </c>
      <c r="G501" s="858">
        <v>500</v>
      </c>
      <c r="H501" s="858">
        <v>80</v>
      </c>
      <c r="I501" s="858">
        <v>0</v>
      </c>
      <c r="J501" s="858">
        <v>960</v>
      </c>
      <c r="K501" s="858">
        <v>100000</v>
      </c>
      <c r="L501" s="858" t="str">
        <f>'Laminates- copilot'!K171</f>
        <v>Printed</v>
      </c>
      <c r="M501" s="858" t="str">
        <f>'Laminates- copilot'!L171</f>
        <v>3-4</v>
      </c>
      <c r="N501" s="858">
        <f>'Laminates- copilot'!M171</f>
        <v>4</v>
      </c>
      <c r="O501" s="858" t="str">
        <f>'Laminates- copilot'!O171</f>
        <v>Quantum</v>
      </c>
      <c r="P501" s="858" t="str">
        <f>'Laminates- copilot'!N171</f>
        <v>Europe to US</v>
      </c>
      <c r="Q501" s="858">
        <f t="shared" si="112"/>
        <v>50000</v>
      </c>
      <c r="R501" s="858">
        <f t="shared" si="113"/>
        <v>50000</v>
      </c>
      <c r="S501" s="858">
        <f>IFERROR('Laminates- copilot'!Q171/'Laminates- copilot'!P171*Q501,"")</f>
        <v>3371.1</v>
      </c>
      <c r="T501" s="203">
        <f>IFERROR('Laminates- copilot'!R171/'Laminates- copilot'!P171*Q501,"")</f>
        <v>87988.96494951185</v>
      </c>
      <c r="U501" s="912">
        <f>IFERROR('Laminates- copilot'!S171/'Laminates- copilot'!P171*Q501,"")</f>
        <v>102067.19934143373</v>
      </c>
      <c r="V501" s="913">
        <f t="shared" si="114"/>
        <v>26.100965545226142</v>
      </c>
      <c r="W501" s="914">
        <f t="shared" si="115"/>
        <v>30.277120032462324</v>
      </c>
      <c r="X501" s="913">
        <f t="shared" si="116"/>
        <v>1.759779298990237</v>
      </c>
      <c r="Y501" s="913">
        <f t="shared" si="117"/>
        <v>26.100965545226142</v>
      </c>
      <c r="Z501" s="95">
        <f t="shared" si="118"/>
        <v>14832</v>
      </c>
      <c r="AA501" s="50" t="str">
        <f t="shared" si="119"/>
        <v>MOQ OK</v>
      </c>
      <c r="AB501" s="923">
        <f t="shared" si="120"/>
        <v>1.645497876602243</v>
      </c>
      <c r="AC501" s="924">
        <f t="shared" si="121"/>
        <v>1.9087775368586017</v>
      </c>
      <c r="AD501" s="203">
        <f t="shared" si="122"/>
        <v>164549.78766022431</v>
      </c>
      <c r="AE501" s="912">
        <f t="shared" si="123"/>
        <v>190877.75368586017</v>
      </c>
      <c r="AF501" s="923" cm="1">
        <f t="array" ref="AF501">IF(O501="Quantum",IFERROR(_xlfn.LET(_xlpm.b,_xlfn.SWITCH(LOWER(B501),"zipper bag","Zipper pouch","open bag","Open pouch","sup with zipper","Stand-up pouch","stand-up pouch","Stand-up pouch",B501),_xlpm.w,G501,_xlpm.q,K501,_xlpm.types,'Converting-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missing"),IFERROR(_xlfn.LET(_xlpm.s,O501,_xlpm.b,_xlfn.SWITCH(LOWER(B501),"zipper bag","Zipper pouch","open bag","Open pouch",B501),_xlpm.w,G501,_xlpm.q,K501,_xlpm.src,'Converting-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501" s="923">
        <f>IFERROR(IF(OR(B501="Zipper pouch",B501="SUP with zipper"),HELPER!$DE$2*(AH501+AI501)/K501,HELPER!$DE$2*AH501/K501),"Data is missing")</f>
        <v>1.0990675793941423E-2</v>
      </c>
      <c r="AH501" s="923">
        <f t="shared" si="124"/>
        <v>1.759779298990237</v>
      </c>
      <c r="AI501" s="923">
        <f>IF(OR(B501="Zipper pouch",B501="SUP with zipper"),HELPER!$DC$2*G501/1000,"")</f>
        <v>7.1999999999999995E-2</v>
      </c>
      <c r="AJ501" s="923" cm="1">
        <f t="array" ref="AJ501">IF(INDEX('Laminates- copilot'!$E$6:$E$257,ROUNDUP((ROW()-5)/3,0))+50&gt;IF(O501="Quantum",760,1220),"Width exceeds supplier maximum",IFERROR(AF501+AG501+N(AI501)+AH501*G501/1000/MAX(1,MIN(MAX(2,INT(900/INDEX('Laminates- copilot'!$E$6:$E$257,ROUNDUP((ROW()-5)/3,0)))),INT((IF(O501="Quantum",760,1220)-50)/INDEX('Laminates- copilot'!$E$6:$E$257,ROUNDUP((ROW()-5)/3,0))))),"Data is missing"))</f>
        <v>1.2341234074516823</v>
      </c>
      <c r="AK501" s="203">
        <f t="shared" si="125"/>
        <v>1645.497876602243</v>
      </c>
      <c r="AL501" t="str">
        <f t="shared" si="126"/>
        <v>PASS</v>
      </c>
      <c r="AM501" s="50" t="str">
        <f t="shared" si="127"/>
        <v/>
      </c>
    </row>
    <row r="502" spans="1:39" hidden="1">
      <c r="A502" t="s">
        <v>2130</v>
      </c>
      <c r="B502" t="s">
        <v>261</v>
      </c>
      <c r="C502" s="50" t="s">
        <v>2208</v>
      </c>
      <c r="D502">
        <f>'Laminates- copilot'!B171</f>
        <v>923</v>
      </c>
      <c r="E502" s="858">
        <f>'Laminates- copilot'!D171</f>
        <v>121</v>
      </c>
      <c r="F502" s="858">
        <v>400</v>
      </c>
      <c r="G502" s="858">
        <v>500</v>
      </c>
      <c r="H502" s="858">
        <v>80</v>
      </c>
      <c r="I502" s="858">
        <v>0</v>
      </c>
      <c r="J502" s="858">
        <v>960</v>
      </c>
      <c r="K502" s="858">
        <v>100000</v>
      </c>
      <c r="L502" s="858" t="str">
        <f>'Laminates- copilot'!K171</f>
        <v>Printed</v>
      </c>
      <c r="M502" s="858" t="str">
        <f>'Laminates- copilot'!L171</f>
        <v>3-4</v>
      </c>
      <c r="N502" s="858">
        <f>'Laminates- copilot'!M171</f>
        <v>4</v>
      </c>
      <c r="O502" s="858" t="str">
        <f>'Laminates- copilot'!O171</f>
        <v>Quantum</v>
      </c>
      <c r="P502" s="858" t="str">
        <f>'Laminates- copilot'!N171</f>
        <v>Europe to US</v>
      </c>
      <c r="Q502" s="858">
        <f t="shared" si="112"/>
        <v>50000</v>
      </c>
      <c r="R502" s="858">
        <f t="shared" si="113"/>
        <v>50000</v>
      </c>
      <c r="S502" s="858">
        <f>IFERROR('Laminates- copilot'!Q171/'Laminates- copilot'!P171*Q502,"")</f>
        <v>3371.1</v>
      </c>
      <c r="T502" s="203">
        <f>IFERROR('Laminates- copilot'!R171/'Laminates- copilot'!P171*Q502,"")</f>
        <v>87988.96494951185</v>
      </c>
      <c r="U502" s="912">
        <f>IFERROR('Laminates- copilot'!S171/'Laminates- copilot'!P171*Q502,"")</f>
        <v>102067.19934143373</v>
      </c>
      <c r="V502" s="913">
        <f t="shared" si="114"/>
        <v>26.100965545226142</v>
      </c>
      <c r="W502" s="914">
        <f t="shared" si="115"/>
        <v>30.277120032462324</v>
      </c>
      <c r="X502" s="913">
        <f t="shared" si="116"/>
        <v>1.759779298990237</v>
      </c>
      <c r="Y502" s="913">
        <f t="shared" si="117"/>
        <v>26.100965545226142</v>
      </c>
      <c r="Z502" s="95">
        <f t="shared" si="118"/>
        <v>14832</v>
      </c>
      <c r="AA502" s="50" t="str">
        <f t="shared" si="119"/>
        <v>MOQ OK</v>
      </c>
      <c r="AB502" s="923">
        <f t="shared" si="120"/>
        <v>1.6060799998067588</v>
      </c>
      <c r="AC502" s="924">
        <f t="shared" si="121"/>
        <v>1.8630527997758399</v>
      </c>
      <c r="AD502" s="203">
        <f t="shared" si="122"/>
        <v>160607.99998067587</v>
      </c>
      <c r="AE502" s="912">
        <f t="shared" si="123"/>
        <v>186305.279977584</v>
      </c>
      <c r="AF502" s="923" cm="1">
        <f t="array" ref="AF502">IF(O502="Quantum",IFERROR(_xlfn.LET(_xlpm.b,_xlfn.SWITCH(LOWER(B502),"zipper bag","Zipper pouch","open bag","Open pouch","sup with zipper","Stand-up pouch","stand-up pouch","Stand-up pouch",B502),_xlpm.w,G502,_xlpm.q,K502,_xlpm.types,'Converting-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missing"),IFERROR(_xlfn.LET(_xlpm.s,O502,_xlpm.b,_xlfn.SWITCH(LOWER(B502),"zipper bag","Zipper pouch","open bag","Open pouch",B502),_xlpm.w,G502,_xlpm.q,K502,_xlpm.src,'Converting-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502" s="923">
        <f>IFERROR(IF(OR(B502="Zipper pouch",B502="SUP with zipper"),HELPER!$DE$2*(AH502+AI502)/K502,HELPER!$DE$2*AH502/K502),"Data is missing")</f>
        <v>1.0990675793941423E-2</v>
      </c>
      <c r="AH502" s="923">
        <f t="shared" si="124"/>
        <v>1.759779298990237</v>
      </c>
      <c r="AI502" s="923">
        <f>IF(OR(B502="Zipper pouch",B502="SUP with zipper"),HELPER!$DC$2*G502/1000,"")</f>
        <v>7.1999999999999995E-2</v>
      </c>
      <c r="AJ502" s="923" cm="1">
        <f t="array" ref="AJ502">IF(INDEX('Laminates- copilot'!$E$6:$E$257,ROUNDUP((ROW()-5)/3,0))+50&gt;IF(O502="Quantum",760,1220),"Width exceeds supplier maximum",IFERROR(AF502+AG502+N(AI502)+AH502*G502/1000/MAX(1,MIN(MAX(2,INT(900/INDEX('Laminates- copilot'!$E$6:$E$257,ROUNDUP((ROW()-5)/3,0)))),INT((IF(O502="Quantum",760,1220)-50)/INDEX('Laminates- copilot'!$E$6:$E$257,ROUNDUP((ROW()-5)/3,0))))),"Data is missing"))</f>
        <v>1.2045599998550691</v>
      </c>
      <c r="AK502" s="203">
        <f t="shared" si="125"/>
        <v>1606.0799998067587</v>
      </c>
      <c r="AL502" t="str">
        <f t="shared" si="126"/>
        <v>PASS</v>
      </c>
      <c r="AM502" s="50" t="str">
        <f t="shared" si="127"/>
        <v/>
      </c>
    </row>
    <row r="503" spans="1:39" hidden="1">
      <c r="A503" t="s">
        <v>2131</v>
      </c>
      <c r="B503" t="s">
        <v>262</v>
      </c>
      <c r="C503" s="50" t="s">
        <v>2208</v>
      </c>
      <c r="D503">
        <f>'Laminates- copilot'!B171</f>
        <v>923</v>
      </c>
      <c r="E503" s="858">
        <f>'Laminates- copilot'!D171</f>
        <v>121</v>
      </c>
      <c r="F503" s="858">
        <v>400</v>
      </c>
      <c r="G503" s="858">
        <v>500</v>
      </c>
      <c r="H503" s="858">
        <v>0</v>
      </c>
      <c r="I503" s="858">
        <v>20</v>
      </c>
      <c r="J503" s="858">
        <v>820</v>
      </c>
      <c r="K503" s="858">
        <v>100000</v>
      </c>
      <c r="L503" s="858" t="str">
        <f>'Laminates- copilot'!K171</f>
        <v>Printed</v>
      </c>
      <c r="M503" s="858" t="str">
        <f>'Laminates- copilot'!L171</f>
        <v>3-4</v>
      </c>
      <c r="N503" s="858">
        <f>'Laminates- copilot'!M171</f>
        <v>4</v>
      </c>
      <c r="O503" s="858" t="str">
        <f>'Laminates- copilot'!O171</f>
        <v>Quantum</v>
      </c>
      <c r="P503" s="858" t="str">
        <f>'Laminates- copilot'!N171</f>
        <v>Europe to US</v>
      </c>
      <c r="Q503" s="858">
        <f t="shared" si="112"/>
        <v>50000</v>
      </c>
      <c r="R503" s="858">
        <f t="shared" si="113"/>
        <v>50000</v>
      </c>
      <c r="S503" s="858">
        <f>IFERROR('Laminates- copilot'!Q171/'Laminates- copilot'!P171*Q503,"")</f>
        <v>3371.1</v>
      </c>
      <c r="T503" s="203">
        <f>IFERROR('Laminates- copilot'!R171/'Laminates- copilot'!P171*Q503,"")</f>
        <v>87988.96494951185</v>
      </c>
      <c r="U503" s="912">
        <f>IFERROR('Laminates- copilot'!S171/'Laminates- copilot'!P171*Q503,"")</f>
        <v>102067.19934143373</v>
      </c>
      <c r="V503" s="913">
        <f t="shared" si="114"/>
        <v>26.100965545226142</v>
      </c>
      <c r="W503" s="914">
        <f t="shared" si="115"/>
        <v>30.277120032462324</v>
      </c>
      <c r="X503" s="913">
        <f t="shared" si="116"/>
        <v>1.759779298990237</v>
      </c>
      <c r="Y503" s="913">
        <f t="shared" si="117"/>
        <v>26.100965545226142</v>
      </c>
      <c r="Z503" s="95">
        <f t="shared" si="118"/>
        <v>14832</v>
      </c>
      <c r="AA503" s="50" t="str">
        <f t="shared" si="119"/>
        <v>MOQ OK</v>
      </c>
      <c r="AB503" s="923">
        <f t="shared" si="120"/>
        <v>1.4756708477956586</v>
      </c>
      <c r="AC503" s="924">
        <f t="shared" si="121"/>
        <v>1.711778183442964</v>
      </c>
      <c r="AD503" s="203">
        <f t="shared" si="122"/>
        <v>147567.08477956586</v>
      </c>
      <c r="AE503" s="912">
        <f t="shared" si="123"/>
        <v>171177.81834429639</v>
      </c>
      <c r="AF503" s="923" cm="1">
        <f t="array" ref="AF503">IF(O503="Quantum",IFERROR(_xlfn.LET(_xlpm.b,_xlfn.SWITCH(LOWER(B503),"zipper bag","Zipper pouch","open bag","Open pouch","sup with zipper","Stand-up pouch","stand-up pouch","Stand-up pouch",B503),_xlpm.w,G503,_xlpm.q,K503,_xlpm.types,'Converting-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missing"),IFERROR(_xlfn.LET(_xlpm.s,O503,_xlpm.b,_xlfn.SWITCH(LOWER(B503),"zipper bag","Zipper pouch","open bag","Open pouch",B503),_xlpm.w,G503,_xlpm.q,K503,_xlpm.src,'Converting-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503" s="923">
        <f>IFERROR(IF(OR(B503="Zipper pouch",B503="SUP with zipper"),HELPER!$DE$2*(AH503+AI503)/K503,HELPER!$DE$2*AH503/K503),"Data is missing")</f>
        <v>1.0558675793941423E-2</v>
      </c>
      <c r="AH503" s="923">
        <f t="shared" si="124"/>
        <v>1.759779298990237</v>
      </c>
      <c r="AI503" s="923" t="str">
        <f>IF(OR(B503="Zipper pouch",B503="SUP with zipper"),HELPER!$DC$2*G503/1000,"")</f>
        <v/>
      </c>
      <c r="AJ503" s="923" cm="1">
        <f t="array" ref="AJ503">IF(INDEX('Laminates- copilot'!$E$6:$E$257,ROUNDUP((ROW()-5)/3,0))+50&gt;IF(O503="Quantum",760,1220),"Width exceeds supplier maximum",IFERROR(AF503+AG503+N(AI503)+AH503*G503/1000/MAX(1,MIN(MAX(2,INT(900/INDEX('Laminates- copilot'!$E$6:$E$257,ROUNDUP((ROW()-5)/3,0)))),INT((IF(O503="Quantum",760,1220)-50)/INDEX('Laminates- copilot'!$E$6:$E$257,ROUNDUP((ROW()-5)/3,0))))),"Data is missing"))</f>
        <v>1.106753135846744</v>
      </c>
      <c r="AK503" s="203">
        <f t="shared" si="125"/>
        <v>1475.6708477956586</v>
      </c>
      <c r="AL503" t="str">
        <f t="shared" si="126"/>
        <v>PASS</v>
      </c>
      <c r="AM503" s="50" t="str">
        <f t="shared" si="127"/>
        <v/>
      </c>
    </row>
    <row r="504" spans="1:39" hidden="1">
      <c r="A504" t="s">
        <v>2132</v>
      </c>
      <c r="B504" t="s">
        <v>251</v>
      </c>
      <c r="C504" s="50" t="s">
        <v>2209</v>
      </c>
      <c r="D504">
        <f>'Laminates- copilot'!B172</f>
        <v>923</v>
      </c>
      <c r="E504" s="858">
        <f>'Laminates- copilot'!D172</f>
        <v>121</v>
      </c>
      <c r="F504" s="858">
        <v>600</v>
      </c>
      <c r="G504" s="858">
        <v>200</v>
      </c>
      <c r="H504" s="858">
        <v>50</v>
      </c>
      <c r="I504" s="858">
        <v>0</v>
      </c>
      <c r="J504" s="858">
        <v>1300</v>
      </c>
      <c r="K504" s="858">
        <v>200000</v>
      </c>
      <c r="L504" s="858" t="str">
        <f>'Laminates- copilot'!K172</f>
        <v>Printed</v>
      </c>
      <c r="M504" s="858" t="str">
        <f>'Laminates- copilot'!L172</f>
        <v>5-8</v>
      </c>
      <c r="N504" s="858">
        <f>'Laminates- copilot'!M172</f>
        <v>8</v>
      </c>
      <c r="O504" s="858" t="str">
        <f>'Laminates- copilot'!O172</f>
        <v>Marma</v>
      </c>
      <c r="P504" s="858" t="str">
        <f>'Laminates- copilot'!N172</f>
        <v>Europe to Europe</v>
      </c>
      <c r="Q504" s="858">
        <f t="shared" si="112"/>
        <v>40000</v>
      </c>
      <c r="R504" s="858">
        <f t="shared" si="113"/>
        <v>40000</v>
      </c>
      <c r="S504" s="858">
        <f>IFERROR('Laminates- copilot'!Q172/'Laminates- copilot'!P172*Q504,"")</f>
        <v>4045.32</v>
      </c>
      <c r="T504" s="203">
        <f>IFERROR('Laminates- copilot'!R172/'Laminates- copilot'!P172*Q504,"")</f>
        <v>52694.92600663592</v>
      </c>
      <c r="U504" s="912">
        <f>IFERROR('Laminates- copilot'!S172/'Laminates- copilot'!P172*Q504,"")</f>
        <v>61126.114167697662</v>
      </c>
      <c r="V504" s="913">
        <f t="shared" si="114"/>
        <v>13.026145275685463</v>
      </c>
      <c r="W504" s="914">
        <f t="shared" si="115"/>
        <v>15.110328519795136</v>
      </c>
      <c r="X504" s="913">
        <f t="shared" si="116"/>
        <v>1.3173731501658981</v>
      </c>
      <c r="Y504" s="913">
        <f t="shared" si="117"/>
        <v>13.026145275685463</v>
      </c>
      <c r="Z504" s="95">
        <f t="shared" si="118"/>
        <v>24720</v>
      </c>
      <c r="AA504" s="50" t="str">
        <f t="shared" si="119"/>
        <v>MOQ OK</v>
      </c>
      <c r="AB504" s="923">
        <f t="shared" si="120"/>
        <v>0.45305005297010631</v>
      </c>
      <c r="AC504" s="924">
        <f t="shared" si="121"/>
        <v>0.52553806144532333</v>
      </c>
      <c r="AD504" s="203">
        <f t="shared" si="122"/>
        <v>90610.010594021267</v>
      </c>
      <c r="AE504" s="912">
        <f t="shared" si="123"/>
        <v>105107.61228906467</v>
      </c>
      <c r="AF504" s="923" cm="1">
        <f t="array" ref="AF504">IF(O504="Quantum",IFERROR(_xlfn.LET(_xlpm.b,_xlfn.SWITCH(LOWER(B504),"zipper bag","Zipper pouch","open bag","Open pouch","sup with zipper","Stand-up pouch","stand-up pouch","Stand-up pouch",B504),_xlpm.w,G504,_xlpm.q,K504,_xlpm.types,'Converting-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missing"),IFERROR(_xlfn.LET(_xlpm.s,O504,_xlpm.b,_xlfn.SWITCH(LOWER(B504),"zipper bag","Zipper pouch","open bag","Open pouch",B504),_xlpm.w,G504,_xlpm.q,K504,_xlpm.src,'Converting-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504" s="923">
        <f>IFERROR(IF(OR(B504="Zipper pouch",B504="SUP with zipper"),HELPER!$DE$2*(AH504+AI504)/K504,HELPER!$DE$2*AH504/K504),"Data is missing")</f>
        <v>4.0385194504976947E-3</v>
      </c>
      <c r="AH504" s="923">
        <f t="shared" si="124"/>
        <v>1.3173731501658981</v>
      </c>
      <c r="AI504" s="923">
        <f>IF(OR(B504="Zipper pouch",B504="SUP with zipper"),HELPER!$DC$2*G504/1000,"")</f>
        <v>2.8799999999999996E-2</v>
      </c>
      <c r="AJ504" s="923" cm="1">
        <f t="array" ref="AJ504">IF(INDEX('Laminates- copilot'!$E$6:$E$257,ROUNDUP((ROW()-5)/3,0))+50&gt;IF(O504="Quantum",760,1220),"Width exceeds supplier maximum",IFERROR(AF504+AG504+N(AI504)+AH504*G504/1000/MAX(1,MIN(MAX(2,INT(900/INDEX('Laminates- copilot'!$E$6:$E$257,ROUNDUP((ROW()-5)/3,0)))),INT((IF(O504="Quantum",760,1220)-50)/INDEX('Laminates- copilot'!$E$6:$E$257,ROUNDUP((ROW()-5)/3,0))))),"Data is missing"))</f>
        <v>0.33978753972757975</v>
      </c>
      <c r="AK504" s="203">
        <f t="shared" si="125"/>
        <v>453.05005297010632</v>
      </c>
      <c r="AL504" t="str">
        <f t="shared" si="126"/>
        <v>PASS</v>
      </c>
      <c r="AM504" s="50" t="str">
        <f t="shared" si="127"/>
        <v/>
      </c>
    </row>
    <row r="505" spans="1:39" hidden="1">
      <c r="A505" t="s">
        <v>2133</v>
      </c>
      <c r="B505" t="s">
        <v>261</v>
      </c>
      <c r="C505" s="50" t="s">
        <v>2209</v>
      </c>
      <c r="D505">
        <f>'Laminates- copilot'!B172</f>
        <v>923</v>
      </c>
      <c r="E505" s="858">
        <f>'Laminates- copilot'!D172</f>
        <v>121</v>
      </c>
      <c r="F505" s="858">
        <v>600</v>
      </c>
      <c r="G505" s="858">
        <v>200</v>
      </c>
      <c r="H505" s="858">
        <v>50</v>
      </c>
      <c r="I505" s="858">
        <v>0</v>
      </c>
      <c r="J505" s="858">
        <v>1300</v>
      </c>
      <c r="K505" s="858">
        <v>200000</v>
      </c>
      <c r="L505" s="858" t="str">
        <f>'Laminates- copilot'!K172</f>
        <v>Printed</v>
      </c>
      <c r="M505" s="858" t="str">
        <f>'Laminates- copilot'!L172</f>
        <v>5-8</v>
      </c>
      <c r="N505" s="858">
        <f>'Laminates- copilot'!M172</f>
        <v>8</v>
      </c>
      <c r="O505" s="858" t="str">
        <f>'Laminates- copilot'!O172</f>
        <v>Marma</v>
      </c>
      <c r="P505" s="858" t="str">
        <f>'Laminates- copilot'!N172</f>
        <v>Europe to Europe</v>
      </c>
      <c r="Q505" s="858">
        <f t="shared" si="112"/>
        <v>40000</v>
      </c>
      <c r="R505" s="858">
        <f t="shared" si="113"/>
        <v>40000</v>
      </c>
      <c r="S505" s="858">
        <f>IFERROR('Laminates- copilot'!Q172/'Laminates- copilot'!P172*Q505,"")</f>
        <v>4045.32</v>
      </c>
      <c r="T505" s="203">
        <f>IFERROR('Laminates- copilot'!R172/'Laminates- copilot'!P172*Q505,"")</f>
        <v>52694.92600663592</v>
      </c>
      <c r="U505" s="912">
        <f>IFERROR('Laminates- copilot'!S172/'Laminates- copilot'!P172*Q505,"")</f>
        <v>61126.114167697662</v>
      </c>
      <c r="V505" s="913">
        <f t="shared" si="114"/>
        <v>13.026145275685463</v>
      </c>
      <c r="W505" s="914">
        <f t="shared" si="115"/>
        <v>15.110328519795136</v>
      </c>
      <c r="X505" s="913">
        <f t="shared" si="116"/>
        <v>1.3173731501658981</v>
      </c>
      <c r="Y505" s="913">
        <f t="shared" si="117"/>
        <v>13.026145275685463</v>
      </c>
      <c r="Z505" s="95">
        <f t="shared" si="118"/>
        <v>24720</v>
      </c>
      <c r="AA505" s="50" t="str">
        <f t="shared" si="119"/>
        <v>MOQ OK</v>
      </c>
      <c r="AB505" s="923">
        <f t="shared" si="120"/>
        <v>0.44831982384963331</v>
      </c>
      <c r="AC505" s="924">
        <f t="shared" si="121"/>
        <v>0.52005099566557456</v>
      </c>
      <c r="AD505" s="203">
        <f t="shared" si="122"/>
        <v>89663.964769926664</v>
      </c>
      <c r="AE505" s="912">
        <f t="shared" si="123"/>
        <v>104010.19913311492</v>
      </c>
      <c r="AF505" s="923" cm="1">
        <f t="array" ref="AF505">IF(O505="Quantum",IFERROR(_xlfn.LET(_xlpm.b,_xlfn.SWITCH(LOWER(B505),"zipper bag","Zipper pouch","open bag","Open pouch","sup with zipper","Stand-up pouch","stand-up pouch","Stand-up pouch",B505),_xlpm.w,G505,_xlpm.q,K505,_xlpm.types,'Converting-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missing"),IFERROR(_xlfn.LET(_xlpm.s,O505,_xlpm.b,_xlfn.SWITCH(LOWER(B505),"zipper bag","Zipper pouch","open bag","Open pouch",B505),_xlpm.w,G505,_xlpm.q,K505,_xlpm.src,'Converting-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505" s="923">
        <f>IFERROR(IF(OR(B505="Zipper pouch",B505="SUP with zipper"),HELPER!$DE$2*(AH505+AI505)/K505,HELPER!$DE$2*AH505/K505),"Data is missing")</f>
        <v>4.0385194504976947E-3</v>
      </c>
      <c r="AH505" s="923">
        <f t="shared" si="124"/>
        <v>1.3173731501658981</v>
      </c>
      <c r="AI505" s="923">
        <f>IF(OR(B505="Zipper pouch",B505="SUP with zipper"),HELPER!$DC$2*G505/1000,"")</f>
        <v>2.8799999999999996E-2</v>
      </c>
      <c r="AJ505" s="923" cm="1">
        <f t="array" ref="AJ505">IF(INDEX('Laminates- copilot'!$E$6:$E$257,ROUNDUP((ROW()-5)/3,0))+50&gt;IF(O505="Quantum",760,1220),"Width exceeds supplier maximum",IFERROR(AF505+AG505+N(AI505)+AH505*G505/1000/MAX(1,MIN(MAX(2,INT(900/INDEX('Laminates- copilot'!$E$6:$E$257,ROUNDUP((ROW()-5)/3,0)))),INT((IF(O505="Quantum",760,1220)-50)/INDEX('Laminates- copilot'!$E$6:$E$257,ROUNDUP((ROW()-5)/3,0))))),"Data is missing"))</f>
        <v>0.33623986788722499</v>
      </c>
      <c r="AK505" s="203">
        <f t="shared" si="125"/>
        <v>448.31982384963334</v>
      </c>
      <c r="AL505" t="str">
        <f t="shared" si="126"/>
        <v>PASS</v>
      </c>
      <c r="AM505" s="50" t="str">
        <f t="shared" si="127"/>
        <v/>
      </c>
    </row>
    <row r="506" spans="1:39" hidden="1">
      <c r="A506" t="s">
        <v>2134</v>
      </c>
      <c r="B506" t="s">
        <v>262</v>
      </c>
      <c r="C506" s="50" t="s">
        <v>2209</v>
      </c>
      <c r="D506">
        <f>'Laminates- copilot'!B172</f>
        <v>923</v>
      </c>
      <c r="E506" s="858">
        <f>'Laminates- copilot'!D172</f>
        <v>121</v>
      </c>
      <c r="F506" s="858">
        <v>600</v>
      </c>
      <c r="G506" s="858">
        <v>200</v>
      </c>
      <c r="H506" s="858">
        <v>0</v>
      </c>
      <c r="I506" s="858">
        <v>0</v>
      </c>
      <c r="J506" s="858">
        <v>1200</v>
      </c>
      <c r="K506" s="858">
        <v>200000</v>
      </c>
      <c r="L506" s="858" t="str">
        <f>'Laminates- copilot'!K172</f>
        <v>Printed</v>
      </c>
      <c r="M506" s="858" t="str">
        <f>'Laminates- copilot'!L172</f>
        <v>5-8</v>
      </c>
      <c r="N506" s="858">
        <f>'Laminates- copilot'!M172</f>
        <v>8</v>
      </c>
      <c r="O506" s="858" t="str">
        <f>'Laminates- copilot'!O172</f>
        <v>Marma</v>
      </c>
      <c r="P506" s="858" t="str">
        <f>'Laminates- copilot'!N172</f>
        <v>Europe to Europe</v>
      </c>
      <c r="Q506" s="858">
        <f t="shared" si="112"/>
        <v>40000</v>
      </c>
      <c r="R506" s="858">
        <f t="shared" si="113"/>
        <v>40000</v>
      </c>
      <c r="S506" s="858">
        <f>IFERROR('Laminates- copilot'!Q172/'Laminates- copilot'!P172*Q506,"")</f>
        <v>4045.32</v>
      </c>
      <c r="T506" s="203">
        <f>IFERROR('Laminates- copilot'!R172/'Laminates- copilot'!P172*Q506,"")</f>
        <v>52694.92600663592</v>
      </c>
      <c r="U506" s="912">
        <f>IFERROR('Laminates- copilot'!S172/'Laminates- copilot'!P172*Q506,"")</f>
        <v>61126.114167697662</v>
      </c>
      <c r="V506" s="913">
        <f t="shared" si="114"/>
        <v>13.026145275685463</v>
      </c>
      <c r="W506" s="914">
        <f t="shared" si="115"/>
        <v>15.110328519795136</v>
      </c>
      <c r="X506" s="913">
        <f t="shared" si="116"/>
        <v>1.3173731501658981</v>
      </c>
      <c r="Y506" s="913">
        <f t="shared" si="117"/>
        <v>13.026145275685463</v>
      </c>
      <c r="Z506" s="95">
        <f t="shared" si="118"/>
        <v>24720</v>
      </c>
      <c r="AA506" s="50" t="str">
        <f t="shared" si="119"/>
        <v>MOQ OK</v>
      </c>
      <c r="AB506" s="923">
        <f t="shared" si="120"/>
        <v>0.40451942493915727</v>
      </c>
      <c r="AC506" s="924">
        <f t="shared" si="121"/>
        <v>0.46924253292942242</v>
      </c>
      <c r="AD506" s="203">
        <f t="shared" si="122"/>
        <v>80903.88498783145</v>
      </c>
      <c r="AE506" s="912">
        <f t="shared" si="123"/>
        <v>93848.506585884475</v>
      </c>
      <c r="AF506" s="923" cm="1">
        <f t="array" ref="AF506">IF(O506="Quantum",IFERROR(_xlfn.LET(_xlpm.b,_xlfn.SWITCH(LOWER(B506),"zipper bag","Zipper pouch","open bag","Open pouch","sup with zipper","Stand-up pouch","stand-up pouch","Stand-up pouch",B506),_xlpm.w,G506,_xlpm.q,K506,_xlpm.types,'Converting-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missing"),IFERROR(_xlfn.LET(_xlpm.s,O506,_xlpm.b,_xlfn.SWITCH(LOWER(B506),"zipper bag","Zipper pouch","open bag","Open pouch",B506),_xlpm.w,G506,_xlpm.q,K506,_xlpm.src,'Converting-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506" s="923">
        <f>IFERROR(IF(OR(B506="Zipper pouch",B506="SUP with zipper"),HELPER!$DE$2*(AH506+AI506)/K506,HELPER!$DE$2*AH506/K506),"Data is missing")</f>
        <v>3.9521194504976943E-3</v>
      </c>
      <c r="AH506" s="923">
        <f t="shared" si="124"/>
        <v>1.3173731501658981</v>
      </c>
      <c r="AI506" s="923" t="str">
        <f>IF(OR(B506="Zipper pouch",B506="SUP with zipper"),HELPER!$DC$2*G506/1000,"")</f>
        <v/>
      </c>
      <c r="AJ506" s="923" cm="1">
        <f t="array" ref="AJ506">IF(INDEX('Laminates- copilot'!$E$6:$E$257,ROUNDUP((ROW()-5)/3,0))+50&gt;IF(O506="Quantum",760,1220),"Width exceeds supplier maximum",IFERROR(AF506+AG506+N(AI506)+AH506*G506/1000/MAX(1,MIN(MAX(2,INT(900/INDEX('Laminates- copilot'!$E$6:$E$257,ROUNDUP((ROW()-5)/3,0)))),INT((IF(O506="Quantum",760,1220)-50)/INDEX('Laminates- copilot'!$E$6:$E$257,ROUNDUP((ROW()-5)/3,0))))),"Data is missing"))</f>
        <v>0.30338956870436795</v>
      </c>
      <c r="AK506" s="203">
        <f t="shared" si="125"/>
        <v>404.51942493915726</v>
      </c>
      <c r="AL506" t="str">
        <f t="shared" si="126"/>
        <v>PASS</v>
      </c>
      <c r="AM506" s="50" t="str">
        <f t="shared" si="127"/>
        <v/>
      </c>
    </row>
    <row r="507" spans="1:39" hidden="1">
      <c r="A507" t="s">
        <v>2135</v>
      </c>
      <c r="B507" t="s">
        <v>251</v>
      </c>
      <c r="C507" s="50" t="s">
        <v>2210</v>
      </c>
      <c r="D507">
        <f>'Laminates- copilot'!B173</f>
        <v>923</v>
      </c>
      <c r="E507" s="858">
        <f>'Laminates- copilot'!D173</f>
        <v>121</v>
      </c>
      <c r="F507" s="858">
        <v>700</v>
      </c>
      <c r="G507" s="858">
        <v>300</v>
      </c>
      <c r="H507" s="858">
        <v>75</v>
      </c>
      <c r="I507" s="858">
        <v>0</v>
      </c>
      <c r="J507" s="858">
        <v>1550</v>
      </c>
      <c r="K507" s="858">
        <v>200000</v>
      </c>
      <c r="L507" s="858" t="str">
        <f>'Laminates- copilot'!K173</f>
        <v>Not Printed</v>
      </c>
      <c r="M507" s="858" t="str">
        <f>'Laminates- copilot'!L173</f>
        <v>0</v>
      </c>
      <c r="N507" s="858">
        <f>'Laminates- copilot'!M173</f>
        <v>1</v>
      </c>
      <c r="O507" s="858" t="str">
        <f>'Laminates- copilot'!O173</f>
        <v>Bastin</v>
      </c>
      <c r="P507" s="858" t="str">
        <f>'Laminates- copilot'!N173</f>
        <v>Europe to US</v>
      </c>
      <c r="Q507" s="858">
        <f t="shared" si="112"/>
        <v>60000</v>
      </c>
      <c r="R507" s="858">
        <f t="shared" si="113"/>
        <v>60000</v>
      </c>
      <c r="S507" s="858">
        <f>IFERROR('Laminates- copilot'!Q173/'Laminates- copilot'!P173*Q507,"")</f>
        <v>1685.5500000000002</v>
      </c>
      <c r="T507" s="203">
        <f>IFERROR('Laminates- copilot'!R173/'Laminates- copilot'!P173*Q507,"")</f>
        <v>24632.475700016428</v>
      </c>
      <c r="U507" s="912">
        <f>IFERROR('Laminates- copilot'!S173/'Laminates- copilot'!P173*Q507,"")</f>
        <v>28573.671812019056</v>
      </c>
      <c r="V507" s="913">
        <f t="shared" si="114"/>
        <v>14.613909821729658</v>
      </c>
      <c r="W507" s="914">
        <f t="shared" si="115"/>
        <v>16.952135393206405</v>
      </c>
      <c r="X507" s="913">
        <f t="shared" si="116"/>
        <v>0.41054126166694049</v>
      </c>
      <c r="Y507" s="913">
        <f t="shared" si="117"/>
        <v>14.613909821729658</v>
      </c>
      <c r="Z507" s="95">
        <f t="shared" si="118"/>
        <v>59328</v>
      </c>
      <c r="AA507" s="50" t="str">
        <f t="shared" si="119"/>
        <v>MOQ OK</v>
      </c>
      <c r="AB507" s="923">
        <f t="shared" si="120"/>
        <v>0.2087545077309064</v>
      </c>
      <c r="AC507" s="924">
        <f t="shared" si="121"/>
        <v>0.24215522896785141</v>
      </c>
      <c r="AD507" s="203">
        <f t="shared" si="122"/>
        <v>41750.901546181281</v>
      </c>
      <c r="AE507" s="912">
        <f t="shared" si="123"/>
        <v>48431.04579357028</v>
      </c>
      <c r="AF507" s="923" cm="1">
        <f t="array" ref="AF507">IF(O507="Quantum",IFERROR(_xlfn.LET(_xlpm.b,_xlfn.SWITCH(LOWER(B507),"zipper bag","Zipper pouch","open bag","Open pouch","sup with zipper","Stand-up pouch","stand-up pouch","Stand-up pouch",B507),_xlpm.w,G507,_xlpm.q,K507,_xlpm.types,'Converting-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missing"),IFERROR(_xlfn.LET(_xlpm.s,O507,_xlpm.b,_xlfn.SWITCH(LOWER(B507),"zipper bag","Zipper pouch","open bag","Open pouch",B507),_xlpm.w,G507,_xlpm.q,K507,_xlpm.src,'Converting-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507" s="923">
        <f>IFERROR(IF(OR(B507="Zipper pouch",B507="SUP with zipper"),HELPER!$DE$2*(AH507+AI507)/K507,HELPER!$DE$2*AH507/K507),"Data is missing")</f>
        <v>1.3612237850008217E-3</v>
      </c>
      <c r="AH507" s="923">
        <f t="shared" si="124"/>
        <v>0.41054126166694049</v>
      </c>
      <c r="AI507" s="923">
        <f>IF(OR(B507="Zipper pouch",B507="SUP with zipper"),HELPER!$DC$2*G507/1000,"")</f>
        <v>4.3199999999999995E-2</v>
      </c>
      <c r="AJ507" s="923" cm="1">
        <f t="array" ref="AJ507">IF(INDEX('Laminates- copilot'!$E$6:$E$257,ROUNDUP((ROW()-5)/3,0))+50&gt;IF(O507="Quantum",760,1220),"Width exceeds supplier maximum",IFERROR(AF507+AG507+N(AI507)+AH507*G507/1000/MAX(1,MIN(MAX(2,INT(900/INDEX('Laminates- copilot'!$E$6:$E$257,ROUNDUP((ROW()-5)/3,0)))),INT((IF(O507="Quantum",760,1220)-50)/INDEX('Laminates- copilot'!$E$6:$E$257,ROUNDUP((ROW()-5)/3,0))))),"Data is missing"))</f>
        <v>0.15656588079817979</v>
      </c>
      <c r="AK507" s="203">
        <f t="shared" si="125"/>
        <v>208.7545077309064</v>
      </c>
      <c r="AL507" t="str">
        <f t="shared" si="126"/>
        <v>PASS</v>
      </c>
      <c r="AM507" s="50" t="str">
        <f t="shared" si="127"/>
        <v/>
      </c>
    </row>
    <row r="508" spans="1:39" hidden="1">
      <c r="A508" t="s">
        <v>2136</v>
      </c>
      <c r="B508" t="s">
        <v>261</v>
      </c>
      <c r="C508" s="50" t="s">
        <v>2210</v>
      </c>
      <c r="D508">
        <f>'Laminates- copilot'!B173</f>
        <v>923</v>
      </c>
      <c r="E508" s="858">
        <f>'Laminates- copilot'!D173</f>
        <v>121</v>
      </c>
      <c r="F508" s="858">
        <v>700</v>
      </c>
      <c r="G508" s="858">
        <v>300</v>
      </c>
      <c r="H508" s="858">
        <v>75</v>
      </c>
      <c r="I508" s="858">
        <v>0</v>
      </c>
      <c r="J508" s="858">
        <v>1550</v>
      </c>
      <c r="K508" s="858">
        <v>200000</v>
      </c>
      <c r="L508" s="858" t="str">
        <f>'Laminates- copilot'!K173</f>
        <v>Not Printed</v>
      </c>
      <c r="M508" s="858" t="str">
        <f>'Laminates- copilot'!L173</f>
        <v>0</v>
      </c>
      <c r="N508" s="858">
        <f>'Laminates- copilot'!M173</f>
        <v>1</v>
      </c>
      <c r="O508" s="858" t="str">
        <f>'Laminates- copilot'!O173</f>
        <v>Bastin</v>
      </c>
      <c r="P508" s="858" t="str">
        <f>'Laminates- copilot'!N173</f>
        <v>Europe to US</v>
      </c>
      <c r="Q508" s="858">
        <f t="shared" si="112"/>
        <v>60000</v>
      </c>
      <c r="R508" s="858">
        <f t="shared" si="113"/>
        <v>60000</v>
      </c>
      <c r="S508" s="858">
        <f>IFERROR('Laminates- copilot'!Q173/'Laminates- copilot'!P173*Q508,"")</f>
        <v>1685.5500000000002</v>
      </c>
      <c r="T508" s="203">
        <f>IFERROR('Laminates- copilot'!R173/'Laminates- copilot'!P173*Q508,"")</f>
        <v>24632.475700016428</v>
      </c>
      <c r="U508" s="912">
        <f>IFERROR('Laminates- copilot'!S173/'Laminates- copilot'!P173*Q508,"")</f>
        <v>28573.671812019056</v>
      </c>
      <c r="V508" s="913">
        <f t="shared" si="114"/>
        <v>14.613909821729658</v>
      </c>
      <c r="W508" s="914">
        <f t="shared" si="115"/>
        <v>16.952135393206405</v>
      </c>
      <c r="X508" s="913">
        <f t="shared" si="116"/>
        <v>0.41054126166694049</v>
      </c>
      <c r="Y508" s="913">
        <f t="shared" si="117"/>
        <v>14.613909821729658</v>
      </c>
      <c r="Z508" s="95">
        <f t="shared" si="118"/>
        <v>59328</v>
      </c>
      <c r="AA508" s="50" t="str">
        <f t="shared" si="119"/>
        <v>MOQ OK</v>
      </c>
      <c r="AB508" s="923">
        <f t="shared" si="120"/>
        <v>0.20115831626097033</v>
      </c>
      <c r="AC508" s="924">
        <f t="shared" si="121"/>
        <v>0.23334364686272557</v>
      </c>
      <c r="AD508" s="203">
        <f t="shared" si="122"/>
        <v>40231.66325219407</v>
      </c>
      <c r="AE508" s="912">
        <f t="shared" si="123"/>
        <v>46668.729372545116</v>
      </c>
      <c r="AF508" s="923" cm="1">
        <f t="array" ref="AF508">IF(O508="Quantum",IFERROR(_xlfn.LET(_xlpm.b,_xlfn.SWITCH(LOWER(B508),"zipper bag","Zipper pouch","open bag","Open pouch","sup with zipper","Stand-up pouch","stand-up pouch","Stand-up pouch",B508),_xlpm.w,G508,_xlpm.q,K508,_xlpm.types,'Converting-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missing"),IFERROR(_xlfn.LET(_xlpm.s,O508,_xlpm.b,_xlfn.SWITCH(LOWER(B508),"zipper bag","Zipper pouch","open bag","Open pouch",B508),_xlpm.w,G508,_xlpm.q,K508,_xlpm.src,'Converting-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508" s="923">
        <f>IFERROR(IF(OR(B508="Zipper pouch",B508="SUP with zipper"),HELPER!$DE$2*(AH508+AI508)/K508,HELPER!$DE$2*AH508/K508),"Data is missing")</f>
        <v>1.3612237850008217E-3</v>
      </c>
      <c r="AH508" s="923">
        <f t="shared" si="124"/>
        <v>0.41054126166694049</v>
      </c>
      <c r="AI508" s="923">
        <f>IF(OR(B508="Zipper pouch",B508="SUP with zipper"),HELPER!$DC$2*G508/1000,"")</f>
        <v>4.3199999999999995E-2</v>
      </c>
      <c r="AJ508" s="923" cm="1">
        <f t="array" ref="AJ508">IF(INDEX('Laminates- copilot'!$E$6:$E$257,ROUNDUP((ROW()-5)/3,0))+50&gt;IF(O508="Quantum",760,1220),"Width exceeds supplier maximum",IFERROR(AF508+AG508+N(AI508)+AH508*G508/1000/MAX(1,MIN(MAX(2,INT(900/INDEX('Laminates- copilot'!$E$6:$E$257,ROUNDUP((ROW()-5)/3,0)))),INT((IF(O508="Quantum",760,1220)-50)/INDEX('Laminates- copilot'!$E$6:$E$257,ROUNDUP((ROW()-5)/3,0))))),"Data is missing"))</f>
        <v>0.15086873719572774</v>
      </c>
      <c r="AK508" s="203">
        <f t="shared" si="125"/>
        <v>201.15831626097034</v>
      </c>
      <c r="AL508" t="str">
        <f t="shared" si="126"/>
        <v>PASS</v>
      </c>
      <c r="AM508" s="50" t="str">
        <f t="shared" si="127"/>
        <v/>
      </c>
    </row>
    <row r="509" spans="1:39" hidden="1">
      <c r="A509" t="s">
        <v>2137</v>
      </c>
      <c r="B509" t="s">
        <v>262</v>
      </c>
      <c r="C509" s="50" t="s">
        <v>2210</v>
      </c>
      <c r="D509">
        <f>'Laminates- copilot'!B173</f>
        <v>923</v>
      </c>
      <c r="E509" s="858">
        <f>'Laminates- copilot'!D173</f>
        <v>121</v>
      </c>
      <c r="F509" s="858">
        <v>700</v>
      </c>
      <c r="G509" s="858">
        <v>300</v>
      </c>
      <c r="H509" s="858">
        <v>0</v>
      </c>
      <c r="I509" s="858">
        <v>0</v>
      </c>
      <c r="J509" s="858">
        <v>1400</v>
      </c>
      <c r="K509" s="858">
        <v>200000</v>
      </c>
      <c r="L509" s="858" t="str">
        <f>'Laminates- copilot'!K173</f>
        <v>Not Printed</v>
      </c>
      <c r="M509" s="858" t="str">
        <f>'Laminates- copilot'!L173</f>
        <v>0</v>
      </c>
      <c r="N509" s="858">
        <f>'Laminates- copilot'!M173</f>
        <v>1</v>
      </c>
      <c r="O509" s="858" t="str">
        <f>'Laminates- copilot'!O173</f>
        <v>Bastin</v>
      </c>
      <c r="P509" s="858" t="str">
        <f>'Laminates- copilot'!N173</f>
        <v>Europe to US</v>
      </c>
      <c r="Q509" s="858">
        <f t="shared" si="112"/>
        <v>60000</v>
      </c>
      <c r="R509" s="858">
        <f t="shared" si="113"/>
        <v>60000</v>
      </c>
      <c r="S509" s="858">
        <f>IFERROR('Laminates- copilot'!Q173/'Laminates- copilot'!P173*Q509,"")</f>
        <v>1685.5500000000002</v>
      </c>
      <c r="T509" s="203">
        <f>IFERROR('Laminates- copilot'!R173/'Laminates- copilot'!P173*Q509,"")</f>
        <v>24632.475700016428</v>
      </c>
      <c r="U509" s="912">
        <f>IFERROR('Laminates- copilot'!S173/'Laminates- copilot'!P173*Q509,"")</f>
        <v>28573.671812019056</v>
      </c>
      <c r="V509" s="913">
        <f t="shared" si="114"/>
        <v>14.613909821729658</v>
      </c>
      <c r="W509" s="914">
        <f t="shared" si="115"/>
        <v>16.952135393206405</v>
      </c>
      <c r="X509" s="913">
        <f t="shared" si="116"/>
        <v>0.41054126166694049</v>
      </c>
      <c r="Y509" s="913">
        <f t="shared" si="117"/>
        <v>14.613909821729658</v>
      </c>
      <c r="Z509" s="95">
        <f t="shared" si="118"/>
        <v>59328</v>
      </c>
      <c r="AA509" s="50" t="str">
        <f t="shared" si="119"/>
        <v>MOQ OK</v>
      </c>
      <c r="AB509" s="923">
        <f t="shared" si="120"/>
        <v>0.13443110716413265</v>
      </c>
      <c r="AC509" s="924">
        <f t="shared" si="121"/>
        <v>0.15594008431039386</v>
      </c>
      <c r="AD509" s="203">
        <f t="shared" si="122"/>
        <v>26886.221432826529</v>
      </c>
      <c r="AE509" s="912">
        <f t="shared" si="123"/>
        <v>31188.01686207877</v>
      </c>
      <c r="AF509" s="923" cm="1">
        <f t="array" ref="AF509">IF(O509="Quantum",IFERROR(_xlfn.LET(_xlpm.b,_xlfn.SWITCH(LOWER(B509),"zipper bag","Zipper pouch","open bag","Open pouch","sup with zipper","Stand-up pouch","stand-up pouch","Stand-up pouch",B509),_xlpm.w,G509,_xlpm.q,K509,_xlpm.types,'Converting-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missing"),IFERROR(_xlfn.LET(_xlpm.s,O509,_xlpm.b,_xlfn.SWITCH(LOWER(B509),"zipper bag","Zipper pouch","open bag","Open pouch",B509),_xlpm.w,G509,_xlpm.q,K509,_xlpm.src,'Converting-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509" s="923">
        <f>IFERROR(IF(OR(B509="Zipper pouch",B509="SUP with zipper"),HELPER!$DE$2*(AH509+AI509)/K509,HELPER!$DE$2*AH509/K509),"Data is missing")</f>
        <v>1.2316237850008213E-3</v>
      </c>
      <c r="AH509" s="923">
        <f t="shared" si="124"/>
        <v>0.41054126166694049</v>
      </c>
      <c r="AI509" s="923" t="str">
        <f>IF(OR(B509="Zipper pouch",B509="SUP with zipper"),HELPER!$DC$2*G509/1000,"")</f>
        <v/>
      </c>
      <c r="AJ509" s="923" cm="1">
        <f t="array" ref="AJ509">IF(INDEX('Laminates- copilot'!$E$6:$E$257,ROUNDUP((ROW()-5)/3,0))+50&gt;IF(O509="Quantum",760,1220),"Width exceeds supplier maximum",IFERROR(AF509+AG509+N(AI509)+AH509*G509/1000/MAX(1,MIN(MAX(2,INT(900/INDEX('Laminates- copilot'!$E$6:$E$257,ROUNDUP((ROW()-5)/3,0)))),INT((IF(O509="Quantum",760,1220)-50)/INDEX('Laminates- copilot'!$E$6:$E$257,ROUNDUP((ROW()-5)/3,0))))),"Data is missing"))</f>
        <v>0.10082333037309948</v>
      </c>
      <c r="AK509" s="203">
        <f t="shared" si="125"/>
        <v>134.43110716413264</v>
      </c>
      <c r="AL509" t="str">
        <f t="shared" si="126"/>
        <v>PASS</v>
      </c>
      <c r="AM509" s="50" t="str">
        <f t="shared" si="127"/>
        <v/>
      </c>
    </row>
    <row r="510" spans="1:39" hidden="1">
      <c r="A510" t="s">
        <v>2138</v>
      </c>
      <c r="B510" t="s">
        <v>251</v>
      </c>
      <c r="C510" s="50" t="s">
        <v>1626</v>
      </c>
      <c r="D510">
        <f>'Laminates- copilot'!B174</f>
        <v>923</v>
      </c>
      <c r="E510" s="858">
        <f>'Laminates- copilot'!D174</f>
        <v>121</v>
      </c>
      <c r="F510" s="858">
        <v>250</v>
      </c>
      <c r="G510" s="858">
        <v>400</v>
      </c>
      <c r="H510" s="858">
        <v>50</v>
      </c>
      <c r="I510" s="858">
        <v>0</v>
      </c>
      <c r="J510" s="858">
        <v>600</v>
      </c>
      <c r="K510" s="858">
        <v>1000000</v>
      </c>
      <c r="L510" s="858" t="str">
        <f>'Laminates- copilot'!K174</f>
        <v>Printed</v>
      </c>
      <c r="M510" s="858" t="str">
        <f>'Laminates- copilot'!L174</f>
        <v>3-4</v>
      </c>
      <c r="N510" s="858">
        <f>'Laminates- copilot'!M174</f>
        <v>4</v>
      </c>
      <c r="O510" s="858" t="str">
        <f>'Laminates- copilot'!O174</f>
        <v>Marma</v>
      </c>
      <c r="P510" s="858" t="str">
        <f>'Laminates- copilot'!N174</f>
        <v>Europe to Europe</v>
      </c>
      <c r="Q510" s="858">
        <f t="shared" si="112"/>
        <v>400000</v>
      </c>
      <c r="R510" s="858">
        <f t="shared" si="113"/>
        <v>400000</v>
      </c>
      <c r="S510" s="858">
        <f>IFERROR('Laminates- copilot'!Q174/'Laminates- copilot'!P174*Q510,"")</f>
        <v>26968.799999999999</v>
      </c>
      <c r="T510" s="203">
        <f>IFERROR('Laminates- copilot'!R174/'Laminates- copilot'!P174*Q510,"")</f>
        <v>370049.26124374993</v>
      </c>
      <c r="U510" s="912">
        <f>IFERROR('Laminates- copilot'!S174/'Laminates- copilot'!P174*Q510,"")</f>
        <v>429257.14304274984</v>
      </c>
      <c r="V510" s="913">
        <f t="shared" si="114"/>
        <v>13.721384015742263</v>
      </c>
      <c r="W510" s="914">
        <f t="shared" si="115"/>
        <v>15.916805458261022</v>
      </c>
      <c r="X510" s="913">
        <f t="shared" si="116"/>
        <v>0.92512315310937487</v>
      </c>
      <c r="Y510" s="913">
        <f t="shared" si="117"/>
        <v>13.721384015742263</v>
      </c>
      <c r="Z510" s="95">
        <f t="shared" si="118"/>
        <v>18540</v>
      </c>
      <c r="AA510" s="50" t="str">
        <f t="shared" si="119"/>
        <v>MOQ OK</v>
      </c>
      <c r="AB510" s="923">
        <f t="shared" si="120"/>
        <v>0.66911252309514213</v>
      </c>
      <c r="AC510" s="924">
        <f t="shared" si="121"/>
        <v>0.7761705267903648</v>
      </c>
      <c r="AD510" s="203">
        <f t="shared" si="122"/>
        <v>669112.5230951421</v>
      </c>
      <c r="AE510" s="912">
        <f t="shared" si="123"/>
        <v>776170.52679036476</v>
      </c>
      <c r="AF510" s="923" cm="1">
        <f t="array" ref="AF510">IF(O510="Quantum",IFERROR(_xlfn.LET(_xlpm.b,_xlfn.SWITCH(LOWER(B510),"zipper bag","Zipper pouch","open bag","Open pouch","sup with zipper","Stand-up pouch","stand-up pouch","Stand-up pouch",B510),_xlpm.w,G510,_xlpm.q,K510,_xlpm.types,'Converting-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missing"),IFERROR(_xlfn.LET(_xlpm.s,O510,_xlpm.b,_xlfn.SWITCH(LOWER(B510),"zipper bag","Zipper pouch","open bag","Open pouch",B510),_xlpm.w,G510,_xlpm.q,K510,_xlpm.src,'Converting-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510" s="923">
        <f>IFERROR(IF(OR(B510="Zipper pouch",B510="SUP with zipper"),HELPER!$DE$2*(AH510+AI510)/K510,HELPER!$DE$2*AH510/K510),"Data is missing")</f>
        <v>5.8963389186562497E-4</v>
      </c>
      <c r="AH510" s="923">
        <f t="shared" si="124"/>
        <v>0.92512315310937487</v>
      </c>
      <c r="AI510" s="923">
        <f>IF(OR(B510="Zipper pouch",B510="SUP with zipper"),HELPER!$DC$2*G510/1000,"")</f>
        <v>5.7599999999999991E-2</v>
      </c>
      <c r="AJ510" s="923" cm="1">
        <f t="array" ref="AJ510">IF(INDEX('Laminates- copilot'!$E$6:$E$257,ROUNDUP((ROW()-5)/3,0))+50&gt;IF(O510="Quantum",760,1220),"Width exceeds supplier maximum",IFERROR(AF510+AG510+N(AI510)+AH510*G510/1000/MAX(1,MIN(MAX(2,INT(900/INDEX('Laminates- copilot'!$E$6:$E$257,ROUNDUP((ROW()-5)/3,0)))),INT((IF(O510="Quantum",760,1220)-50)/INDEX('Laminates- copilot'!$E$6:$E$257,ROUNDUP((ROW()-5)/3,0))))),"Data is missing"))</f>
        <v>0.50183439232135663</v>
      </c>
      <c r="AK510" s="203">
        <f t="shared" si="125"/>
        <v>669.11252309514214</v>
      </c>
      <c r="AL510" t="str">
        <f t="shared" si="126"/>
        <v>PASS</v>
      </c>
      <c r="AM510" s="50" t="str">
        <f t="shared" si="127"/>
        <v/>
      </c>
    </row>
    <row r="511" spans="1:39" hidden="1">
      <c r="A511" t="s">
        <v>2139</v>
      </c>
      <c r="B511" t="s">
        <v>261</v>
      </c>
      <c r="C511" s="50" t="s">
        <v>1626</v>
      </c>
      <c r="D511">
        <f>'Laminates- copilot'!B174</f>
        <v>923</v>
      </c>
      <c r="E511" s="858">
        <f>'Laminates- copilot'!D174</f>
        <v>121</v>
      </c>
      <c r="F511" s="858">
        <v>250</v>
      </c>
      <c r="G511" s="858">
        <v>400</v>
      </c>
      <c r="H511" s="858">
        <v>50</v>
      </c>
      <c r="I511" s="858">
        <v>0</v>
      </c>
      <c r="J511" s="858">
        <v>600</v>
      </c>
      <c r="K511" s="858">
        <v>1000000</v>
      </c>
      <c r="L511" s="858" t="str">
        <f>'Laminates- copilot'!K174</f>
        <v>Printed</v>
      </c>
      <c r="M511" s="858" t="str">
        <f>'Laminates- copilot'!L174</f>
        <v>3-4</v>
      </c>
      <c r="N511" s="858">
        <f>'Laminates- copilot'!M174</f>
        <v>4</v>
      </c>
      <c r="O511" s="858" t="str">
        <f>'Laminates- copilot'!O174</f>
        <v>Marma</v>
      </c>
      <c r="P511" s="858" t="str">
        <f>'Laminates- copilot'!N174</f>
        <v>Europe to Europe</v>
      </c>
      <c r="Q511" s="858">
        <f t="shared" si="112"/>
        <v>400000</v>
      </c>
      <c r="R511" s="858">
        <f t="shared" si="113"/>
        <v>400000</v>
      </c>
      <c r="S511" s="858">
        <f>IFERROR('Laminates- copilot'!Q174/'Laminates- copilot'!P174*Q511,"")</f>
        <v>26968.799999999999</v>
      </c>
      <c r="T511" s="203">
        <f>IFERROR('Laminates- copilot'!R174/'Laminates- copilot'!P174*Q511,"")</f>
        <v>370049.26124374993</v>
      </c>
      <c r="U511" s="912">
        <f>IFERROR('Laminates- copilot'!S174/'Laminates- copilot'!P174*Q511,"")</f>
        <v>429257.14304274984</v>
      </c>
      <c r="V511" s="913">
        <f t="shared" si="114"/>
        <v>13.721384015742263</v>
      </c>
      <c r="W511" s="914">
        <f t="shared" si="115"/>
        <v>15.916805458261022</v>
      </c>
      <c r="X511" s="913">
        <f t="shared" si="116"/>
        <v>0.92512315310937487</v>
      </c>
      <c r="Y511" s="913">
        <f t="shared" si="117"/>
        <v>13.721384015742263</v>
      </c>
      <c r="Z511" s="95">
        <f t="shared" si="118"/>
        <v>18540</v>
      </c>
      <c r="AA511" s="50" t="str">
        <f t="shared" si="119"/>
        <v>MOQ OK</v>
      </c>
      <c r="AB511" s="923">
        <f t="shared" si="120"/>
        <v>0.66147138374668579</v>
      </c>
      <c r="AC511" s="924">
        <f t="shared" si="121"/>
        <v>0.76730680514615546</v>
      </c>
      <c r="AD511" s="203">
        <f t="shared" si="122"/>
        <v>661471.38374668581</v>
      </c>
      <c r="AE511" s="912">
        <f t="shared" si="123"/>
        <v>767306.80514615553</v>
      </c>
      <c r="AF511" s="923" cm="1">
        <f t="array" ref="AF511">IF(O511="Quantum",IFERROR(_xlfn.LET(_xlpm.b,_xlfn.SWITCH(LOWER(B511),"zipper bag","Zipper pouch","open bag","Open pouch","sup with zipper","Stand-up pouch","stand-up pouch","Stand-up pouch",B511),_xlpm.w,G511,_xlpm.q,K511,_xlpm.types,'Converting-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missing"),IFERROR(_xlfn.LET(_xlpm.s,O511,_xlpm.b,_xlfn.SWITCH(LOWER(B511),"zipper bag","Zipper pouch","open bag","Open pouch",B511),_xlpm.w,G511,_xlpm.q,K511,_xlpm.src,'Converting-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511" s="923">
        <f>IFERROR(IF(OR(B511="Zipper pouch",B511="SUP with zipper"),HELPER!$DE$2*(AH511+AI511)/K511,HELPER!$DE$2*AH511/K511),"Data is missing")</f>
        <v>5.8963389186562497E-4</v>
      </c>
      <c r="AH511" s="923">
        <f t="shared" si="124"/>
        <v>0.92512315310937487</v>
      </c>
      <c r="AI511" s="923">
        <f>IF(OR(B511="Zipper pouch",B511="SUP with zipper"),HELPER!$DC$2*G511/1000,"")</f>
        <v>5.7599999999999991E-2</v>
      </c>
      <c r="AJ511" s="923" cm="1">
        <f t="array" ref="AJ511">IF(INDEX('Laminates- copilot'!$E$6:$E$257,ROUNDUP((ROW()-5)/3,0))+50&gt;IF(O511="Quantum",760,1220),"Width exceeds supplier maximum",IFERROR(AF511+AG511+N(AI511)+AH511*G511/1000/MAX(1,MIN(MAX(2,INT(900/INDEX('Laminates- copilot'!$E$6:$E$257,ROUNDUP((ROW()-5)/3,0)))),INT((IF(O511="Quantum",760,1220)-50)/INDEX('Laminates- copilot'!$E$6:$E$257,ROUNDUP((ROW()-5)/3,0))))),"Data is missing"))</f>
        <v>0.49610353781001432</v>
      </c>
      <c r="AK511" s="203">
        <f t="shared" si="125"/>
        <v>661.47138374668577</v>
      </c>
      <c r="AL511" t="str">
        <f t="shared" si="126"/>
        <v>PASS</v>
      </c>
      <c r="AM511" s="50" t="str">
        <f t="shared" si="127"/>
        <v/>
      </c>
    </row>
    <row r="512" spans="1:39" hidden="1">
      <c r="A512" t="s">
        <v>2140</v>
      </c>
      <c r="B512" t="s">
        <v>262</v>
      </c>
      <c r="C512" s="50" t="s">
        <v>1626</v>
      </c>
      <c r="D512">
        <f>'Laminates- copilot'!B174</f>
        <v>923</v>
      </c>
      <c r="E512" s="858">
        <f>'Laminates- copilot'!D174</f>
        <v>121</v>
      </c>
      <c r="F512" s="858">
        <v>250</v>
      </c>
      <c r="G512" s="858">
        <v>400</v>
      </c>
      <c r="H512" s="858">
        <v>0</v>
      </c>
      <c r="I512" s="858">
        <v>15</v>
      </c>
      <c r="J512" s="858">
        <v>515</v>
      </c>
      <c r="K512" s="858">
        <v>1000000</v>
      </c>
      <c r="L512" s="858" t="str">
        <f>'Laminates- copilot'!K174</f>
        <v>Printed</v>
      </c>
      <c r="M512" s="858" t="str">
        <f>'Laminates- copilot'!L174</f>
        <v>3-4</v>
      </c>
      <c r="N512" s="858">
        <f>'Laminates- copilot'!M174</f>
        <v>4</v>
      </c>
      <c r="O512" s="858" t="str">
        <f>'Laminates- copilot'!O174</f>
        <v>Marma</v>
      </c>
      <c r="P512" s="858" t="str">
        <f>'Laminates- copilot'!N174</f>
        <v>Europe to Europe</v>
      </c>
      <c r="Q512" s="858">
        <f t="shared" si="112"/>
        <v>400000</v>
      </c>
      <c r="R512" s="858">
        <f t="shared" si="113"/>
        <v>400000</v>
      </c>
      <c r="S512" s="858">
        <f>IFERROR('Laminates- copilot'!Q174/'Laminates- copilot'!P174*Q512,"")</f>
        <v>26968.799999999999</v>
      </c>
      <c r="T512" s="203">
        <f>IFERROR('Laminates- copilot'!R174/'Laminates- copilot'!P174*Q512,"")</f>
        <v>370049.26124374993</v>
      </c>
      <c r="U512" s="912">
        <f>IFERROR('Laminates- copilot'!S174/'Laminates- copilot'!P174*Q512,"")</f>
        <v>429257.14304274984</v>
      </c>
      <c r="V512" s="913">
        <f t="shared" si="114"/>
        <v>13.721384015742263</v>
      </c>
      <c r="W512" s="914">
        <f t="shared" si="115"/>
        <v>15.916805458261022</v>
      </c>
      <c r="X512" s="913">
        <f t="shared" si="116"/>
        <v>0.92512315310937487</v>
      </c>
      <c r="Y512" s="913">
        <f t="shared" si="117"/>
        <v>13.721384015742263</v>
      </c>
      <c r="Z512" s="95">
        <f t="shared" si="118"/>
        <v>18540</v>
      </c>
      <c r="AA512" s="50" t="str">
        <f t="shared" si="119"/>
        <v>MOQ OK</v>
      </c>
      <c r="AB512" s="923">
        <f t="shared" si="120"/>
        <v>0.57452684344866889</v>
      </c>
      <c r="AC512" s="924">
        <f t="shared" si="121"/>
        <v>0.66645113840045589</v>
      </c>
      <c r="AD512" s="203">
        <f t="shared" si="122"/>
        <v>574526.84344866883</v>
      </c>
      <c r="AE512" s="912">
        <f t="shared" si="123"/>
        <v>666451.13840045582</v>
      </c>
      <c r="AF512" s="923" cm="1">
        <f t="array" ref="AF512">IF(O512="Quantum",IFERROR(_xlfn.LET(_xlpm.b,_xlfn.SWITCH(LOWER(B512),"zipper bag","Zipper pouch","open bag","Open pouch","sup with zipper","Stand-up pouch","stand-up pouch","Stand-up pouch",B512),_xlpm.w,G512,_xlpm.q,K512,_xlpm.types,'Converting-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missing"),IFERROR(_xlfn.LET(_xlpm.s,O512,_xlpm.b,_xlfn.SWITCH(LOWER(B512),"zipper bag","Zipper pouch","open bag","Open pouch",B512),_xlpm.w,G512,_xlpm.q,K512,_xlpm.src,'Converting-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512" s="923">
        <f>IFERROR(IF(OR(B512="Zipper pouch",B512="SUP with zipper"),HELPER!$DE$2*(AH512+AI512)/K512,HELPER!$DE$2*AH512/K512),"Data is missing")</f>
        <v>5.5507389186562487E-4</v>
      </c>
      <c r="AH512" s="923">
        <f t="shared" si="124"/>
        <v>0.92512315310937487</v>
      </c>
      <c r="AI512" s="923" t="str">
        <f>IF(OR(B512="Zipper pouch",B512="SUP with zipper"),HELPER!$DC$2*G512/1000,"")</f>
        <v/>
      </c>
      <c r="AJ512" s="923" cm="1">
        <f t="array" ref="AJ512">IF(INDEX('Laminates- copilot'!$E$6:$E$257,ROUNDUP((ROW()-5)/3,0))+50&gt;IF(O512="Quantum",760,1220),"Width exceeds supplier maximum",IFERROR(AF512+AG512+N(AI512)+AH512*G512/1000/MAX(1,MIN(MAX(2,INT(900/INDEX('Laminates- copilot'!$E$6:$E$257,ROUNDUP((ROW()-5)/3,0)))),INT((IF(O512="Quantum",760,1220)-50)/INDEX('Laminates- copilot'!$E$6:$E$257,ROUNDUP((ROW()-5)/3,0))))),"Data is missing"))</f>
        <v>0.43089513258650169</v>
      </c>
      <c r="AK512" s="203">
        <f t="shared" si="125"/>
        <v>574.52684344866884</v>
      </c>
      <c r="AL512" t="str">
        <f t="shared" si="126"/>
        <v>PASS</v>
      </c>
      <c r="AM512" s="50" t="str">
        <f t="shared" si="127"/>
        <v/>
      </c>
    </row>
    <row r="513" spans="1:39" hidden="1">
      <c r="A513" t="s">
        <v>2141</v>
      </c>
      <c r="B513" t="s">
        <v>251</v>
      </c>
      <c r="C513" s="50" t="s">
        <v>1627</v>
      </c>
      <c r="D513">
        <f>'Laminates- copilot'!B175</f>
        <v>923</v>
      </c>
      <c r="E513" s="858">
        <f>'Laminates- copilot'!D175</f>
        <v>121</v>
      </c>
      <c r="F513" s="858">
        <v>350</v>
      </c>
      <c r="G513" s="858">
        <v>500</v>
      </c>
      <c r="H513" s="858">
        <v>100</v>
      </c>
      <c r="I513" s="858">
        <v>0</v>
      </c>
      <c r="J513" s="858">
        <v>900</v>
      </c>
      <c r="K513" s="858">
        <v>1600000</v>
      </c>
      <c r="L513" s="858" t="str">
        <f>'Laminates- copilot'!K175</f>
        <v>Printed</v>
      </c>
      <c r="M513" s="858" t="str">
        <f>'Laminates- copilot'!L175</f>
        <v>1-2</v>
      </c>
      <c r="N513" s="858">
        <f>'Laminates- copilot'!M175</f>
        <v>2</v>
      </c>
      <c r="O513" s="858" t="str">
        <f>'Laminates- copilot'!O175</f>
        <v>Quantum</v>
      </c>
      <c r="P513" s="858" t="str">
        <f>'Laminates- copilot'!N175</f>
        <v>Europe to Europe</v>
      </c>
      <c r="Q513" s="858">
        <f t="shared" si="112"/>
        <v>800000</v>
      </c>
      <c r="R513" s="858">
        <f t="shared" si="113"/>
        <v>800000</v>
      </c>
      <c r="S513" s="858">
        <f>IFERROR('Laminates- copilot'!Q175/'Laminates- copilot'!P175*Q513,"")</f>
        <v>40453.199999999997</v>
      </c>
      <c r="T513" s="203">
        <f>IFERROR('Laminates- copilot'!R175/'Laminates- copilot'!P175*Q513,"")</f>
        <v>1169669.0465663995</v>
      </c>
      <c r="U513" s="912">
        <f>IFERROR('Laminates- copilot'!S175/'Laminates- copilot'!P175*Q513,"")</f>
        <v>1356816.0940170232</v>
      </c>
      <c r="V513" s="913">
        <f t="shared" si="114"/>
        <v>28.914129081664729</v>
      </c>
      <c r="W513" s="914">
        <f t="shared" si="115"/>
        <v>33.540389734731079</v>
      </c>
      <c r="X513" s="913">
        <f t="shared" si="116"/>
        <v>1.4620863082079993</v>
      </c>
      <c r="Y513" s="913">
        <f t="shared" si="117"/>
        <v>28.914129081664729</v>
      </c>
      <c r="Z513" s="95">
        <f t="shared" si="118"/>
        <v>19776</v>
      </c>
      <c r="AA513" s="50" t="str">
        <f t="shared" si="119"/>
        <v>MOQ OK</v>
      </c>
      <c r="AB513" s="923">
        <f t="shared" si="120"/>
        <v>1.426941794957876</v>
      </c>
      <c r="AC513" s="924">
        <f t="shared" si="121"/>
        <v>1.6552524821511361</v>
      </c>
      <c r="AD513" s="203">
        <f t="shared" si="122"/>
        <v>2283106.8719326016</v>
      </c>
      <c r="AE513" s="912">
        <f t="shared" si="123"/>
        <v>2648403.9714418175</v>
      </c>
      <c r="AF513" s="923" cm="1">
        <f t="array" ref="AF513">IF(O513="Quantum",IFERROR(_xlfn.LET(_xlpm.b,_xlfn.SWITCH(LOWER(B513),"zipper bag","Zipper pouch","open bag","Open pouch","sup with zipper","Stand-up pouch","stand-up pouch","Stand-up pouch",B513),_xlpm.w,G513,_xlpm.q,K513,_xlpm.types,'Converting-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missing"),IFERROR(_xlfn.LET(_xlpm.s,O513,_xlpm.b,_xlfn.SWITCH(LOWER(B513),"zipper bag","Zipper pouch","open bag","Open pouch",B513),_xlpm.w,G513,_xlpm.q,K513,_xlpm.src,'Converting-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513" s="923">
        <f>IFERROR(IF(OR(B513="Zipper pouch",B513="SUP with zipper"),HELPER!$DE$2*(AH513+AI513)/K513,HELPER!$DE$2*AH513/K513),"Data is missing")</f>
        <v>5.7528236557799982E-4</v>
      </c>
      <c r="AH513" s="923">
        <f t="shared" si="124"/>
        <v>1.4620863082079993</v>
      </c>
      <c r="AI513" s="923">
        <f>IF(OR(B513="Zipper pouch",B513="SUP with zipper"),HELPER!$DC$2*G513/1000,"")</f>
        <v>7.1999999999999995E-2</v>
      </c>
      <c r="AJ513" s="923" cm="1">
        <f t="array" ref="AJ513">IF(INDEX('Laminates- copilot'!$E$6:$E$257,ROUNDUP((ROW()-5)/3,0))+50&gt;IF(O513="Quantum",760,1220),"Width exceeds supplier maximum",IFERROR(AF513+AG513+N(AI513)+AH513*G513/1000/MAX(1,MIN(MAX(2,INT(900/INDEX('Laminates- copilot'!$E$6:$E$257,ROUNDUP((ROW()-5)/3,0)))),INT((IF(O513="Quantum",760,1220)-50)/INDEX('Laminates- copilot'!$E$6:$E$257,ROUNDUP((ROW()-5)/3,0))))),"Data is missing"))</f>
        <v>1.070206346218407</v>
      </c>
      <c r="AK513" s="203">
        <f t="shared" si="125"/>
        <v>1426.941794957876</v>
      </c>
      <c r="AL513" t="str">
        <f t="shared" si="126"/>
        <v>PASS</v>
      </c>
      <c r="AM513" s="50" t="str">
        <f t="shared" si="127"/>
        <v/>
      </c>
    </row>
    <row r="514" spans="1:39" hidden="1">
      <c r="A514" t="s">
        <v>2142</v>
      </c>
      <c r="B514" t="s">
        <v>261</v>
      </c>
      <c r="C514" s="50" t="s">
        <v>1627</v>
      </c>
      <c r="D514">
        <f>'Laminates- copilot'!B175</f>
        <v>923</v>
      </c>
      <c r="E514" s="858">
        <f>'Laminates- copilot'!D175</f>
        <v>121</v>
      </c>
      <c r="F514" s="858">
        <v>350</v>
      </c>
      <c r="G514" s="858">
        <v>500</v>
      </c>
      <c r="H514" s="858">
        <v>100</v>
      </c>
      <c r="I514" s="858">
        <v>0</v>
      </c>
      <c r="J514" s="858">
        <v>900</v>
      </c>
      <c r="K514" s="858">
        <v>1600000</v>
      </c>
      <c r="L514" s="858" t="str">
        <f>'Laminates- copilot'!K175</f>
        <v>Printed</v>
      </c>
      <c r="M514" s="858" t="str">
        <f>'Laminates- copilot'!L175</f>
        <v>1-2</v>
      </c>
      <c r="N514" s="858">
        <f>'Laminates- copilot'!M175</f>
        <v>2</v>
      </c>
      <c r="O514" s="858" t="str">
        <f>'Laminates- copilot'!O175</f>
        <v>Quantum</v>
      </c>
      <c r="P514" s="858" t="str">
        <f>'Laminates- copilot'!N175</f>
        <v>Europe to Europe</v>
      </c>
      <c r="Q514" s="858">
        <f t="shared" si="112"/>
        <v>800000</v>
      </c>
      <c r="R514" s="858">
        <f t="shared" si="113"/>
        <v>800000</v>
      </c>
      <c r="S514" s="858">
        <f>IFERROR('Laminates- copilot'!Q175/'Laminates- copilot'!P175*Q514,"")</f>
        <v>40453.199999999997</v>
      </c>
      <c r="T514" s="203">
        <f>IFERROR('Laminates- copilot'!R175/'Laminates- copilot'!P175*Q514,"")</f>
        <v>1169669.0465663995</v>
      </c>
      <c r="U514" s="912">
        <f>IFERROR('Laminates- copilot'!S175/'Laminates- copilot'!P175*Q514,"")</f>
        <v>1356816.0940170232</v>
      </c>
      <c r="V514" s="913">
        <f t="shared" si="114"/>
        <v>28.914129081664729</v>
      </c>
      <c r="W514" s="914">
        <f t="shared" si="115"/>
        <v>33.540389734731079</v>
      </c>
      <c r="X514" s="913">
        <f t="shared" si="116"/>
        <v>1.4620863082079993</v>
      </c>
      <c r="Y514" s="913">
        <f t="shared" si="117"/>
        <v>28.914129081664729</v>
      </c>
      <c r="Z514" s="95">
        <f t="shared" si="118"/>
        <v>19776</v>
      </c>
      <c r="AA514" s="50" t="str">
        <f t="shared" si="119"/>
        <v>MOQ OK</v>
      </c>
      <c r="AB514" s="923">
        <f t="shared" si="120"/>
        <v>1.3875239181623915</v>
      </c>
      <c r="AC514" s="924">
        <f t="shared" si="121"/>
        <v>1.609527745068374</v>
      </c>
      <c r="AD514" s="203">
        <f t="shared" si="122"/>
        <v>2220038.2690598266</v>
      </c>
      <c r="AE514" s="912">
        <f t="shared" si="123"/>
        <v>2575244.3921093987</v>
      </c>
      <c r="AF514" s="923" cm="1">
        <f t="array" ref="AF514">IF(O514="Quantum",IFERROR(_xlfn.LET(_xlpm.b,_xlfn.SWITCH(LOWER(B514),"zipper bag","Zipper pouch","open bag","Open pouch","sup with zipper","Stand-up pouch","stand-up pouch","Stand-up pouch",B514),_xlpm.w,G514,_xlpm.q,K514,_xlpm.types,'Converting-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missing"),IFERROR(_xlfn.LET(_xlpm.s,O514,_xlpm.b,_xlfn.SWITCH(LOWER(B514),"zipper bag","Zipper pouch","open bag","Open pouch",B514),_xlpm.w,G514,_xlpm.q,K514,_xlpm.src,'Converting-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514" s="923">
        <f>IFERROR(IF(OR(B514="Zipper pouch",B514="SUP with zipper"),HELPER!$DE$2*(AH514+AI514)/K514,HELPER!$DE$2*AH514/K514),"Data is missing")</f>
        <v>5.7528236557799982E-4</v>
      </c>
      <c r="AH514" s="923">
        <f t="shared" si="124"/>
        <v>1.4620863082079993</v>
      </c>
      <c r="AI514" s="923">
        <f>IF(OR(B514="Zipper pouch",B514="SUP with zipper"),HELPER!$DC$2*G514/1000,"")</f>
        <v>7.1999999999999995E-2</v>
      </c>
      <c r="AJ514" s="923" cm="1">
        <f t="array" ref="AJ514">IF(INDEX('Laminates- copilot'!$E$6:$E$257,ROUNDUP((ROW()-5)/3,0))+50&gt;IF(O514="Quantum",760,1220),"Width exceeds supplier maximum",IFERROR(AF514+AG514+N(AI514)+AH514*G514/1000/MAX(1,MIN(MAX(2,INT(900/INDEX('Laminates- copilot'!$E$6:$E$257,ROUNDUP((ROW()-5)/3,0)))),INT((IF(O514="Quantum",760,1220)-50)/INDEX('Laminates- copilot'!$E$6:$E$257,ROUNDUP((ROW()-5)/3,0))))),"Data is missing"))</f>
        <v>1.0406429386217937</v>
      </c>
      <c r="AK514" s="203">
        <f t="shared" si="125"/>
        <v>1387.5239181623915</v>
      </c>
      <c r="AL514" t="str">
        <f t="shared" si="126"/>
        <v>PASS</v>
      </c>
      <c r="AM514" s="50" t="str">
        <f t="shared" si="127"/>
        <v/>
      </c>
    </row>
    <row r="515" spans="1:39" hidden="1">
      <c r="A515" t="s">
        <v>2143</v>
      </c>
      <c r="B515" t="s">
        <v>262</v>
      </c>
      <c r="C515" s="50" t="s">
        <v>1627</v>
      </c>
      <c r="D515">
        <f>'Laminates- copilot'!B175</f>
        <v>923</v>
      </c>
      <c r="E515" s="858">
        <f>'Laminates- copilot'!D175</f>
        <v>121</v>
      </c>
      <c r="F515" s="858">
        <v>350</v>
      </c>
      <c r="G515" s="858">
        <v>500</v>
      </c>
      <c r="H515" s="858">
        <v>0</v>
      </c>
      <c r="I515" s="858">
        <v>25</v>
      </c>
      <c r="J515" s="858">
        <v>725</v>
      </c>
      <c r="K515" s="858">
        <v>1600000</v>
      </c>
      <c r="L515" s="858" t="str">
        <f>'Laminates- copilot'!K175</f>
        <v>Printed</v>
      </c>
      <c r="M515" s="858" t="str">
        <f>'Laminates- copilot'!L175</f>
        <v>1-2</v>
      </c>
      <c r="N515" s="858">
        <f>'Laminates- copilot'!M175</f>
        <v>2</v>
      </c>
      <c r="O515" s="858" t="str">
        <f>'Laminates- copilot'!O175</f>
        <v>Quantum</v>
      </c>
      <c r="P515" s="858" t="str">
        <f>'Laminates- copilot'!N175</f>
        <v>Europe to Europe</v>
      </c>
      <c r="Q515" s="858">
        <f t="shared" si="112"/>
        <v>800000</v>
      </c>
      <c r="R515" s="858">
        <f t="shared" si="113"/>
        <v>800000</v>
      </c>
      <c r="S515" s="858">
        <f>IFERROR('Laminates- copilot'!Q175/'Laminates- copilot'!P175*Q515,"")</f>
        <v>40453.199999999997</v>
      </c>
      <c r="T515" s="203">
        <f>IFERROR('Laminates- copilot'!R175/'Laminates- copilot'!P175*Q515,"")</f>
        <v>1169669.0465663995</v>
      </c>
      <c r="U515" s="912">
        <f>IFERROR('Laminates- copilot'!S175/'Laminates- copilot'!P175*Q515,"")</f>
        <v>1356816.0940170232</v>
      </c>
      <c r="V515" s="913">
        <f t="shared" si="114"/>
        <v>28.914129081664729</v>
      </c>
      <c r="W515" s="914">
        <f t="shared" si="115"/>
        <v>33.540389734731079</v>
      </c>
      <c r="X515" s="913">
        <f t="shared" si="116"/>
        <v>1.4620863082079993</v>
      </c>
      <c r="Y515" s="913">
        <f t="shared" si="117"/>
        <v>28.914129081664729</v>
      </c>
      <c r="Z515" s="95">
        <f t="shared" si="118"/>
        <v>19776</v>
      </c>
      <c r="AA515" s="50" t="str">
        <f t="shared" si="119"/>
        <v>MOQ OK</v>
      </c>
      <c r="AB515" s="923">
        <f t="shared" si="120"/>
        <v>1.259723731668533</v>
      </c>
      <c r="AC515" s="924">
        <f t="shared" si="121"/>
        <v>1.4612795287354983</v>
      </c>
      <c r="AD515" s="203">
        <f t="shared" si="122"/>
        <v>2015557.9706696528</v>
      </c>
      <c r="AE515" s="912">
        <f t="shared" si="123"/>
        <v>2338047.2459767973</v>
      </c>
      <c r="AF515" s="923" cm="1">
        <f t="array" ref="AF515">IF(O515="Quantum",IFERROR(_xlfn.LET(_xlpm.b,_xlfn.SWITCH(LOWER(B515),"zipper bag","Zipper pouch","open bag","Open pouch","sup with zipper","Stand-up pouch","stand-up pouch","Stand-up pouch",B515),_xlpm.w,G515,_xlpm.q,K515,_xlpm.types,'Converting-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missing"),IFERROR(_xlfn.LET(_xlpm.s,O515,_xlpm.b,_xlfn.SWITCH(LOWER(B515),"zipper bag","Zipper pouch","open bag","Open pouch",B515),_xlpm.w,G515,_xlpm.q,K515,_xlpm.src,'Converting-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515" s="923">
        <f>IFERROR(IF(OR(B515="Zipper pouch",B515="SUP with zipper"),HELPER!$DE$2*(AH515+AI515)/K515,HELPER!$DE$2*AH515/K515),"Data is missing")</f>
        <v>5.4828236557799971E-4</v>
      </c>
      <c r="AH515" s="923">
        <f t="shared" si="124"/>
        <v>1.4620863082079993</v>
      </c>
      <c r="AI515" s="923" t="str">
        <f>IF(OR(B515="Zipper pouch",B515="SUP with zipper"),HELPER!$DC$2*G515/1000,"")</f>
        <v/>
      </c>
      <c r="AJ515" s="923" cm="1">
        <f t="array" ref="AJ515">IF(INDEX('Laminates- copilot'!$E$6:$E$257,ROUNDUP((ROW()-5)/3,0))+50&gt;IF(O515="Quantum",760,1220),"Width exceeds supplier maximum",IFERROR(AF515+AG515+N(AI515)+AH515*G515/1000/MAX(1,MIN(MAX(2,INT(900/INDEX('Laminates- copilot'!$E$6:$E$257,ROUNDUP((ROW()-5)/3,0)))),INT((IF(O515="Quantum",760,1220)-50)/INDEX('Laminates- copilot'!$E$6:$E$257,ROUNDUP((ROW()-5)/3,0))))),"Data is missing"))</f>
        <v>0.94479279875139976</v>
      </c>
      <c r="AK515" s="203">
        <f t="shared" si="125"/>
        <v>1259.723731668533</v>
      </c>
      <c r="AL515" t="str">
        <f t="shared" si="126"/>
        <v>PASS</v>
      </c>
      <c r="AM515" s="50" t="str">
        <f t="shared" si="127"/>
        <v/>
      </c>
    </row>
    <row r="516" spans="1:39" hidden="1">
      <c r="A516" t="s">
        <v>2144</v>
      </c>
      <c r="B516" t="s">
        <v>251</v>
      </c>
      <c r="C516" s="50" t="s">
        <v>2203</v>
      </c>
      <c r="D516">
        <f>'Laminates- copilot'!B176</f>
        <v>928</v>
      </c>
      <c r="E516" s="858">
        <f>'Laminates- copilot'!D176</f>
        <v>79</v>
      </c>
      <c r="F516" s="858">
        <v>100</v>
      </c>
      <c r="G516" s="858">
        <v>100</v>
      </c>
      <c r="H516" s="858">
        <v>20</v>
      </c>
      <c r="I516" s="858">
        <v>0</v>
      </c>
      <c r="J516" s="858">
        <v>240</v>
      </c>
      <c r="K516" s="858">
        <v>25000</v>
      </c>
      <c r="L516" s="858" t="str">
        <f>'Laminates- copilot'!K176</f>
        <v>Not Printed</v>
      </c>
      <c r="M516" s="858" t="str">
        <f>'Laminates- copilot'!L176</f>
        <v>0</v>
      </c>
      <c r="N516" s="858">
        <f>'Laminates- copilot'!M176</f>
        <v>1</v>
      </c>
      <c r="O516" s="858" t="str">
        <f>'Laminates- copilot'!O176</f>
        <v>Marma</v>
      </c>
      <c r="P516" s="858" t="str">
        <f>'Laminates- copilot'!N176</f>
        <v>Europe to Europe</v>
      </c>
      <c r="Q516" s="858">
        <f t="shared" si="112"/>
        <v>2500</v>
      </c>
      <c r="R516" s="858">
        <f t="shared" si="113"/>
        <v>2500</v>
      </c>
      <c r="S516" s="858">
        <f>IFERROR('Laminates- copilot'!Q176/'Laminates- copilot'!P176*Q516,"")</f>
        <v>21.111000000000004</v>
      </c>
      <c r="T516" s="203">
        <f>IFERROR('Laminates- copilot'!R176/'Laminates- copilot'!P176*Q516,"")</f>
        <v>231.77017128065452</v>
      </c>
      <c r="U516" s="912">
        <f>IFERROR('Laminates- copilot'!S176/'Laminates- copilot'!P176*Q516,"")</f>
        <v>268.85339868555923</v>
      </c>
      <c r="V516" s="913">
        <f t="shared" si="114"/>
        <v>10.97864484300386</v>
      </c>
      <c r="W516" s="914">
        <f t="shared" si="115"/>
        <v>12.735228017884475</v>
      </c>
      <c r="X516" s="913">
        <f t="shared" si="116"/>
        <v>9.2708068512261807E-2</v>
      </c>
      <c r="Y516" s="913">
        <f t="shared" si="117"/>
        <v>10.97864484300386</v>
      </c>
      <c r="Z516" s="95">
        <f t="shared" si="118"/>
        <v>592109</v>
      </c>
      <c r="AA516" s="50" t="str">
        <f t="shared" si="119"/>
        <v>Below MOQ by 567,109 bags</v>
      </c>
      <c r="AB516" s="923">
        <f t="shared" si="120"/>
        <v>7.532408029918207E-2</v>
      </c>
      <c r="AC516" s="924">
        <f t="shared" si="121"/>
        <v>8.7375933147051194E-2</v>
      </c>
      <c r="AD516" s="203">
        <f t="shared" si="122"/>
        <v>1883.1020074795517</v>
      </c>
      <c r="AE516" s="912">
        <f t="shared" si="123"/>
        <v>2184.39832867628</v>
      </c>
      <c r="AF516" s="923" cm="1">
        <f t="array" ref="AF516">IF(O516="Quantum",IFERROR(_xlfn.LET(_xlpm.b,_xlfn.SWITCH(LOWER(B516),"zipper bag","Zipper pouch","open bag","Open pouch","sup with zipper","Stand-up pouch","stand-up pouch","Stand-up pouch",B516),_xlpm.w,G516,_xlpm.q,K516,_xlpm.types,'Converting-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missing"),IFERROR(_xlfn.LET(_xlpm.s,O516,_xlpm.b,_xlfn.SWITCH(LOWER(B516),"zipper bag","Zipper pouch","open bag","Open pouch",B516),_xlpm.w,G516,_xlpm.q,K516,_xlpm.src,'Converting-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516" s="923">
        <f>IFERROR(IF(OR(B516="Zipper pouch",B516="SUP with zipper"),HELPER!$DE$2*(AH516+AI516)/K516,HELPER!$DE$2*AH516/K516),"Data is missing")</f>
        <v>2.5705936442942832E-3</v>
      </c>
      <c r="AH516" s="923">
        <f t="shared" si="124"/>
        <v>9.2708068512261807E-2</v>
      </c>
      <c r="AI516" s="923">
        <f>IF(OR(B516="Zipper pouch",B516="SUP with zipper"),HELPER!$DC$2*G516/1000,"")</f>
        <v>1.4399999999999998E-2</v>
      </c>
      <c r="AJ516" s="923" cm="1">
        <f t="array" ref="AJ516">IF(INDEX('Laminates- copilot'!$E$6:$E$257,ROUNDUP((ROW()-5)/3,0))+50&gt;IF(O516="Quantum",760,1220),"Width exceeds supplier maximum",IFERROR(AF516+AG516+N(AI516)+AH516*G516/1000/MAX(1,MIN(MAX(2,INT(900/INDEX('Laminates- copilot'!$E$6:$E$257,ROUNDUP((ROW()-5)/3,0)))),INT((IF(O516="Quantum",760,1220)-50)/INDEX('Laminates- copilot'!$E$6:$E$257,ROUNDUP((ROW()-5)/3,0))))),"Data is missing"))</f>
        <v>5.6493060224386549E-2</v>
      </c>
      <c r="AK516" s="203">
        <f t="shared" si="125"/>
        <v>75.324080299182071</v>
      </c>
      <c r="AL516" t="str">
        <f t="shared" si="126"/>
        <v>PASS</v>
      </c>
      <c r="AM516" s="50" t="str">
        <f t="shared" si="127"/>
        <v/>
      </c>
    </row>
    <row r="517" spans="1:39" hidden="1">
      <c r="A517" t="s">
        <v>2145</v>
      </c>
      <c r="B517" t="s">
        <v>261</v>
      </c>
      <c r="C517" s="50" t="s">
        <v>2203</v>
      </c>
      <c r="D517">
        <f>'Laminates- copilot'!B176</f>
        <v>928</v>
      </c>
      <c r="E517" s="858">
        <f>'Laminates- copilot'!D176</f>
        <v>79</v>
      </c>
      <c r="F517" s="858">
        <v>100</v>
      </c>
      <c r="G517" s="858">
        <v>100</v>
      </c>
      <c r="H517" s="858">
        <v>20</v>
      </c>
      <c r="I517" s="858">
        <v>0</v>
      </c>
      <c r="J517" s="858">
        <v>240</v>
      </c>
      <c r="K517" s="858">
        <v>25000</v>
      </c>
      <c r="L517" s="858" t="str">
        <f>'Laminates- copilot'!K176</f>
        <v>Not Printed</v>
      </c>
      <c r="M517" s="858" t="str">
        <f>'Laminates- copilot'!L176</f>
        <v>0</v>
      </c>
      <c r="N517" s="858">
        <f>'Laminates- copilot'!M176</f>
        <v>1</v>
      </c>
      <c r="O517" s="858" t="str">
        <f>'Laminates- copilot'!O176</f>
        <v>Marma</v>
      </c>
      <c r="P517" s="858" t="str">
        <f>'Laminates- copilot'!N176</f>
        <v>Europe to Europe</v>
      </c>
      <c r="Q517" s="858">
        <f t="shared" si="112"/>
        <v>2500</v>
      </c>
      <c r="R517" s="858">
        <f t="shared" si="113"/>
        <v>2500</v>
      </c>
      <c r="S517" s="858">
        <f>IFERROR('Laminates- copilot'!Q176/'Laminates- copilot'!P176*Q517,"")</f>
        <v>21.111000000000004</v>
      </c>
      <c r="T517" s="203">
        <f>IFERROR('Laminates- copilot'!R176/'Laminates- copilot'!P176*Q517,"")</f>
        <v>231.77017128065452</v>
      </c>
      <c r="U517" s="912">
        <f>IFERROR('Laminates- copilot'!S176/'Laminates- copilot'!P176*Q517,"")</f>
        <v>268.85339868555923</v>
      </c>
      <c r="V517" s="913">
        <f t="shared" si="114"/>
        <v>10.97864484300386</v>
      </c>
      <c r="W517" s="914">
        <f t="shared" si="115"/>
        <v>12.735228017884475</v>
      </c>
      <c r="X517" s="913">
        <f t="shared" si="116"/>
        <v>9.2708068512261807E-2</v>
      </c>
      <c r="Y517" s="913">
        <f t="shared" si="117"/>
        <v>10.97864484300386</v>
      </c>
      <c r="Z517" s="95">
        <f t="shared" si="118"/>
        <v>592109</v>
      </c>
      <c r="AA517" s="50" t="str">
        <f t="shared" si="119"/>
        <v>Below MOQ by 567,109 bags</v>
      </c>
      <c r="AB517" s="923">
        <f t="shared" si="120"/>
        <v>7.1898741970563659E-2</v>
      </c>
      <c r="AC517" s="924">
        <f t="shared" si="121"/>
        <v>8.3402540685853843E-2</v>
      </c>
      <c r="AD517" s="203">
        <f t="shared" si="122"/>
        <v>1797.4685492640915</v>
      </c>
      <c r="AE517" s="912">
        <f t="shared" si="123"/>
        <v>2085.0635171463459</v>
      </c>
      <c r="AF517" s="923" cm="1">
        <f t="array" ref="AF517">IF(O517="Quantum",IFERROR(_xlfn.LET(_xlpm.b,_xlfn.SWITCH(LOWER(B517),"zipper bag","Zipper pouch","open bag","Open pouch","sup with zipper","Stand-up pouch","stand-up pouch","Stand-up pouch",B517),_xlpm.w,G517,_xlpm.q,K517,_xlpm.types,'Converting-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missing"),IFERROR(_xlfn.LET(_xlpm.s,O517,_xlpm.b,_xlfn.SWITCH(LOWER(B517),"zipper bag","Zipper pouch","open bag","Open pouch",B517),_xlpm.w,G517,_xlpm.q,K517,_xlpm.src,'Converting-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517" s="923">
        <f>IFERROR(IF(OR(B517="Zipper pouch",B517="SUP with zipper"),HELPER!$DE$2*(AH517+AI517)/K517,HELPER!$DE$2*AH517/K517),"Data is missing")</f>
        <v>2.5705936442942832E-3</v>
      </c>
      <c r="AH517" s="923">
        <f t="shared" si="124"/>
        <v>9.2708068512261807E-2</v>
      </c>
      <c r="AI517" s="923">
        <f>IF(OR(B517="Zipper pouch",B517="SUP with zipper"),HELPER!$DC$2*G517/1000,"")</f>
        <v>1.4399999999999998E-2</v>
      </c>
      <c r="AJ517" s="923" cm="1">
        <f t="array" ref="AJ517">IF(INDEX('Laminates- copilot'!$E$6:$E$257,ROUNDUP((ROW()-5)/3,0))+50&gt;IF(O517="Quantum",760,1220),"Width exceeds supplier maximum",IFERROR(AF517+AG517+N(AI517)+AH517*G517/1000/MAX(1,MIN(MAX(2,INT(900/INDEX('Laminates- copilot'!$E$6:$E$257,ROUNDUP((ROW()-5)/3,0)))),INT((IF(O517="Quantum",760,1220)-50)/INDEX('Laminates- copilot'!$E$6:$E$257,ROUNDUP((ROW()-5)/3,0))))),"Data is missing"))</f>
        <v>5.3924056477922748E-2</v>
      </c>
      <c r="AK517" s="203">
        <f t="shared" si="125"/>
        <v>71.898741970563663</v>
      </c>
      <c r="AL517" t="str">
        <f t="shared" si="126"/>
        <v>PASS</v>
      </c>
      <c r="AM517" s="50" t="str">
        <f t="shared" si="127"/>
        <v/>
      </c>
    </row>
    <row r="518" spans="1:39" hidden="1">
      <c r="A518" t="s">
        <v>2146</v>
      </c>
      <c r="B518" t="s">
        <v>262</v>
      </c>
      <c r="C518" s="50" t="s">
        <v>2203</v>
      </c>
      <c r="D518">
        <f>'Laminates- copilot'!B176</f>
        <v>928</v>
      </c>
      <c r="E518" s="858">
        <f>'Laminates- copilot'!D176</f>
        <v>79</v>
      </c>
      <c r="F518" s="858">
        <v>100</v>
      </c>
      <c r="G518" s="858">
        <v>100</v>
      </c>
      <c r="H518" s="858">
        <v>0</v>
      </c>
      <c r="I518" s="858">
        <v>0</v>
      </c>
      <c r="J518" s="858">
        <v>200</v>
      </c>
      <c r="K518" s="858">
        <v>25000</v>
      </c>
      <c r="L518" s="858" t="str">
        <f>'Laminates- copilot'!K176</f>
        <v>Not Printed</v>
      </c>
      <c r="M518" s="858" t="str">
        <f>'Laminates- copilot'!L176</f>
        <v>0</v>
      </c>
      <c r="N518" s="858">
        <f>'Laminates- copilot'!M176</f>
        <v>1</v>
      </c>
      <c r="O518" s="858" t="str">
        <f>'Laminates- copilot'!O176</f>
        <v>Marma</v>
      </c>
      <c r="P518" s="858" t="str">
        <f>'Laminates- copilot'!N176</f>
        <v>Europe to Europe</v>
      </c>
      <c r="Q518" s="858">
        <f t="shared" ref="Q518:Q545" si="128">K518*G518/1000</f>
        <v>2500</v>
      </c>
      <c r="R518" s="858">
        <f t="shared" ref="R518:R545" si="129">Q518</f>
        <v>2500</v>
      </c>
      <c r="S518" s="858">
        <f>IFERROR('Laminates- copilot'!Q176/'Laminates- copilot'!P176*Q518,"")</f>
        <v>21.111000000000004</v>
      </c>
      <c r="T518" s="203">
        <f>IFERROR('Laminates- copilot'!R176/'Laminates- copilot'!P176*Q518,"")</f>
        <v>231.77017128065452</v>
      </c>
      <c r="U518" s="912">
        <f>IFERROR('Laminates- copilot'!S176/'Laminates- copilot'!P176*Q518,"")</f>
        <v>268.85339868555923</v>
      </c>
      <c r="V518" s="913">
        <f t="shared" ref="V518:V545" si="130">IFERROR(T518/S518,"")</f>
        <v>10.97864484300386</v>
      </c>
      <c r="W518" s="914">
        <f t="shared" ref="W518:W545" si="131">IFERROR(U518/S518,"")</f>
        <v>12.735228017884475</v>
      </c>
      <c r="X518" s="913">
        <f t="shared" ref="X518:X545" si="132">IFERROR(T518/Q518,"")</f>
        <v>9.2708068512261807E-2</v>
      </c>
      <c r="Y518" s="913">
        <f t="shared" ref="Y518:Y545" si="133">V518</f>
        <v>10.97864484300386</v>
      </c>
      <c r="Z518" s="95">
        <f t="shared" ref="Z518:Z545" si="134">IFERROR(ROUNDUP((500*Q518/S518)*1000/G518,0),"")</f>
        <v>592109</v>
      </c>
      <c r="AA518" s="50" t="str">
        <f t="shared" ref="AA518:AA545" si="135">IF(OR(K518="",Z518=""),"MOQ data missing",IF(K518&gt;=Z518,"MOQ OK","Below MOQ by "&amp;TEXT(Z518-K518,"#,##0")&amp;" bags"))</f>
        <v>Below MOQ by 567,109 bags</v>
      </c>
      <c r="AB518" s="923">
        <f t="shared" ref="AB518:AB545" si="136">IFERROR(AJ518/(1-25%),"Data is missing")</f>
        <v>4.8467337622698059E-2</v>
      </c>
      <c r="AC518" s="924">
        <f t="shared" ref="AC518:AC545" si="137">IFERROR(AB518*1.16,"Data is missing")</f>
        <v>5.6222111642329743E-2</v>
      </c>
      <c r="AD518" s="203">
        <f t="shared" ref="AD518:AD545" si="138">IFERROR(AB518*K518,"Data is missing")</f>
        <v>1211.6834405674515</v>
      </c>
      <c r="AE518" s="912">
        <f t="shared" ref="AE518:AE545" si="139">IFERROR(AD518*1.16,"Data is missing")</f>
        <v>1405.5527910582437</v>
      </c>
      <c r="AF518" s="923" cm="1">
        <f t="array" ref="AF518">IF(O518="Quantum",IFERROR(_xlfn.LET(_xlpm.b,_xlfn.SWITCH(LOWER(B518),"zipper bag","Zipper pouch","open bag","Open pouch","sup with zipper","Stand-up pouch","stand-up pouch","Stand-up pouch",B518),_xlpm.w,G518,_xlpm.q,K518,_xlpm.types,'Converting-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missing"),IFERROR(_xlfn.LET(_xlpm.s,O518,_xlpm.b,_xlfn.SWITCH(LOWER(B518),"zipper bag","Zipper pouch","open bag","Open pouch",B518),_xlpm.w,G518,_xlpm.q,K518,_xlpm.src,'Converting-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518" s="923">
        <f>IFERROR(IF(OR(B518="Zipper pouch",B518="SUP with zipper"),HELPER!$DE$2*(AH518+AI518)/K518,HELPER!$DE$2*AH518/K518),"Data is missing")</f>
        <v>2.2249936442942835E-3</v>
      </c>
      <c r="AH518" s="923">
        <f t="shared" ref="AH518:AH545" si="140">X518</f>
        <v>9.2708068512261807E-2</v>
      </c>
      <c r="AI518" s="923" t="str">
        <f>IF(OR(B518="Zipper pouch",B518="SUP with zipper"),HELPER!$DC$2*G518/1000,"")</f>
        <v/>
      </c>
      <c r="AJ518" s="923" cm="1">
        <f t="array" ref="AJ518">IF(INDEX('Laminates- copilot'!$E$6:$E$257,ROUNDUP((ROW()-5)/3,0))+50&gt;IF(O518="Quantum",760,1220),"Width exceeds supplier maximum",IFERROR(AF518+AG518+N(AI518)+AH518*G518/1000/MAX(1,MIN(MAX(2,INT(900/INDEX('Laminates- copilot'!$E$6:$E$257,ROUNDUP((ROW()-5)/3,0)))),INT((IF(O518="Quantum",760,1220)-50)/INDEX('Laminates- copilot'!$E$6:$E$257,ROUNDUP((ROW()-5)/3,0))))),"Data is missing"))</f>
        <v>3.6350503217023544E-2</v>
      </c>
      <c r="AK518" s="203">
        <f t="shared" ref="AK518:AK545" si="141">IFERROR(AB518*1000,"Data is missing")</f>
        <v>48.467337622698061</v>
      </c>
      <c r="AL518" t="str">
        <f t="shared" ref="AL518:AL545" si="142">IF(AND(ISNUMBER(AB518),ISNUMBER(AD518),K518&gt;0,ISNUMBER(AJ518),AM518=""),IF(AND(ABS(AD518-AB518*K518)&lt;0.05,ABS(AB518-AJ518/(1-25%))&lt;0.0001),"PASS","CHECK"),"CHECK")</f>
        <v>PASS</v>
      </c>
      <c r="AM518" s="50" t="str">
        <f t="shared" ref="AM518:AM545" si="143">_xlfn.TEXTJOIN("; ",TRUE,IF(OR(AF518="Data is missing",AG518="Data is missing",AJ518="Data is missing"),"Missing conversion data",""),IF(NOT(ISNUMBER(S518)),"Missing laminate weight",""),IF(NOT(ISNUMBER(T518)),"Missing laminate cost",""))</f>
        <v/>
      </c>
    </row>
    <row r="519" spans="1:39" hidden="1">
      <c r="A519" t="s">
        <v>2147</v>
      </c>
      <c r="B519" t="s">
        <v>251</v>
      </c>
      <c r="C519" s="50" t="s">
        <v>2204</v>
      </c>
      <c r="D519">
        <f>'Laminates- copilot'!B177</f>
        <v>928</v>
      </c>
      <c r="E519" s="858">
        <f>'Laminates- copilot'!D177</f>
        <v>79</v>
      </c>
      <c r="F519" s="858">
        <v>150</v>
      </c>
      <c r="G519" s="858">
        <v>150</v>
      </c>
      <c r="H519" s="858">
        <v>25</v>
      </c>
      <c r="I519" s="858">
        <v>0</v>
      </c>
      <c r="J519" s="858">
        <v>350</v>
      </c>
      <c r="K519" s="858">
        <v>25000</v>
      </c>
      <c r="L519" s="858" t="str">
        <f>'Laminates- copilot'!K177</f>
        <v>Printed</v>
      </c>
      <c r="M519" s="858" t="str">
        <f>'Laminates- copilot'!L177</f>
        <v>1-2</v>
      </c>
      <c r="N519" s="858">
        <f>'Laminates- copilot'!M177</f>
        <v>1</v>
      </c>
      <c r="O519" s="858" t="str">
        <f>'Laminates- copilot'!O177</f>
        <v>Bastin</v>
      </c>
      <c r="P519" s="858" t="str">
        <f>'Laminates- copilot'!N177</f>
        <v>Europe to US</v>
      </c>
      <c r="Q519" s="858">
        <f t="shared" si="128"/>
        <v>3750</v>
      </c>
      <c r="R519" s="858">
        <f t="shared" si="129"/>
        <v>3750</v>
      </c>
      <c r="S519" s="858">
        <f>IFERROR('Laminates- copilot'!Q177/'Laminates- copilot'!P177*Q519,"")</f>
        <v>31.666500000000006</v>
      </c>
      <c r="T519" s="203">
        <f>IFERROR('Laminates- copilot'!R177/'Laminates- copilot'!P177*Q519,"")</f>
        <v>16285.253723633372</v>
      </c>
      <c r="U519" s="912">
        <f>IFERROR('Laminates- copilot'!S177/'Laminates- copilot'!P177*Q519,"")</f>
        <v>18890.894319414707</v>
      </c>
      <c r="V519" s="913">
        <f t="shared" si="130"/>
        <v>514.2738769246165</v>
      </c>
      <c r="W519" s="914">
        <f t="shared" si="131"/>
        <v>596.55769723255503</v>
      </c>
      <c r="X519" s="913">
        <f t="shared" si="132"/>
        <v>4.3427343263022324</v>
      </c>
      <c r="Y519" s="913">
        <f t="shared" si="133"/>
        <v>514.2738769246165</v>
      </c>
      <c r="Z519" s="95">
        <f t="shared" si="134"/>
        <v>394739</v>
      </c>
      <c r="AA519" s="50" t="str">
        <f t="shared" si="135"/>
        <v>Below MOQ by 369,739 bags</v>
      </c>
      <c r="AB519" s="923">
        <f t="shared" si="136"/>
        <v>0.36781703885247469</v>
      </c>
      <c r="AC519" s="924">
        <f t="shared" si="137"/>
        <v>0.42666776506887061</v>
      </c>
      <c r="AD519" s="203">
        <f t="shared" si="138"/>
        <v>9195.4259713118663</v>
      </c>
      <c r="AE519" s="912">
        <f t="shared" si="139"/>
        <v>10666.694126721764</v>
      </c>
      <c r="AF519" s="923" cm="1">
        <f t="array" ref="AF519">IF(O519="Quantum",IFERROR(_xlfn.LET(_xlpm.b,_xlfn.SWITCH(LOWER(B519),"zipper bag","Zipper pouch","open bag","Open pouch","sup with zipper","Stand-up pouch","stand-up pouch","Stand-up pouch",B519),_xlpm.w,G519,_xlpm.q,K519,_xlpm.types,'Converting-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missing"),IFERROR(_xlfn.LET(_xlpm.s,O519,_xlpm.b,_xlfn.SWITCH(LOWER(B519),"zipper bag","Zipper pouch","open bag","Open pouch",B519),_xlpm.w,G519,_xlpm.q,K519,_xlpm.src,'Converting-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519" s="923">
        <f>IFERROR(IF(OR(B519="Zipper pouch",B519="SUP with zipper"),HELPER!$DE$2*(AH519+AI519)/K519,HELPER!$DE$2*AH519/K519),"Data is missing")</f>
        <v>0.10474402383125359</v>
      </c>
      <c r="AH519" s="923">
        <f t="shared" si="140"/>
        <v>4.3427343263022324</v>
      </c>
      <c r="AI519" s="923">
        <f>IF(OR(B519="Zipper pouch",B519="SUP with zipper"),HELPER!$DC$2*G519/1000,"")</f>
        <v>2.1599999999999998E-2</v>
      </c>
      <c r="AJ519" s="923" cm="1">
        <f t="array" ref="AJ519">IF(INDEX('Laminates- copilot'!$E$6:$E$257,ROUNDUP((ROW()-5)/3,0))+50&gt;IF(O519="Quantum",760,1220),"Width exceeds supplier maximum",IFERROR(AF519+AG519+N(AI519)+AH519*G519/1000/MAX(1,MIN(MAX(2,INT(900/INDEX('Laminates- copilot'!$E$6:$E$257,ROUNDUP((ROW()-5)/3,0)))),INT((IF(O519="Quantum",760,1220)-50)/INDEX('Laminates- copilot'!$E$6:$E$257,ROUNDUP((ROW()-5)/3,0))))),"Data is missing"))</f>
        <v>0.27586277913935603</v>
      </c>
      <c r="AK519" s="203">
        <f t="shared" si="141"/>
        <v>367.8170388524747</v>
      </c>
      <c r="AL519" t="str">
        <f t="shared" si="142"/>
        <v>PASS</v>
      </c>
      <c r="AM519" s="50" t="str">
        <f t="shared" si="143"/>
        <v/>
      </c>
    </row>
    <row r="520" spans="1:39" hidden="1">
      <c r="A520" t="s">
        <v>2148</v>
      </c>
      <c r="B520" t="s">
        <v>261</v>
      </c>
      <c r="C520" s="50" t="s">
        <v>2204</v>
      </c>
      <c r="D520">
        <f>'Laminates- copilot'!B177</f>
        <v>928</v>
      </c>
      <c r="E520" s="858">
        <f>'Laminates- copilot'!D177</f>
        <v>79</v>
      </c>
      <c r="F520" s="858">
        <v>150</v>
      </c>
      <c r="G520" s="858">
        <v>150</v>
      </c>
      <c r="H520" s="858">
        <v>25</v>
      </c>
      <c r="I520" s="858">
        <v>0</v>
      </c>
      <c r="J520" s="858">
        <v>350</v>
      </c>
      <c r="K520" s="858">
        <v>25000</v>
      </c>
      <c r="L520" s="858" t="str">
        <f>'Laminates- copilot'!K177</f>
        <v>Printed</v>
      </c>
      <c r="M520" s="858" t="str">
        <f>'Laminates- copilot'!L177</f>
        <v>1-2</v>
      </c>
      <c r="N520" s="858">
        <f>'Laminates- copilot'!M177</f>
        <v>1</v>
      </c>
      <c r="O520" s="858" t="str">
        <f>'Laminates- copilot'!O177</f>
        <v>Bastin</v>
      </c>
      <c r="P520" s="858" t="str">
        <f>'Laminates- copilot'!N177</f>
        <v>Europe to US</v>
      </c>
      <c r="Q520" s="858">
        <f t="shared" si="128"/>
        <v>3750</v>
      </c>
      <c r="R520" s="858">
        <f t="shared" si="129"/>
        <v>3750</v>
      </c>
      <c r="S520" s="858">
        <f>IFERROR('Laminates- copilot'!Q177/'Laminates- copilot'!P177*Q520,"")</f>
        <v>31.666500000000006</v>
      </c>
      <c r="T520" s="203">
        <f>IFERROR('Laminates- copilot'!R177/'Laminates- copilot'!P177*Q520,"")</f>
        <v>16285.253723633372</v>
      </c>
      <c r="U520" s="912">
        <f>IFERROR('Laminates- copilot'!S177/'Laminates- copilot'!P177*Q520,"")</f>
        <v>18890.894319414707</v>
      </c>
      <c r="V520" s="913">
        <f t="shared" si="130"/>
        <v>514.2738769246165</v>
      </c>
      <c r="W520" s="914">
        <f t="shared" si="131"/>
        <v>596.55769723255503</v>
      </c>
      <c r="X520" s="913">
        <f t="shared" si="132"/>
        <v>4.3427343263022324</v>
      </c>
      <c r="Y520" s="913">
        <f t="shared" si="133"/>
        <v>514.2738769246165</v>
      </c>
      <c r="Z520" s="95">
        <f t="shared" si="134"/>
        <v>394739</v>
      </c>
      <c r="AA520" s="50" t="str">
        <f t="shared" si="135"/>
        <v>Below MOQ by 369,739 bags</v>
      </c>
      <c r="AB520" s="923">
        <f t="shared" si="136"/>
        <v>0.36265162865291817</v>
      </c>
      <c r="AC520" s="924">
        <f t="shared" si="137"/>
        <v>0.42067588923738503</v>
      </c>
      <c r="AD520" s="203">
        <f t="shared" si="138"/>
        <v>9066.2907163229538</v>
      </c>
      <c r="AE520" s="912">
        <f t="shared" si="139"/>
        <v>10516.897230934626</v>
      </c>
      <c r="AF520" s="923" cm="1">
        <f t="array" ref="AF520">IF(O520="Quantum",IFERROR(_xlfn.LET(_xlpm.b,_xlfn.SWITCH(LOWER(B520),"zipper bag","Zipper pouch","open bag","Open pouch","sup with zipper","Stand-up pouch","stand-up pouch","Stand-up pouch",B520),_xlpm.w,G520,_xlpm.q,K520,_xlpm.types,'Converting-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missing"),IFERROR(_xlfn.LET(_xlpm.s,O520,_xlpm.b,_xlfn.SWITCH(LOWER(B520),"zipper bag","Zipper pouch","open bag","Open pouch",B520),_xlpm.w,G520,_xlpm.q,K520,_xlpm.src,'Converting-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520" s="923">
        <f>IFERROR(IF(OR(B520="Zipper pouch",B520="SUP with zipper"),HELPER!$DE$2*(AH520+AI520)/K520,HELPER!$DE$2*AH520/K520),"Data is missing")</f>
        <v>0.10474402383125359</v>
      </c>
      <c r="AH520" s="923">
        <f t="shared" si="140"/>
        <v>4.3427343263022324</v>
      </c>
      <c r="AI520" s="923">
        <f>IF(OR(B520="Zipper pouch",B520="SUP with zipper"),HELPER!$DC$2*G520/1000,"")</f>
        <v>2.1599999999999998E-2</v>
      </c>
      <c r="AJ520" s="923" cm="1">
        <f t="array" ref="AJ520">IF(INDEX('Laminates- copilot'!$E$6:$E$257,ROUNDUP((ROW()-5)/3,0))+50&gt;IF(O520="Quantum",760,1220),"Width exceeds supplier maximum",IFERROR(AF520+AG520+N(AI520)+AH520*G520/1000/MAX(1,MIN(MAX(2,INT(900/INDEX('Laminates- copilot'!$E$6:$E$257,ROUNDUP((ROW()-5)/3,0)))),INT((IF(O520="Quantum",760,1220)-50)/INDEX('Laminates- copilot'!$E$6:$E$257,ROUNDUP((ROW()-5)/3,0))))),"Data is missing"))</f>
        <v>0.27198872148968861</v>
      </c>
      <c r="AK520" s="203">
        <f t="shared" si="141"/>
        <v>362.65162865291819</v>
      </c>
      <c r="AL520" t="str">
        <f t="shared" si="142"/>
        <v>PASS</v>
      </c>
      <c r="AM520" s="50" t="str">
        <f t="shared" si="143"/>
        <v/>
      </c>
    </row>
    <row r="521" spans="1:39" hidden="1">
      <c r="A521" t="s">
        <v>2149</v>
      </c>
      <c r="B521" t="s">
        <v>262</v>
      </c>
      <c r="C521" s="50" t="s">
        <v>2204</v>
      </c>
      <c r="D521">
        <f>'Laminates- copilot'!B177</f>
        <v>928</v>
      </c>
      <c r="E521" s="858">
        <f>'Laminates- copilot'!D177</f>
        <v>79</v>
      </c>
      <c r="F521" s="858">
        <v>150</v>
      </c>
      <c r="G521" s="858">
        <v>150</v>
      </c>
      <c r="H521" s="858">
        <v>0</v>
      </c>
      <c r="I521" s="858">
        <v>0</v>
      </c>
      <c r="J521" s="858">
        <v>300</v>
      </c>
      <c r="K521" s="858">
        <v>25000</v>
      </c>
      <c r="L521" s="858" t="str">
        <f>'Laminates- copilot'!K177</f>
        <v>Printed</v>
      </c>
      <c r="M521" s="858" t="str">
        <f>'Laminates- copilot'!L177</f>
        <v>1-2</v>
      </c>
      <c r="N521" s="858">
        <f>'Laminates- copilot'!M177</f>
        <v>1</v>
      </c>
      <c r="O521" s="858" t="str">
        <f>'Laminates- copilot'!O177</f>
        <v>Bastin</v>
      </c>
      <c r="P521" s="858" t="str">
        <f>'Laminates- copilot'!N177</f>
        <v>Europe to US</v>
      </c>
      <c r="Q521" s="858">
        <f t="shared" si="128"/>
        <v>3750</v>
      </c>
      <c r="R521" s="858">
        <f t="shared" si="129"/>
        <v>3750</v>
      </c>
      <c r="S521" s="858">
        <f>IFERROR('Laminates- copilot'!Q177/'Laminates- copilot'!P177*Q521,"")</f>
        <v>31.666500000000006</v>
      </c>
      <c r="T521" s="203">
        <f>IFERROR('Laminates- copilot'!R177/'Laminates- copilot'!P177*Q521,"")</f>
        <v>16285.253723633372</v>
      </c>
      <c r="U521" s="912">
        <f>IFERROR('Laminates- copilot'!S177/'Laminates- copilot'!P177*Q521,"")</f>
        <v>18890.894319414707</v>
      </c>
      <c r="V521" s="913">
        <f t="shared" si="130"/>
        <v>514.2738769246165</v>
      </c>
      <c r="W521" s="914">
        <f t="shared" si="131"/>
        <v>596.55769723255503</v>
      </c>
      <c r="X521" s="913">
        <f t="shared" si="132"/>
        <v>4.3427343263022324</v>
      </c>
      <c r="Y521" s="913">
        <f t="shared" si="133"/>
        <v>514.2738769246165</v>
      </c>
      <c r="Z521" s="95">
        <f t="shared" si="134"/>
        <v>394739</v>
      </c>
      <c r="AA521" s="50" t="str">
        <f t="shared" si="135"/>
        <v>Below MOQ by 369,739 bags</v>
      </c>
      <c r="AB521" s="923">
        <f t="shared" si="136"/>
        <v>0.32732638981666201</v>
      </c>
      <c r="AC521" s="924">
        <f t="shared" si="137"/>
        <v>0.37969861218732792</v>
      </c>
      <c r="AD521" s="203">
        <f t="shared" si="138"/>
        <v>8183.1597454165503</v>
      </c>
      <c r="AE521" s="912">
        <f t="shared" si="139"/>
        <v>9492.4653046831972</v>
      </c>
      <c r="AF521" s="923" cm="1">
        <f t="array" ref="AF521">IF(O521="Quantum",IFERROR(_xlfn.LET(_xlpm.b,_xlfn.SWITCH(LOWER(B521),"zipper bag","Zipper pouch","open bag","Open pouch","sup with zipper","Stand-up pouch","stand-up pouch","Stand-up pouch",B521),_xlpm.w,G521,_xlpm.q,K521,_xlpm.types,'Converting-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missing"),IFERROR(_xlfn.LET(_xlpm.s,O521,_xlpm.b,_xlfn.SWITCH(LOWER(B521),"zipper bag","Zipper pouch","open bag","Open pouch",B521),_xlpm.w,G521,_xlpm.q,K521,_xlpm.src,'Converting-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521" s="923">
        <f>IFERROR(IF(OR(B521="Zipper pouch",B521="SUP with zipper"),HELPER!$DE$2*(AH521+AI521)/K521,HELPER!$DE$2*AH521/K521),"Data is missing")</f>
        <v>0.10422562383125358</v>
      </c>
      <c r="AH521" s="923">
        <f t="shared" si="140"/>
        <v>4.3427343263022324</v>
      </c>
      <c r="AI521" s="923" t="str">
        <f>IF(OR(B521="Zipper pouch",B521="SUP with zipper"),HELPER!$DC$2*G521/1000,"")</f>
        <v/>
      </c>
      <c r="AJ521" s="923" cm="1">
        <f t="array" ref="AJ521">IF(INDEX('Laminates- copilot'!$E$6:$E$257,ROUNDUP((ROW()-5)/3,0))+50&gt;IF(O521="Quantum",760,1220),"Width exceeds supplier maximum",IFERROR(AF521+AG521+N(AI521)+AH521*G521/1000/MAX(1,MIN(MAX(2,INT(900/INDEX('Laminates- copilot'!$E$6:$E$257,ROUNDUP((ROW()-5)/3,0)))),INT((IF(O521="Quantum",760,1220)-50)/INDEX('Laminates- copilot'!$E$6:$E$257,ROUNDUP((ROW()-5)/3,0))))),"Data is missing"))</f>
        <v>0.24549479236249649</v>
      </c>
      <c r="AK521" s="203">
        <f t="shared" si="141"/>
        <v>327.32638981666202</v>
      </c>
      <c r="AL521" t="str">
        <f t="shared" si="142"/>
        <v>PASS</v>
      </c>
      <c r="AM521" s="50" t="str">
        <f t="shared" si="143"/>
        <v/>
      </c>
    </row>
    <row r="522" spans="1:39" hidden="1">
      <c r="A522" t="s">
        <v>2150</v>
      </c>
      <c r="B522" t="s">
        <v>251</v>
      </c>
      <c r="C522" s="50" t="s">
        <v>2205</v>
      </c>
      <c r="D522">
        <f>'Laminates- copilot'!B178</f>
        <v>928</v>
      </c>
      <c r="E522" s="858">
        <f>'Laminates- copilot'!D178</f>
        <v>79</v>
      </c>
      <c r="F522" s="858">
        <v>250</v>
      </c>
      <c r="G522" s="858">
        <v>200</v>
      </c>
      <c r="H522" s="858">
        <v>40</v>
      </c>
      <c r="I522" s="858">
        <v>0</v>
      </c>
      <c r="J522" s="858">
        <v>580</v>
      </c>
      <c r="K522" s="858">
        <v>50000</v>
      </c>
      <c r="L522" s="858" t="str">
        <f>'Laminates- copilot'!K178</f>
        <v>Printed</v>
      </c>
      <c r="M522" s="858" t="str">
        <f>'Laminates- copilot'!L178</f>
        <v>3-4</v>
      </c>
      <c r="N522" s="858">
        <f>'Laminates- copilot'!M178</f>
        <v>4</v>
      </c>
      <c r="O522" s="858" t="str">
        <f>'Laminates- copilot'!O178</f>
        <v>Quantum</v>
      </c>
      <c r="P522" s="858" t="str">
        <f>'Laminates- copilot'!N178</f>
        <v>Europe to Europe</v>
      </c>
      <c r="Q522" s="858">
        <f t="shared" si="128"/>
        <v>10000</v>
      </c>
      <c r="R522" s="858">
        <f t="shared" si="129"/>
        <v>10000</v>
      </c>
      <c r="S522" s="858">
        <f>IFERROR('Laminates- copilot'!Q178/'Laminates- copilot'!P178*Q522,"")</f>
        <v>246.29500000000002</v>
      </c>
      <c r="T522" s="203">
        <f>IFERROR('Laminates- copilot'!R178/'Laminates- copilot'!P178*Q522,"")</f>
        <v>6710.8069289659279</v>
      </c>
      <c r="U522" s="912">
        <f>IFERROR('Laminates- copilot'!S178/'Laminates- copilot'!P178*Q522,"")</f>
        <v>7784.5360376004755</v>
      </c>
      <c r="V522" s="913">
        <f t="shared" si="130"/>
        <v>27.24702868091487</v>
      </c>
      <c r="W522" s="914">
        <f t="shared" si="131"/>
        <v>31.606553269861244</v>
      </c>
      <c r="X522" s="913">
        <f t="shared" si="132"/>
        <v>0.67108069289659278</v>
      </c>
      <c r="Y522" s="913">
        <f t="shared" si="133"/>
        <v>27.24702868091487</v>
      </c>
      <c r="Z522" s="95">
        <f t="shared" si="134"/>
        <v>101505</v>
      </c>
      <c r="AA522" s="50" t="str">
        <f t="shared" si="135"/>
        <v>Below MOQ by 51,505 bags</v>
      </c>
      <c r="AB522" s="923">
        <f t="shared" si="136"/>
        <v>0.29477297671791047</v>
      </c>
      <c r="AC522" s="924">
        <f t="shared" si="137"/>
        <v>0.34193665299277615</v>
      </c>
      <c r="AD522" s="203">
        <f t="shared" si="138"/>
        <v>14738.648835895523</v>
      </c>
      <c r="AE522" s="912">
        <f t="shared" si="139"/>
        <v>17096.832649638807</v>
      </c>
      <c r="AF522" s="923" cm="1">
        <f t="array" ref="AF522">IF(O522="Quantum",IFERROR(_xlfn.LET(_xlpm.b,_xlfn.SWITCH(LOWER(B522),"zipper bag","Zipper pouch","open bag","Open pouch","sup with zipper","Stand-up pouch","stand-up pouch","Stand-up pouch",B522),_xlpm.w,G522,_xlpm.q,K522,_xlpm.types,'Converting-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missing"),IFERROR(_xlfn.LET(_xlpm.s,O522,_xlpm.b,_xlfn.SWITCH(LOWER(B522),"zipper bag","Zipper pouch","open bag","Open pouch",B522),_xlpm.w,G522,_xlpm.q,K522,_xlpm.src,'Converting-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0.11677309493401446</v>
      </c>
      <c r="AG522" s="923">
        <f>IFERROR(IF(OR(B522="Zipper pouch",B522="SUP with zipper"),HELPER!$DE$2*(AH522+AI522)/K522,HELPER!$DE$2*AH522/K522),"Data is missing")</f>
        <v>8.3985683147591132E-3</v>
      </c>
      <c r="AH522" s="923">
        <f t="shared" si="140"/>
        <v>0.67108069289659278</v>
      </c>
      <c r="AI522" s="923">
        <f>IF(OR(B522="Zipper pouch",B522="SUP with zipper"),HELPER!$DC$2*G522/1000,"")</f>
        <v>2.8799999999999996E-2</v>
      </c>
      <c r="AJ522" s="923" cm="1">
        <f t="array" ref="AJ522">IF(INDEX('Laminates- copilot'!$E$6:$E$257,ROUNDUP((ROW()-5)/3,0))+50&gt;IF(O522="Quantum",760,1220),"Width exceeds supplier maximum",IFERROR(AF522+AG522+N(AI522)+AH522*G522/1000/MAX(1,MIN(MAX(2,INT(900/INDEX('Laminates- copilot'!$E$6:$E$257,ROUNDUP((ROW()-5)/3,0)))),INT((IF(O522="Quantum",760,1220)-50)/INDEX('Laminates- copilot'!$E$6:$E$257,ROUNDUP((ROW()-5)/3,0))))),"Data is missing"))</f>
        <v>0.22107973253843285</v>
      </c>
      <c r="AK522" s="203">
        <f t="shared" si="141"/>
        <v>294.77297671791047</v>
      </c>
      <c r="AL522" t="str">
        <f t="shared" si="142"/>
        <v>PASS</v>
      </c>
      <c r="AM522" s="50" t="str">
        <f t="shared" si="143"/>
        <v/>
      </c>
    </row>
    <row r="523" spans="1:39" hidden="1">
      <c r="A523" t="s">
        <v>2151</v>
      </c>
      <c r="B523" t="s">
        <v>261</v>
      </c>
      <c r="C523" s="50" t="s">
        <v>2205</v>
      </c>
      <c r="D523">
        <f>'Laminates- copilot'!B178</f>
        <v>928</v>
      </c>
      <c r="E523" s="858">
        <f>'Laminates- copilot'!D178</f>
        <v>79</v>
      </c>
      <c r="F523" s="858">
        <v>250</v>
      </c>
      <c r="G523" s="858">
        <v>200</v>
      </c>
      <c r="H523" s="858">
        <v>40</v>
      </c>
      <c r="I523" s="858">
        <v>0</v>
      </c>
      <c r="J523" s="858">
        <v>580</v>
      </c>
      <c r="K523" s="858">
        <v>50000</v>
      </c>
      <c r="L523" s="858" t="str">
        <f>'Laminates- copilot'!K178</f>
        <v>Printed</v>
      </c>
      <c r="M523" s="858" t="str">
        <f>'Laminates- copilot'!L178</f>
        <v>3-4</v>
      </c>
      <c r="N523" s="858">
        <f>'Laminates- copilot'!M178</f>
        <v>4</v>
      </c>
      <c r="O523" s="858" t="str">
        <f>'Laminates- copilot'!O178</f>
        <v>Quantum</v>
      </c>
      <c r="P523" s="858" t="str">
        <f>'Laminates- copilot'!N178</f>
        <v>Europe to Europe</v>
      </c>
      <c r="Q523" s="858">
        <f t="shared" si="128"/>
        <v>10000</v>
      </c>
      <c r="R523" s="858">
        <f t="shared" si="129"/>
        <v>10000</v>
      </c>
      <c r="S523" s="858">
        <f>IFERROR('Laminates- copilot'!Q178/'Laminates- copilot'!P178*Q523,"")</f>
        <v>246.29500000000002</v>
      </c>
      <c r="T523" s="203">
        <f>IFERROR('Laminates- copilot'!R178/'Laminates- copilot'!P178*Q523,"")</f>
        <v>6710.8069289659279</v>
      </c>
      <c r="U523" s="912">
        <f>IFERROR('Laminates- copilot'!S178/'Laminates- copilot'!P178*Q523,"")</f>
        <v>7784.5360376004755</v>
      </c>
      <c r="V523" s="913">
        <f t="shared" si="130"/>
        <v>27.24702868091487</v>
      </c>
      <c r="W523" s="914">
        <f t="shared" si="131"/>
        <v>31.606553269861244</v>
      </c>
      <c r="X523" s="913">
        <f t="shared" si="132"/>
        <v>0.67108069289659278</v>
      </c>
      <c r="Y523" s="913">
        <f t="shared" si="133"/>
        <v>27.24702868091487</v>
      </c>
      <c r="Z523" s="95">
        <f t="shared" si="134"/>
        <v>101505</v>
      </c>
      <c r="AA523" s="50" t="str">
        <f t="shared" si="135"/>
        <v>Below MOQ by 51,505 bags</v>
      </c>
      <c r="AB523" s="923">
        <f t="shared" si="136"/>
        <v>0.27900582599971679</v>
      </c>
      <c r="AC523" s="924">
        <f t="shared" si="137"/>
        <v>0.32364675815967148</v>
      </c>
      <c r="AD523" s="203">
        <f t="shared" si="138"/>
        <v>13950.29129998584</v>
      </c>
      <c r="AE523" s="912">
        <f t="shared" si="139"/>
        <v>16182.337907983574</v>
      </c>
      <c r="AF523" s="923" cm="1">
        <f t="array" ref="AF523">IF(O523="Quantum",IFERROR(_xlfn.LET(_xlpm.b,_xlfn.SWITCH(LOWER(B523),"zipper bag","Zipper pouch","open bag","Open pouch","sup with zipper","Stand-up pouch","stand-up pouch","Stand-up pouch",B523),_xlpm.w,G523,_xlpm.q,K523,_xlpm.types,'Converting-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missing"),IFERROR(_xlfn.LET(_xlpm.s,O523,_xlpm.b,_xlfn.SWITCH(LOWER(B523),"zipper bag","Zipper pouch","open bag","Open pouch",B523),_xlpm.w,G523,_xlpm.q,K523,_xlpm.src,'Converting-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0.10494773189536918</v>
      </c>
      <c r="AG523" s="923">
        <f>IFERROR(IF(OR(B523="Zipper pouch",B523="SUP with zipper"),HELPER!$DE$2*(AH523+AI523)/K523,HELPER!$DE$2*AH523/K523),"Data is missing")</f>
        <v>8.3985683147591132E-3</v>
      </c>
      <c r="AH523" s="923">
        <f t="shared" si="140"/>
        <v>0.67108069289659278</v>
      </c>
      <c r="AI523" s="923">
        <f>IF(OR(B523="Zipper pouch",B523="SUP with zipper"),HELPER!$DC$2*G523/1000,"")</f>
        <v>2.8799999999999996E-2</v>
      </c>
      <c r="AJ523" s="923" cm="1">
        <f t="array" ref="AJ523">IF(INDEX('Laminates- copilot'!$E$6:$E$257,ROUNDUP((ROW()-5)/3,0))+50&gt;IF(O523="Quantum",760,1220),"Width exceeds supplier maximum",IFERROR(AF523+AG523+N(AI523)+AH523*G523/1000/MAX(1,MIN(MAX(2,INT(900/INDEX('Laminates- copilot'!$E$6:$E$257,ROUNDUP((ROW()-5)/3,0)))),INT((IF(O523="Quantum",760,1220)-50)/INDEX('Laminates- copilot'!$E$6:$E$257,ROUNDUP((ROW()-5)/3,0))))),"Data is missing"))</f>
        <v>0.2092543694997876</v>
      </c>
      <c r="AK523" s="203">
        <f t="shared" si="141"/>
        <v>279.00582599971682</v>
      </c>
      <c r="AL523" t="str">
        <f t="shared" si="142"/>
        <v>PASS</v>
      </c>
      <c r="AM523" s="50" t="str">
        <f t="shared" si="143"/>
        <v/>
      </c>
    </row>
    <row r="524" spans="1:39" hidden="1">
      <c r="A524" t="s">
        <v>2152</v>
      </c>
      <c r="B524" t="s">
        <v>262</v>
      </c>
      <c r="C524" s="50" t="s">
        <v>2205</v>
      </c>
      <c r="D524">
        <f>'Laminates- copilot'!B178</f>
        <v>928</v>
      </c>
      <c r="E524" s="858">
        <f>'Laminates- copilot'!D178</f>
        <v>79</v>
      </c>
      <c r="F524" s="858">
        <v>250</v>
      </c>
      <c r="G524" s="858">
        <v>200</v>
      </c>
      <c r="H524" s="858">
        <v>0</v>
      </c>
      <c r="I524" s="858">
        <v>0</v>
      </c>
      <c r="J524" s="858">
        <v>500</v>
      </c>
      <c r="K524" s="858">
        <v>50000</v>
      </c>
      <c r="L524" s="858" t="str">
        <f>'Laminates- copilot'!K178</f>
        <v>Printed</v>
      </c>
      <c r="M524" s="858" t="str">
        <f>'Laminates- copilot'!L178</f>
        <v>3-4</v>
      </c>
      <c r="N524" s="858">
        <f>'Laminates- copilot'!M178</f>
        <v>4</v>
      </c>
      <c r="O524" s="858" t="str">
        <f>'Laminates- copilot'!O178</f>
        <v>Quantum</v>
      </c>
      <c r="P524" s="858" t="str">
        <f>'Laminates- copilot'!N178</f>
        <v>Europe to Europe</v>
      </c>
      <c r="Q524" s="858">
        <f t="shared" si="128"/>
        <v>10000</v>
      </c>
      <c r="R524" s="858">
        <f t="shared" si="129"/>
        <v>10000</v>
      </c>
      <c r="S524" s="858">
        <f>IFERROR('Laminates- copilot'!Q178/'Laminates- copilot'!P178*Q524,"")</f>
        <v>246.29500000000002</v>
      </c>
      <c r="T524" s="203">
        <f>IFERROR('Laminates- copilot'!R178/'Laminates- copilot'!P178*Q524,"")</f>
        <v>6710.8069289659279</v>
      </c>
      <c r="U524" s="912">
        <f>IFERROR('Laminates- copilot'!S178/'Laminates- copilot'!P178*Q524,"")</f>
        <v>7784.5360376004755</v>
      </c>
      <c r="V524" s="913">
        <f t="shared" si="130"/>
        <v>27.24702868091487</v>
      </c>
      <c r="W524" s="914">
        <f t="shared" si="131"/>
        <v>31.606553269861244</v>
      </c>
      <c r="X524" s="913">
        <f t="shared" si="132"/>
        <v>0.67108069289659278</v>
      </c>
      <c r="Y524" s="913">
        <f t="shared" si="133"/>
        <v>27.24702868091487</v>
      </c>
      <c r="Z524" s="95">
        <f t="shared" si="134"/>
        <v>101505</v>
      </c>
      <c r="AA524" s="50" t="str">
        <f t="shared" si="135"/>
        <v>Below MOQ by 51,505 bags</v>
      </c>
      <c r="AB524" s="923">
        <f t="shared" si="136"/>
        <v>0.22293360427573652</v>
      </c>
      <c r="AC524" s="924">
        <f t="shared" si="137"/>
        <v>0.25860298095985434</v>
      </c>
      <c r="AD524" s="203">
        <f t="shared" si="138"/>
        <v>11146.680213786825</v>
      </c>
      <c r="AE524" s="912">
        <f t="shared" si="139"/>
        <v>12930.149047992716</v>
      </c>
      <c r="AF524" s="923" cm="1">
        <f t="array" ref="AF524">IF(O524="Quantum",IFERROR(_xlfn.LET(_xlpm.b,_xlfn.SWITCH(LOWER(B524),"zipper bag","Zipper pouch","open bag","Open pouch","sup with zipper","Stand-up pouch","stand-up pouch","Stand-up pouch",B524),_xlpm.w,G524,_xlpm.q,K524,_xlpm.types,'Converting-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missing"),IFERROR(_xlfn.LET(_xlpm.s,O524,_xlpm.b,_xlfn.SWITCH(LOWER(B524),"zipper bag","Zipper pouch","open bag","Open pouch",B524),_xlpm.w,G524,_xlpm.q,K524,_xlpm.src,'Converting-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9.2039165602383996E-2</v>
      </c>
      <c r="AG524" s="923">
        <f>IFERROR(IF(OR(B524="Zipper pouch",B524="SUP with zipper"),HELPER!$DE$2*(AH524+AI524)/K524,HELPER!$DE$2*AH524/K524),"Data is missing")</f>
        <v>8.0529683147591135E-3</v>
      </c>
      <c r="AH524" s="923">
        <f t="shared" si="140"/>
        <v>0.67108069289659278</v>
      </c>
      <c r="AI524" s="923" t="str">
        <f>IF(OR(B524="Zipper pouch",B524="SUP with zipper"),HELPER!$DC$2*G524/1000,"")</f>
        <v/>
      </c>
      <c r="AJ524" s="923" cm="1">
        <f t="array" ref="AJ524">IF(INDEX('Laminates- copilot'!$E$6:$E$257,ROUNDUP((ROW()-5)/3,0))+50&gt;IF(O524="Quantum",760,1220),"Width exceeds supplier maximum",IFERROR(AF524+AG524+N(AI524)+AH524*G524/1000/MAX(1,MIN(MAX(2,INT(900/INDEX('Laminates- copilot'!$E$6:$E$257,ROUNDUP((ROW()-5)/3,0)))),INT((IF(O524="Quantum",760,1220)-50)/INDEX('Laminates- copilot'!$E$6:$E$257,ROUNDUP((ROW()-5)/3,0))))),"Data is missing"))</f>
        <v>0.1672002032068024</v>
      </c>
      <c r="AK524" s="203">
        <f t="shared" si="141"/>
        <v>222.93360427573651</v>
      </c>
      <c r="AL524" t="str">
        <f t="shared" si="142"/>
        <v>PASS</v>
      </c>
      <c r="AM524" s="50" t="str">
        <f t="shared" si="143"/>
        <v/>
      </c>
    </row>
    <row r="525" spans="1:39">
      <c r="A525" t="s">
        <v>2153</v>
      </c>
      <c r="B525" t="s">
        <v>251</v>
      </c>
      <c r="C525" s="50" t="s">
        <v>2206</v>
      </c>
      <c r="D525">
        <f>'Laminates- copilot'!B179</f>
        <v>928</v>
      </c>
      <c r="E525" s="858">
        <f>'Laminates- copilot'!D179</f>
        <v>79</v>
      </c>
      <c r="F525" s="858">
        <v>300</v>
      </c>
      <c r="G525" s="858">
        <v>300</v>
      </c>
      <c r="H525" s="858">
        <v>50</v>
      </c>
      <c r="I525" s="858">
        <v>0</v>
      </c>
      <c r="J525" s="858">
        <v>700</v>
      </c>
      <c r="K525" s="858">
        <v>50000</v>
      </c>
      <c r="L525" s="858" t="str">
        <f>'Laminates- copilot'!K179</f>
        <v>Printed</v>
      </c>
      <c r="M525" s="858" t="str">
        <f>'Laminates- copilot'!L179</f>
        <v>5-8</v>
      </c>
      <c r="N525" s="858">
        <f>'Laminates- copilot'!M179</f>
        <v>8</v>
      </c>
      <c r="O525" s="858" t="str">
        <f>'Laminates- copilot'!O179</f>
        <v>Marma</v>
      </c>
      <c r="P525" s="858" t="str">
        <f>'Laminates- copilot'!N179</f>
        <v>Europe to US</v>
      </c>
      <c r="Q525" s="858">
        <f t="shared" si="128"/>
        <v>15000</v>
      </c>
      <c r="R525" s="858">
        <f t="shared" si="129"/>
        <v>15000</v>
      </c>
      <c r="S525" s="858">
        <f>IFERROR('Laminates- copilot'!Q179/'Laminates- copilot'!P179*Q525,"")</f>
        <v>949.995</v>
      </c>
      <c r="T525" s="203">
        <f>IFERROR('Laminates- copilot'!R179/'Laminates- copilot'!P179*Q525,"")</f>
        <v>17189.276995661017</v>
      </c>
      <c r="U525" s="912">
        <f>IFERROR('Laminates- copilot'!S179/'Laminates- copilot'!P179*Q525,"")</f>
        <v>19939.561314966777</v>
      </c>
      <c r="V525" s="913">
        <f t="shared" si="130"/>
        <v>18.094071016859054</v>
      </c>
      <c r="W525" s="914">
        <f t="shared" si="131"/>
        <v>20.989122379556498</v>
      </c>
      <c r="X525" s="913">
        <f t="shared" si="132"/>
        <v>1.1459517997107345</v>
      </c>
      <c r="Y525" s="913">
        <f t="shared" si="133"/>
        <v>18.094071016859054</v>
      </c>
      <c r="Z525" s="95">
        <f t="shared" si="134"/>
        <v>26316</v>
      </c>
      <c r="AA525" s="50" t="str">
        <f t="shared" si="135"/>
        <v>MOQ OK</v>
      </c>
      <c r="AB525" s="923">
        <f t="shared" si="136"/>
        <v>0.61166201875777804</v>
      </c>
      <c r="AC525" s="924">
        <f t="shared" si="137"/>
        <v>0.70952794175902245</v>
      </c>
      <c r="AD525" s="203">
        <f t="shared" si="138"/>
        <v>30583.100937888903</v>
      </c>
      <c r="AE525" s="912">
        <f t="shared" si="139"/>
        <v>35476.397087951125</v>
      </c>
      <c r="AF525" s="923" cm="1">
        <f t="array" ref="AF525">IF(O525="Quantum",IFERROR(_xlfn.LET(_xlpm.b,_xlfn.SWITCH(LOWER(B525),"zipper bag","Zipper pouch","open bag","Open pouch","sup with zipper","Stand-up pouch","stand-up pouch","Stand-up pouch",B525),_xlpm.w,G525,_xlpm.q,K525,_xlpm.types,'Converting-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missing"),IFERROR(_xlfn.LET(_xlpm.s,O525,_xlpm.b,_xlfn.SWITCH(LOWER(B525),"zipper bag","Zipper pouch","open bag","Open pouch",B525),_xlpm.w,G525,_xlpm.q,K525,_xlpm.src,'Converting-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525" s="923">
        <f>IFERROR(IF(OR(B525="Zipper pouch",B525="SUP with zipper"),HELPER!$DE$2*(AH525+AI525)/K525,HELPER!$DE$2*AH525/K525),"Data is missing")</f>
        <v>1.4269821596528811E-2</v>
      </c>
      <c r="AH525" s="923">
        <f t="shared" si="140"/>
        <v>1.1459517997107345</v>
      </c>
      <c r="AI525" s="923">
        <f>IF(OR(B525="Zipper pouch",B525="SUP with zipper"),HELPER!$DC$2*G525/1000,"")</f>
        <v>4.3199999999999995E-2</v>
      </c>
      <c r="AJ525" s="923" cm="1">
        <f t="array" ref="AJ525">IF(INDEX('Laminates- copilot'!$E$6:$E$257,ROUNDUP((ROW()-5)/3,0))+50&gt;IF(O525="Quantum",760,1220),"Width exceeds supplier maximum",IFERROR(AF525+AG525+N(AI525)+AH525*G525/1000/MAX(1,MIN(MAX(2,INT(900/INDEX('Laminates- copilot'!$E$6:$E$257,ROUNDUP((ROW()-5)/3,0)))),INT((IF(O525="Quantum",760,1220)-50)/INDEX('Laminates- copilot'!$E$6:$E$257,ROUNDUP((ROW()-5)/3,0))))),"Data is missing"))</f>
        <v>0.45874651406833356</v>
      </c>
      <c r="AK525" s="203">
        <f t="shared" si="141"/>
        <v>611.66201875777801</v>
      </c>
      <c r="AL525" t="str">
        <f t="shared" si="142"/>
        <v>PASS</v>
      </c>
      <c r="AM525" s="50" t="str">
        <f t="shared" si="143"/>
        <v/>
      </c>
    </row>
    <row r="526" spans="1:39">
      <c r="A526" t="s">
        <v>2154</v>
      </c>
      <c r="B526" t="s">
        <v>261</v>
      </c>
      <c r="C526" s="50" t="s">
        <v>2206</v>
      </c>
      <c r="D526">
        <f>'Laminates- copilot'!B179</f>
        <v>928</v>
      </c>
      <c r="E526" s="858">
        <f>'Laminates- copilot'!D179</f>
        <v>79</v>
      </c>
      <c r="F526" s="858">
        <v>300</v>
      </c>
      <c r="G526" s="858">
        <v>300</v>
      </c>
      <c r="H526" s="858">
        <v>50</v>
      </c>
      <c r="I526" s="858">
        <v>0</v>
      </c>
      <c r="J526" s="858">
        <v>700</v>
      </c>
      <c r="K526" s="858">
        <v>50000</v>
      </c>
      <c r="L526" s="858" t="str">
        <f>'Laminates- copilot'!K179</f>
        <v>Printed</v>
      </c>
      <c r="M526" s="858" t="str">
        <f>'Laminates- copilot'!L179</f>
        <v>5-8</v>
      </c>
      <c r="N526" s="858">
        <f>'Laminates- copilot'!M179</f>
        <v>8</v>
      </c>
      <c r="O526" s="858" t="str">
        <f>'Laminates- copilot'!O179</f>
        <v>Marma</v>
      </c>
      <c r="P526" s="858" t="str">
        <f>'Laminates- copilot'!N179</f>
        <v>Europe to US</v>
      </c>
      <c r="Q526" s="858">
        <f t="shared" si="128"/>
        <v>15000</v>
      </c>
      <c r="R526" s="858">
        <f t="shared" si="129"/>
        <v>15000</v>
      </c>
      <c r="S526" s="858">
        <f>IFERROR('Laminates- copilot'!Q179/'Laminates- copilot'!P179*Q526,"")</f>
        <v>949.995</v>
      </c>
      <c r="T526" s="203">
        <f>IFERROR('Laminates- copilot'!R179/'Laminates- copilot'!P179*Q526,"")</f>
        <v>17189.276995661017</v>
      </c>
      <c r="U526" s="912">
        <f>IFERROR('Laminates- copilot'!S179/'Laminates- copilot'!P179*Q526,"")</f>
        <v>19939.561314966777</v>
      </c>
      <c r="V526" s="913">
        <f t="shared" si="130"/>
        <v>18.094071016859054</v>
      </c>
      <c r="W526" s="914">
        <f t="shared" si="131"/>
        <v>20.989122379556498</v>
      </c>
      <c r="X526" s="913">
        <f t="shared" si="132"/>
        <v>1.1459517997107345</v>
      </c>
      <c r="Y526" s="913">
        <f t="shared" si="133"/>
        <v>18.094071016859054</v>
      </c>
      <c r="Z526" s="95">
        <f t="shared" si="134"/>
        <v>26316</v>
      </c>
      <c r="AA526" s="50" t="str">
        <f t="shared" si="135"/>
        <v>MOQ OK</v>
      </c>
      <c r="AB526" s="923">
        <f t="shared" si="136"/>
        <v>0.60581879455013488</v>
      </c>
      <c r="AC526" s="924">
        <f t="shared" si="137"/>
        <v>0.70274980167815637</v>
      </c>
      <c r="AD526" s="203">
        <f t="shared" si="138"/>
        <v>30290.939727506742</v>
      </c>
      <c r="AE526" s="912">
        <f t="shared" si="139"/>
        <v>35137.490083907818</v>
      </c>
      <c r="AF526" s="923" cm="1">
        <f t="array" ref="AF526">IF(O526="Quantum",IFERROR(_xlfn.LET(_xlpm.b,_xlfn.SWITCH(LOWER(B526),"zipper bag","Zipper pouch","open bag","Open pouch","sup with zipper","Stand-up pouch","stand-up pouch","Stand-up pouch",B526),_xlpm.w,G526,_xlpm.q,K526,_xlpm.types,'Converting-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missing"),IFERROR(_xlfn.LET(_xlpm.s,O526,_xlpm.b,_xlfn.SWITCH(LOWER(B526),"zipper bag","Zipper pouch","open bag","Open pouch",B526),_xlpm.w,G526,_xlpm.q,K526,_xlpm.src,'Converting-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526" s="923">
        <f>IFERROR(IF(OR(B526="Zipper pouch",B526="SUP with zipper"),HELPER!$DE$2*(AH526+AI526)/K526,HELPER!$DE$2*AH526/K526),"Data is missing")</f>
        <v>1.4269821596528811E-2</v>
      </c>
      <c r="AH526" s="923">
        <f t="shared" si="140"/>
        <v>1.1459517997107345</v>
      </c>
      <c r="AI526" s="923">
        <f>IF(OR(B526="Zipper pouch",B526="SUP with zipper"),HELPER!$DC$2*G526/1000,"")</f>
        <v>4.3199999999999995E-2</v>
      </c>
      <c r="AJ526" s="923" cm="1">
        <f t="array" ref="AJ526">IF(INDEX('Laminates- copilot'!$E$6:$E$257,ROUNDUP((ROW()-5)/3,0))+50&gt;IF(O526="Quantum",760,1220),"Width exceeds supplier maximum",IFERROR(AF526+AG526+N(AI526)+AH526*G526/1000/MAX(1,MIN(MAX(2,INT(900/INDEX('Laminates- copilot'!$E$6:$E$257,ROUNDUP((ROW()-5)/3,0)))),INT((IF(O526="Quantum",760,1220)-50)/INDEX('Laminates- copilot'!$E$6:$E$257,ROUNDUP((ROW()-5)/3,0))))),"Data is missing"))</f>
        <v>0.45436409591260118</v>
      </c>
      <c r="AK526" s="203">
        <f t="shared" si="141"/>
        <v>605.81879455013484</v>
      </c>
      <c r="AL526" t="str">
        <f t="shared" si="142"/>
        <v>PASS</v>
      </c>
      <c r="AM526" s="50" t="str">
        <f t="shared" si="143"/>
        <v/>
      </c>
    </row>
    <row r="527" spans="1:39">
      <c r="A527" t="s">
        <v>2155</v>
      </c>
      <c r="B527" t="s">
        <v>262</v>
      </c>
      <c r="C527" s="50" t="s">
        <v>2206</v>
      </c>
      <c r="D527">
        <f>'Laminates- copilot'!B179</f>
        <v>928</v>
      </c>
      <c r="E527" s="858">
        <f>'Laminates- copilot'!D179</f>
        <v>79</v>
      </c>
      <c r="F527" s="858">
        <v>300</v>
      </c>
      <c r="G527" s="858">
        <v>300</v>
      </c>
      <c r="H527" s="858">
        <v>0</v>
      </c>
      <c r="I527" s="858">
        <v>10</v>
      </c>
      <c r="J527" s="858">
        <v>610</v>
      </c>
      <c r="K527" s="858">
        <v>50000</v>
      </c>
      <c r="L527" s="858" t="str">
        <f>'Laminates- copilot'!K179</f>
        <v>Printed</v>
      </c>
      <c r="M527" s="858" t="str">
        <f>'Laminates- copilot'!L179</f>
        <v>5-8</v>
      </c>
      <c r="N527" s="858">
        <f>'Laminates- copilot'!M179</f>
        <v>8</v>
      </c>
      <c r="O527" s="858" t="str">
        <f>'Laminates- copilot'!O179</f>
        <v>Marma</v>
      </c>
      <c r="P527" s="858" t="str">
        <f>'Laminates- copilot'!N179</f>
        <v>Europe to US</v>
      </c>
      <c r="Q527" s="858">
        <f t="shared" si="128"/>
        <v>15000</v>
      </c>
      <c r="R527" s="858">
        <f t="shared" si="129"/>
        <v>15000</v>
      </c>
      <c r="S527" s="858">
        <f>IFERROR('Laminates- copilot'!Q179/'Laminates- copilot'!P179*Q527,"")</f>
        <v>949.995</v>
      </c>
      <c r="T527" s="203">
        <f>IFERROR('Laminates- copilot'!R179/'Laminates- copilot'!P179*Q527,"")</f>
        <v>17189.276995661017</v>
      </c>
      <c r="U527" s="912">
        <f>IFERROR('Laminates- copilot'!S179/'Laminates- copilot'!P179*Q527,"")</f>
        <v>19939.561314966777</v>
      </c>
      <c r="V527" s="913">
        <f t="shared" si="130"/>
        <v>18.094071016859054</v>
      </c>
      <c r="W527" s="914">
        <f t="shared" si="131"/>
        <v>20.989122379556498</v>
      </c>
      <c r="X527" s="913">
        <f t="shared" si="132"/>
        <v>1.1459517997107345</v>
      </c>
      <c r="Y527" s="913">
        <f t="shared" si="133"/>
        <v>18.094071016859054</v>
      </c>
      <c r="Z527" s="95">
        <f t="shared" si="134"/>
        <v>26316</v>
      </c>
      <c r="AA527" s="50" t="str">
        <f t="shared" si="135"/>
        <v>MOQ OK</v>
      </c>
      <c r="AB527" s="923">
        <f t="shared" si="136"/>
        <v>0.54063958755256747</v>
      </c>
      <c r="AC527" s="924">
        <f t="shared" si="137"/>
        <v>0.62714192156097825</v>
      </c>
      <c r="AD527" s="203">
        <f t="shared" si="138"/>
        <v>27031.979377628373</v>
      </c>
      <c r="AE527" s="912">
        <f t="shared" si="139"/>
        <v>31357.096078048911</v>
      </c>
      <c r="AF527" s="923" cm="1">
        <f t="array" ref="AF527">IF(O527="Quantum",IFERROR(_xlfn.LET(_xlpm.b,_xlfn.SWITCH(LOWER(B527),"zipper bag","Zipper pouch","open bag","Open pouch","sup with zipper","Stand-up pouch","stand-up pouch","Stand-up pouch",B527),_xlpm.w,G527,_xlpm.q,K527,_xlpm.types,'Converting-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missing"),IFERROR(_xlfn.LET(_xlpm.s,O527,_xlpm.b,_xlfn.SWITCH(LOWER(B527),"zipper bag","Zipper pouch","open bag","Open pouch",B527),_xlpm.w,G527,_xlpm.q,K527,_xlpm.src,'Converting-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527" s="923">
        <f>IFERROR(IF(OR(B527="Zipper pouch",B527="SUP with zipper"),HELPER!$DE$2*(AH527+AI527)/K527,HELPER!$DE$2*AH527/K527),"Data is missing")</f>
        <v>1.3751421596528814E-2</v>
      </c>
      <c r="AH527" s="923">
        <f t="shared" si="140"/>
        <v>1.1459517997107345</v>
      </c>
      <c r="AI527" s="923" t="str">
        <f>IF(OR(B527="Zipper pouch",B527="SUP with zipper"),HELPER!$DC$2*G527/1000,"")</f>
        <v/>
      </c>
      <c r="AJ527" s="923" cm="1">
        <f t="array" ref="AJ527">IF(INDEX('Laminates- copilot'!$E$6:$E$257,ROUNDUP((ROW()-5)/3,0))+50&gt;IF(O527="Quantum",760,1220),"Width exceeds supplier maximum",IFERROR(AF527+AG527+N(AI527)+AH527*G527/1000/MAX(1,MIN(MAX(2,INT(900/INDEX('Laminates- copilot'!$E$6:$E$257,ROUNDUP((ROW()-5)/3,0)))),INT((IF(O527="Quantum",760,1220)-50)/INDEX('Laminates- copilot'!$E$6:$E$257,ROUNDUP((ROW()-5)/3,0))))),"Data is missing"))</f>
        <v>0.40547969066442563</v>
      </c>
      <c r="AK527" s="203">
        <f t="shared" si="141"/>
        <v>540.63958755256749</v>
      </c>
      <c r="AL527" t="str">
        <f t="shared" si="142"/>
        <v>PASS</v>
      </c>
      <c r="AM527" s="50" t="str">
        <f t="shared" si="143"/>
        <v/>
      </c>
    </row>
    <row r="528" spans="1:39" hidden="1">
      <c r="A528" t="s">
        <v>2156</v>
      </c>
      <c r="B528" t="s">
        <v>251</v>
      </c>
      <c r="C528" s="50" t="s">
        <v>2207</v>
      </c>
      <c r="D528">
        <f>'Laminates- copilot'!B180</f>
        <v>928</v>
      </c>
      <c r="E528" s="858">
        <f>'Laminates- copilot'!D180</f>
        <v>79</v>
      </c>
      <c r="F528" s="858">
        <v>350</v>
      </c>
      <c r="G528" s="858">
        <v>400</v>
      </c>
      <c r="H528" s="858">
        <v>60</v>
      </c>
      <c r="I528" s="858">
        <v>0</v>
      </c>
      <c r="J528" s="858">
        <v>820</v>
      </c>
      <c r="K528" s="858">
        <v>100000</v>
      </c>
      <c r="L528" s="858" t="str">
        <f>'Laminates- copilot'!K180</f>
        <v>Not Printed</v>
      </c>
      <c r="M528" s="858" t="str">
        <f>'Laminates- copilot'!L180</f>
        <v>0</v>
      </c>
      <c r="N528" s="858">
        <f>'Laminates- copilot'!M180</f>
        <v>1</v>
      </c>
      <c r="O528" s="858" t="str">
        <f>'Laminates- copilot'!O180</f>
        <v>Bastin</v>
      </c>
      <c r="P528" s="858" t="str">
        <f>'Laminates- copilot'!N180</f>
        <v>Europe to Europe</v>
      </c>
      <c r="Q528" s="858">
        <f t="shared" si="128"/>
        <v>40000</v>
      </c>
      <c r="R528" s="858">
        <f t="shared" si="129"/>
        <v>40000</v>
      </c>
      <c r="S528" s="858">
        <f>IFERROR('Laminates- copilot'!Q180/'Laminates- copilot'!P180*Q528,"")</f>
        <v>985.18000000000006</v>
      </c>
      <c r="T528" s="203">
        <f>IFERROR('Laminates- copilot'!R180/'Laminates- copilot'!P180*Q528,"")</f>
        <v>13641.426749843753</v>
      </c>
      <c r="U528" s="912">
        <f>IFERROR('Laminates- copilot'!S180/'Laminates- copilot'!P180*Q528,"")</f>
        <v>15824.055029818752</v>
      </c>
      <c r="V528" s="913">
        <f t="shared" si="130"/>
        <v>13.846633863703843</v>
      </c>
      <c r="W528" s="914">
        <f t="shared" si="131"/>
        <v>16.062095281896458</v>
      </c>
      <c r="X528" s="913">
        <f t="shared" si="132"/>
        <v>0.34103566874609381</v>
      </c>
      <c r="Y528" s="913">
        <f t="shared" si="133"/>
        <v>13.846633863703843</v>
      </c>
      <c r="Z528" s="95">
        <f t="shared" si="134"/>
        <v>50753</v>
      </c>
      <c r="AA528" s="50" t="str">
        <f t="shared" si="135"/>
        <v>MOQ OK</v>
      </c>
      <c r="AB528" s="923">
        <f t="shared" si="136"/>
        <v>0.3015639086687103</v>
      </c>
      <c r="AC528" s="924">
        <f t="shared" si="137"/>
        <v>0.34981413405570394</v>
      </c>
      <c r="AD528" s="203">
        <f t="shared" si="138"/>
        <v>30156.390866871032</v>
      </c>
      <c r="AE528" s="912">
        <f t="shared" si="139"/>
        <v>34981.413405570398</v>
      </c>
      <c r="AF528" s="923" cm="1">
        <f t="array" ref="AF528">IF(O528="Quantum",IFERROR(_xlfn.LET(_xlpm.b,_xlfn.SWITCH(LOWER(B528),"zipper bag","Zipper pouch","open bag","Open pouch","sup with zipper","Stand-up pouch","stand-up pouch","Stand-up pouch",B528),_xlpm.w,G528,_xlpm.q,K528,_xlpm.types,'Converting-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missing"),IFERROR(_xlfn.LET(_xlpm.s,O528,_xlpm.b,_xlfn.SWITCH(LOWER(B528),"zipper bag","Zipper pouch","open bag","Open pouch",B528),_xlpm.w,G528,_xlpm.q,K528,_xlpm.src,'Converting-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528" s="923">
        <f>IFERROR(IF(OR(B528="Zipper pouch",B528="SUP with zipper"),HELPER!$DE$2*(AH528+AI528)/K528,HELPER!$DE$2*AH528/K528),"Data is missing")</f>
        <v>2.3918140124765627E-3</v>
      </c>
      <c r="AH528" s="923">
        <f t="shared" si="140"/>
        <v>0.34103566874609381</v>
      </c>
      <c r="AI528" s="923">
        <f>IF(OR(B528="Zipper pouch",B528="SUP with zipper"),HELPER!$DC$2*G528/1000,"")</f>
        <v>5.7599999999999991E-2</v>
      </c>
      <c r="AJ528" s="923" cm="1">
        <f t="array" ref="AJ528">IF(INDEX('Laminates- copilot'!$E$6:$E$257,ROUNDUP((ROW()-5)/3,0))+50&gt;IF(O528="Quantum",760,1220),"Width exceeds supplier maximum",IFERROR(AF528+AG528+N(AI528)+AH528*G528/1000/MAX(1,MIN(MAX(2,INT(900/INDEX('Laminates- copilot'!$E$6:$E$257,ROUNDUP((ROW()-5)/3,0)))),INT((IF(O528="Quantum",760,1220)-50)/INDEX('Laminates- copilot'!$E$6:$E$257,ROUNDUP((ROW()-5)/3,0))))),"Data is missing"))</f>
        <v>0.22617293150153273</v>
      </c>
      <c r="AK528" s="203">
        <f t="shared" si="141"/>
        <v>301.56390866871033</v>
      </c>
      <c r="AL528" t="str">
        <f t="shared" si="142"/>
        <v>PASS</v>
      </c>
      <c r="AM528" s="50" t="str">
        <f t="shared" si="143"/>
        <v/>
      </c>
    </row>
    <row r="529" spans="1:39" hidden="1">
      <c r="A529" t="s">
        <v>2157</v>
      </c>
      <c r="B529" t="s">
        <v>261</v>
      </c>
      <c r="C529" s="50" t="s">
        <v>2207</v>
      </c>
      <c r="D529">
        <f>'Laminates- copilot'!B180</f>
        <v>928</v>
      </c>
      <c r="E529" s="858">
        <f>'Laminates- copilot'!D180</f>
        <v>79</v>
      </c>
      <c r="F529" s="858">
        <v>350</v>
      </c>
      <c r="G529" s="858">
        <v>400</v>
      </c>
      <c r="H529" s="858">
        <v>60</v>
      </c>
      <c r="I529" s="858">
        <v>0</v>
      </c>
      <c r="J529" s="858">
        <v>820</v>
      </c>
      <c r="K529" s="858">
        <v>100000</v>
      </c>
      <c r="L529" s="858" t="str">
        <f>'Laminates- copilot'!K180</f>
        <v>Not Printed</v>
      </c>
      <c r="M529" s="858" t="str">
        <f>'Laminates- copilot'!L180</f>
        <v>0</v>
      </c>
      <c r="N529" s="858">
        <f>'Laminates- copilot'!M180</f>
        <v>1</v>
      </c>
      <c r="O529" s="858" t="str">
        <f>'Laminates- copilot'!O180</f>
        <v>Bastin</v>
      </c>
      <c r="P529" s="858" t="str">
        <f>'Laminates- copilot'!N180</f>
        <v>Europe to Europe</v>
      </c>
      <c r="Q529" s="858">
        <f t="shared" si="128"/>
        <v>40000</v>
      </c>
      <c r="R529" s="858">
        <f t="shared" si="129"/>
        <v>40000</v>
      </c>
      <c r="S529" s="858">
        <f>IFERROR('Laminates- copilot'!Q180/'Laminates- copilot'!P180*Q529,"")</f>
        <v>985.18000000000006</v>
      </c>
      <c r="T529" s="203">
        <f>IFERROR('Laminates- copilot'!R180/'Laminates- copilot'!P180*Q529,"")</f>
        <v>13641.426749843753</v>
      </c>
      <c r="U529" s="912">
        <f>IFERROR('Laminates- copilot'!S180/'Laminates- copilot'!P180*Q529,"")</f>
        <v>15824.055029818752</v>
      </c>
      <c r="V529" s="913">
        <f t="shared" si="130"/>
        <v>13.846633863703843</v>
      </c>
      <c r="W529" s="914">
        <f t="shared" si="131"/>
        <v>16.062095281896458</v>
      </c>
      <c r="X529" s="913">
        <f t="shared" si="132"/>
        <v>0.34103566874609381</v>
      </c>
      <c r="Y529" s="913">
        <f t="shared" si="133"/>
        <v>13.846633863703843</v>
      </c>
      <c r="Z529" s="95">
        <f t="shared" si="134"/>
        <v>50753</v>
      </c>
      <c r="AA529" s="50" t="str">
        <f t="shared" si="135"/>
        <v>MOQ OK</v>
      </c>
      <c r="AB529" s="923">
        <f t="shared" si="136"/>
        <v>0.29163042751571694</v>
      </c>
      <c r="AC529" s="924">
        <f t="shared" si="137"/>
        <v>0.33829129591823165</v>
      </c>
      <c r="AD529" s="203">
        <f t="shared" si="138"/>
        <v>29163.042751571695</v>
      </c>
      <c r="AE529" s="912">
        <f t="shared" si="139"/>
        <v>33829.129591823163</v>
      </c>
      <c r="AF529" s="923" cm="1">
        <f t="array" ref="AF529">IF(O529="Quantum",IFERROR(_xlfn.LET(_xlpm.b,_xlfn.SWITCH(LOWER(B529),"zipper bag","Zipper pouch","open bag","Open pouch","sup with zipper","Stand-up pouch","stand-up pouch","Stand-up pouch",B529),_xlpm.w,G529,_xlpm.q,K529,_xlpm.types,'Converting-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missing"),IFERROR(_xlfn.LET(_xlpm.s,O529,_xlpm.b,_xlfn.SWITCH(LOWER(B529),"zipper bag","Zipper pouch","open bag","Open pouch",B529),_xlpm.w,G529,_xlpm.q,K529,_xlpm.src,'Converting-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529" s="923">
        <f>IFERROR(IF(OR(B529="Zipper pouch",B529="SUP with zipper"),HELPER!$DE$2*(AH529+AI529)/K529,HELPER!$DE$2*AH529/K529),"Data is missing")</f>
        <v>2.3918140124765627E-3</v>
      </c>
      <c r="AH529" s="923">
        <f t="shared" si="140"/>
        <v>0.34103566874609381</v>
      </c>
      <c r="AI529" s="923">
        <f>IF(OR(B529="Zipper pouch",B529="SUP with zipper"),HELPER!$DC$2*G529/1000,"")</f>
        <v>5.7599999999999991E-2</v>
      </c>
      <c r="AJ529" s="923" cm="1">
        <f t="array" ref="AJ529">IF(INDEX('Laminates- copilot'!$E$6:$E$257,ROUNDUP((ROW()-5)/3,0))+50&gt;IF(O529="Quantum",760,1220),"Width exceeds supplier maximum",IFERROR(AF529+AG529+N(AI529)+AH529*G529/1000/MAX(1,MIN(MAX(2,INT(900/INDEX('Laminates- copilot'!$E$6:$E$257,ROUNDUP((ROW()-5)/3,0)))),INT((IF(O529="Quantum",760,1220)-50)/INDEX('Laminates- copilot'!$E$6:$E$257,ROUNDUP((ROW()-5)/3,0))))),"Data is missing"))</f>
        <v>0.21872282063678772</v>
      </c>
      <c r="AK529" s="203">
        <f t="shared" si="141"/>
        <v>291.63042751571692</v>
      </c>
      <c r="AL529" t="str">
        <f t="shared" si="142"/>
        <v>PASS</v>
      </c>
      <c r="AM529" s="50" t="str">
        <f t="shared" si="143"/>
        <v/>
      </c>
    </row>
    <row r="530" spans="1:39" hidden="1">
      <c r="A530" t="s">
        <v>2158</v>
      </c>
      <c r="B530" t="s">
        <v>262</v>
      </c>
      <c r="C530" s="50" t="s">
        <v>2207</v>
      </c>
      <c r="D530">
        <f>'Laminates- copilot'!B180</f>
        <v>928</v>
      </c>
      <c r="E530" s="858">
        <f>'Laminates- copilot'!D180</f>
        <v>79</v>
      </c>
      <c r="F530" s="858">
        <v>350</v>
      </c>
      <c r="G530" s="858">
        <v>400</v>
      </c>
      <c r="H530" s="858">
        <v>0</v>
      </c>
      <c r="I530" s="858">
        <v>0</v>
      </c>
      <c r="J530" s="858">
        <v>700</v>
      </c>
      <c r="K530" s="858">
        <v>100000</v>
      </c>
      <c r="L530" s="858" t="str">
        <f>'Laminates- copilot'!K180</f>
        <v>Not Printed</v>
      </c>
      <c r="M530" s="858" t="str">
        <f>'Laminates- copilot'!L180</f>
        <v>0</v>
      </c>
      <c r="N530" s="858">
        <f>'Laminates- copilot'!M180</f>
        <v>1</v>
      </c>
      <c r="O530" s="858" t="str">
        <f>'Laminates- copilot'!O180</f>
        <v>Bastin</v>
      </c>
      <c r="P530" s="858" t="str">
        <f>'Laminates- copilot'!N180</f>
        <v>Europe to Europe</v>
      </c>
      <c r="Q530" s="858">
        <f t="shared" si="128"/>
        <v>40000</v>
      </c>
      <c r="R530" s="858">
        <f t="shared" si="129"/>
        <v>40000</v>
      </c>
      <c r="S530" s="858">
        <f>IFERROR('Laminates- copilot'!Q180/'Laminates- copilot'!P180*Q530,"")</f>
        <v>985.18000000000006</v>
      </c>
      <c r="T530" s="203">
        <f>IFERROR('Laminates- copilot'!R180/'Laminates- copilot'!P180*Q530,"")</f>
        <v>13641.426749843753</v>
      </c>
      <c r="U530" s="912">
        <f>IFERROR('Laminates- copilot'!S180/'Laminates- copilot'!P180*Q530,"")</f>
        <v>15824.055029818752</v>
      </c>
      <c r="V530" s="913">
        <f t="shared" si="130"/>
        <v>13.846633863703843</v>
      </c>
      <c r="W530" s="914">
        <f t="shared" si="131"/>
        <v>16.062095281896458</v>
      </c>
      <c r="X530" s="913">
        <f t="shared" si="132"/>
        <v>0.34103566874609381</v>
      </c>
      <c r="Y530" s="913">
        <f t="shared" si="133"/>
        <v>13.846633863703843</v>
      </c>
      <c r="Z530" s="95">
        <f t="shared" si="134"/>
        <v>50753</v>
      </c>
      <c r="AA530" s="50" t="str">
        <f t="shared" si="135"/>
        <v>MOQ OK</v>
      </c>
      <c r="AB530" s="923">
        <f t="shared" si="136"/>
        <v>0.2012416291282951</v>
      </c>
      <c r="AC530" s="924">
        <f t="shared" si="137"/>
        <v>0.23344028978882231</v>
      </c>
      <c r="AD530" s="203">
        <f t="shared" si="138"/>
        <v>20124.16291282951</v>
      </c>
      <c r="AE530" s="912">
        <f t="shared" si="139"/>
        <v>23344.02897888223</v>
      </c>
      <c r="AF530" s="923" cm="1">
        <f t="array" ref="AF530">IF(O530="Quantum",IFERROR(_xlfn.LET(_xlpm.b,_xlfn.SWITCH(LOWER(B530),"zipper bag","Zipper pouch","open bag","Open pouch","sup with zipper","Stand-up pouch","stand-up pouch","Stand-up pouch",B530),_xlpm.w,G530,_xlpm.q,K530,_xlpm.types,'Converting-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missing"),IFERROR(_xlfn.LET(_xlpm.s,O530,_xlpm.b,_xlfn.SWITCH(LOWER(B530),"zipper bag","Zipper pouch","open bag","Open pouch",B530),_xlpm.w,G530,_xlpm.q,K530,_xlpm.src,'Converting-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530" s="923">
        <f>IFERROR(IF(OR(B530="Zipper pouch",B530="SUP with zipper"),HELPER!$DE$2*(AH530+AI530)/K530,HELPER!$DE$2*AH530/K530),"Data is missing")</f>
        <v>2.0462140124765629E-3</v>
      </c>
      <c r="AH530" s="923">
        <f t="shared" si="140"/>
        <v>0.34103566874609381</v>
      </c>
      <c r="AI530" s="923" t="str">
        <f>IF(OR(B530="Zipper pouch",B530="SUP with zipper"),HELPER!$DC$2*G530/1000,"")</f>
        <v/>
      </c>
      <c r="AJ530" s="923" cm="1">
        <f t="array" ref="AJ530">IF(INDEX('Laminates- copilot'!$E$6:$E$257,ROUNDUP((ROW()-5)/3,0))+50&gt;IF(O530="Quantum",760,1220),"Width exceeds supplier maximum",IFERROR(AF530+AG530+N(AI530)+AH530*G530/1000/MAX(1,MIN(MAX(2,INT(900/INDEX('Laminates- copilot'!$E$6:$E$257,ROUNDUP((ROW()-5)/3,0)))),INT((IF(O530="Quantum",760,1220)-50)/INDEX('Laminates- copilot'!$E$6:$E$257,ROUNDUP((ROW()-5)/3,0))))),"Data is missing"))</f>
        <v>0.15093122184622132</v>
      </c>
      <c r="AK530" s="203">
        <f t="shared" si="141"/>
        <v>201.2416291282951</v>
      </c>
      <c r="AL530" t="str">
        <f t="shared" si="142"/>
        <v>PASS</v>
      </c>
      <c r="AM530" s="50" t="str">
        <f t="shared" si="143"/>
        <v/>
      </c>
    </row>
    <row r="531" spans="1:39" hidden="1">
      <c r="A531" t="s">
        <v>2159</v>
      </c>
      <c r="B531" t="s">
        <v>251</v>
      </c>
      <c r="C531" s="50" t="s">
        <v>2208</v>
      </c>
      <c r="D531">
        <f>'Laminates- copilot'!B181</f>
        <v>928</v>
      </c>
      <c r="E531" s="858">
        <f>'Laminates- copilot'!D181</f>
        <v>79</v>
      </c>
      <c r="F531" s="858">
        <v>400</v>
      </c>
      <c r="G531" s="858">
        <v>500</v>
      </c>
      <c r="H531" s="858">
        <v>80</v>
      </c>
      <c r="I531" s="858">
        <v>0</v>
      </c>
      <c r="J531" s="858">
        <v>960</v>
      </c>
      <c r="K531" s="858">
        <v>100000</v>
      </c>
      <c r="L531" s="858" t="str">
        <f>'Laminates- copilot'!K181</f>
        <v>Printed</v>
      </c>
      <c r="M531" s="858" t="str">
        <f>'Laminates- copilot'!L181</f>
        <v>3-4</v>
      </c>
      <c r="N531" s="858">
        <f>'Laminates- copilot'!M181</f>
        <v>4</v>
      </c>
      <c r="O531" s="858" t="str">
        <f>'Laminates- copilot'!O181</f>
        <v>Quantum</v>
      </c>
      <c r="P531" s="858" t="str">
        <f>'Laminates- copilot'!N181</f>
        <v>Europe to US</v>
      </c>
      <c r="Q531" s="858">
        <f t="shared" si="128"/>
        <v>50000</v>
      </c>
      <c r="R531" s="858">
        <f t="shared" si="129"/>
        <v>50000</v>
      </c>
      <c r="S531" s="858">
        <f>IFERROR('Laminates- copilot'!Q181/'Laminates- copilot'!P181*Q531,"")</f>
        <v>2111.1</v>
      </c>
      <c r="T531" s="203">
        <f>IFERROR('Laminates- copilot'!R181/'Laminates- copilot'!P181*Q531,"")</f>
        <v>74193.284349511843</v>
      </c>
      <c r="U531" s="912">
        <f>IFERROR('Laminates- copilot'!S181/'Laminates- copilot'!P181*Q531,"")</f>
        <v>86064.209845433739</v>
      </c>
      <c r="V531" s="913">
        <f t="shared" si="130"/>
        <v>35.14437229383347</v>
      </c>
      <c r="W531" s="914">
        <f t="shared" si="131"/>
        <v>40.767471860846832</v>
      </c>
      <c r="X531" s="913">
        <f t="shared" si="132"/>
        <v>1.4838656869902369</v>
      </c>
      <c r="Y531" s="913">
        <f t="shared" si="133"/>
        <v>35.14437229383347</v>
      </c>
      <c r="Z531" s="95">
        <f t="shared" si="134"/>
        <v>23685</v>
      </c>
      <c r="AA531" s="50" t="str">
        <f t="shared" si="135"/>
        <v>MOQ OK</v>
      </c>
      <c r="AB531" s="923">
        <f t="shared" si="136"/>
        <v>1.4593481597062432</v>
      </c>
      <c r="AC531" s="924">
        <f t="shared" si="137"/>
        <v>1.6928438652592419</v>
      </c>
      <c r="AD531" s="203">
        <f t="shared" si="138"/>
        <v>145934.81597062433</v>
      </c>
      <c r="AE531" s="912">
        <f t="shared" si="139"/>
        <v>169284.3865259242</v>
      </c>
      <c r="AF531" s="923" cm="1">
        <f t="array" ref="AF531">IF(O531="Quantum",IFERROR(_xlfn.LET(_xlpm.b,_xlfn.SWITCH(LOWER(B531),"zipper bag","Zipper pouch","open bag","Open pouch","sup with zipper","Stand-up pouch","stand-up pouch","Stand-up pouch",B531),_xlpm.w,G531,_xlpm.q,K531,_xlpm.types,'Converting-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missing"),IFERROR(_xlfn.LET(_xlpm.s,O531,_xlpm.b,_xlfn.SWITCH(LOWER(B531),"zipper bag","Zipper pouch","open bag","Open pouch",B531),_xlpm.w,G531,_xlpm.q,K531,_xlpm.src,'Converting-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0.27124308216262238</v>
      </c>
      <c r="AG531" s="923">
        <f>IFERROR(IF(OR(B531="Zipper pouch",B531="SUP with zipper"),HELPER!$DE$2*(AH531+AI531)/K531,HELPER!$DE$2*AH531/K531),"Data is missing")</f>
        <v>9.335194121941422E-3</v>
      </c>
      <c r="AH531" s="923">
        <f t="shared" si="140"/>
        <v>1.4838656869902369</v>
      </c>
      <c r="AI531" s="923">
        <f>IF(OR(B531="Zipper pouch",B531="SUP with zipper"),HELPER!$DC$2*G531/1000,"")</f>
        <v>7.1999999999999995E-2</v>
      </c>
      <c r="AJ531" s="923" cm="1">
        <f t="array" ref="AJ531">IF(INDEX('Laminates- copilot'!$E$6:$E$257,ROUNDUP((ROW()-5)/3,0))+50&gt;IF(O531="Quantum",760,1220),"Width exceeds supplier maximum",IFERROR(AF531+AG531+N(AI531)+AH531*G531/1000/MAX(1,MIN(MAX(2,INT(900/INDEX('Laminates- copilot'!$E$6:$E$257,ROUNDUP((ROW()-5)/3,0)))),INT((IF(O531="Quantum",760,1220)-50)/INDEX('Laminates- copilot'!$E$6:$E$257,ROUNDUP((ROW()-5)/3,0))))),"Data is missing"))</f>
        <v>1.0945111197796824</v>
      </c>
      <c r="AK531" s="203">
        <f t="shared" si="141"/>
        <v>1459.3481597062432</v>
      </c>
      <c r="AL531" t="str">
        <f t="shared" si="142"/>
        <v>PASS</v>
      </c>
      <c r="AM531" s="50" t="str">
        <f t="shared" si="143"/>
        <v/>
      </c>
    </row>
    <row r="532" spans="1:39" hidden="1">
      <c r="A532" t="s">
        <v>2160</v>
      </c>
      <c r="B532" t="s">
        <v>261</v>
      </c>
      <c r="C532" s="50" t="s">
        <v>2208</v>
      </c>
      <c r="D532">
        <f>'Laminates- copilot'!B181</f>
        <v>928</v>
      </c>
      <c r="E532" s="858">
        <f>'Laminates- copilot'!D181</f>
        <v>79</v>
      </c>
      <c r="F532" s="858">
        <v>400</v>
      </c>
      <c r="G532" s="858">
        <v>500</v>
      </c>
      <c r="H532" s="858">
        <v>80</v>
      </c>
      <c r="I532" s="858">
        <v>0</v>
      </c>
      <c r="J532" s="858">
        <v>960</v>
      </c>
      <c r="K532" s="858">
        <v>100000</v>
      </c>
      <c r="L532" s="858" t="str">
        <f>'Laminates- copilot'!K181</f>
        <v>Printed</v>
      </c>
      <c r="M532" s="858" t="str">
        <f>'Laminates- copilot'!L181</f>
        <v>3-4</v>
      </c>
      <c r="N532" s="858">
        <f>'Laminates- copilot'!M181</f>
        <v>4</v>
      </c>
      <c r="O532" s="858" t="str">
        <f>'Laminates- copilot'!O181</f>
        <v>Quantum</v>
      </c>
      <c r="P532" s="858" t="str">
        <f>'Laminates- copilot'!N181</f>
        <v>Europe to US</v>
      </c>
      <c r="Q532" s="858">
        <f t="shared" si="128"/>
        <v>50000</v>
      </c>
      <c r="R532" s="858">
        <f t="shared" si="129"/>
        <v>50000</v>
      </c>
      <c r="S532" s="858">
        <f>IFERROR('Laminates- copilot'!Q181/'Laminates- copilot'!P181*Q532,"")</f>
        <v>2111.1</v>
      </c>
      <c r="T532" s="203">
        <f>IFERROR('Laminates- copilot'!R181/'Laminates- copilot'!P181*Q532,"")</f>
        <v>74193.284349511843</v>
      </c>
      <c r="U532" s="912">
        <f>IFERROR('Laminates- copilot'!S181/'Laminates- copilot'!P181*Q532,"")</f>
        <v>86064.209845433739</v>
      </c>
      <c r="V532" s="913">
        <f t="shared" si="130"/>
        <v>35.14437229383347</v>
      </c>
      <c r="W532" s="914">
        <f t="shared" si="131"/>
        <v>40.767471860846832</v>
      </c>
      <c r="X532" s="913">
        <f t="shared" si="132"/>
        <v>1.4838656869902369</v>
      </c>
      <c r="Y532" s="913">
        <f t="shared" si="133"/>
        <v>35.14437229383347</v>
      </c>
      <c r="Z532" s="95">
        <f t="shared" si="134"/>
        <v>23685</v>
      </c>
      <c r="AA532" s="50" t="str">
        <f t="shared" si="135"/>
        <v>MOQ OK</v>
      </c>
      <c r="AB532" s="923">
        <f t="shared" si="136"/>
        <v>1.4199302829107587</v>
      </c>
      <c r="AC532" s="924">
        <f t="shared" si="137"/>
        <v>1.6471191281764801</v>
      </c>
      <c r="AD532" s="203">
        <f t="shared" si="138"/>
        <v>141993.02829107587</v>
      </c>
      <c r="AE532" s="912">
        <f t="shared" si="139"/>
        <v>164711.912817648</v>
      </c>
      <c r="AF532" s="923" cm="1">
        <f t="array" ref="AF532">IF(O532="Quantum",IFERROR(_xlfn.LET(_xlpm.b,_xlfn.SWITCH(LOWER(B532),"zipper bag","Zipper pouch","open bag","Open pouch","sup with zipper","Stand-up pouch","stand-up pouch","Stand-up pouch",B532),_xlpm.w,G532,_xlpm.q,K532,_xlpm.types,'Converting-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missing"),IFERROR(_xlfn.LET(_xlpm.s,O532,_xlpm.b,_xlfn.SWITCH(LOWER(B532),"zipper bag","Zipper pouch","open bag","Open pouch",B532),_xlpm.w,G532,_xlpm.q,K532,_xlpm.src,'Converting-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0.24167967456600919</v>
      </c>
      <c r="AG532" s="923">
        <f>IFERROR(IF(OR(B532="Zipper pouch",B532="SUP with zipper"),HELPER!$DE$2*(AH532+AI532)/K532,HELPER!$DE$2*AH532/K532),"Data is missing")</f>
        <v>9.335194121941422E-3</v>
      </c>
      <c r="AH532" s="923">
        <f t="shared" si="140"/>
        <v>1.4838656869902369</v>
      </c>
      <c r="AI532" s="923">
        <f>IF(OR(B532="Zipper pouch",B532="SUP with zipper"),HELPER!$DC$2*G532/1000,"")</f>
        <v>7.1999999999999995E-2</v>
      </c>
      <c r="AJ532" s="923" cm="1">
        <f t="array" ref="AJ532">IF(INDEX('Laminates- copilot'!$E$6:$E$257,ROUNDUP((ROW()-5)/3,0))+50&gt;IF(O532="Quantum",760,1220),"Width exceeds supplier maximum",IFERROR(AF532+AG532+N(AI532)+AH532*G532/1000/MAX(1,MIN(MAX(2,INT(900/INDEX('Laminates- copilot'!$E$6:$E$257,ROUNDUP((ROW()-5)/3,0)))),INT((IF(O532="Quantum",760,1220)-50)/INDEX('Laminates- copilot'!$E$6:$E$257,ROUNDUP((ROW()-5)/3,0))))),"Data is missing"))</f>
        <v>1.0649477121830691</v>
      </c>
      <c r="AK532" s="203">
        <f t="shared" si="141"/>
        <v>1419.9302829107587</v>
      </c>
      <c r="AL532" t="str">
        <f t="shared" si="142"/>
        <v>PASS</v>
      </c>
      <c r="AM532" s="50" t="str">
        <f t="shared" si="143"/>
        <v/>
      </c>
    </row>
    <row r="533" spans="1:39" hidden="1">
      <c r="A533" t="s">
        <v>2161</v>
      </c>
      <c r="B533" t="s">
        <v>262</v>
      </c>
      <c r="C533" s="50" t="s">
        <v>2208</v>
      </c>
      <c r="D533">
        <f>'Laminates- copilot'!B181</f>
        <v>928</v>
      </c>
      <c r="E533" s="858">
        <f>'Laminates- copilot'!D181</f>
        <v>79</v>
      </c>
      <c r="F533" s="858">
        <v>400</v>
      </c>
      <c r="G533" s="858">
        <v>500</v>
      </c>
      <c r="H533" s="858">
        <v>0</v>
      </c>
      <c r="I533" s="858">
        <v>20</v>
      </c>
      <c r="J533" s="858">
        <v>820</v>
      </c>
      <c r="K533" s="858">
        <v>100000</v>
      </c>
      <c r="L533" s="858" t="str">
        <f>'Laminates- copilot'!K181</f>
        <v>Printed</v>
      </c>
      <c r="M533" s="858" t="str">
        <f>'Laminates- copilot'!L181</f>
        <v>3-4</v>
      </c>
      <c r="N533" s="858">
        <f>'Laminates- copilot'!M181</f>
        <v>4</v>
      </c>
      <c r="O533" s="858" t="str">
        <f>'Laminates- copilot'!O181</f>
        <v>Quantum</v>
      </c>
      <c r="P533" s="858" t="str">
        <f>'Laminates- copilot'!N181</f>
        <v>Europe to US</v>
      </c>
      <c r="Q533" s="858">
        <f t="shared" si="128"/>
        <v>50000</v>
      </c>
      <c r="R533" s="858">
        <f t="shared" si="129"/>
        <v>50000</v>
      </c>
      <c r="S533" s="858">
        <f>IFERROR('Laminates- copilot'!Q181/'Laminates- copilot'!P181*Q533,"")</f>
        <v>2111.1</v>
      </c>
      <c r="T533" s="203">
        <f>IFERROR('Laminates- copilot'!R181/'Laminates- copilot'!P181*Q533,"")</f>
        <v>74193.284349511843</v>
      </c>
      <c r="U533" s="912">
        <f>IFERROR('Laminates- copilot'!S181/'Laminates- copilot'!P181*Q533,"")</f>
        <v>86064.209845433739</v>
      </c>
      <c r="V533" s="913">
        <f t="shared" si="130"/>
        <v>35.14437229383347</v>
      </c>
      <c r="W533" s="914">
        <f t="shared" si="131"/>
        <v>40.767471860846832</v>
      </c>
      <c r="X533" s="913">
        <f t="shared" si="132"/>
        <v>1.4838656869902369</v>
      </c>
      <c r="Y533" s="913">
        <f t="shared" si="133"/>
        <v>35.14437229383347</v>
      </c>
      <c r="Z533" s="95">
        <f t="shared" si="134"/>
        <v>23685</v>
      </c>
      <c r="AA533" s="50" t="str">
        <f t="shared" si="135"/>
        <v>MOQ OK</v>
      </c>
      <c r="AB533" s="923">
        <f t="shared" si="136"/>
        <v>1.2895211308996586</v>
      </c>
      <c r="AC533" s="924">
        <f t="shared" si="137"/>
        <v>1.4958445118436039</v>
      </c>
      <c r="AD533" s="203">
        <f t="shared" si="138"/>
        <v>128952.11308996586</v>
      </c>
      <c r="AE533" s="912">
        <f t="shared" si="139"/>
        <v>149584.4511843604</v>
      </c>
      <c r="AF533" s="923" cm="1">
        <f t="array" ref="AF533">IF(O533="Quantum",IFERROR(_xlfn.LET(_xlpm.b,_xlfn.SWITCH(LOWER(B533),"zipper bag","Zipper pouch","open bag","Open pouch","sup with zipper","Stand-up pouch","stand-up pouch","Stand-up pouch",B533),_xlpm.w,G533,_xlpm.q,K533,_xlpm.types,'Converting-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missing"),IFERROR(_xlfn.LET(_xlpm.s,O533,_xlpm.b,_xlfn.SWITCH(LOWER(B533),"zipper bag","Zipper pouch","open bag","Open pouch",B533),_xlpm.w,G533,_xlpm.q,K533,_xlpm.src,'Converting-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0.21630481055768414</v>
      </c>
      <c r="AG533" s="923">
        <f>IFERROR(IF(OR(B533="Zipper pouch",B533="SUP with zipper"),HELPER!$DE$2*(AH533+AI533)/K533,HELPER!$DE$2*AH533/K533),"Data is missing")</f>
        <v>8.9031941219414219E-3</v>
      </c>
      <c r="AH533" s="923">
        <f t="shared" si="140"/>
        <v>1.4838656869902369</v>
      </c>
      <c r="AI533" s="923" t="str">
        <f>IF(OR(B533="Zipper pouch",B533="SUP with zipper"),HELPER!$DC$2*G533/1000,"")</f>
        <v/>
      </c>
      <c r="AJ533" s="923" cm="1">
        <f t="array" ref="AJ533">IF(INDEX('Laminates- copilot'!$E$6:$E$257,ROUNDUP((ROW()-5)/3,0))+50&gt;IF(O533="Quantum",760,1220),"Width exceeds supplier maximum",IFERROR(AF533+AG533+N(AI533)+AH533*G533/1000/MAX(1,MIN(MAX(2,INT(900/INDEX('Laminates- copilot'!$E$6:$E$257,ROUNDUP((ROW()-5)/3,0)))),INT((IF(O533="Quantum",760,1220)-50)/INDEX('Laminates- copilot'!$E$6:$E$257,ROUNDUP((ROW()-5)/3,0))))),"Data is missing"))</f>
        <v>0.96714084817474399</v>
      </c>
      <c r="AK533" s="203">
        <f t="shared" si="141"/>
        <v>1289.5211308996586</v>
      </c>
      <c r="AL533" t="str">
        <f t="shared" si="142"/>
        <v>PASS</v>
      </c>
      <c r="AM533" s="50" t="str">
        <f t="shared" si="143"/>
        <v/>
      </c>
    </row>
    <row r="534" spans="1:39" hidden="1">
      <c r="A534" t="s">
        <v>2162</v>
      </c>
      <c r="B534" t="s">
        <v>251</v>
      </c>
      <c r="C534" s="50" t="s">
        <v>2209</v>
      </c>
      <c r="D534">
        <f>'Laminates- copilot'!B182</f>
        <v>928</v>
      </c>
      <c r="E534" s="858">
        <f>'Laminates- copilot'!D182</f>
        <v>79</v>
      </c>
      <c r="F534" s="858">
        <v>600</v>
      </c>
      <c r="G534" s="858">
        <v>200</v>
      </c>
      <c r="H534" s="858">
        <v>50</v>
      </c>
      <c r="I534" s="858">
        <v>0</v>
      </c>
      <c r="J534" s="858">
        <v>1300</v>
      </c>
      <c r="K534" s="858">
        <v>200000</v>
      </c>
      <c r="L534" s="858" t="str">
        <f>'Laminates- copilot'!K182</f>
        <v>Printed</v>
      </c>
      <c r="M534" s="858" t="str">
        <f>'Laminates- copilot'!L182</f>
        <v>5-8</v>
      </c>
      <c r="N534" s="858">
        <f>'Laminates- copilot'!M182</f>
        <v>8</v>
      </c>
      <c r="O534" s="858" t="str">
        <f>'Laminates- copilot'!O182</f>
        <v>Marma</v>
      </c>
      <c r="P534" s="858" t="str">
        <f>'Laminates- copilot'!N182</f>
        <v>Europe to Europe</v>
      </c>
      <c r="Q534" s="858">
        <f t="shared" si="128"/>
        <v>40000</v>
      </c>
      <c r="R534" s="858">
        <f t="shared" si="129"/>
        <v>40000</v>
      </c>
      <c r="S534" s="858">
        <f>IFERROR('Laminates- copilot'!Q182/'Laminates- copilot'!P182*Q534,"")</f>
        <v>2533.3200000000002</v>
      </c>
      <c r="T534" s="203">
        <f>IFERROR('Laminates- copilot'!R182/'Laminates- copilot'!P182*Q534,"")</f>
        <v>52928.35844413592</v>
      </c>
      <c r="U534" s="912">
        <f>IFERROR('Laminates- copilot'!S182/'Laminates- copilot'!P182*Q534,"")</f>
        <v>61396.895795197663</v>
      </c>
      <c r="V534" s="913">
        <f t="shared" si="130"/>
        <v>20.892883032595929</v>
      </c>
      <c r="W534" s="914">
        <f t="shared" si="131"/>
        <v>24.235744317811275</v>
      </c>
      <c r="X534" s="913">
        <f t="shared" si="132"/>
        <v>1.3232089611033979</v>
      </c>
      <c r="Y534" s="913">
        <f t="shared" si="133"/>
        <v>20.892883032595929</v>
      </c>
      <c r="Z534" s="95">
        <f t="shared" si="134"/>
        <v>39474</v>
      </c>
      <c r="AA534" s="50" t="str">
        <f t="shared" si="135"/>
        <v>MOQ OK</v>
      </c>
      <c r="AB534" s="923">
        <f t="shared" si="136"/>
        <v>0.45462961246385625</v>
      </c>
      <c r="AC534" s="924">
        <f t="shared" si="137"/>
        <v>0.52737035045807323</v>
      </c>
      <c r="AD534" s="203">
        <f t="shared" si="138"/>
        <v>90925.922492771249</v>
      </c>
      <c r="AE534" s="912">
        <f t="shared" si="139"/>
        <v>105474.07009161465</v>
      </c>
      <c r="AF534" s="923" cm="1">
        <f t="array" ref="AF534">IF(O534="Quantum",IFERROR(_xlfn.LET(_xlpm.b,_xlfn.SWITCH(LOWER(B534),"zipper bag","Zipper pouch","open bag","Open pouch","sup with zipper","Stand-up pouch","stand-up pouch","Stand-up pouch",B534),_xlpm.w,G534,_xlpm.q,K534,_xlpm.types,'Converting-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missing"),IFERROR(_xlfn.LET(_xlpm.s,O534,_xlpm.b,_xlfn.SWITCH(LOWER(B534),"zipper bag","Zipper pouch","open bag","Open pouch",B534),_xlpm.w,G534,_xlpm.q,K534,_xlpm.src,'Converting-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534" s="923">
        <f>IFERROR(IF(OR(B534="Zipper pouch",B534="SUP with zipper"),HELPER!$DE$2*(AH534+AI534)/K534,HELPER!$DE$2*AH534/K534),"Data is missing")</f>
        <v>4.0560268833101931E-3</v>
      </c>
      <c r="AH534" s="923">
        <f t="shared" si="140"/>
        <v>1.3232089611033979</v>
      </c>
      <c r="AI534" s="923">
        <f>IF(OR(B534="Zipper pouch",B534="SUP with zipper"),HELPER!$DC$2*G534/1000,"")</f>
        <v>2.8799999999999996E-2</v>
      </c>
      <c r="AJ534" s="923" cm="1">
        <f t="array" ref="AJ534">IF(INDEX('Laminates- copilot'!$E$6:$E$257,ROUNDUP((ROW()-5)/3,0))+50&gt;IF(O534="Quantum",760,1220),"Width exceeds supplier maximum",IFERROR(AF534+AG534+N(AI534)+AH534*G534/1000/MAX(1,MIN(MAX(2,INT(900/INDEX('Laminates- copilot'!$E$6:$E$257,ROUNDUP((ROW()-5)/3,0)))),INT((IF(O534="Quantum",760,1220)-50)/INDEX('Laminates- copilot'!$E$6:$E$257,ROUNDUP((ROW()-5)/3,0))))),"Data is missing"))</f>
        <v>0.34097220934789219</v>
      </c>
      <c r="AK534" s="203">
        <f t="shared" si="141"/>
        <v>454.62961246385623</v>
      </c>
      <c r="AL534" t="str">
        <f t="shared" si="142"/>
        <v>PASS</v>
      </c>
      <c r="AM534" s="50" t="str">
        <f t="shared" si="143"/>
        <v/>
      </c>
    </row>
    <row r="535" spans="1:39" hidden="1">
      <c r="A535" t="s">
        <v>2163</v>
      </c>
      <c r="B535" t="s">
        <v>261</v>
      </c>
      <c r="C535" s="50" t="s">
        <v>2209</v>
      </c>
      <c r="D535">
        <f>'Laminates- copilot'!B182</f>
        <v>928</v>
      </c>
      <c r="E535" s="858">
        <f>'Laminates- copilot'!D182</f>
        <v>79</v>
      </c>
      <c r="F535" s="858">
        <v>600</v>
      </c>
      <c r="G535" s="858">
        <v>200</v>
      </c>
      <c r="H535" s="858">
        <v>50</v>
      </c>
      <c r="I535" s="858">
        <v>0</v>
      </c>
      <c r="J535" s="858">
        <v>1300</v>
      </c>
      <c r="K535" s="858">
        <v>200000</v>
      </c>
      <c r="L535" s="858" t="str">
        <f>'Laminates- copilot'!K182</f>
        <v>Printed</v>
      </c>
      <c r="M535" s="858" t="str">
        <f>'Laminates- copilot'!L182</f>
        <v>5-8</v>
      </c>
      <c r="N535" s="858">
        <f>'Laminates- copilot'!M182</f>
        <v>8</v>
      </c>
      <c r="O535" s="858" t="str">
        <f>'Laminates- copilot'!O182</f>
        <v>Marma</v>
      </c>
      <c r="P535" s="858" t="str">
        <f>'Laminates- copilot'!N182</f>
        <v>Europe to Europe</v>
      </c>
      <c r="Q535" s="858">
        <f t="shared" si="128"/>
        <v>40000</v>
      </c>
      <c r="R535" s="858">
        <f t="shared" si="129"/>
        <v>40000</v>
      </c>
      <c r="S535" s="858">
        <f>IFERROR('Laminates- copilot'!Q182/'Laminates- copilot'!P182*Q535,"")</f>
        <v>2533.3200000000002</v>
      </c>
      <c r="T535" s="203">
        <f>IFERROR('Laminates- copilot'!R182/'Laminates- copilot'!P182*Q535,"")</f>
        <v>52928.35844413592</v>
      </c>
      <c r="U535" s="912">
        <f>IFERROR('Laminates- copilot'!S182/'Laminates- copilot'!P182*Q535,"")</f>
        <v>61396.895795197663</v>
      </c>
      <c r="V535" s="913">
        <f t="shared" si="130"/>
        <v>20.892883032595929</v>
      </c>
      <c r="W535" s="914">
        <f t="shared" si="131"/>
        <v>24.235744317811275</v>
      </c>
      <c r="X535" s="913">
        <f t="shared" si="132"/>
        <v>1.3232089611033979</v>
      </c>
      <c r="Y535" s="913">
        <f t="shared" si="133"/>
        <v>20.892883032595929</v>
      </c>
      <c r="Z535" s="95">
        <f t="shared" si="134"/>
        <v>39474</v>
      </c>
      <c r="AA535" s="50" t="str">
        <f t="shared" si="135"/>
        <v>MOQ OK</v>
      </c>
      <c r="AB535" s="923">
        <f t="shared" si="136"/>
        <v>0.44989938334338325</v>
      </c>
      <c r="AC535" s="924">
        <f t="shared" si="137"/>
        <v>0.52188328467832457</v>
      </c>
      <c r="AD535" s="203">
        <f t="shared" si="138"/>
        <v>89979.876668676647</v>
      </c>
      <c r="AE535" s="912">
        <f t="shared" si="139"/>
        <v>104376.6569356649</v>
      </c>
      <c r="AF535" s="923" cm="1">
        <f t="array" ref="AF535">IF(O535="Quantum",IFERROR(_xlfn.LET(_xlpm.b,_xlfn.SWITCH(LOWER(B535),"zipper bag","Zipper pouch","open bag","Open pouch","sup with zipper","Stand-up pouch","stand-up pouch","Stand-up pouch",B535),_xlpm.w,G535,_xlpm.q,K535,_xlpm.types,'Converting-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missing"),IFERROR(_xlfn.LET(_xlpm.s,O535,_xlpm.b,_xlfn.SWITCH(LOWER(B535),"zipper bag","Zipper pouch","open bag","Open pouch",B535),_xlpm.w,G535,_xlpm.q,K535,_xlpm.src,'Converting-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535" s="923">
        <f>IFERROR(IF(OR(B535="Zipper pouch",B535="SUP with zipper"),HELPER!$DE$2*(AH535+AI535)/K535,HELPER!$DE$2*AH535/K535),"Data is missing")</f>
        <v>4.0560268833101931E-3</v>
      </c>
      <c r="AH535" s="923">
        <f t="shared" si="140"/>
        <v>1.3232089611033979</v>
      </c>
      <c r="AI535" s="923">
        <f>IF(OR(B535="Zipper pouch",B535="SUP with zipper"),HELPER!$DC$2*G535/1000,"")</f>
        <v>2.8799999999999996E-2</v>
      </c>
      <c r="AJ535" s="923" cm="1">
        <f t="array" ref="AJ535">IF(INDEX('Laminates- copilot'!$E$6:$E$257,ROUNDUP((ROW()-5)/3,0))+50&gt;IF(O535="Quantum",760,1220),"Width exceeds supplier maximum",IFERROR(AF535+AG535+N(AI535)+AH535*G535/1000/MAX(1,MIN(MAX(2,INT(900/INDEX('Laminates- copilot'!$E$6:$E$257,ROUNDUP((ROW()-5)/3,0)))),INT((IF(O535="Quantum",760,1220)-50)/INDEX('Laminates- copilot'!$E$6:$E$257,ROUNDUP((ROW()-5)/3,0))))),"Data is missing"))</f>
        <v>0.33742453750753743</v>
      </c>
      <c r="AK535" s="203">
        <f t="shared" si="141"/>
        <v>449.89938334338325</v>
      </c>
      <c r="AL535" t="str">
        <f t="shared" si="142"/>
        <v>PASS</v>
      </c>
      <c r="AM535" s="50" t="str">
        <f t="shared" si="143"/>
        <v/>
      </c>
    </row>
    <row r="536" spans="1:39" hidden="1">
      <c r="A536" t="s">
        <v>2164</v>
      </c>
      <c r="B536" t="s">
        <v>262</v>
      </c>
      <c r="C536" s="50" t="s">
        <v>2209</v>
      </c>
      <c r="D536">
        <f>'Laminates- copilot'!B182</f>
        <v>928</v>
      </c>
      <c r="E536" s="858">
        <f>'Laminates- copilot'!D182</f>
        <v>79</v>
      </c>
      <c r="F536" s="858">
        <v>600</v>
      </c>
      <c r="G536" s="858">
        <v>200</v>
      </c>
      <c r="H536" s="858">
        <v>0</v>
      </c>
      <c r="I536" s="858">
        <v>0</v>
      </c>
      <c r="J536" s="858">
        <v>1200</v>
      </c>
      <c r="K536" s="858">
        <v>200000</v>
      </c>
      <c r="L536" s="858" t="str">
        <f>'Laminates- copilot'!K182</f>
        <v>Printed</v>
      </c>
      <c r="M536" s="858" t="str">
        <f>'Laminates- copilot'!L182</f>
        <v>5-8</v>
      </c>
      <c r="N536" s="858">
        <f>'Laminates- copilot'!M182</f>
        <v>8</v>
      </c>
      <c r="O536" s="858" t="str">
        <f>'Laminates- copilot'!O182</f>
        <v>Marma</v>
      </c>
      <c r="P536" s="858" t="str">
        <f>'Laminates- copilot'!N182</f>
        <v>Europe to Europe</v>
      </c>
      <c r="Q536" s="858">
        <f t="shared" si="128"/>
        <v>40000</v>
      </c>
      <c r="R536" s="858">
        <f t="shared" si="129"/>
        <v>40000</v>
      </c>
      <c r="S536" s="858">
        <f>IFERROR('Laminates- copilot'!Q182/'Laminates- copilot'!P182*Q536,"")</f>
        <v>2533.3200000000002</v>
      </c>
      <c r="T536" s="203">
        <f>IFERROR('Laminates- copilot'!R182/'Laminates- copilot'!P182*Q536,"")</f>
        <v>52928.35844413592</v>
      </c>
      <c r="U536" s="912">
        <f>IFERROR('Laminates- copilot'!S182/'Laminates- copilot'!P182*Q536,"")</f>
        <v>61396.895795197663</v>
      </c>
      <c r="V536" s="913">
        <f t="shared" si="130"/>
        <v>20.892883032595929</v>
      </c>
      <c r="W536" s="914">
        <f t="shared" si="131"/>
        <v>24.235744317811275</v>
      </c>
      <c r="X536" s="913">
        <f t="shared" si="132"/>
        <v>1.3232089611033979</v>
      </c>
      <c r="Y536" s="913">
        <f t="shared" si="133"/>
        <v>20.892883032595929</v>
      </c>
      <c r="Z536" s="95">
        <f t="shared" si="134"/>
        <v>39474</v>
      </c>
      <c r="AA536" s="50" t="str">
        <f t="shared" si="135"/>
        <v>MOQ OK</v>
      </c>
      <c r="AB536" s="923">
        <f t="shared" si="136"/>
        <v>0.40609898443290721</v>
      </c>
      <c r="AC536" s="924">
        <f t="shared" si="137"/>
        <v>0.47107482194217232</v>
      </c>
      <c r="AD536" s="203">
        <f t="shared" si="138"/>
        <v>81219.796886581447</v>
      </c>
      <c r="AE536" s="912">
        <f t="shared" si="139"/>
        <v>94214.96438843447</v>
      </c>
      <c r="AF536" s="923" cm="1">
        <f t="array" ref="AF536">IF(O536="Quantum",IFERROR(_xlfn.LET(_xlpm.b,_xlfn.SWITCH(LOWER(B536),"zipper bag","Zipper pouch","open bag","Open pouch","sup with zipper","Stand-up pouch","stand-up pouch","Stand-up pouch",B536),_xlpm.w,G536,_xlpm.q,K536,_xlpm.types,'Converting-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missing"),IFERROR(_xlfn.LET(_xlpm.s,O536,_xlpm.b,_xlfn.SWITCH(LOWER(B536),"zipper bag","Zipper pouch","open bag","Open pouch",B536),_xlpm.w,G536,_xlpm.q,K536,_xlpm.src,'Converting-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536" s="923">
        <f>IFERROR(IF(OR(B536="Zipper pouch",B536="SUP with zipper"),HELPER!$DE$2*(AH536+AI536)/K536,HELPER!$DE$2*AH536/K536),"Data is missing")</f>
        <v>3.9696268833101936E-3</v>
      </c>
      <c r="AH536" s="923">
        <f t="shared" si="140"/>
        <v>1.3232089611033979</v>
      </c>
      <c r="AI536" s="923" t="str">
        <f>IF(OR(B536="Zipper pouch",B536="SUP with zipper"),HELPER!$DC$2*G536/1000,"")</f>
        <v/>
      </c>
      <c r="AJ536" s="923" cm="1">
        <f t="array" ref="AJ536">IF(INDEX('Laminates- copilot'!$E$6:$E$257,ROUNDUP((ROW()-5)/3,0))+50&gt;IF(O536="Quantum",760,1220),"Width exceeds supplier maximum",IFERROR(AF536+AG536+N(AI536)+AH536*G536/1000/MAX(1,MIN(MAX(2,INT(900/INDEX('Laminates- copilot'!$E$6:$E$257,ROUNDUP((ROW()-5)/3,0)))),INT((IF(O536="Quantum",760,1220)-50)/INDEX('Laminates- copilot'!$E$6:$E$257,ROUNDUP((ROW()-5)/3,0))))),"Data is missing"))</f>
        <v>0.30457423832468039</v>
      </c>
      <c r="AK536" s="203">
        <f t="shared" si="141"/>
        <v>406.09898443290723</v>
      </c>
      <c r="AL536" t="str">
        <f t="shared" si="142"/>
        <v>PASS</v>
      </c>
      <c r="AM536" s="50" t="str">
        <f t="shared" si="143"/>
        <v/>
      </c>
    </row>
    <row r="537" spans="1:39" hidden="1">
      <c r="A537" t="s">
        <v>2165</v>
      </c>
      <c r="B537" t="s">
        <v>251</v>
      </c>
      <c r="C537" s="50" t="s">
        <v>2210</v>
      </c>
      <c r="D537">
        <f>'Laminates- copilot'!B183</f>
        <v>928</v>
      </c>
      <c r="E537" s="858">
        <f>'Laminates- copilot'!D183</f>
        <v>79</v>
      </c>
      <c r="F537" s="858">
        <v>700</v>
      </c>
      <c r="G537" s="858">
        <v>300</v>
      </c>
      <c r="H537" s="858">
        <v>75</v>
      </c>
      <c r="I537" s="858">
        <v>0</v>
      </c>
      <c r="J537" s="858">
        <v>1550</v>
      </c>
      <c r="K537" s="858">
        <v>200000</v>
      </c>
      <c r="L537" s="858" t="str">
        <f>'Laminates- copilot'!K183</f>
        <v>Not Printed</v>
      </c>
      <c r="M537" s="858" t="str">
        <f>'Laminates- copilot'!L183</f>
        <v>0</v>
      </c>
      <c r="N537" s="858">
        <f>'Laminates- copilot'!M183</f>
        <v>1</v>
      </c>
      <c r="O537" s="858" t="str">
        <f>'Laminates- copilot'!O183</f>
        <v>Bastin</v>
      </c>
      <c r="P537" s="858" t="str">
        <f>'Laminates- copilot'!N183</f>
        <v>Europe to US</v>
      </c>
      <c r="Q537" s="858">
        <f t="shared" si="128"/>
        <v>60000</v>
      </c>
      <c r="R537" s="858">
        <f t="shared" si="129"/>
        <v>60000</v>
      </c>
      <c r="S537" s="858">
        <f>IFERROR('Laminates- copilot'!Q183/'Laminates- copilot'!P183*Q537,"")</f>
        <v>1055.55</v>
      </c>
      <c r="T537" s="203">
        <f>IFERROR('Laminates- copilot'!R183/'Laminates- copilot'!P183*Q537,"")</f>
        <v>17749.21246991877</v>
      </c>
      <c r="U537" s="912">
        <f>IFERROR('Laminates- copilot'!S183/'Laminates- copilot'!P183*Q537,"")</f>
        <v>20589.086465105771</v>
      </c>
      <c r="V537" s="913">
        <f t="shared" si="130"/>
        <v>16.8151318932488</v>
      </c>
      <c r="W537" s="914">
        <f t="shared" si="131"/>
        <v>19.505552996168607</v>
      </c>
      <c r="X537" s="913">
        <f t="shared" si="132"/>
        <v>0.29582020783197949</v>
      </c>
      <c r="Y537" s="913">
        <f t="shared" si="133"/>
        <v>16.8151318932488</v>
      </c>
      <c r="Z537" s="95">
        <f t="shared" si="134"/>
        <v>94738</v>
      </c>
      <c r="AA537" s="50" t="str">
        <f t="shared" si="135"/>
        <v>MOQ OK</v>
      </c>
      <c r="AB537" s="923">
        <f t="shared" si="136"/>
        <v>0.19299948300423841</v>
      </c>
      <c r="AC537" s="924">
        <f t="shared" si="137"/>
        <v>0.22387940028491654</v>
      </c>
      <c r="AD537" s="203">
        <f t="shared" si="138"/>
        <v>38599.896600847685</v>
      </c>
      <c r="AE537" s="912">
        <f t="shared" si="139"/>
        <v>44775.880056983311</v>
      </c>
      <c r="AF537" s="923" cm="1">
        <f t="array" ref="AF537">IF(O537="Quantum",IFERROR(_xlfn.LET(_xlpm.b,_xlfn.SWITCH(LOWER(B537),"zipper bag","Zipper pouch","open bag","Open pouch","sup with zipper","Stand-up pouch","stand-up pouch","Stand-up pouch",B537),_xlpm.w,G537,_xlpm.q,K537,_xlpm.types,'Converting-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missing"),IFERROR(_xlfn.LET(_xlpm.s,O537,_xlpm.b,_xlfn.SWITCH(LOWER(B537),"zipper bag","Zipper pouch","open bag","Open pouch",B537),_xlpm.w,G537,_xlpm.q,K537,_xlpm.src,'Converting-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537" s="923">
        <f>IFERROR(IF(OR(B537="Zipper pouch",B537="SUP with zipper"),HELPER!$DE$2*(AH537+AI537)/K537,HELPER!$DE$2*AH537/K537),"Data is missing")</f>
        <v>1.0170606234959384E-3</v>
      </c>
      <c r="AH537" s="923">
        <f t="shared" si="140"/>
        <v>0.29582020783197949</v>
      </c>
      <c r="AI537" s="923">
        <f>IF(OR(B537="Zipper pouch",B537="SUP with zipper"),HELPER!$DC$2*G537/1000,"")</f>
        <v>4.3199999999999995E-2</v>
      </c>
      <c r="AJ537" s="923" cm="1">
        <f t="array" ref="AJ537">IF(INDEX('Laminates- copilot'!$E$6:$E$257,ROUNDUP((ROW()-5)/3,0))+50&gt;IF(O537="Quantum",760,1220),"Width exceeds supplier maximum",IFERROR(AF537+AG537+N(AI537)+AH537*G537/1000/MAX(1,MIN(MAX(2,INT(900/INDEX('Laminates- copilot'!$E$6:$E$257,ROUNDUP((ROW()-5)/3,0)))),INT((IF(O537="Quantum",760,1220)-50)/INDEX('Laminates- copilot'!$E$6:$E$257,ROUNDUP((ROW()-5)/3,0))))),"Data is missing"))</f>
        <v>0.14474961225317881</v>
      </c>
      <c r="AK537" s="203">
        <f t="shared" si="141"/>
        <v>192.99948300423841</v>
      </c>
      <c r="AL537" t="str">
        <f t="shared" si="142"/>
        <v>PASS</v>
      </c>
      <c r="AM537" s="50" t="str">
        <f t="shared" si="143"/>
        <v/>
      </c>
    </row>
    <row r="538" spans="1:39" hidden="1">
      <c r="A538" t="s">
        <v>2166</v>
      </c>
      <c r="B538" t="s">
        <v>261</v>
      </c>
      <c r="C538" s="50" t="s">
        <v>2210</v>
      </c>
      <c r="D538">
        <f>'Laminates- copilot'!B183</f>
        <v>928</v>
      </c>
      <c r="E538" s="858">
        <f>'Laminates- copilot'!D183</f>
        <v>79</v>
      </c>
      <c r="F538" s="858">
        <v>700</v>
      </c>
      <c r="G538" s="858">
        <v>300</v>
      </c>
      <c r="H538" s="858">
        <v>75</v>
      </c>
      <c r="I538" s="858">
        <v>0</v>
      </c>
      <c r="J538" s="858">
        <v>1550</v>
      </c>
      <c r="K538" s="858">
        <v>200000</v>
      </c>
      <c r="L538" s="858" t="str">
        <f>'Laminates- copilot'!K183</f>
        <v>Not Printed</v>
      </c>
      <c r="M538" s="858" t="str">
        <f>'Laminates- copilot'!L183</f>
        <v>0</v>
      </c>
      <c r="N538" s="858">
        <f>'Laminates- copilot'!M183</f>
        <v>1</v>
      </c>
      <c r="O538" s="858" t="str">
        <f>'Laminates- copilot'!O183</f>
        <v>Bastin</v>
      </c>
      <c r="P538" s="858" t="str">
        <f>'Laminates- copilot'!N183</f>
        <v>Europe to US</v>
      </c>
      <c r="Q538" s="858">
        <f t="shared" si="128"/>
        <v>60000</v>
      </c>
      <c r="R538" s="858">
        <f t="shared" si="129"/>
        <v>60000</v>
      </c>
      <c r="S538" s="858">
        <f>IFERROR('Laminates- copilot'!Q183/'Laminates- copilot'!P183*Q538,"")</f>
        <v>1055.55</v>
      </c>
      <c r="T538" s="203">
        <f>IFERROR('Laminates- copilot'!R183/'Laminates- copilot'!P183*Q538,"")</f>
        <v>17749.21246991877</v>
      </c>
      <c r="U538" s="912">
        <f>IFERROR('Laminates- copilot'!S183/'Laminates- copilot'!P183*Q538,"")</f>
        <v>20589.086465105771</v>
      </c>
      <c r="V538" s="913">
        <f t="shared" si="130"/>
        <v>16.8151318932488</v>
      </c>
      <c r="W538" s="914">
        <f t="shared" si="131"/>
        <v>19.505552996168607</v>
      </c>
      <c r="X538" s="913">
        <f t="shared" si="132"/>
        <v>0.29582020783197949</v>
      </c>
      <c r="Y538" s="913">
        <f t="shared" si="133"/>
        <v>16.8151318932488</v>
      </c>
      <c r="Z538" s="95">
        <f t="shared" si="134"/>
        <v>94738</v>
      </c>
      <c r="AA538" s="50" t="str">
        <f t="shared" si="135"/>
        <v>MOQ OK</v>
      </c>
      <c r="AB538" s="923">
        <f t="shared" si="136"/>
        <v>0.18540329153430235</v>
      </c>
      <c r="AC538" s="924">
        <f t="shared" si="137"/>
        <v>0.2150678181797907</v>
      </c>
      <c r="AD538" s="203">
        <f t="shared" si="138"/>
        <v>37080.658306860467</v>
      </c>
      <c r="AE538" s="912">
        <f t="shared" si="139"/>
        <v>43013.56363595814</v>
      </c>
      <c r="AF538" s="923" cm="1">
        <f t="array" ref="AF538">IF(O538="Quantum",IFERROR(_xlfn.LET(_xlpm.b,_xlfn.SWITCH(LOWER(B538),"zipper bag","Zipper pouch","open bag","Open pouch","sup with zipper","Stand-up pouch","stand-up pouch","Stand-up pouch",B538),_xlpm.w,G538,_xlpm.q,K538,_xlpm.types,'Converting-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missing"),IFERROR(_xlfn.LET(_xlpm.s,O538,_xlpm.b,_xlfn.SWITCH(LOWER(B538),"zipper bag","Zipper pouch","open bag","Open pouch",B538),_xlpm.w,G538,_xlpm.q,K538,_xlpm.src,'Converting-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538" s="923">
        <f>IFERROR(IF(OR(B538="Zipper pouch",B538="SUP with zipper"),HELPER!$DE$2*(AH538+AI538)/K538,HELPER!$DE$2*AH538/K538),"Data is missing")</f>
        <v>1.0170606234959384E-3</v>
      </c>
      <c r="AH538" s="923">
        <f t="shared" si="140"/>
        <v>0.29582020783197949</v>
      </c>
      <c r="AI538" s="923">
        <f>IF(OR(B538="Zipper pouch",B538="SUP with zipper"),HELPER!$DC$2*G538/1000,"")</f>
        <v>4.3199999999999995E-2</v>
      </c>
      <c r="AJ538" s="923" cm="1">
        <f t="array" ref="AJ538">IF(INDEX('Laminates- copilot'!$E$6:$E$257,ROUNDUP((ROW()-5)/3,0))+50&gt;IF(O538="Quantum",760,1220),"Width exceeds supplier maximum",IFERROR(AF538+AG538+N(AI538)+AH538*G538/1000/MAX(1,MIN(MAX(2,INT(900/INDEX('Laminates- copilot'!$E$6:$E$257,ROUNDUP((ROW()-5)/3,0)))),INT((IF(O538="Quantum",760,1220)-50)/INDEX('Laminates- copilot'!$E$6:$E$257,ROUNDUP((ROW()-5)/3,0))))),"Data is missing"))</f>
        <v>0.13905246865072676</v>
      </c>
      <c r="AK538" s="203">
        <f t="shared" si="141"/>
        <v>185.40329153430235</v>
      </c>
      <c r="AL538" t="str">
        <f t="shared" si="142"/>
        <v>PASS</v>
      </c>
      <c r="AM538" s="50" t="str">
        <f t="shared" si="143"/>
        <v/>
      </c>
    </row>
    <row r="539" spans="1:39" hidden="1">
      <c r="A539" t="s">
        <v>2167</v>
      </c>
      <c r="B539" t="s">
        <v>262</v>
      </c>
      <c r="C539" s="50" t="s">
        <v>2210</v>
      </c>
      <c r="D539">
        <f>'Laminates- copilot'!B183</f>
        <v>928</v>
      </c>
      <c r="E539" s="858">
        <f>'Laminates- copilot'!D183</f>
        <v>79</v>
      </c>
      <c r="F539" s="858">
        <v>700</v>
      </c>
      <c r="G539" s="858">
        <v>300</v>
      </c>
      <c r="H539" s="858">
        <v>0</v>
      </c>
      <c r="I539" s="858">
        <v>0</v>
      </c>
      <c r="J539" s="858">
        <v>1400</v>
      </c>
      <c r="K539" s="858">
        <v>200000</v>
      </c>
      <c r="L539" s="858" t="str">
        <f>'Laminates- copilot'!K183</f>
        <v>Not Printed</v>
      </c>
      <c r="M539" s="858" t="str">
        <f>'Laminates- copilot'!L183</f>
        <v>0</v>
      </c>
      <c r="N539" s="858">
        <f>'Laminates- copilot'!M183</f>
        <v>1</v>
      </c>
      <c r="O539" s="858" t="str">
        <f>'Laminates- copilot'!O183</f>
        <v>Bastin</v>
      </c>
      <c r="P539" s="858" t="str">
        <f>'Laminates- copilot'!N183</f>
        <v>Europe to US</v>
      </c>
      <c r="Q539" s="858">
        <f t="shared" si="128"/>
        <v>60000</v>
      </c>
      <c r="R539" s="858">
        <f t="shared" si="129"/>
        <v>60000</v>
      </c>
      <c r="S539" s="858">
        <f>IFERROR('Laminates- copilot'!Q183/'Laminates- copilot'!P183*Q539,"")</f>
        <v>1055.55</v>
      </c>
      <c r="T539" s="203">
        <f>IFERROR('Laminates- copilot'!R183/'Laminates- copilot'!P183*Q539,"")</f>
        <v>17749.21246991877</v>
      </c>
      <c r="U539" s="912">
        <f>IFERROR('Laminates- copilot'!S183/'Laminates- copilot'!P183*Q539,"")</f>
        <v>20589.086465105771</v>
      </c>
      <c r="V539" s="913">
        <f t="shared" si="130"/>
        <v>16.8151318932488</v>
      </c>
      <c r="W539" s="914">
        <f t="shared" si="131"/>
        <v>19.505552996168607</v>
      </c>
      <c r="X539" s="913">
        <f t="shared" si="132"/>
        <v>0.29582020783197949</v>
      </c>
      <c r="Y539" s="913">
        <f t="shared" si="133"/>
        <v>16.8151318932488</v>
      </c>
      <c r="Z539" s="95">
        <f t="shared" si="134"/>
        <v>94738</v>
      </c>
      <c r="AA539" s="50" t="str">
        <f t="shared" si="135"/>
        <v>MOQ OK</v>
      </c>
      <c r="AB539" s="923">
        <f t="shared" si="136"/>
        <v>0.11867608243746465</v>
      </c>
      <c r="AC539" s="924">
        <f t="shared" si="137"/>
        <v>0.13766425562745899</v>
      </c>
      <c r="AD539" s="203">
        <f t="shared" si="138"/>
        <v>23735.216487492929</v>
      </c>
      <c r="AE539" s="912">
        <f t="shared" si="139"/>
        <v>27532.851125491798</v>
      </c>
      <c r="AF539" s="923" cm="1">
        <f t="array" ref="AF539">IF(O539="Quantum",IFERROR(_xlfn.LET(_xlpm.b,_xlfn.SWITCH(LOWER(B539),"zipper bag","Zipper pouch","open bag","Open pouch","sup with zipper","Stand-up pouch","stand-up pouch","Stand-up pouch",B539),_xlpm.w,G539,_xlpm.q,K539,_xlpm.types,'Converting-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missing"),IFERROR(_xlfn.LET(_xlpm.s,O539,_xlpm.b,_xlfn.SWITCH(LOWER(B539),"zipper bag","Zipper pouch","open bag","Open pouch",B539),_xlpm.w,G539,_xlpm.q,K539,_xlpm.src,'Converting-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539" s="923">
        <f>IFERROR(IF(OR(B539="Zipper pouch",B539="SUP with zipper"),HELPER!$DE$2*(AH539+AI539)/K539,HELPER!$DE$2*AH539/K539),"Data is missing")</f>
        <v>8.8746062349593844E-4</v>
      </c>
      <c r="AH539" s="923">
        <f t="shared" si="140"/>
        <v>0.29582020783197949</v>
      </c>
      <c r="AI539" s="923" t="str">
        <f>IF(OR(B539="Zipper pouch",B539="SUP with zipper"),HELPER!$DC$2*G539/1000,"")</f>
        <v/>
      </c>
      <c r="AJ539" s="923" cm="1">
        <f t="array" ref="AJ539">IF(INDEX('Laminates- copilot'!$E$6:$E$257,ROUNDUP((ROW()-5)/3,0))+50&gt;IF(O539="Quantum",760,1220),"Width exceeds supplier maximum",IFERROR(AF539+AG539+N(AI539)+AH539*G539/1000/MAX(1,MIN(MAX(2,INT(900/INDEX('Laminates- copilot'!$E$6:$E$257,ROUNDUP((ROW()-5)/3,0)))),INT((IF(O539="Quantum",760,1220)-50)/INDEX('Laminates- copilot'!$E$6:$E$257,ROUNDUP((ROW()-5)/3,0))))),"Data is missing"))</f>
        <v>8.9007061828098491E-2</v>
      </c>
      <c r="AK539" s="203">
        <f t="shared" si="141"/>
        <v>118.67608243746464</v>
      </c>
      <c r="AL539" t="str">
        <f t="shared" si="142"/>
        <v>PASS</v>
      </c>
      <c r="AM539" s="50" t="str">
        <f t="shared" si="143"/>
        <v/>
      </c>
    </row>
    <row r="540" spans="1:39" hidden="1">
      <c r="A540" t="s">
        <v>2168</v>
      </c>
      <c r="B540" t="s">
        <v>251</v>
      </c>
      <c r="C540" s="50" t="s">
        <v>1626</v>
      </c>
      <c r="D540">
        <f>'Laminates- copilot'!B184</f>
        <v>928</v>
      </c>
      <c r="E540" s="858">
        <f>'Laminates- copilot'!D184</f>
        <v>79</v>
      </c>
      <c r="F540" s="858">
        <v>250</v>
      </c>
      <c r="G540" s="858">
        <v>400</v>
      </c>
      <c r="H540" s="858">
        <v>50</v>
      </c>
      <c r="I540" s="858">
        <v>0</v>
      </c>
      <c r="J540" s="858">
        <v>600</v>
      </c>
      <c r="K540" s="858">
        <v>1000000</v>
      </c>
      <c r="L540" s="858" t="str">
        <f>'Laminates- copilot'!K184</f>
        <v>Printed</v>
      </c>
      <c r="M540" s="858" t="str">
        <f>'Laminates- copilot'!L184</f>
        <v>3-4</v>
      </c>
      <c r="N540" s="858">
        <f>'Laminates- copilot'!M184</f>
        <v>4</v>
      </c>
      <c r="O540" s="858" t="str">
        <f>'Laminates- copilot'!O184</f>
        <v>Marma</v>
      </c>
      <c r="P540" s="858" t="str">
        <f>'Laminates- copilot'!N184</f>
        <v>Europe to Europe</v>
      </c>
      <c r="Q540" s="858">
        <f t="shared" si="128"/>
        <v>400000</v>
      </c>
      <c r="R540" s="858">
        <f t="shared" si="129"/>
        <v>400000</v>
      </c>
      <c r="S540" s="858">
        <f>IFERROR('Laminates- copilot'!Q184/'Laminates- copilot'!P184*Q540,"")</f>
        <v>16888.8</v>
      </c>
      <c r="T540" s="203">
        <f>IFERROR('Laminates- copilot'!R184/'Laminates- copilot'!P184*Q540,"")</f>
        <v>350826.10124374996</v>
      </c>
      <c r="U540" s="912">
        <f>IFERROR('Laminates- copilot'!S184/'Laminates- copilot'!P184*Q540,"")</f>
        <v>406958.27744274988</v>
      </c>
      <c r="V540" s="913">
        <f t="shared" si="130"/>
        <v>20.772707429997986</v>
      </c>
      <c r="W540" s="914">
        <f t="shared" si="131"/>
        <v>24.096340618797658</v>
      </c>
      <c r="X540" s="913">
        <f t="shared" si="132"/>
        <v>0.87706525310937489</v>
      </c>
      <c r="Y540" s="913">
        <f t="shared" si="133"/>
        <v>20.772707429997986</v>
      </c>
      <c r="Z540" s="95">
        <f t="shared" si="134"/>
        <v>29606</v>
      </c>
      <c r="AA540" s="50" t="str">
        <f t="shared" si="135"/>
        <v>MOQ OK</v>
      </c>
      <c r="AB540" s="923">
        <f t="shared" si="136"/>
        <v>0.64344319677514228</v>
      </c>
      <c r="AC540" s="924">
        <f t="shared" si="137"/>
        <v>0.74639410825916497</v>
      </c>
      <c r="AD540" s="203">
        <f t="shared" si="138"/>
        <v>643443.19677514234</v>
      </c>
      <c r="AE540" s="912">
        <f t="shared" si="139"/>
        <v>746394.10825916508</v>
      </c>
      <c r="AF540" s="923" cm="1">
        <f t="array" ref="AF540">IF(O540="Quantum",IFERROR(_xlfn.LET(_xlpm.b,_xlfn.SWITCH(LOWER(B540),"zipper bag","Zipper pouch","open bag","Open pouch","sup with zipper","Stand-up pouch","stand-up pouch","Stand-up pouch",B540),_xlpm.w,G540,_xlpm.q,K540,_xlpm.types,'Converting-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missing"),IFERROR(_xlfn.LET(_xlpm.s,O540,_xlpm.b,_xlfn.SWITCH(LOWER(B540),"zipper bag","Zipper pouch","open bag","Open pouch",B540),_xlpm.w,G540,_xlpm.q,K540,_xlpm.src,'Converting-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540" s="923">
        <f>IFERROR(IF(OR(B540="Zipper pouch",B540="SUP with zipper"),HELPER!$DE$2*(AH540+AI540)/K540,HELPER!$DE$2*AH540/K540),"Data is missing")</f>
        <v>5.6079915186562496E-4</v>
      </c>
      <c r="AH540" s="923">
        <f t="shared" si="140"/>
        <v>0.87706525310937489</v>
      </c>
      <c r="AI540" s="923">
        <f>IF(OR(B540="Zipper pouch",B540="SUP with zipper"),HELPER!$DC$2*G540/1000,"")</f>
        <v>5.7599999999999991E-2</v>
      </c>
      <c r="AJ540" s="923" cm="1">
        <f t="array" ref="AJ540">IF(INDEX('Laminates- copilot'!$E$6:$E$257,ROUNDUP((ROW()-5)/3,0))+50&gt;IF(O540="Quantum",760,1220),"Width exceeds supplier maximum",IFERROR(AF540+AG540+N(AI540)+AH540*G540/1000/MAX(1,MIN(MAX(2,INT(900/INDEX('Laminates- copilot'!$E$6:$E$257,ROUNDUP((ROW()-5)/3,0)))),INT((IF(O540="Quantum",760,1220)-50)/INDEX('Laminates- copilot'!$E$6:$E$257,ROUNDUP((ROW()-5)/3,0))))),"Data is missing"))</f>
        <v>0.48258239758135668</v>
      </c>
      <c r="AK540" s="203">
        <f t="shared" si="141"/>
        <v>643.44319677514227</v>
      </c>
      <c r="AL540" t="str">
        <f t="shared" si="142"/>
        <v>PASS</v>
      </c>
      <c r="AM540" s="50" t="str">
        <f t="shared" si="143"/>
        <v/>
      </c>
    </row>
    <row r="541" spans="1:39" hidden="1">
      <c r="A541" t="s">
        <v>2169</v>
      </c>
      <c r="B541" t="s">
        <v>261</v>
      </c>
      <c r="C541" s="50" t="s">
        <v>1626</v>
      </c>
      <c r="D541">
        <f>'Laminates- copilot'!B184</f>
        <v>928</v>
      </c>
      <c r="E541" s="858">
        <f>'Laminates- copilot'!D184</f>
        <v>79</v>
      </c>
      <c r="F541" s="858">
        <v>250</v>
      </c>
      <c r="G541" s="858">
        <v>400</v>
      </c>
      <c r="H541" s="858">
        <v>50</v>
      </c>
      <c r="I541" s="858">
        <v>0</v>
      </c>
      <c r="J541" s="858">
        <v>600</v>
      </c>
      <c r="K541" s="858">
        <v>1000000</v>
      </c>
      <c r="L541" s="858" t="str">
        <f>'Laminates- copilot'!K184</f>
        <v>Printed</v>
      </c>
      <c r="M541" s="858" t="str">
        <f>'Laminates- copilot'!L184</f>
        <v>3-4</v>
      </c>
      <c r="N541" s="858">
        <f>'Laminates- copilot'!M184</f>
        <v>4</v>
      </c>
      <c r="O541" s="858" t="str">
        <f>'Laminates- copilot'!O184</f>
        <v>Marma</v>
      </c>
      <c r="P541" s="858" t="str">
        <f>'Laminates- copilot'!N184</f>
        <v>Europe to Europe</v>
      </c>
      <c r="Q541" s="858">
        <f t="shared" si="128"/>
        <v>400000</v>
      </c>
      <c r="R541" s="858">
        <f t="shared" si="129"/>
        <v>400000</v>
      </c>
      <c r="S541" s="858">
        <f>IFERROR('Laminates- copilot'!Q184/'Laminates- copilot'!P184*Q541,"")</f>
        <v>16888.8</v>
      </c>
      <c r="T541" s="203">
        <f>IFERROR('Laminates- copilot'!R184/'Laminates- copilot'!P184*Q541,"")</f>
        <v>350826.10124374996</v>
      </c>
      <c r="U541" s="912">
        <f>IFERROR('Laminates- copilot'!S184/'Laminates- copilot'!P184*Q541,"")</f>
        <v>406958.27744274988</v>
      </c>
      <c r="V541" s="913">
        <f t="shared" si="130"/>
        <v>20.772707429997986</v>
      </c>
      <c r="W541" s="914">
        <f t="shared" si="131"/>
        <v>24.096340618797658</v>
      </c>
      <c r="X541" s="913">
        <f t="shared" si="132"/>
        <v>0.87706525310937489</v>
      </c>
      <c r="Y541" s="913">
        <f t="shared" si="133"/>
        <v>20.772707429997986</v>
      </c>
      <c r="Z541" s="95">
        <f t="shared" si="134"/>
        <v>29606</v>
      </c>
      <c r="AA541" s="50" t="str">
        <f t="shared" si="135"/>
        <v>MOQ OK</v>
      </c>
      <c r="AB541" s="923">
        <f t="shared" si="136"/>
        <v>0.63580205742668572</v>
      </c>
      <c r="AC541" s="924">
        <f t="shared" si="137"/>
        <v>0.7375303866149554</v>
      </c>
      <c r="AD541" s="203">
        <f t="shared" si="138"/>
        <v>635802.0574266857</v>
      </c>
      <c r="AE541" s="912">
        <f t="shared" si="139"/>
        <v>737530.38661495538</v>
      </c>
      <c r="AF541" s="923" cm="1">
        <f t="array" ref="AF541">IF(O541="Quantum",IFERROR(_xlfn.LET(_xlpm.b,_xlfn.SWITCH(LOWER(B541),"zipper bag","Zipper pouch","open bag","Open pouch","sup with zipper","Stand-up pouch","stand-up pouch","Stand-up pouch",B541),_xlpm.w,G541,_xlpm.q,K541,_xlpm.types,'Converting-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missing"),IFERROR(_xlfn.LET(_xlpm.s,O541,_xlpm.b,_xlfn.SWITCH(LOWER(B541),"zipper bag","Zipper pouch","open bag","Open pouch",B541),_xlpm.w,G541,_xlpm.q,K541,_xlpm.src,'Converting-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541" s="923">
        <f>IFERROR(IF(OR(B541="Zipper pouch",B541="SUP with zipper"),HELPER!$DE$2*(AH541+AI541)/K541,HELPER!$DE$2*AH541/K541),"Data is missing")</f>
        <v>5.6079915186562496E-4</v>
      </c>
      <c r="AH541" s="923">
        <f t="shared" si="140"/>
        <v>0.87706525310937489</v>
      </c>
      <c r="AI541" s="923">
        <f>IF(OR(B541="Zipper pouch",B541="SUP with zipper"),HELPER!$DC$2*G541/1000,"")</f>
        <v>5.7599999999999991E-2</v>
      </c>
      <c r="AJ541" s="923" cm="1">
        <f t="array" ref="AJ541">IF(INDEX('Laminates- copilot'!$E$6:$E$257,ROUNDUP((ROW()-5)/3,0))+50&gt;IF(O541="Quantum",760,1220),"Width exceeds supplier maximum",IFERROR(AF541+AG541+N(AI541)+AH541*G541/1000/MAX(1,MIN(MAX(2,INT(900/INDEX('Laminates- copilot'!$E$6:$E$257,ROUNDUP((ROW()-5)/3,0)))),INT((IF(O541="Quantum",760,1220)-50)/INDEX('Laminates- copilot'!$E$6:$E$257,ROUNDUP((ROW()-5)/3,0))))),"Data is missing"))</f>
        <v>0.47685154307001432</v>
      </c>
      <c r="AK541" s="203">
        <f t="shared" si="141"/>
        <v>635.80205742668568</v>
      </c>
      <c r="AL541" t="str">
        <f t="shared" si="142"/>
        <v>PASS</v>
      </c>
      <c r="AM541" s="50" t="str">
        <f t="shared" si="143"/>
        <v/>
      </c>
    </row>
    <row r="542" spans="1:39" hidden="1">
      <c r="A542" t="s">
        <v>2170</v>
      </c>
      <c r="B542" t="s">
        <v>262</v>
      </c>
      <c r="C542" s="50" t="s">
        <v>1626</v>
      </c>
      <c r="D542">
        <f>'Laminates- copilot'!B184</f>
        <v>928</v>
      </c>
      <c r="E542" s="858">
        <f>'Laminates- copilot'!D184</f>
        <v>79</v>
      </c>
      <c r="F542" s="858">
        <v>250</v>
      </c>
      <c r="G542" s="858">
        <v>400</v>
      </c>
      <c r="H542" s="858">
        <v>0</v>
      </c>
      <c r="I542" s="858">
        <v>15</v>
      </c>
      <c r="J542" s="858">
        <v>515</v>
      </c>
      <c r="K542" s="858">
        <v>1000000</v>
      </c>
      <c r="L542" s="858" t="str">
        <f>'Laminates- copilot'!K184</f>
        <v>Printed</v>
      </c>
      <c r="M542" s="858" t="str">
        <f>'Laminates- copilot'!L184</f>
        <v>3-4</v>
      </c>
      <c r="N542" s="858">
        <f>'Laminates- copilot'!M184</f>
        <v>4</v>
      </c>
      <c r="O542" s="858" t="str">
        <f>'Laminates- copilot'!O184</f>
        <v>Marma</v>
      </c>
      <c r="P542" s="858" t="str">
        <f>'Laminates- copilot'!N184</f>
        <v>Europe to Europe</v>
      </c>
      <c r="Q542" s="858">
        <f t="shared" si="128"/>
        <v>400000</v>
      </c>
      <c r="R542" s="858">
        <f t="shared" si="129"/>
        <v>400000</v>
      </c>
      <c r="S542" s="858">
        <f>IFERROR('Laminates- copilot'!Q184/'Laminates- copilot'!P184*Q542,"")</f>
        <v>16888.8</v>
      </c>
      <c r="T542" s="203">
        <f>IFERROR('Laminates- copilot'!R184/'Laminates- copilot'!P184*Q542,"")</f>
        <v>350826.10124374996</v>
      </c>
      <c r="U542" s="912">
        <f>IFERROR('Laminates- copilot'!S184/'Laminates- copilot'!P184*Q542,"")</f>
        <v>406958.27744274988</v>
      </c>
      <c r="V542" s="913">
        <f t="shared" si="130"/>
        <v>20.772707429997986</v>
      </c>
      <c r="W542" s="914">
        <f t="shared" si="131"/>
        <v>24.096340618797658</v>
      </c>
      <c r="X542" s="913">
        <f t="shared" si="132"/>
        <v>0.87706525310937489</v>
      </c>
      <c r="Y542" s="913">
        <f t="shared" si="133"/>
        <v>20.772707429997986</v>
      </c>
      <c r="Z542" s="95">
        <f t="shared" si="134"/>
        <v>29606</v>
      </c>
      <c r="AA542" s="50" t="str">
        <f t="shared" si="135"/>
        <v>MOQ OK</v>
      </c>
      <c r="AB542" s="923">
        <f t="shared" si="136"/>
        <v>0.54885751712866904</v>
      </c>
      <c r="AC542" s="924">
        <f t="shared" si="137"/>
        <v>0.63667471986925606</v>
      </c>
      <c r="AD542" s="203">
        <f t="shared" si="138"/>
        <v>548857.51712866907</v>
      </c>
      <c r="AE542" s="912">
        <f t="shared" si="139"/>
        <v>636674.71986925614</v>
      </c>
      <c r="AF542" s="923" cm="1">
        <f t="array" ref="AF542">IF(O542="Quantum",IFERROR(_xlfn.LET(_xlpm.b,_xlfn.SWITCH(LOWER(B542),"zipper bag","Zipper pouch","open bag","Open pouch","sup with zipper","Stand-up pouch","stand-up pouch","Stand-up pouch",B542),_xlpm.w,G542,_xlpm.q,K542,_xlpm.types,'Converting-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missing"),IFERROR(_xlfn.LET(_xlpm.s,O542,_xlpm.b,_xlfn.SWITCH(LOWER(B542),"zipper bag","Zipper pouch","open bag","Open pouch",B542),_xlpm.w,G542,_xlpm.q,K542,_xlpm.src,'Converting-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542" s="923">
        <f>IFERROR(IF(OR(B542="Zipper pouch",B542="SUP with zipper"),HELPER!$DE$2*(AH542+AI542)/K542,HELPER!$DE$2*AH542/K542),"Data is missing")</f>
        <v>5.2623915186562485E-4</v>
      </c>
      <c r="AH542" s="923">
        <f t="shared" si="140"/>
        <v>0.87706525310937489</v>
      </c>
      <c r="AI542" s="923" t="str">
        <f>IF(OR(B542="Zipper pouch",B542="SUP with zipper"),HELPER!$DC$2*G542/1000,"")</f>
        <v/>
      </c>
      <c r="AJ542" s="923" cm="1">
        <f t="array" ref="AJ542">IF(INDEX('Laminates- copilot'!$E$6:$E$257,ROUNDUP((ROW()-5)/3,0))+50&gt;IF(O542="Quantum",760,1220),"Width exceeds supplier maximum",IFERROR(AF542+AG542+N(AI542)+AH542*G542/1000/MAX(1,MIN(MAX(2,INT(900/INDEX('Laminates- copilot'!$E$6:$E$257,ROUNDUP((ROW()-5)/3,0)))),INT((IF(O542="Quantum",760,1220)-50)/INDEX('Laminates- copilot'!$E$6:$E$257,ROUNDUP((ROW()-5)/3,0))))),"Data is missing"))</f>
        <v>0.41164313784650175</v>
      </c>
      <c r="AK542" s="203">
        <f t="shared" si="141"/>
        <v>548.85751712866909</v>
      </c>
      <c r="AL542" t="str">
        <f t="shared" si="142"/>
        <v>PASS</v>
      </c>
      <c r="AM542" s="50" t="str">
        <f t="shared" si="143"/>
        <v/>
      </c>
    </row>
    <row r="543" spans="1:39" hidden="1">
      <c r="A543" t="s">
        <v>2171</v>
      </c>
      <c r="B543" t="s">
        <v>251</v>
      </c>
      <c r="C543" s="50" t="s">
        <v>1627</v>
      </c>
      <c r="D543">
        <f>'Laminates- copilot'!B185</f>
        <v>928</v>
      </c>
      <c r="E543" s="858">
        <f>'Laminates- copilot'!D185</f>
        <v>79</v>
      </c>
      <c r="F543" s="858">
        <v>350</v>
      </c>
      <c r="G543" s="858">
        <v>500</v>
      </c>
      <c r="H543" s="858">
        <v>100</v>
      </c>
      <c r="I543" s="858">
        <v>0</v>
      </c>
      <c r="J543" s="858">
        <v>900</v>
      </c>
      <c r="K543" s="858">
        <v>1600000</v>
      </c>
      <c r="L543" s="858" t="str">
        <f>'Laminates- copilot'!K185</f>
        <v>Printed</v>
      </c>
      <c r="M543" s="858" t="str">
        <f>'Laminates- copilot'!L185</f>
        <v>1-2</v>
      </c>
      <c r="N543" s="858">
        <f>'Laminates- copilot'!M185</f>
        <v>2</v>
      </c>
      <c r="O543" s="858" t="str">
        <f>'Laminates- copilot'!O185</f>
        <v>Quantum</v>
      </c>
      <c r="P543" s="858" t="str">
        <f>'Laminates- copilot'!N185</f>
        <v>Europe to Europe</v>
      </c>
      <c r="Q543" s="858">
        <f t="shared" si="128"/>
        <v>800000</v>
      </c>
      <c r="R543" s="858">
        <f t="shared" si="129"/>
        <v>800000</v>
      </c>
      <c r="S543" s="858">
        <f>IFERROR('Laminates- copilot'!Q185/'Laminates- copilot'!P185*Q543,"")</f>
        <v>25333.200000000001</v>
      </c>
      <c r="T543" s="203">
        <f>IFERROR('Laminates- copilot'!R185/'Laminates- copilot'!P185*Q543,"")</f>
        <v>932483.03033652529</v>
      </c>
      <c r="U543" s="912">
        <f>IFERROR('Laminates- copilot'!S185/'Laminates- copilot'!P185*Q543,"")</f>
        <v>1081680.3151903693</v>
      </c>
      <c r="V543" s="913">
        <f t="shared" si="130"/>
        <v>36.808734401359686</v>
      </c>
      <c r="W543" s="914">
        <f t="shared" si="131"/>
        <v>42.698131905577235</v>
      </c>
      <c r="X543" s="913">
        <f t="shared" si="132"/>
        <v>1.1656037879206567</v>
      </c>
      <c r="Y543" s="913">
        <f t="shared" si="133"/>
        <v>36.808734401359686</v>
      </c>
      <c r="Z543" s="95">
        <f t="shared" si="134"/>
        <v>31580</v>
      </c>
      <c r="AA543" s="50" t="str">
        <f t="shared" si="135"/>
        <v>MOQ OK</v>
      </c>
      <c r="AB543" s="923">
        <f t="shared" si="136"/>
        <v>1.2291385401728372</v>
      </c>
      <c r="AC543" s="924">
        <f t="shared" si="137"/>
        <v>1.425800706600491</v>
      </c>
      <c r="AD543" s="203">
        <f t="shared" si="138"/>
        <v>1966621.6642765396</v>
      </c>
      <c r="AE543" s="912">
        <f t="shared" si="139"/>
        <v>2281281.1305607855</v>
      </c>
      <c r="AF543" s="923" cm="1">
        <f t="array" ref="AF543">IF(O543="Quantum",IFERROR(_xlfn.LET(_xlpm.b,_xlfn.SWITCH(LOWER(B543),"zipper bag","Zipper pouch","open bag","Open pouch","sup with zipper","Stand-up pouch","stand-up pouch","Stand-up pouch",B543),_xlpm.w,G543,_xlpm.q,K543,_xlpm.types,'Converting-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missing"),IFERROR(_xlfn.LET(_xlpm.s,O543,_xlpm.b,_xlfn.SWITCH(LOWER(B543),"zipper bag","Zipper pouch","open bag","Open pouch",B543),_xlpm.w,G543,_xlpm.q,K543,_xlpm.src,'Converting-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0.26658790974882929</v>
      </c>
      <c r="AG543" s="923">
        <f>IFERROR(IF(OR(B543="Zipper pouch",B543="SUP with zipper"),HELPER!$DE$2*(AH543+AI543)/K543,HELPER!$DE$2*AH543/K543),"Data is missing")</f>
        <v>4.6410142047024626E-4</v>
      </c>
      <c r="AH543" s="923">
        <f t="shared" si="140"/>
        <v>1.1656037879206567</v>
      </c>
      <c r="AI543" s="923">
        <f>IF(OR(B543="Zipper pouch",B543="SUP with zipper"),HELPER!$DC$2*G543/1000,"")</f>
        <v>7.1999999999999995E-2</v>
      </c>
      <c r="AJ543" s="923" cm="1">
        <f t="array" ref="AJ543">IF(INDEX('Laminates- copilot'!$E$6:$E$257,ROUNDUP((ROW()-5)/3,0))+50&gt;IF(O543="Quantum",760,1220),"Width exceeds supplier maximum",IFERROR(AF543+AG543+N(AI543)+AH543*G543/1000/MAX(1,MIN(MAX(2,INT(900/INDEX('Laminates- copilot'!$E$6:$E$257,ROUNDUP((ROW()-5)/3,0)))),INT((IF(O543="Quantum",760,1220)-50)/INDEX('Laminates- copilot'!$E$6:$E$257,ROUNDUP((ROW()-5)/3,0))))),"Data is missing"))</f>
        <v>0.92185390512962795</v>
      </c>
      <c r="AK543" s="203">
        <f t="shared" si="141"/>
        <v>1229.1385401728371</v>
      </c>
      <c r="AL543" t="str">
        <f t="shared" si="142"/>
        <v>PASS</v>
      </c>
      <c r="AM543" s="50" t="str">
        <f t="shared" si="143"/>
        <v/>
      </c>
    </row>
    <row r="544" spans="1:39" hidden="1">
      <c r="A544" t="s">
        <v>2172</v>
      </c>
      <c r="B544" t="s">
        <v>261</v>
      </c>
      <c r="C544" s="50" t="s">
        <v>1627</v>
      </c>
      <c r="D544">
        <f>'Laminates- copilot'!B185</f>
        <v>928</v>
      </c>
      <c r="E544" s="858">
        <f>'Laminates- copilot'!D185</f>
        <v>79</v>
      </c>
      <c r="F544" s="858">
        <v>350</v>
      </c>
      <c r="G544" s="858">
        <v>500</v>
      </c>
      <c r="H544" s="858">
        <v>100</v>
      </c>
      <c r="I544" s="858">
        <v>0</v>
      </c>
      <c r="J544" s="858">
        <v>900</v>
      </c>
      <c r="K544" s="858">
        <v>1600000</v>
      </c>
      <c r="L544" s="858" t="str">
        <f>'Laminates- copilot'!K185</f>
        <v>Printed</v>
      </c>
      <c r="M544" s="858" t="str">
        <f>'Laminates- copilot'!L185</f>
        <v>1-2</v>
      </c>
      <c r="N544" s="858">
        <f>'Laminates- copilot'!M185</f>
        <v>2</v>
      </c>
      <c r="O544" s="858" t="str">
        <f>'Laminates- copilot'!O185</f>
        <v>Quantum</v>
      </c>
      <c r="P544" s="858" t="str">
        <f>'Laminates- copilot'!N185</f>
        <v>Europe to Europe</v>
      </c>
      <c r="Q544" s="858">
        <f t="shared" si="128"/>
        <v>800000</v>
      </c>
      <c r="R544" s="858">
        <f t="shared" si="129"/>
        <v>800000</v>
      </c>
      <c r="S544" s="858">
        <f>IFERROR('Laminates- copilot'!Q185/'Laminates- copilot'!P185*Q544,"")</f>
        <v>25333.200000000001</v>
      </c>
      <c r="T544" s="203">
        <f>IFERROR('Laminates- copilot'!R185/'Laminates- copilot'!P185*Q544,"")</f>
        <v>932483.03033652529</v>
      </c>
      <c r="U544" s="912">
        <f>IFERROR('Laminates- copilot'!S185/'Laminates- copilot'!P185*Q544,"")</f>
        <v>1081680.3151903693</v>
      </c>
      <c r="V544" s="913">
        <f t="shared" si="130"/>
        <v>36.808734401359686</v>
      </c>
      <c r="W544" s="914">
        <f t="shared" si="131"/>
        <v>42.698131905577235</v>
      </c>
      <c r="X544" s="913">
        <f t="shared" si="132"/>
        <v>1.1656037879206567</v>
      </c>
      <c r="Y544" s="913">
        <f t="shared" si="133"/>
        <v>36.808734401359686</v>
      </c>
      <c r="Z544" s="95">
        <f t="shared" si="134"/>
        <v>31580</v>
      </c>
      <c r="AA544" s="50" t="str">
        <f t="shared" si="135"/>
        <v>MOQ OK</v>
      </c>
      <c r="AB544" s="923">
        <f t="shared" si="136"/>
        <v>1.1897206633773527</v>
      </c>
      <c r="AC544" s="924">
        <f t="shared" si="137"/>
        <v>1.3800759695177292</v>
      </c>
      <c r="AD544" s="203">
        <f t="shared" si="138"/>
        <v>1903553.0614037644</v>
      </c>
      <c r="AE544" s="912">
        <f t="shared" si="139"/>
        <v>2208121.5512283668</v>
      </c>
      <c r="AF544" s="923" cm="1">
        <f t="array" ref="AF544">IF(O544="Quantum",IFERROR(_xlfn.LET(_xlpm.b,_xlfn.SWITCH(LOWER(B544),"zipper bag","Zipper pouch","open bag","Open pouch","sup with zipper","Stand-up pouch","stand-up pouch","Stand-up pouch",B544),_xlpm.w,G544,_xlpm.q,K544,_xlpm.types,'Converting-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missing"),IFERROR(_xlfn.LET(_xlpm.s,O544,_xlpm.b,_xlfn.SWITCH(LOWER(B544),"zipper bag","Zipper pouch","open bag","Open pouch",B544),_xlpm.w,G544,_xlpm.q,K544,_xlpm.src,'Converting-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0.2370245021522161</v>
      </c>
      <c r="AG544" s="923">
        <f>IFERROR(IF(OR(B544="Zipper pouch",B544="SUP with zipper"),HELPER!$DE$2*(AH544+AI544)/K544,HELPER!$DE$2*AH544/K544),"Data is missing")</f>
        <v>4.6410142047024626E-4</v>
      </c>
      <c r="AH544" s="923">
        <f t="shared" si="140"/>
        <v>1.1656037879206567</v>
      </c>
      <c r="AI544" s="923">
        <f>IF(OR(B544="Zipper pouch",B544="SUP with zipper"),HELPER!$DC$2*G544/1000,"")</f>
        <v>7.1999999999999995E-2</v>
      </c>
      <c r="AJ544" s="923" cm="1">
        <f t="array" ref="AJ544">IF(INDEX('Laminates- copilot'!$E$6:$E$257,ROUNDUP((ROW()-5)/3,0))+50&gt;IF(O544="Quantum",760,1220),"Width exceeds supplier maximum",IFERROR(AF544+AG544+N(AI544)+AH544*G544/1000/MAX(1,MIN(MAX(2,INT(900/INDEX('Laminates- copilot'!$E$6:$E$257,ROUNDUP((ROW()-5)/3,0)))),INT((IF(O544="Quantum",760,1220)-50)/INDEX('Laminates- copilot'!$E$6:$E$257,ROUNDUP((ROW()-5)/3,0))))),"Data is missing"))</f>
        <v>0.89229049753301459</v>
      </c>
      <c r="AK544" s="203">
        <f t="shared" si="141"/>
        <v>1189.7206633773528</v>
      </c>
      <c r="AL544" t="str">
        <f t="shared" si="142"/>
        <v>PASS</v>
      </c>
      <c r="AM544" s="50" t="str">
        <f t="shared" si="143"/>
        <v/>
      </c>
    </row>
    <row r="545" spans="1:39" hidden="1">
      <c r="A545" t="s">
        <v>2173</v>
      </c>
      <c r="B545" t="s">
        <v>262</v>
      </c>
      <c r="C545" s="50" t="s">
        <v>1627</v>
      </c>
      <c r="D545">
        <f>'Laminates- copilot'!B185</f>
        <v>928</v>
      </c>
      <c r="E545" s="858">
        <f>'Laminates- copilot'!D185</f>
        <v>79</v>
      </c>
      <c r="F545" s="858">
        <v>350</v>
      </c>
      <c r="G545" s="858">
        <v>500</v>
      </c>
      <c r="H545" s="858">
        <v>0</v>
      </c>
      <c r="I545" s="858">
        <v>25</v>
      </c>
      <c r="J545" s="858">
        <v>725</v>
      </c>
      <c r="K545" s="858">
        <v>1600000</v>
      </c>
      <c r="L545" s="858" t="str">
        <f>'Laminates- copilot'!K185</f>
        <v>Printed</v>
      </c>
      <c r="M545" s="858" t="str">
        <f>'Laminates- copilot'!L185</f>
        <v>1-2</v>
      </c>
      <c r="N545" s="858">
        <f>'Laminates- copilot'!M185</f>
        <v>2</v>
      </c>
      <c r="O545" s="858" t="str">
        <f>'Laminates- copilot'!O185</f>
        <v>Quantum</v>
      </c>
      <c r="P545" s="858" t="str">
        <f>'Laminates- copilot'!N185</f>
        <v>Europe to Europe</v>
      </c>
      <c r="Q545" s="858">
        <f t="shared" si="128"/>
        <v>800000</v>
      </c>
      <c r="R545" s="858">
        <f t="shared" si="129"/>
        <v>800000</v>
      </c>
      <c r="S545" s="858">
        <f>IFERROR('Laminates- copilot'!Q185/'Laminates- copilot'!P185*Q545,"")</f>
        <v>25333.200000000001</v>
      </c>
      <c r="T545" s="203">
        <f>IFERROR('Laminates- copilot'!R185/'Laminates- copilot'!P185*Q545,"")</f>
        <v>932483.03033652529</v>
      </c>
      <c r="U545" s="912">
        <f>IFERROR('Laminates- copilot'!S185/'Laminates- copilot'!P185*Q545,"")</f>
        <v>1081680.3151903693</v>
      </c>
      <c r="V545" s="913">
        <f t="shared" si="130"/>
        <v>36.808734401359686</v>
      </c>
      <c r="W545" s="914">
        <f t="shared" si="131"/>
        <v>42.698131905577235</v>
      </c>
      <c r="X545" s="913">
        <f t="shared" si="132"/>
        <v>1.1656037879206567</v>
      </c>
      <c r="Y545" s="913">
        <f t="shared" si="133"/>
        <v>36.808734401359686</v>
      </c>
      <c r="Z545" s="95">
        <f t="shared" si="134"/>
        <v>31580</v>
      </c>
      <c r="AA545" s="50" t="str">
        <f t="shared" si="135"/>
        <v>MOQ OK</v>
      </c>
      <c r="AB545" s="923">
        <f t="shared" si="136"/>
        <v>1.0619204768834942</v>
      </c>
      <c r="AC545" s="924">
        <f t="shared" si="137"/>
        <v>1.2318277531848532</v>
      </c>
      <c r="AD545" s="203">
        <f t="shared" si="138"/>
        <v>1699072.7630135908</v>
      </c>
      <c r="AE545" s="912">
        <f t="shared" si="139"/>
        <v>1970924.4050957651</v>
      </c>
      <c r="AF545" s="923" cm="1">
        <f t="array" ref="AF545">IF(O545="Quantum",IFERROR(_xlfn.LET(_xlpm.b,_xlfn.SWITCH(LOWER(B545),"zipper bag","Zipper pouch","open bag","Open pouch","sup with zipper","Stand-up pouch","stand-up pouch","Stand-up pouch",B545),_xlpm.w,G545,_xlpm.q,K545,_xlpm.types,'Converting-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missing"),IFERROR(_xlfn.LET(_xlpm.s,O545,_xlpm.b,_xlfn.SWITCH(LOWER(B545),"zipper bag","Zipper pouch","open bag","Open pouch",B545),_xlpm.w,G545,_xlpm.q,K545,_xlpm.src,'Converting-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0.21320136228182207</v>
      </c>
      <c r="AG545" s="923">
        <f>IFERROR(IF(OR(B545="Zipper pouch",B545="SUP with zipper"),HELPER!$DE$2*(AH545+AI545)/K545,HELPER!$DE$2*AH545/K545),"Data is missing")</f>
        <v>4.3710142047024626E-4</v>
      </c>
      <c r="AH545" s="923">
        <f t="shared" si="140"/>
        <v>1.1656037879206567</v>
      </c>
      <c r="AI545" s="923" t="str">
        <f>IF(OR(B545="Zipper pouch",B545="SUP with zipper"),HELPER!$DC$2*G545/1000,"")</f>
        <v/>
      </c>
      <c r="AJ545" s="923" cm="1">
        <f t="array" ref="AJ545">IF(INDEX('Laminates- copilot'!$E$6:$E$257,ROUNDUP((ROW()-5)/3,0))+50&gt;IF(O545="Quantum",760,1220),"Width exceeds supplier maximum",IFERROR(AF545+AG545+N(AI545)+AH545*G545/1000/MAX(1,MIN(MAX(2,INT(900/INDEX('Laminates- copilot'!$E$6:$E$257,ROUNDUP((ROW()-5)/3,0)))),INT((IF(O545="Quantum",760,1220)-50)/INDEX('Laminates- copilot'!$E$6:$E$257,ROUNDUP((ROW()-5)/3,0))))),"Data is missing"))</f>
        <v>0.79644035766262067</v>
      </c>
      <c r="AK545" s="203">
        <f t="shared" si="141"/>
        <v>1061.9204768834943</v>
      </c>
      <c r="AL545" t="str">
        <f t="shared" si="142"/>
        <v>PASS</v>
      </c>
      <c r="AM545" s="50" t="str">
        <f t="shared" si="143"/>
        <v/>
      </c>
    </row>
    <row r="546" spans="1:39" ht="30">
      <c r="A546" t="s">
        <v>2288</v>
      </c>
      <c r="B546" t="s">
        <v>251</v>
      </c>
      <c r="C546" s="50" t="s">
        <v>2212</v>
      </c>
      <c r="D546">
        <f>'Laminates- copilot'!B186</f>
        <v>120</v>
      </c>
      <c r="E546" s="858">
        <f>'Laminates- copilot'!D186</f>
        <v>98</v>
      </c>
      <c r="F546" s="858">
        <v>100</v>
      </c>
      <c r="G546" s="858">
        <v>100</v>
      </c>
      <c r="H546" s="858">
        <v>20</v>
      </c>
      <c r="I546" s="858">
        <v>0</v>
      </c>
      <c r="J546" s="858">
        <v>240</v>
      </c>
      <c r="K546" s="858">
        <v>25000</v>
      </c>
      <c r="L546" s="858" t="str">
        <f>'Laminates- copilot'!K186</f>
        <v>Not Printed</v>
      </c>
      <c r="M546" s="858" t="str">
        <f>'Laminates- copilot'!L186</f>
        <v>0</v>
      </c>
      <c r="N546" s="858">
        <f>'Laminates- copilot'!M186</f>
        <v>1</v>
      </c>
      <c r="O546" s="858" t="str">
        <f>'Laminates- copilot'!O186</f>
        <v>Marma</v>
      </c>
      <c r="P546" s="858" t="str">
        <f>'Laminates- copilot'!N186</f>
        <v>Europe to Canada</v>
      </c>
      <c r="Q546" s="858">
        <f>K546*G546/1000</f>
        <v>2500</v>
      </c>
      <c r="R546" s="858">
        <f>Q546</f>
        <v>2500</v>
      </c>
      <c r="S546" s="858">
        <f>IFERROR('Laminates- copilot'!Q186/'Laminates- copilot'!P186*Q546,"")</f>
        <v>28.541999999999998</v>
      </c>
      <c r="T546" s="203" t="str">
        <f>IFERROR('Laminates- copilot'!R546/'Laminates- copilot'!P546*Q546,"")</f>
        <v/>
      </c>
      <c r="U546" s="912" t="str">
        <f>IFERROR('Laminates- copilot'!S546/'Laminates- copilot'!P546*Q546,"")</f>
        <v/>
      </c>
      <c r="V546" s="913" t="str">
        <f>IFERROR(T546/S546,"")</f>
        <v/>
      </c>
      <c r="W546" s="914" t="str">
        <f>IFERROR(U546/S546,"")</f>
        <v/>
      </c>
      <c r="X546" s="913" t="str">
        <f>IFERROR(T546/Q546,"")</f>
        <v/>
      </c>
      <c r="Y546" s="913" t="str">
        <f>V546</f>
        <v/>
      </c>
      <c r="Z546" s="95">
        <f>IFERROR(ROUNDUP((500*Q546/S546)*1000/G546,0),"")</f>
        <v>437952</v>
      </c>
      <c r="AA546" s="50" t="str">
        <f>IF(OR(K546="",Z546=""),"MOQ data missing",IF(K546&gt;=Z546,"MOQ OK","Below MOQ by "&amp;TEXT(Z546-K546,"#,##0")&amp;" bags"))</f>
        <v>Below MOQ by 412,952 bags</v>
      </c>
      <c r="AB546" s="923" t="str">
        <f>IFERROR(AJ546/(1-25%),"Data is missing")</f>
        <v>Data is missing</v>
      </c>
      <c r="AC546" s="924" t="str">
        <f>IFERROR(AB546*1.16,"Data is missing")</f>
        <v>Data is missing</v>
      </c>
      <c r="AD546" s="203" t="str">
        <f>IFERROR(AB546*K546,"Data is missing")</f>
        <v>Data is missing</v>
      </c>
      <c r="AE546" s="912" t="str">
        <f>IFERROR(AD546*1.16,"Data is missing")</f>
        <v>Data is missing</v>
      </c>
      <c r="AF546" s="923" cm="1">
        <f t="array" ref="AF546">IF(O546="Quantum",IFERROR(_xlfn.LET(_xlpm.b,_xlfn.SWITCH(LOWER(B546),"zipper bag","Zipper pouch","open bag","Open pouch","sup with zipper","Stand-up pouch","stand-up pouch","Stand-up pouch",B546),_xlpm.w,G546,_xlpm.q,K546,_xlpm.types,'Converting-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missing"),IFERROR(_xlfn.LET(_xlpm.s,O546,_xlpm.b,_xlfn.SWITCH(LOWER(B546),"zipper bag","Zipper pouch","open bag","Open pouch",B546),_xlpm.w,G546,_xlpm.q,K546,_xlpm.src,'Converting-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546" s="923" t="str">
        <f>IFERROR(IF(OR(B546="Zipper pouch",B546="SUP with zipper"),HELPER!$DE$2*(AH546+AI546)/K546,HELPER!$DE$2*AH546/K546),"Data is missing")</f>
        <v>Data is missing</v>
      </c>
      <c r="AH546" s="923" t="str">
        <f>X546</f>
        <v/>
      </c>
      <c r="AI546" s="923">
        <f>IF(OR(B546="Zipper pouch",B546="SUP with zipper"),HELPER!$DC$2*G546/1000,"")</f>
        <v>1.4399999999999998E-2</v>
      </c>
      <c r="AJ546" s="923" t="str" cm="1">
        <f t="array" ref="AJ546">IF(INDEX('Laminates- copilot'!$E$6:$E$257,ROUNDUP((ROW()-5)/3,0))+50&gt;IF(O546="Quantum",760,1220),"Width exceeds supplier maximum",IFERROR(AF546+AG546+N(AI546)+AH546*G546/1000/MAX(1,MIN(MAX(2,INT(900/INDEX('Laminates- copilot'!$E$6:$E$257,ROUNDUP((ROW()-5)/3,0)))),INT((IF(O546="Quantum",760,1220)-50)/INDEX('Laminates- copilot'!$E$6:$E$257,ROUNDUP((ROW()-5)/3,0))))),"Data is missing"))</f>
        <v>Data is missing</v>
      </c>
      <c r="AK546" s="203" t="str">
        <f>IFERROR(AB546*1000,"Data is missing")</f>
        <v>Data is missing</v>
      </c>
      <c r="AL546" t="str">
        <f>IF(AND(ISNUMBER(AB546),ISNUMBER(AD546),K546&gt;0,ISNUMBER(AJ546),AM546=""),IF(AND(ABS(AD546-AB546*K546)&lt;0.05,ABS(AB546-AJ546/(1-25%))&lt;0.0001),"PASS","CHECK"),"CHECK")</f>
        <v>CHECK</v>
      </c>
      <c r="AM546" s="50" t="str">
        <f>_xlfn.TEXTJOIN("; ",TRUE,IF(OR(AF546="Data is missing",AG546="Data is missing",AJ546="Data is missing"),"Missing conversion data",""),IF(NOT(ISNUMBER(S546)),"Missing laminate weight",""),IF(NOT(ISNUMBER(T546)),"Missing laminate cost",""))</f>
        <v>Missing conversion data; Missing laminate cost</v>
      </c>
    </row>
    <row r="547" spans="1:39">
      <c r="C547" s="50"/>
      <c r="E547" s="858"/>
      <c r="F547" s="858"/>
      <c r="G547" s="858"/>
      <c r="H547" s="858"/>
      <c r="I547" s="858"/>
      <c r="J547" s="858"/>
      <c r="K547" s="858"/>
      <c r="L547" s="858"/>
      <c r="M547" s="858"/>
      <c r="N547" s="858"/>
      <c r="O547" s="858"/>
      <c r="P547" s="858"/>
      <c r="Q547" s="858"/>
      <c r="R547" s="858"/>
      <c r="S547" s="858"/>
      <c r="T547" s="203"/>
      <c r="U547" s="912"/>
      <c r="V547" s="913"/>
      <c r="W547" s="914"/>
      <c r="X547" s="913"/>
      <c r="Y547" s="913"/>
      <c r="Z547" s="95"/>
      <c r="AA547" s="50"/>
      <c r="AB547" s="923"/>
      <c r="AC547" s="924"/>
      <c r="AD547" s="203"/>
      <c r="AE547" s="912"/>
      <c r="AF547" s="923"/>
      <c r="AG547" s="923"/>
      <c r="AH547" s="923"/>
      <c r="AI547" s="923"/>
      <c r="AJ547" s="923"/>
      <c r="AK547" s="203"/>
      <c r="AM547" s="50"/>
    </row>
    <row r="548" spans="1:39">
      <c r="C548" s="50"/>
      <c r="E548" s="858"/>
      <c r="F548" s="858"/>
      <c r="G548" s="858"/>
      <c r="H548" s="858"/>
      <c r="I548" s="858"/>
      <c r="J548" s="858"/>
      <c r="K548" s="858"/>
      <c r="L548" s="858"/>
      <c r="M548" s="858"/>
      <c r="N548" s="858"/>
      <c r="O548" s="858"/>
      <c r="P548" s="858"/>
      <c r="Q548" s="858"/>
      <c r="R548" s="858"/>
      <c r="S548" s="858"/>
      <c r="T548" s="203"/>
      <c r="U548" s="912"/>
      <c r="V548" s="913"/>
      <c r="W548" s="914"/>
      <c r="X548" s="913"/>
      <c r="Y548" s="913"/>
      <c r="Z548" s="95"/>
      <c r="AA548" s="50"/>
      <c r="AB548" s="923"/>
      <c r="AC548" s="924"/>
      <c r="AD548" s="203"/>
      <c r="AE548" s="912"/>
      <c r="AF548" s="923"/>
      <c r="AG548" s="923"/>
      <c r="AH548" s="923"/>
      <c r="AI548" s="923"/>
      <c r="AJ548" s="923"/>
      <c r="AK548" s="203"/>
      <c r="AM548" s="50"/>
    </row>
    <row r="549" spans="1:39">
      <c r="C549" s="50"/>
      <c r="E549" s="858"/>
      <c r="F549" s="858"/>
      <c r="G549" s="858"/>
      <c r="H549" s="858"/>
      <c r="I549" s="858"/>
      <c r="J549" s="858"/>
      <c r="K549" s="858"/>
      <c r="L549" s="858"/>
      <c r="M549" s="858"/>
      <c r="N549" s="858"/>
      <c r="O549" s="858"/>
      <c r="P549" s="858"/>
      <c r="Q549" s="858"/>
      <c r="R549" s="858"/>
      <c r="S549" s="858"/>
      <c r="T549" s="203"/>
      <c r="U549" s="912"/>
      <c r="V549" s="913"/>
      <c r="W549" s="914"/>
      <c r="X549" s="913"/>
      <c r="Y549" s="913"/>
      <c r="Z549" s="95"/>
      <c r="AA549" s="50"/>
      <c r="AB549" s="923"/>
      <c r="AC549" s="924"/>
      <c r="AD549" s="203"/>
      <c r="AE549" s="912"/>
      <c r="AF549" s="923"/>
      <c r="AG549" s="923"/>
      <c r="AH549" s="923"/>
      <c r="AI549" s="923"/>
      <c r="AJ549" s="923"/>
      <c r="AK549" s="203"/>
      <c r="AM549" s="50"/>
    </row>
    <row r="550" spans="1:39">
      <c r="C550" s="50"/>
      <c r="E550" s="858"/>
      <c r="F550" s="858"/>
      <c r="G550" s="858"/>
      <c r="H550" s="858"/>
      <c r="I550" s="858"/>
      <c r="J550" s="858"/>
      <c r="K550" s="858"/>
      <c r="L550" s="858"/>
      <c r="M550" s="858"/>
      <c r="N550" s="858"/>
      <c r="O550" s="858"/>
      <c r="P550" s="858"/>
      <c r="Q550" s="858"/>
      <c r="R550" s="858"/>
      <c r="S550" s="858"/>
      <c r="T550" s="203"/>
      <c r="U550" s="912"/>
      <c r="V550" s="913"/>
      <c r="W550" s="914"/>
      <c r="X550" s="913"/>
      <c r="Y550" s="913"/>
      <c r="Z550" s="95"/>
      <c r="AA550" s="50"/>
      <c r="AB550" s="923"/>
      <c r="AC550" s="924"/>
      <c r="AD550" s="203"/>
      <c r="AE550" s="912"/>
      <c r="AF550" s="923"/>
      <c r="AG550" s="923"/>
      <c r="AH550" s="923"/>
      <c r="AI550" s="923"/>
      <c r="AJ550" s="923"/>
      <c r="AK550" s="203"/>
      <c r="AM550" s="50"/>
    </row>
    <row r="551" spans="1:39">
      <c r="C551" s="50"/>
      <c r="E551" s="858"/>
      <c r="F551" s="858"/>
      <c r="G551" s="858"/>
      <c r="H551" s="858"/>
      <c r="I551" s="858"/>
      <c r="J551" s="858"/>
      <c r="K551" s="858"/>
      <c r="L551" s="858"/>
      <c r="M551" s="858"/>
      <c r="N551" s="858"/>
      <c r="O551" s="858"/>
      <c r="P551" s="858"/>
      <c r="Q551" s="858"/>
      <c r="R551" s="858"/>
      <c r="S551" s="858"/>
      <c r="T551" s="203"/>
      <c r="U551" s="912"/>
      <c r="V551" s="913"/>
      <c r="W551" s="914"/>
      <c r="X551" s="913"/>
      <c r="Y551" s="913"/>
      <c r="Z551" s="95"/>
      <c r="AA551" s="50"/>
      <c r="AB551" s="923"/>
      <c r="AC551" s="924"/>
      <c r="AD551" s="203"/>
      <c r="AE551" s="912"/>
      <c r="AF551" s="923"/>
      <c r="AG551" s="923"/>
      <c r="AH551" s="923"/>
      <c r="AI551" s="923"/>
      <c r="AJ551" s="923"/>
      <c r="AK551" s="203"/>
      <c r="AM551" s="50"/>
    </row>
    <row r="552" spans="1:39">
      <c r="C552" s="50"/>
      <c r="E552" s="858"/>
      <c r="F552" s="858"/>
      <c r="G552" s="858"/>
      <c r="H552" s="858"/>
      <c r="I552" s="858"/>
      <c r="J552" s="858"/>
      <c r="K552" s="858"/>
      <c r="L552" s="858"/>
      <c r="M552" s="858"/>
      <c r="N552" s="858"/>
      <c r="O552" s="858"/>
      <c r="P552" s="858"/>
      <c r="Q552" s="858"/>
      <c r="R552" s="858"/>
      <c r="S552" s="858"/>
      <c r="T552" s="203"/>
      <c r="U552" s="912"/>
      <c r="V552" s="913"/>
      <c r="W552" s="914"/>
      <c r="X552" s="913"/>
      <c r="Y552" s="913"/>
      <c r="Z552" s="95"/>
      <c r="AA552" s="50"/>
      <c r="AB552" s="923"/>
      <c r="AC552" s="924"/>
      <c r="AD552" s="203"/>
      <c r="AE552" s="912"/>
      <c r="AF552" s="923"/>
      <c r="AG552" s="923"/>
      <c r="AH552" s="923"/>
      <c r="AI552" s="923"/>
      <c r="AJ552" s="923"/>
      <c r="AK552" s="203"/>
      <c r="AM552" s="50"/>
    </row>
    <row r="553" spans="1:39">
      <c r="C553" s="50"/>
      <c r="E553" s="858"/>
      <c r="F553" s="858"/>
      <c r="G553" s="858"/>
      <c r="H553" s="858"/>
      <c r="I553" s="858"/>
      <c r="J553" s="858"/>
      <c r="K553" s="858"/>
      <c r="L553" s="858"/>
      <c r="M553" s="858"/>
      <c r="N553" s="858"/>
      <c r="O553" s="858"/>
      <c r="P553" s="858"/>
      <c r="Q553" s="858"/>
      <c r="R553" s="858"/>
      <c r="S553" s="858"/>
      <c r="T553" s="203"/>
      <c r="U553" s="912"/>
      <c r="V553" s="913"/>
      <c r="W553" s="914"/>
      <c r="X553" s="913"/>
      <c r="Y553" s="913"/>
      <c r="Z553" s="95"/>
      <c r="AA553" s="50"/>
      <c r="AB553" s="923"/>
      <c r="AC553" s="924"/>
      <c r="AD553" s="203"/>
      <c r="AE553" s="912"/>
      <c r="AF553" s="923"/>
      <c r="AG553" s="923"/>
      <c r="AH553" s="923"/>
      <c r="AI553" s="923"/>
      <c r="AJ553" s="923"/>
      <c r="AK553" s="203"/>
      <c r="AM553" s="50"/>
    </row>
    <row r="554" spans="1:39">
      <c r="C554" s="50"/>
      <c r="E554" s="858"/>
      <c r="F554" s="858"/>
      <c r="G554" s="858"/>
      <c r="H554" s="858"/>
      <c r="I554" s="858"/>
      <c r="J554" s="858"/>
      <c r="K554" s="858"/>
      <c r="L554" s="858"/>
      <c r="M554" s="858"/>
      <c r="N554" s="858"/>
      <c r="O554" s="858"/>
      <c r="P554" s="858"/>
      <c r="Q554" s="858"/>
      <c r="R554" s="858"/>
      <c r="S554" s="858"/>
      <c r="T554" s="203"/>
      <c r="U554" s="912"/>
      <c r="V554" s="913"/>
      <c r="W554" s="914"/>
      <c r="X554" s="913"/>
      <c r="Y554" s="913"/>
      <c r="Z554" s="95"/>
      <c r="AA554" s="50"/>
      <c r="AB554" s="923"/>
      <c r="AC554" s="924"/>
      <c r="AD554" s="203"/>
      <c r="AE554" s="912"/>
      <c r="AF554" s="923"/>
      <c r="AG554" s="923"/>
      <c r="AH554" s="923"/>
      <c r="AI554" s="923"/>
      <c r="AJ554" s="923"/>
      <c r="AK554" s="203"/>
      <c r="AM554" s="50"/>
    </row>
    <row r="555" spans="1:39">
      <c r="C555" s="50"/>
      <c r="E555" s="858"/>
      <c r="F555" s="858"/>
      <c r="G555" s="858"/>
      <c r="H555" s="858"/>
      <c r="I555" s="858"/>
      <c r="J555" s="858"/>
      <c r="K555" s="858"/>
      <c r="L555" s="858"/>
      <c r="M555" s="858"/>
      <c r="N555" s="858"/>
      <c r="O555" s="858"/>
      <c r="P555" s="858"/>
      <c r="Q555" s="858"/>
      <c r="R555" s="858"/>
      <c r="S555" s="858"/>
      <c r="T555" s="203"/>
      <c r="U555" s="912"/>
      <c r="V555" s="913"/>
      <c r="W555" s="914"/>
      <c r="X555" s="913"/>
      <c r="Y555" s="913"/>
      <c r="Z555" s="95"/>
      <c r="AA555" s="50"/>
      <c r="AB555" s="923"/>
      <c r="AC555" s="924"/>
      <c r="AD555" s="203"/>
      <c r="AE555" s="912"/>
      <c r="AF555" s="923"/>
      <c r="AG555" s="923"/>
      <c r="AH555" s="923"/>
      <c r="AI555" s="923"/>
      <c r="AJ555" s="923"/>
      <c r="AK555" s="203"/>
      <c r="AM555" s="50"/>
    </row>
    <row r="556" spans="1:39">
      <c r="C556" s="50"/>
      <c r="E556" s="858"/>
      <c r="F556" s="858"/>
      <c r="G556" s="858"/>
      <c r="H556" s="858"/>
      <c r="I556" s="858"/>
      <c r="J556" s="858"/>
      <c r="K556" s="858"/>
      <c r="L556" s="858"/>
      <c r="M556" s="858"/>
      <c r="N556" s="858"/>
      <c r="O556" s="858"/>
      <c r="P556" s="858"/>
      <c r="Q556" s="858"/>
      <c r="R556" s="858"/>
      <c r="S556" s="858"/>
      <c r="T556" s="203"/>
      <c r="U556" s="912"/>
      <c r="V556" s="913"/>
      <c r="W556" s="914"/>
      <c r="X556" s="913"/>
      <c r="Y556" s="913"/>
      <c r="Z556" s="95"/>
      <c r="AA556" s="50"/>
      <c r="AB556" s="923"/>
      <c r="AC556" s="924"/>
      <c r="AD556" s="203"/>
      <c r="AE556" s="912"/>
      <c r="AF556" s="923"/>
      <c r="AG556" s="923"/>
      <c r="AH556" s="923"/>
      <c r="AI556" s="923"/>
      <c r="AJ556" s="923"/>
      <c r="AK556" s="203"/>
      <c r="AM556" s="50"/>
    </row>
    <row r="557" spans="1:39">
      <c r="C557" s="50"/>
      <c r="E557" s="858"/>
      <c r="F557" s="858"/>
      <c r="G557" s="858"/>
      <c r="H557" s="858"/>
      <c r="I557" s="858"/>
      <c r="J557" s="858"/>
      <c r="K557" s="858"/>
      <c r="L557" s="858"/>
      <c r="M557" s="858"/>
      <c r="N557" s="858"/>
      <c r="O557" s="858"/>
      <c r="P557" s="858"/>
      <c r="Q557" s="858"/>
      <c r="R557" s="858"/>
      <c r="S557" s="858"/>
      <c r="T557" s="203"/>
      <c r="U557" s="912"/>
      <c r="V557" s="913"/>
      <c r="W557" s="914"/>
      <c r="X557" s="913"/>
      <c r="Y557" s="913"/>
      <c r="Z557" s="95"/>
      <c r="AA557" s="50"/>
      <c r="AB557" s="923"/>
      <c r="AC557" s="924"/>
      <c r="AD557" s="203"/>
      <c r="AE557" s="912"/>
      <c r="AF557" s="923"/>
      <c r="AG557" s="923"/>
      <c r="AH557" s="923"/>
      <c r="AI557" s="923"/>
      <c r="AJ557" s="923"/>
      <c r="AK557" s="203"/>
      <c r="AM557" s="50"/>
    </row>
    <row r="558" spans="1:39">
      <c r="C558" s="50"/>
      <c r="E558" s="858"/>
      <c r="F558" s="858"/>
      <c r="G558" s="858"/>
      <c r="H558" s="858"/>
      <c r="I558" s="858"/>
      <c r="J558" s="858"/>
      <c r="K558" s="858"/>
      <c r="L558" s="858"/>
      <c r="M558" s="858"/>
      <c r="N558" s="858"/>
      <c r="O558" s="858"/>
      <c r="P558" s="858"/>
      <c r="Q558" s="858"/>
      <c r="R558" s="858"/>
      <c r="S558" s="858"/>
      <c r="T558" s="203"/>
      <c r="U558" s="912"/>
      <c r="V558" s="913"/>
      <c r="W558" s="914"/>
      <c r="X558" s="913"/>
      <c r="Y558" s="913"/>
      <c r="Z558" s="95"/>
      <c r="AA558" s="50"/>
      <c r="AB558" s="923"/>
      <c r="AC558" s="924"/>
      <c r="AD558" s="203"/>
      <c r="AE558" s="912"/>
      <c r="AF558" s="923"/>
      <c r="AG558" s="923"/>
      <c r="AH558" s="923"/>
      <c r="AI558" s="923"/>
      <c r="AJ558" s="923"/>
      <c r="AK558" s="203"/>
      <c r="AM558" s="50"/>
    </row>
    <row r="559" spans="1:39">
      <c r="C559" s="50"/>
      <c r="E559" s="858"/>
      <c r="F559" s="858"/>
      <c r="G559" s="858"/>
      <c r="H559" s="858"/>
      <c r="I559" s="858"/>
      <c r="J559" s="858"/>
      <c r="K559" s="858"/>
      <c r="L559" s="858"/>
      <c r="M559" s="858"/>
      <c r="N559" s="858"/>
      <c r="O559" s="858"/>
      <c r="P559" s="858"/>
      <c r="Q559" s="858"/>
      <c r="R559" s="858"/>
      <c r="S559" s="858"/>
      <c r="T559" s="203"/>
      <c r="U559" s="912"/>
      <c r="V559" s="913"/>
      <c r="W559" s="914"/>
      <c r="X559" s="913"/>
      <c r="Y559" s="913"/>
      <c r="Z559" s="95"/>
      <c r="AA559" s="50"/>
      <c r="AB559" s="923"/>
      <c r="AC559" s="924"/>
      <c r="AD559" s="203"/>
      <c r="AE559" s="912"/>
      <c r="AF559" s="923"/>
      <c r="AG559" s="923"/>
      <c r="AH559" s="923"/>
      <c r="AI559" s="923"/>
      <c r="AJ559" s="923"/>
      <c r="AK559" s="203"/>
      <c r="AM559" s="50"/>
    </row>
    <row r="560" spans="1:39">
      <c r="C560" s="50"/>
      <c r="E560" s="858"/>
      <c r="F560" s="858"/>
      <c r="G560" s="858"/>
      <c r="H560" s="858"/>
      <c r="I560" s="858"/>
      <c r="J560" s="858"/>
      <c r="K560" s="858"/>
      <c r="L560" s="858"/>
      <c r="M560" s="858"/>
      <c r="N560" s="858"/>
      <c r="O560" s="858"/>
      <c r="P560" s="858"/>
      <c r="Q560" s="858"/>
      <c r="R560" s="858"/>
      <c r="S560" s="858"/>
      <c r="T560" s="203"/>
      <c r="U560" s="912"/>
      <c r="V560" s="913"/>
      <c r="W560" s="914"/>
      <c r="X560" s="913"/>
      <c r="Y560" s="913"/>
      <c r="Z560" s="95"/>
      <c r="AA560" s="50"/>
      <c r="AB560" s="923"/>
      <c r="AC560" s="924"/>
      <c r="AD560" s="203"/>
      <c r="AE560" s="912"/>
      <c r="AF560" s="923"/>
      <c r="AG560" s="923"/>
      <c r="AH560" s="923"/>
      <c r="AI560" s="923"/>
      <c r="AJ560" s="923"/>
      <c r="AK560" s="203"/>
      <c r="AM560" s="50"/>
    </row>
    <row r="561" spans="3:39">
      <c r="C561" s="50"/>
      <c r="E561" s="858"/>
      <c r="F561" s="858"/>
      <c r="G561" s="858"/>
      <c r="H561" s="858"/>
      <c r="I561" s="858"/>
      <c r="J561" s="858"/>
      <c r="K561" s="858"/>
      <c r="L561" s="858"/>
      <c r="M561" s="858"/>
      <c r="N561" s="858"/>
      <c r="O561" s="858"/>
      <c r="P561" s="858"/>
      <c r="Q561" s="858"/>
      <c r="R561" s="858"/>
      <c r="S561" s="858"/>
      <c r="T561" s="203"/>
      <c r="U561" s="912"/>
      <c r="V561" s="913"/>
      <c r="W561" s="914"/>
      <c r="X561" s="913"/>
      <c r="Y561" s="913"/>
      <c r="Z561" s="95"/>
      <c r="AA561" s="50"/>
      <c r="AB561" s="923"/>
      <c r="AC561" s="924"/>
      <c r="AD561" s="203"/>
      <c r="AE561" s="912"/>
      <c r="AF561" s="923"/>
      <c r="AG561" s="923"/>
      <c r="AH561" s="923"/>
      <c r="AI561" s="923"/>
      <c r="AJ561" s="923"/>
      <c r="AK561" s="203"/>
      <c r="AM561" s="50"/>
    </row>
    <row r="562" spans="3:39">
      <c r="C562" s="50"/>
      <c r="E562" s="858"/>
      <c r="F562" s="858"/>
      <c r="G562" s="858"/>
      <c r="H562" s="858"/>
      <c r="I562" s="858"/>
      <c r="J562" s="858"/>
      <c r="K562" s="858"/>
      <c r="L562" s="858"/>
      <c r="M562" s="858"/>
      <c r="N562" s="858"/>
      <c r="O562" s="858"/>
      <c r="P562" s="858"/>
      <c r="Q562" s="858"/>
      <c r="R562" s="858"/>
      <c r="S562" s="858"/>
      <c r="T562" s="203"/>
      <c r="U562" s="912"/>
      <c r="V562" s="913"/>
      <c r="W562" s="914"/>
      <c r="X562" s="913"/>
      <c r="Y562" s="913"/>
      <c r="Z562" s="95"/>
      <c r="AA562" s="50"/>
      <c r="AB562" s="923"/>
      <c r="AC562" s="924"/>
      <c r="AD562" s="203"/>
      <c r="AE562" s="912"/>
      <c r="AF562" s="923"/>
      <c r="AG562" s="923"/>
      <c r="AH562" s="923"/>
      <c r="AI562" s="923"/>
      <c r="AJ562" s="923"/>
      <c r="AK562" s="203"/>
      <c r="AM562" s="50"/>
    </row>
    <row r="563" spans="3:39">
      <c r="C563" s="50"/>
      <c r="E563" s="858"/>
      <c r="F563" s="858"/>
      <c r="G563" s="858"/>
      <c r="H563" s="858"/>
      <c r="I563" s="858"/>
      <c r="J563" s="858"/>
      <c r="K563" s="858"/>
      <c r="L563" s="858"/>
      <c r="M563" s="858"/>
      <c r="N563" s="858"/>
      <c r="O563" s="858"/>
      <c r="P563" s="858"/>
      <c r="Q563" s="858"/>
      <c r="R563" s="858"/>
      <c r="S563" s="858"/>
      <c r="T563" s="203"/>
      <c r="U563" s="912"/>
      <c r="V563" s="913"/>
      <c r="W563" s="914"/>
      <c r="X563" s="913"/>
      <c r="Y563" s="913"/>
      <c r="Z563" s="95"/>
      <c r="AA563" s="50"/>
      <c r="AB563" s="923"/>
      <c r="AC563" s="924"/>
      <c r="AD563" s="203"/>
      <c r="AE563" s="912"/>
      <c r="AF563" s="923"/>
      <c r="AG563" s="923"/>
      <c r="AH563" s="923"/>
      <c r="AI563" s="923"/>
      <c r="AJ563" s="923"/>
      <c r="AK563" s="203"/>
      <c r="AM563" s="50"/>
    </row>
    <row r="564" spans="3:39">
      <c r="C564" s="50"/>
      <c r="E564" s="858"/>
      <c r="F564" s="858"/>
      <c r="G564" s="858"/>
      <c r="H564" s="858"/>
      <c r="I564" s="858"/>
      <c r="J564" s="858"/>
      <c r="K564" s="858"/>
      <c r="L564" s="858"/>
      <c r="M564" s="858"/>
      <c r="N564" s="858"/>
      <c r="O564" s="858"/>
      <c r="P564" s="858"/>
      <c r="Q564" s="858"/>
      <c r="R564" s="858"/>
      <c r="S564" s="858"/>
      <c r="T564" s="203"/>
      <c r="U564" s="912"/>
      <c r="V564" s="913"/>
      <c r="W564" s="914"/>
      <c r="X564" s="913"/>
      <c r="Y564" s="913"/>
      <c r="Z564" s="95"/>
      <c r="AA564" s="50"/>
      <c r="AB564" s="923"/>
      <c r="AC564" s="924"/>
      <c r="AD564" s="203"/>
      <c r="AE564" s="912"/>
      <c r="AF564" s="923"/>
      <c r="AG564" s="923"/>
      <c r="AH564" s="923"/>
      <c r="AI564" s="923"/>
      <c r="AJ564" s="923"/>
      <c r="AK564" s="203"/>
      <c r="AM564" s="50"/>
    </row>
    <row r="565" spans="3:39">
      <c r="C565" s="50"/>
      <c r="E565" s="858"/>
      <c r="F565" s="858"/>
      <c r="G565" s="858"/>
      <c r="H565" s="858"/>
      <c r="I565" s="858"/>
      <c r="J565" s="858"/>
      <c r="K565" s="858"/>
      <c r="L565" s="858"/>
      <c r="M565" s="858"/>
      <c r="N565" s="858"/>
      <c r="O565" s="858"/>
      <c r="P565" s="858"/>
      <c r="Q565" s="858"/>
      <c r="R565" s="858"/>
      <c r="S565" s="858"/>
      <c r="T565" s="203"/>
      <c r="U565" s="912"/>
      <c r="V565" s="913"/>
      <c r="W565" s="914"/>
      <c r="X565" s="913"/>
      <c r="Y565" s="913"/>
      <c r="Z565" s="95"/>
      <c r="AA565" s="50"/>
      <c r="AB565" s="923"/>
      <c r="AC565" s="924"/>
      <c r="AD565" s="203"/>
      <c r="AE565" s="912"/>
      <c r="AF565" s="923"/>
      <c r="AG565" s="923"/>
      <c r="AH565" s="923"/>
      <c r="AI565" s="923"/>
      <c r="AJ565" s="923"/>
      <c r="AK565" s="203"/>
      <c r="AM565" s="50"/>
    </row>
    <row r="566" spans="3:39">
      <c r="C566" s="50"/>
      <c r="E566" s="858"/>
      <c r="F566" s="858"/>
      <c r="G566" s="858"/>
      <c r="H566" s="858"/>
      <c r="I566" s="858"/>
      <c r="J566" s="858"/>
      <c r="K566" s="858"/>
      <c r="L566" s="858"/>
      <c r="M566" s="858"/>
      <c r="N566" s="858"/>
      <c r="O566" s="858"/>
      <c r="P566" s="858"/>
      <c r="Q566" s="858"/>
      <c r="R566" s="858"/>
      <c r="S566" s="858"/>
      <c r="T566" s="203"/>
      <c r="U566" s="912"/>
      <c r="V566" s="913"/>
      <c r="W566" s="914"/>
      <c r="X566" s="913"/>
      <c r="Y566" s="913"/>
      <c r="Z566" s="95"/>
      <c r="AA566" s="50"/>
      <c r="AB566" s="923"/>
      <c r="AC566" s="924"/>
      <c r="AD566" s="203"/>
      <c r="AE566" s="912"/>
      <c r="AF566" s="923"/>
      <c r="AG566" s="923"/>
      <c r="AH566" s="923"/>
      <c r="AI566" s="923"/>
      <c r="AJ566" s="923"/>
      <c r="AK566" s="203"/>
      <c r="AM566" s="50"/>
    </row>
    <row r="567" spans="3:39">
      <c r="C567" s="50"/>
      <c r="E567" s="858"/>
      <c r="F567" s="858"/>
      <c r="G567" s="858"/>
      <c r="H567" s="858"/>
      <c r="I567" s="858"/>
      <c r="J567" s="858"/>
      <c r="K567" s="858"/>
      <c r="L567" s="858"/>
      <c r="M567" s="858"/>
      <c r="N567" s="858"/>
      <c r="O567" s="858"/>
      <c r="P567" s="858"/>
      <c r="Q567" s="858"/>
      <c r="R567" s="858"/>
      <c r="S567" s="858"/>
      <c r="T567" s="203"/>
      <c r="U567" s="912"/>
      <c r="V567" s="913"/>
      <c r="W567" s="914"/>
      <c r="X567" s="913"/>
      <c r="Y567" s="913"/>
      <c r="Z567" s="95"/>
      <c r="AA567" s="50"/>
      <c r="AB567" s="923"/>
      <c r="AC567" s="924"/>
      <c r="AD567" s="203"/>
      <c r="AE567" s="912"/>
      <c r="AF567" s="923"/>
      <c r="AG567" s="923"/>
      <c r="AH567" s="923"/>
      <c r="AI567" s="923"/>
      <c r="AJ567" s="923"/>
      <c r="AK567" s="203"/>
      <c r="AM567" s="50"/>
    </row>
    <row r="568" spans="3:39">
      <c r="C568" s="50"/>
      <c r="E568" s="858"/>
      <c r="F568" s="858"/>
      <c r="G568" s="858"/>
      <c r="H568" s="858"/>
      <c r="I568" s="858"/>
      <c r="J568" s="858"/>
      <c r="K568" s="858"/>
      <c r="L568" s="858"/>
      <c r="M568" s="858"/>
      <c r="N568" s="858"/>
      <c r="O568" s="858"/>
      <c r="P568" s="858"/>
      <c r="Q568" s="858"/>
      <c r="R568" s="858"/>
      <c r="S568" s="858"/>
      <c r="T568" s="203"/>
      <c r="U568" s="912"/>
      <c r="V568" s="913"/>
      <c r="W568" s="914"/>
      <c r="X568" s="913"/>
      <c r="Y568" s="913"/>
      <c r="Z568" s="95"/>
      <c r="AA568" s="50"/>
      <c r="AB568" s="923"/>
      <c r="AC568" s="924"/>
      <c r="AD568" s="203"/>
      <c r="AE568" s="912"/>
      <c r="AF568" s="923"/>
      <c r="AG568" s="923"/>
      <c r="AH568" s="923"/>
      <c r="AI568" s="923"/>
      <c r="AJ568" s="923"/>
      <c r="AK568" s="203"/>
      <c r="AM568" s="50"/>
    </row>
    <row r="569" spans="3:39">
      <c r="C569" s="50"/>
      <c r="E569" s="858"/>
      <c r="F569" s="858"/>
      <c r="G569" s="858"/>
      <c r="H569" s="858"/>
      <c r="I569" s="858"/>
      <c r="J569" s="858"/>
      <c r="K569" s="858"/>
      <c r="L569" s="858"/>
      <c r="M569" s="858"/>
      <c r="N569" s="858"/>
      <c r="O569" s="858"/>
      <c r="P569" s="858"/>
      <c r="Q569" s="858"/>
      <c r="R569" s="858"/>
      <c r="S569" s="858"/>
      <c r="T569" s="203"/>
      <c r="U569" s="912"/>
      <c r="V569" s="913"/>
      <c r="W569" s="914"/>
      <c r="X569" s="913"/>
      <c r="Y569" s="913"/>
      <c r="Z569" s="95"/>
      <c r="AA569" s="50"/>
      <c r="AB569" s="923"/>
      <c r="AC569" s="924"/>
      <c r="AD569" s="203"/>
      <c r="AE569" s="912"/>
      <c r="AF569" s="923"/>
      <c r="AG569" s="923"/>
      <c r="AH569" s="923"/>
      <c r="AI569" s="923"/>
      <c r="AJ569" s="923"/>
      <c r="AK569" s="203"/>
      <c r="AM569" s="50"/>
    </row>
    <row r="570" spans="3:39">
      <c r="C570" s="50"/>
      <c r="E570" s="858"/>
      <c r="F570" s="858"/>
      <c r="G570" s="858"/>
      <c r="H570" s="858"/>
      <c r="I570" s="858"/>
      <c r="J570" s="858"/>
      <c r="K570" s="858"/>
      <c r="L570" s="858"/>
      <c r="M570" s="858"/>
      <c r="N570" s="858"/>
      <c r="O570" s="858"/>
      <c r="P570" s="858"/>
      <c r="Q570" s="858"/>
      <c r="R570" s="858"/>
      <c r="S570" s="858"/>
      <c r="T570" s="203"/>
      <c r="U570" s="912"/>
      <c r="V570" s="913"/>
      <c r="W570" s="914"/>
      <c r="X570" s="913"/>
      <c r="Y570" s="913"/>
      <c r="Z570" s="95"/>
      <c r="AA570" s="50"/>
      <c r="AB570" s="923"/>
      <c r="AC570" s="924"/>
      <c r="AD570" s="203"/>
      <c r="AE570" s="912"/>
      <c r="AF570" s="923"/>
      <c r="AG570" s="923"/>
      <c r="AH570" s="923"/>
      <c r="AI570" s="923"/>
      <c r="AJ570" s="923"/>
      <c r="AK570" s="203"/>
      <c r="AM570" s="50"/>
    </row>
    <row r="571" spans="3:39">
      <c r="C571" s="50"/>
      <c r="E571" s="858"/>
      <c r="F571" s="858"/>
      <c r="G571" s="858"/>
      <c r="H571" s="858"/>
      <c r="I571" s="858"/>
      <c r="J571" s="858"/>
      <c r="K571" s="858"/>
      <c r="L571" s="858"/>
      <c r="M571" s="858"/>
      <c r="N571" s="858"/>
      <c r="O571" s="858"/>
      <c r="P571" s="858"/>
      <c r="Q571" s="858"/>
      <c r="R571" s="858"/>
      <c r="S571" s="858"/>
      <c r="T571" s="203"/>
      <c r="U571" s="912"/>
      <c r="V571" s="913"/>
      <c r="W571" s="914"/>
      <c r="X571" s="913"/>
      <c r="Y571" s="913"/>
      <c r="Z571" s="95"/>
      <c r="AA571" s="50"/>
      <c r="AB571" s="923"/>
      <c r="AC571" s="924"/>
      <c r="AD571" s="203"/>
      <c r="AE571" s="912"/>
      <c r="AF571" s="923"/>
      <c r="AG571" s="923"/>
      <c r="AH571" s="923"/>
      <c r="AI571" s="923"/>
      <c r="AJ571" s="923"/>
      <c r="AK571" s="203"/>
      <c r="AM571" s="50"/>
    </row>
    <row r="572" spans="3:39">
      <c r="C572" s="50"/>
      <c r="E572" s="858"/>
      <c r="F572" s="858"/>
      <c r="G572" s="858"/>
      <c r="H572" s="858"/>
      <c r="I572" s="858"/>
      <c r="J572" s="858"/>
      <c r="K572" s="858"/>
      <c r="L572" s="858"/>
      <c r="M572" s="858"/>
      <c r="N572" s="858"/>
      <c r="O572" s="858"/>
      <c r="P572" s="858"/>
      <c r="Q572" s="858"/>
      <c r="R572" s="858"/>
      <c r="S572" s="858"/>
      <c r="T572" s="203"/>
      <c r="U572" s="912"/>
      <c r="V572" s="913"/>
      <c r="W572" s="914"/>
      <c r="X572" s="913"/>
      <c r="Y572" s="913"/>
      <c r="Z572" s="95"/>
      <c r="AA572" s="50"/>
      <c r="AB572" s="923"/>
      <c r="AC572" s="924"/>
      <c r="AD572" s="203"/>
      <c r="AE572" s="912"/>
      <c r="AF572" s="923"/>
      <c r="AG572" s="923"/>
      <c r="AH572" s="923"/>
      <c r="AI572" s="923"/>
      <c r="AJ572" s="923"/>
      <c r="AK572" s="203"/>
      <c r="AM572" s="50"/>
    </row>
    <row r="573" spans="3:39">
      <c r="C573" s="50"/>
      <c r="E573" s="858"/>
      <c r="F573" s="858"/>
      <c r="G573" s="858"/>
      <c r="H573" s="858"/>
      <c r="I573" s="858"/>
      <c r="J573" s="858"/>
      <c r="K573" s="858"/>
      <c r="L573" s="858"/>
      <c r="M573" s="858"/>
      <c r="N573" s="858"/>
      <c r="O573" s="858"/>
      <c r="P573" s="858"/>
      <c r="Q573" s="858"/>
      <c r="R573" s="858"/>
      <c r="S573" s="858"/>
      <c r="T573" s="203"/>
      <c r="U573" s="912"/>
      <c r="V573" s="913"/>
      <c r="W573" s="914"/>
      <c r="X573" s="913"/>
      <c r="Y573" s="913"/>
      <c r="Z573" s="95"/>
      <c r="AA573" s="50"/>
      <c r="AB573" s="923"/>
      <c r="AC573" s="924"/>
      <c r="AD573" s="203"/>
      <c r="AE573" s="912"/>
      <c r="AF573" s="923"/>
      <c r="AG573" s="923"/>
      <c r="AH573" s="923"/>
      <c r="AI573" s="923"/>
      <c r="AJ573" s="923"/>
      <c r="AK573" s="203"/>
      <c r="AM573" s="50"/>
    </row>
    <row r="574" spans="3:39">
      <c r="C574" s="50"/>
      <c r="E574" s="858"/>
      <c r="F574" s="858"/>
      <c r="G574" s="858"/>
      <c r="H574" s="858"/>
      <c r="I574" s="858"/>
      <c r="J574" s="858"/>
      <c r="K574" s="858"/>
      <c r="L574" s="858"/>
      <c r="M574" s="858"/>
      <c r="N574" s="858"/>
      <c r="O574" s="858"/>
      <c r="P574" s="858"/>
      <c r="Q574" s="858"/>
      <c r="R574" s="858"/>
      <c r="S574" s="858"/>
      <c r="T574" s="203"/>
      <c r="U574" s="912"/>
      <c r="V574" s="913"/>
      <c r="W574" s="914"/>
      <c r="X574" s="913"/>
      <c r="Y574" s="913"/>
      <c r="Z574" s="95"/>
      <c r="AA574" s="50"/>
      <c r="AB574" s="923"/>
      <c r="AC574" s="924"/>
      <c r="AD574" s="203"/>
      <c r="AE574" s="912"/>
      <c r="AF574" s="923"/>
      <c r="AG574" s="923"/>
      <c r="AH574" s="923"/>
      <c r="AI574" s="923"/>
      <c r="AJ574" s="923"/>
      <c r="AK574" s="203"/>
      <c r="AM574" s="50"/>
    </row>
    <row r="575" spans="3:39">
      <c r="C575" s="50"/>
      <c r="E575" s="858"/>
      <c r="F575" s="858"/>
      <c r="G575" s="858"/>
      <c r="H575" s="858"/>
      <c r="I575" s="858"/>
      <c r="J575" s="858"/>
      <c r="K575" s="858"/>
      <c r="L575" s="858"/>
      <c r="M575" s="858"/>
      <c r="N575" s="858"/>
      <c r="O575" s="858"/>
      <c r="P575" s="858"/>
      <c r="Q575" s="858"/>
      <c r="R575" s="858"/>
      <c r="S575" s="858"/>
      <c r="T575" s="203"/>
      <c r="U575" s="912"/>
      <c r="V575" s="913"/>
      <c r="W575" s="914"/>
      <c r="X575" s="913"/>
      <c r="Y575" s="913"/>
      <c r="Z575" s="95"/>
      <c r="AA575" s="50"/>
      <c r="AB575" s="923"/>
      <c r="AC575" s="924"/>
      <c r="AD575" s="203"/>
      <c r="AE575" s="912"/>
      <c r="AF575" s="923"/>
      <c r="AG575" s="923"/>
      <c r="AH575" s="923"/>
      <c r="AI575" s="923"/>
      <c r="AJ575" s="923"/>
      <c r="AK575" s="203"/>
      <c r="AM575" s="50"/>
    </row>
    <row r="576" spans="3:39">
      <c r="C576" s="50"/>
      <c r="E576" s="858"/>
      <c r="F576" s="858"/>
      <c r="G576" s="858"/>
      <c r="H576" s="858"/>
      <c r="I576" s="858"/>
      <c r="J576" s="858"/>
      <c r="K576" s="858"/>
      <c r="L576" s="858"/>
      <c r="M576" s="858"/>
      <c r="N576" s="858"/>
      <c r="O576" s="858"/>
      <c r="P576" s="858"/>
      <c r="Q576" s="858"/>
      <c r="R576" s="858"/>
      <c r="S576" s="858"/>
      <c r="T576" s="203"/>
      <c r="U576" s="912"/>
      <c r="V576" s="913"/>
      <c r="W576" s="914"/>
      <c r="X576" s="913"/>
      <c r="Y576" s="913"/>
      <c r="Z576" s="95"/>
      <c r="AA576" s="50"/>
      <c r="AB576" s="923"/>
      <c r="AC576" s="924"/>
      <c r="AD576" s="203"/>
      <c r="AE576" s="912"/>
      <c r="AF576" s="923"/>
      <c r="AG576" s="923"/>
      <c r="AH576" s="923"/>
      <c r="AI576" s="923"/>
      <c r="AJ576" s="923"/>
      <c r="AK576" s="203"/>
      <c r="AM576" s="50"/>
    </row>
    <row r="577" spans="3:39">
      <c r="C577" s="50"/>
      <c r="E577" s="858"/>
      <c r="F577" s="858"/>
      <c r="G577" s="858"/>
      <c r="H577" s="858"/>
      <c r="I577" s="858"/>
      <c r="J577" s="858"/>
      <c r="K577" s="858"/>
      <c r="L577" s="858"/>
      <c r="M577" s="858"/>
      <c r="N577" s="858"/>
      <c r="O577" s="858"/>
      <c r="P577" s="858"/>
      <c r="Q577" s="858"/>
      <c r="R577" s="858"/>
      <c r="S577" s="858"/>
      <c r="T577" s="203"/>
      <c r="U577" s="912"/>
      <c r="V577" s="913"/>
      <c r="W577" s="914"/>
      <c r="X577" s="913"/>
      <c r="Y577" s="913"/>
      <c r="Z577" s="95"/>
      <c r="AA577" s="50"/>
      <c r="AB577" s="923"/>
      <c r="AC577" s="924"/>
      <c r="AD577" s="203"/>
      <c r="AE577" s="912"/>
      <c r="AF577" s="923"/>
      <c r="AG577" s="923"/>
      <c r="AH577" s="923"/>
      <c r="AI577" s="923"/>
      <c r="AJ577" s="923"/>
      <c r="AK577" s="203"/>
      <c r="AM577" s="50"/>
    </row>
    <row r="578" spans="3:39">
      <c r="C578" s="50"/>
      <c r="E578" s="858"/>
      <c r="F578" s="858"/>
      <c r="G578" s="858"/>
      <c r="H578" s="858"/>
      <c r="I578" s="858"/>
      <c r="J578" s="858"/>
      <c r="K578" s="858"/>
      <c r="L578" s="858"/>
      <c r="M578" s="858"/>
      <c r="N578" s="858"/>
      <c r="O578" s="858"/>
      <c r="P578" s="858"/>
      <c r="Q578" s="858"/>
      <c r="R578" s="858"/>
      <c r="S578" s="858"/>
      <c r="T578" s="203"/>
      <c r="U578" s="912"/>
      <c r="V578" s="913"/>
      <c r="W578" s="914"/>
      <c r="X578" s="913"/>
      <c r="Y578" s="913"/>
      <c r="Z578" s="95"/>
      <c r="AA578" s="50"/>
      <c r="AB578" s="923"/>
      <c r="AC578" s="924"/>
      <c r="AD578" s="203"/>
      <c r="AE578" s="912"/>
      <c r="AF578" s="923"/>
      <c r="AG578" s="923"/>
      <c r="AH578" s="923"/>
      <c r="AI578" s="923"/>
      <c r="AJ578" s="923"/>
      <c r="AK578" s="203"/>
      <c r="AM578" s="50"/>
    </row>
    <row r="579" spans="3:39">
      <c r="C579" s="50"/>
      <c r="E579" s="858"/>
      <c r="F579" s="858"/>
      <c r="G579" s="858"/>
      <c r="H579" s="858"/>
      <c r="I579" s="858"/>
      <c r="J579" s="858"/>
      <c r="K579" s="858"/>
      <c r="L579" s="858"/>
      <c r="M579" s="858"/>
      <c r="N579" s="858"/>
      <c r="O579" s="858"/>
      <c r="P579" s="858"/>
      <c r="Q579" s="858"/>
      <c r="R579" s="858"/>
      <c r="S579" s="858"/>
      <c r="T579" s="203"/>
      <c r="U579" s="912"/>
      <c r="V579" s="913"/>
      <c r="W579" s="914"/>
      <c r="X579" s="913"/>
      <c r="Y579" s="913"/>
      <c r="Z579" s="95"/>
      <c r="AA579" s="50"/>
      <c r="AB579" s="923"/>
      <c r="AC579" s="924"/>
      <c r="AD579" s="203"/>
      <c r="AE579" s="912"/>
      <c r="AF579" s="923"/>
      <c r="AG579" s="923"/>
      <c r="AH579" s="923"/>
      <c r="AI579" s="923"/>
      <c r="AJ579" s="923"/>
      <c r="AK579" s="203"/>
      <c r="AM579" s="50"/>
    </row>
    <row r="580" spans="3:39">
      <c r="C580" s="50"/>
      <c r="E580" s="858"/>
      <c r="F580" s="858"/>
      <c r="G580" s="858"/>
      <c r="H580" s="858"/>
      <c r="I580" s="858"/>
      <c r="J580" s="858"/>
      <c r="K580" s="858"/>
      <c r="L580" s="858"/>
      <c r="M580" s="858"/>
      <c r="N580" s="858"/>
      <c r="O580" s="858"/>
      <c r="P580" s="858"/>
      <c r="Q580" s="858"/>
      <c r="R580" s="858"/>
      <c r="S580" s="858"/>
      <c r="T580" s="203"/>
      <c r="U580" s="912"/>
      <c r="V580" s="913"/>
      <c r="W580" s="914"/>
      <c r="X580" s="913"/>
      <c r="Y580" s="913"/>
      <c r="Z580" s="95"/>
      <c r="AA580" s="50"/>
      <c r="AB580" s="923"/>
      <c r="AC580" s="924"/>
      <c r="AD580" s="203"/>
      <c r="AE580" s="912"/>
      <c r="AF580" s="923"/>
      <c r="AG580" s="923"/>
      <c r="AH580" s="923"/>
      <c r="AI580" s="923"/>
      <c r="AJ580" s="923"/>
      <c r="AK580" s="203"/>
      <c r="AM580" s="50"/>
    </row>
    <row r="581" spans="3:39">
      <c r="C581" s="50"/>
      <c r="E581" s="858"/>
      <c r="F581" s="858"/>
      <c r="G581" s="858"/>
      <c r="H581" s="858"/>
      <c r="I581" s="858"/>
      <c r="J581" s="858"/>
      <c r="K581" s="858"/>
      <c r="L581" s="858"/>
      <c r="M581" s="858"/>
      <c r="N581" s="858"/>
      <c r="O581" s="858"/>
      <c r="P581" s="858"/>
      <c r="Q581" s="858"/>
      <c r="R581" s="858"/>
      <c r="S581" s="858"/>
      <c r="T581" s="203"/>
      <c r="U581" s="912"/>
      <c r="V581" s="913"/>
      <c r="W581" s="914"/>
      <c r="X581" s="913"/>
      <c r="Y581" s="913"/>
      <c r="Z581" s="95"/>
      <c r="AA581" s="50"/>
      <c r="AB581" s="923"/>
      <c r="AC581" s="924"/>
      <c r="AD581" s="203"/>
      <c r="AE581" s="912"/>
      <c r="AF581" s="923"/>
      <c r="AG581" s="923"/>
      <c r="AH581" s="923"/>
      <c r="AI581" s="923"/>
      <c r="AJ581" s="923"/>
      <c r="AK581" s="203"/>
      <c r="AM581" s="50"/>
    </row>
    <row r="582" spans="3:39">
      <c r="C582" s="50"/>
      <c r="E582" s="858"/>
      <c r="F582" s="858"/>
      <c r="G582" s="858"/>
      <c r="H582" s="858"/>
      <c r="I582" s="858"/>
      <c r="J582" s="858"/>
      <c r="K582" s="858"/>
      <c r="L582" s="858"/>
      <c r="M582" s="858"/>
      <c r="N582" s="858"/>
      <c r="O582" s="858"/>
      <c r="P582" s="858"/>
      <c r="Q582" s="858"/>
      <c r="R582" s="858"/>
      <c r="S582" s="858"/>
      <c r="T582" s="203"/>
      <c r="U582" s="912"/>
      <c r="V582" s="913"/>
      <c r="W582" s="914"/>
      <c r="X582" s="913"/>
      <c r="Y582" s="913"/>
      <c r="Z582" s="95"/>
      <c r="AA582" s="50"/>
      <c r="AB582" s="923"/>
      <c r="AC582" s="924"/>
      <c r="AD582" s="203"/>
      <c r="AE582" s="912"/>
      <c r="AF582" s="923"/>
      <c r="AG582" s="923"/>
      <c r="AH582" s="923"/>
      <c r="AI582" s="923"/>
      <c r="AJ582" s="923"/>
      <c r="AK582" s="203"/>
      <c r="AM582" s="50"/>
    </row>
    <row r="583" spans="3:39">
      <c r="C583" s="50"/>
      <c r="E583" s="858"/>
      <c r="F583" s="858"/>
      <c r="G583" s="858"/>
      <c r="H583" s="858"/>
      <c r="I583" s="858"/>
      <c r="J583" s="858"/>
      <c r="K583" s="858"/>
      <c r="L583" s="858"/>
      <c r="M583" s="858"/>
      <c r="N583" s="858"/>
      <c r="O583" s="858"/>
      <c r="P583" s="858"/>
      <c r="Q583" s="858"/>
      <c r="R583" s="858"/>
      <c r="S583" s="858"/>
      <c r="T583" s="203"/>
      <c r="U583" s="912"/>
      <c r="V583" s="913"/>
      <c r="W583" s="914"/>
      <c r="X583" s="913"/>
      <c r="Y583" s="913"/>
      <c r="Z583" s="95"/>
      <c r="AA583" s="50"/>
      <c r="AB583" s="923"/>
      <c r="AC583" s="924"/>
      <c r="AD583" s="203"/>
      <c r="AE583" s="912"/>
      <c r="AF583" s="923"/>
      <c r="AG583" s="923"/>
      <c r="AH583" s="923"/>
      <c r="AI583" s="923"/>
      <c r="AJ583" s="923"/>
      <c r="AK583" s="203"/>
      <c r="AM583" s="50"/>
    </row>
    <row r="584" spans="3:39">
      <c r="C584" s="50"/>
      <c r="E584" s="858"/>
      <c r="F584" s="858"/>
      <c r="G584" s="858"/>
      <c r="H584" s="858"/>
      <c r="I584" s="858"/>
      <c r="J584" s="858"/>
      <c r="K584" s="858"/>
      <c r="L584" s="858"/>
      <c r="M584" s="858"/>
      <c r="N584" s="858"/>
      <c r="O584" s="858"/>
      <c r="P584" s="858"/>
      <c r="Q584" s="858"/>
      <c r="R584" s="858"/>
      <c r="S584" s="858"/>
      <c r="T584" s="203"/>
      <c r="U584" s="912"/>
      <c r="V584" s="913"/>
      <c r="W584" s="914"/>
      <c r="X584" s="913"/>
      <c r="Y584" s="913"/>
      <c r="Z584" s="95"/>
      <c r="AA584" s="50"/>
      <c r="AB584" s="923"/>
      <c r="AC584" s="924"/>
      <c r="AD584" s="203"/>
      <c r="AE584" s="912"/>
      <c r="AF584" s="923"/>
      <c r="AG584" s="923"/>
      <c r="AH584" s="923"/>
      <c r="AI584" s="923"/>
      <c r="AJ584" s="923"/>
      <c r="AK584" s="203"/>
      <c r="AM584" s="50"/>
    </row>
    <row r="585" spans="3:39">
      <c r="C585" s="50"/>
      <c r="E585" s="858"/>
      <c r="F585" s="858"/>
      <c r="G585" s="858"/>
      <c r="H585" s="858"/>
      <c r="I585" s="858"/>
      <c r="J585" s="858"/>
      <c r="K585" s="858"/>
      <c r="L585" s="858"/>
      <c r="M585" s="858"/>
      <c r="N585" s="858"/>
      <c r="O585" s="858"/>
      <c r="P585" s="858"/>
      <c r="Q585" s="858"/>
      <c r="R585" s="858"/>
      <c r="S585" s="858"/>
      <c r="T585" s="203"/>
      <c r="U585" s="912"/>
      <c r="V585" s="913"/>
      <c r="W585" s="914"/>
      <c r="X585" s="913"/>
      <c r="Y585" s="913"/>
      <c r="Z585" s="95"/>
      <c r="AA585" s="50"/>
      <c r="AB585" s="923"/>
      <c r="AC585" s="924"/>
      <c r="AD585" s="203"/>
      <c r="AE585" s="912"/>
      <c r="AF585" s="923"/>
      <c r="AG585" s="923"/>
      <c r="AH585" s="923"/>
      <c r="AI585" s="923"/>
      <c r="AJ585" s="923"/>
      <c r="AK585" s="203"/>
      <c r="AM585" s="50"/>
    </row>
    <row r="586" spans="3:39">
      <c r="C586" s="50"/>
      <c r="E586" s="858"/>
      <c r="F586" s="858"/>
      <c r="G586" s="858"/>
      <c r="H586" s="858"/>
      <c r="I586" s="858"/>
      <c r="J586" s="858"/>
      <c r="K586" s="858"/>
      <c r="L586" s="858"/>
      <c r="M586" s="858"/>
      <c r="N586" s="858"/>
      <c r="O586" s="858"/>
      <c r="P586" s="858"/>
      <c r="Q586" s="858"/>
      <c r="R586" s="858"/>
      <c r="S586" s="858"/>
      <c r="T586" s="203"/>
      <c r="U586" s="912"/>
      <c r="V586" s="913"/>
      <c r="W586" s="914"/>
      <c r="X586" s="913"/>
      <c r="Y586" s="913"/>
      <c r="Z586" s="95"/>
      <c r="AA586" s="50"/>
      <c r="AB586" s="923"/>
      <c r="AC586" s="924"/>
      <c r="AD586" s="203"/>
      <c r="AE586" s="912"/>
      <c r="AF586" s="923"/>
      <c r="AG586" s="923"/>
      <c r="AH586" s="923"/>
      <c r="AI586" s="923"/>
      <c r="AJ586" s="923"/>
      <c r="AK586" s="203"/>
      <c r="AM586" s="50"/>
    </row>
    <row r="587" spans="3:39">
      <c r="C587" s="50"/>
      <c r="E587" s="858"/>
      <c r="F587" s="858"/>
      <c r="G587" s="858"/>
      <c r="H587" s="858"/>
      <c r="I587" s="858"/>
      <c r="J587" s="858"/>
      <c r="K587" s="858"/>
      <c r="L587" s="858"/>
      <c r="M587" s="858"/>
      <c r="N587" s="858"/>
      <c r="O587" s="858"/>
      <c r="P587" s="858"/>
      <c r="Q587" s="858"/>
      <c r="R587" s="858"/>
      <c r="S587" s="858"/>
      <c r="T587" s="203"/>
      <c r="U587" s="912"/>
      <c r="V587" s="913"/>
      <c r="W587" s="914"/>
      <c r="X587" s="913"/>
      <c r="Y587" s="913"/>
      <c r="Z587" s="95"/>
      <c r="AA587" s="50"/>
      <c r="AB587" s="923"/>
      <c r="AC587" s="924"/>
      <c r="AD587" s="203"/>
      <c r="AE587" s="912"/>
      <c r="AF587" s="923"/>
      <c r="AG587" s="923"/>
      <c r="AH587" s="923"/>
      <c r="AI587" s="923"/>
      <c r="AJ587" s="923"/>
      <c r="AK587" s="203"/>
      <c r="AM587" s="50"/>
    </row>
    <row r="588" spans="3:39">
      <c r="C588" s="50"/>
      <c r="E588" s="858"/>
      <c r="F588" s="858"/>
      <c r="G588" s="858"/>
      <c r="H588" s="858"/>
      <c r="I588" s="858"/>
      <c r="J588" s="858"/>
      <c r="K588" s="858"/>
      <c r="L588" s="858"/>
      <c r="M588" s="858"/>
      <c r="N588" s="858"/>
      <c r="O588" s="858"/>
      <c r="P588" s="858"/>
      <c r="Q588" s="858"/>
      <c r="R588" s="858"/>
      <c r="S588" s="858"/>
      <c r="T588" s="203"/>
      <c r="U588" s="912"/>
      <c r="V588" s="913"/>
      <c r="W588" s="914"/>
      <c r="X588" s="913"/>
      <c r="Y588" s="913"/>
      <c r="Z588" s="95"/>
      <c r="AA588" s="50"/>
      <c r="AB588" s="923"/>
      <c r="AC588" s="924"/>
      <c r="AD588" s="203"/>
      <c r="AE588" s="912"/>
      <c r="AF588" s="923"/>
      <c r="AG588" s="923"/>
      <c r="AH588" s="923"/>
      <c r="AI588" s="923"/>
      <c r="AJ588" s="923"/>
      <c r="AK588" s="203"/>
      <c r="AM588" s="50"/>
    </row>
    <row r="589" spans="3:39">
      <c r="C589" s="50"/>
      <c r="E589" s="858"/>
      <c r="F589" s="858"/>
      <c r="G589" s="858"/>
      <c r="H589" s="858"/>
      <c r="I589" s="858"/>
      <c r="J589" s="858"/>
      <c r="K589" s="858"/>
      <c r="L589" s="858"/>
      <c r="M589" s="858"/>
      <c r="N589" s="858"/>
      <c r="O589" s="858"/>
      <c r="P589" s="858"/>
      <c r="Q589" s="858"/>
      <c r="R589" s="858"/>
      <c r="S589" s="858"/>
      <c r="T589" s="203"/>
      <c r="U589" s="912"/>
      <c r="V589" s="913"/>
      <c r="W589" s="914"/>
      <c r="X589" s="913"/>
      <c r="Y589" s="913"/>
      <c r="Z589" s="95"/>
      <c r="AA589" s="50"/>
      <c r="AB589" s="923"/>
      <c r="AC589" s="924"/>
      <c r="AD589" s="203"/>
      <c r="AE589" s="912"/>
      <c r="AF589" s="923"/>
      <c r="AG589" s="923"/>
      <c r="AH589" s="923"/>
      <c r="AI589" s="923"/>
      <c r="AJ589" s="923"/>
      <c r="AK589" s="203"/>
      <c r="AM589" s="50"/>
    </row>
    <row r="590" spans="3:39">
      <c r="C590" s="50"/>
      <c r="E590" s="858"/>
      <c r="F590" s="858"/>
      <c r="G590" s="858"/>
      <c r="H590" s="858"/>
      <c r="I590" s="858"/>
      <c r="J590" s="858"/>
      <c r="K590" s="858"/>
      <c r="L590" s="858"/>
      <c r="M590" s="858"/>
      <c r="N590" s="858"/>
      <c r="O590" s="858"/>
      <c r="P590" s="858"/>
      <c r="Q590" s="858"/>
      <c r="R590" s="858"/>
      <c r="S590" s="858"/>
      <c r="T590" s="203"/>
      <c r="U590" s="912"/>
      <c r="V590" s="913"/>
      <c r="W590" s="914"/>
      <c r="X590" s="913"/>
      <c r="Y590" s="913"/>
      <c r="Z590" s="95"/>
      <c r="AA590" s="50"/>
      <c r="AB590" s="923"/>
      <c r="AC590" s="924"/>
      <c r="AD590" s="203"/>
      <c r="AE590" s="912"/>
      <c r="AF590" s="923"/>
      <c r="AG590" s="923"/>
      <c r="AH590" s="923"/>
      <c r="AI590" s="923"/>
      <c r="AJ590" s="923"/>
      <c r="AK590" s="203"/>
      <c r="AM590" s="50"/>
    </row>
    <row r="591" spans="3:39">
      <c r="C591" s="50"/>
      <c r="E591" s="858"/>
      <c r="F591" s="858"/>
      <c r="G591" s="858"/>
      <c r="H591" s="858"/>
      <c r="I591" s="858"/>
      <c r="J591" s="858"/>
      <c r="K591" s="858"/>
      <c r="L591" s="858"/>
      <c r="M591" s="858"/>
      <c r="N591" s="858"/>
      <c r="O591" s="858"/>
      <c r="P591" s="858"/>
      <c r="Q591" s="858"/>
      <c r="R591" s="858"/>
      <c r="S591" s="858"/>
      <c r="T591" s="203"/>
      <c r="U591" s="912"/>
      <c r="V591" s="913"/>
      <c r="W591" s="914"/>
      <c r="X591" s="913"/>
      <c r="Y591" s="913"/>
      <c r="Z591" s="95"/>
      <c r="AA591" s="50"/>
      <c r="AB591" s="923"/>
      <c r="AC591" s="924"/>
      <c r="AD591" s="203"/>
      <c r="AE591" s="912"/>
      <c r="AF591" s="923"/>
      <c r="AG591" s="923"/>
      <c r="AH591" s="923"/>
      <c r="AI591" s="923"/>
      <c r="AJ591" s="923"/>
      <c r="AK591" s="203"/>
      <c r="AM591" s="50"/>
    </row>
    <row r="592" spans="3:39">
      <c r="C592" s="50"/>
      <c r="E592" s="858"/>
      <c r="F592" s="858"/>
      <c r="G592" s="858"/>
      <c r="H592" s="858"/>
      <c r="I592" s="858"/>
      <c r="J592" s="858"/>
      <c r="K592" s="858"/>
      <c r="L592" s="858"/>
      <c r="M592" s="858"/>
      <c r="N592" s="858"/>
      <c r="O592" s="858"/>
      <c r="P592" s="858"/>
      <c r="Q592" s="858"/>
      <c r="R592" s="858"/>
      <c r="S592" s="858"/>
      <c r="T592" s="203"/>
      <c r="U592" s="912"/>
      <c r="V592" s="913"/>
      <c r="W592" s="914"/>
      <c r="X592" s="913"/>
      <c r="Y592" s="913"/>
      <c r="Z592" s="95"/>
      <c r="AA592" s="50"/>
      <c r="AB592" s="923"/>
      <c r="AC592" s="924"/>
      <c r="AD592" s="203"/>
      <c r="AE592" s="912"/>
      <c r="AF592" s="923"/>
      <c r="AG592" s="923"/>
      <c r="AH592" s="923"/>
      <c r="AI592" s="923"/>
      <c r="AJ592" s="923"/>
      <c r="AK592" s="203"/>
      <c r="AM592" s="50"/>
    </row>
    <row r="593" spans="3:39">
      <c r="C593" s="50"/>
      <c r="E593" s="858"/>
      <c r="F593" s="858"/>
      <c r="G593" s="858"/>
      <c r="H593" s="858"/>
      <c r="I593" s="858"/>
      <c r="J593" s="858"/>
      <c r="K593" s="858"/>
      <c r="L593" s="858"/>
      <c r="M593" s="858"/>
      <c r="N593" s="858"/>
      <c r="O593" s="858"/>
      <c r="P593" s="858"/>
      <c r="Q593" s="858"/>
      <c r="R593" s="858"/>
      <c r="S593" s="858"/>
      <c r="T593" s="203"/>
      <c r="U593" s="912"/>
      <c r="V593" s="913"/>
      <c r="W593" s="914"/>
      <c r="X593" s="913"/>
      <c r="Y593" s="913"/>
      <c r="Z593" s="95"/>
      <c r="AA593" s="50"/>
      <c r="AB593" s="923"/>
      <c r="AC593" s="924"/>
      <c r="AD593" s="203"/>
      <c r="AE593" s="912"/>
      <c r="AF593" s="923"/>
      <c r="AG593" s="923"/>
      <c r="AH593" s="923"/>
      <c r="AI593" s="923"/>
      <c r="AJ593" s="923"/>
      <c r="AK593" s="203"/>
      <c r="AM593" s="50"/>
    </row>
    <row r="594" spans="3:39">
      <c r="C594" s="50"/>
      <c r="E594" s="858"/>
      <c r="F594" s="858"/>
      <c r="G594" s="858"/>
      <c r="H594" s="858"/>
      <c r="I594" s="858"/>
      <c r="J594" s="858"/>
      <c r="K594" s="858"/>
      <c r="L594" s="858"/>
      <c r="M594" s="858"/>
      <c r="N594" s="858"/>
      <c r="O594" s="858"/>
      <c r="P594" s="858"/>
      <c r="Q594" s="858"/>
      <c r="R594" s="858"/>
      <c r="S594" s="858"/>
      <c r="T594" s="203"/>
      <c r="U594" s="912"/>
      <c r="V594" s="913"/>
      <c r="W594" s="914"/>
      <c r="X594" s="913"/>
      <c r="Y594" s="913"/>
      <c r="Z594" s="95"/>
      <c r="AA594" s="50"/>
      <c r="AB594" s="923"/>
      <c r="AC594" s="924"/>
      <c r="AD594" s="203"/>
      <c r="AE594" s="912"/>
      <c r="AF594" s="923"/>
      <c r="AG594" s="923"/>
      <c r="AH594" s="923"/>
      <c r="AI594" s="923"/>
      <c r="AJ594" s="923"/>
      <c r="AK594" s="203"/>
      <c r="AM594" s="50"/>
    </row>
    <row r="595" spans="3:39">
      <c r="C595" s="50"/>
      <c r="E595" s="858"/>
      <c r="F595" s="858"/>
      <c r="G595" s="858"/>
      <c r="H595" s="858"/>
      <c r="I595" s="858"/>
      <c r="J595" s="858"/>
      <c r="K595" s="858"/>
      <c r="L595" s="858"/>
      <c r="M595" s="858"/>
      <c r="N595" s="858"/>
      <c r="O595" s="858"/>
      <c r="P595" s="858"/>
      <c r="Q595" s="858"/>
      <c r="R595" s="858"/>
      <c r="S595" s="858"/>
      <c r="T595" s="203"/>
      <c r="U595" s="912"/>
      <c r="V595" s="913"/>
      <c r="W595" s="914"/>
      <c r="X595" s="913"/>
      <c r="Y595" s="913"/>
      <c r="Z595" s="95"/>
      <c r="AA595" s="50"/>
      <c r="AB595" s="923"/>
      <c r="AC595" s="924"/>
      <c r="AD595" s="203"/>
      <c r="AE595" s="912"/>
      <c r="AF595" s="923"/>
      <c r="AG595" s="923"/>
      <c r="AH595" s="923"/>
      <c r="AI595" s="923"/>
      <c r="AJ595" s="923"/>
      <c r="AK595" s="203"/>
      <c r="AM595" s="50"/>
    </row>
    <row r="596" spans="3:39">
      <c r="C596" s="50"/>
      <c r="E596" s="858"/>
      <c r="F596" s="858"/>
      <c r="G596" s="858"/>
      <c r="H596" s="858"/>
      <c r="I596" s="858"/>
      <c r="J596" s="858"/>
      <c r="K596" s="858"/>
      <c r="L596" s="858"/>
      <c r="M596" s="858"/>
      <c r="N596" s="858"/>
      <c r="O596" s="858"/>
      <c r="P596" s="858"/>
      <c r="Q596" s="858"/>
      <c r="R596" s="858"/>
      <c r="S596" s="858"/>
      <c r="T596" s="203"/>
      <c r="U596" s="912"/>
      <c r="V596" s="913"/>
      <c r="W596" s="914"/>
      <c r="X596" s="913"/>
      <c r="Y596" s="913"/>
      <c r="Z596" s="95"/>
      <c r="AA596" s="50"/>
      <c r="AB596" s="923"/>
      <c r="AC596" s="924"/>
      <c r="AD596" s="203"/>
      <c r="AE596" s="912"/>
      <c r="AF596" s="923"/>
      <c r="AG596" s="923"/>
      <c r="AH596" s="923"/>
      <c r="AI596" s="923"/>
      <c r="AJ596" s="923"/>
      <c r="AK596" s="203"/>
      <c r="AM596" s="50"/>
    </row>
    <row r="597" spans="3:39">
      <c r="C597" s="50"/>
      <c r="E597" s="858"/>
      <c r="F597" s="858"/>
      <c r="G597" s="858"/>
      <c r="H597" s="858"/>
      <c r="I597" s="858"/>
      <c r="J597" s="858"/>
      <c r="K597" s="858"/>
      <c r="L597" s="858"/>
      <c r="M597" s="858"/>
      <c r="N597" s="858"/>
      <c r="O597" s="858"/>
      <c r="P597" s="858"/>
      <c r="Q597" s="858"/>
      <c r="R597" s="858"/>
      <c r="S597" s="858"/>
      <c r="T597" s="203"/>
      <c r="U597" s="912"/>
      <c r="V597" s="913"/>
      <c r="W597" s="914"/>
      <c r="X597" s="913"/>
      <c r="Y597" s="913"/>
      <c r="Z597" s="95"/>
      <c r="AA597" s="50"/>
      <c r="AB597" s="923"/>
      <c r="AC597" s="924"/>
      <c r="AD597" s="203"/>
      <c r="AE597" s="912"/>
      <c r="AF597" s="923"/>
      <c r="AG597" s="923"/>
      <c r="AH597" s="923"/>
      <c r="AI597" s="923"/>
      <c r="AJ597" s="923"/>
      <c r="AK597" s="203"/>
      <c r="AM597" s="50"/>
    </row>
    <row r="598" spans="3:39">
      <c r="C598" s="50"/>
      <c r="E598" s="858"/>
      <c r="F598" s="858"/>
      <c r="G598" s="858"/>
      <c r="H598" s="858"/>
      <c r="I598" s="858"/>
      <c r="J598" s="858"/>
      <c r="K598" s="858"/>
      <c r="L598" s="858"/>
      <c r="M598" s="858"/>
      <c r="N598" s="858"/>
      <c r="O598" s="858"/>
      <c r="P598" s="858"/>
      <c r="Q598" s="858"/>
      <c r="R598" s="858"/>
      <c r="S598" s="858"/>
      <c r="T598" s="203"/>
      <c r="U598" s="912"/>
      <c r="V598" s="913"/>
      <c r="W598" s="914"/>
      <c r="X598" s="913"/>
      <c r="Y598" s="913"/>
      <c r="Z598" s="95"/>
      <c r="AA598" s="50"/>
      <c r="AB598" s="923"/>
      <c r="AC598" s="924"/>
      <c r="AD598" s="203"/>
      <c r="AE598" s="912"/>
      <c r="AF598" s="923"/>
      <c r="AG598" s="923"/>
      <c r="AH598" s="923"/>
      <c r="AI598" s="923"/>
      <c r="AJ598" s="923"/>
      <c r="AK598" s="203"/>
      <c r="AM598" s="50"/>
    </row>
    <row r="599" spans="3:39">
      <c r="C599" s="50"/>
      <c r="E599" s="858"/>
      <c r="F599" s="858"/>
      <c r="G599" s="858"/>
      <c r="H599" s="858"/>
      <c r="I599" s="858"/>
      <c r="J599" s="858"/>
      <c r="K599" s="858"/>
      <c r="L599" s="858"/>
      <c r="M599" s="858"/>
      <c r="N599" s="858"/>
      <c r="O599" s="858"/>
      <c r="P599" s="858"/>
      <c r="Q599" s="858"/>
      <c r="R599" s="858"/>
      <c r="S599" s="858"/>
      <c r="T599" s="203"/>
      <c r="U599" s="912"/>
      <c r="V599" s="913"/>
      <c r="W599" s="914"/>
      <c r="X599" s="913"/>
      <c r="Y599" s="913"/>
      <c r="Z599" s="95"/>
      <c r="AA599" s="50"/>
      <c r="AB599" s="923"/>
      <c r="AC599" s="924"/>
      <c r="AD599" s="203"/>
      <c r="AE599" s="912"/>
      <c r="AF599" s="923"/>
      <c r="AG599" s="923"/>
      <c r="AH599" s="923"/>
      <c r="AI599" s="923"/>
      <c r="AJ599" s="923"/>
      <c r="AK599" s="203"/>
      <c r="AM599" s="50"/>
    </row>
    <row r="600" spans="3:39">
      <c r="C600" s="50"/>
      <c r="E600" s="858"/>
      <c r="F600" s="858"/>
      <c r="G600" s="858"/>
      <c r="H600" s="858"/>
      <c r="I600" s="858"/>
      <c r="J600" s="858"/>
      <c r="K600" s="858"/>
      <c r="L600" s="858"/>
      <c r="M600" s="858"/>
      <c r="N600" s="858"/>
      <c r="O600" s="858"/>
      <c r="P600" s="858"/>
      <c r="Q600" s="858"/>
      <c r="R600" s="858"/>
      <c r="S600" s="858"/>
      <c r="T600" s="203"/>
      <c r="U600" s="912"/>
      <c r="V600" s="913"/>
      <c r="W600" s="914"/>
      <c r="X600" s="913"/>
      <c r="Y600" s="913"/>
      <c r="Z600" s="95"/>
      <c r="AA600" s="50"/>
      <c r="AB600" s="923"/>
      <c r="AC600" s="924"/>
      <c r="AD600" s="203"/>
      <c r="AE600" s="912"/>
      <c r="AF600" s="923"/>
      <c r="AG600" s="923"/>
      <c r="AH600" s="923"/>
      <c r="AI600" s="923"/>
      <c r="AJ600" s="923"/>
      <c r="AK600" s="203"/>
      <c r="AM600" s="50"/>
    </row>
    <row r="601" spans="3:39">
      <c r="C601" s="50"/>
      <c r="E601" s="858"/>
      <c r="F601" s="858"/>
      <c r="G601" s="858"/>
      <c r="H601" s="858"/>
      <c r="I601" s="858"/>
      <c r="J601" s="858"/>
      <c r="K601" s="858"/>
      <c r="L601" s="858"/>
      <c r="M601" s="858"/>
      <c r="N601" s="858"/>
      <c r="O601" s="858"/>
      <c r="P601" s="858"/>
      <c r="Q601" s="858"/>
      <c r="R601" s="858"/>
      <c r="S601" s="858"/>
      <c r="T601" s="203"/>
      <c r="U601" s="912"/>
      <c r="V601" s="913"/>
      <c r="W601" s="914"/>
      <c r="X601" s="913"/>
      <c r="Y601" s="913"/>
      <c r="Z601" s="95"/>
      <c r="AA601" s="50"/>
      <c r="AB601" s="923"/>
      <c r="AC601" s="924"/>
      <c r="AD601" s="203"/>
      <c r="AE601" s="912"/>
      <c r="AF601" s="923"/>
      <c r="AG601" s="923"/>
      <c r="AH601" s="923"/>
      <c r="AI601" s="923"/>
      <c r="AJ601" s="923"/>
      <c r="AK601" s="203"/>
      <c r="AM601" s="50"/>
    </row>
    <row r="602" spans="3:39">
      <c r="C602" s="50"/>
      <c r="E602" s="858"/>
      <c r="F602" s="858"/>
      <c r="G602" s="858"/>
      <c r="H602" s="858"/>
      <c r="I602" s="858"/>
      <c r="J602" s="858"/>
      <c r="K602" s="858"/>
      <c r="L602" s="858"/>
      <c r="M602" s="858"/>
      <c r="N602" s="858"/>
      <c r="O602" s="858"/>
      <c r="P602" s="858"/>
      <c r="Q602" s="858"/>
      <c r="R602" s="858"/>
      <c r="S602" s="858"/>
      <c r="T602" s="203"/>
      <c r="U602" s="912"/>
      <c r="V602" s="913"/>
      <c r="W602" s="914"/>
      <c r="X602" s="913"/>
      <c r="Y602" s="913"/>
      <c r="Z602" s="95"/>
      <c r="AA602" s="50"/>
      <c r="AB602" s="923"/>
      <c r="AC602" s="924"/>
      <c r="AD602" s="203"/>
      <c r="AE602" s="912"/>
      <c r="AF602" s="923"/>
      <c r="AG602" s="923"/>
      <c r="AH602" s="923"/>
      <c r="AI602" s="923"/>
      <c r="AJ602" s="923"/>
      <c r="AK602" s="203"/>
      <c r="AM602" s="50"/>
    </row>
    <row r="603" spans="3:39">
      <c r="C603" s="50"/>
      <c r="E603" s="858"/>
      <c r="F603" s="858"/>
      <c r="G603" s="858"/>
      <c r="H603" s="858"/>
      <c r="I603" s="858"/>
      <c r="J603" s="858"/>
      <c r="K603" s="858"/>
      <c r="L603" s="858"/>
      <c r="M603" s="858"/>
      <c r="N603" s="858"/>
      <c r="O603" s="858"/>
      <c r="P603" s="858"/>
      <c r="Q603" s="858"/>
      <c r="R603" s="858"/>
      <c r="S603" s="858"/>
      <c r="T603" s="203"/>
      <c r="U603" s="912"/>
      <c r="V603" s="913"/>
      <c r="W603" s="914"/>
      <c r="X603" s="913"/>
      <c r="Y603" s="913"/>
      <c r="Z603" s="95"/>
      <c r="AA603" s="50"/>
      <c r="AB603" s="923"/>
      <c r="AC603" s="924"/>
      <c r="AD603" s="203"/>
      <c r="AE603" s="912"/>
      <c r="AF603" s="923"/>
      <c r="AG603" s="923"/>
      <c r="AH603" s="923"/>
      <c r="AI603" s="923"/>
      <c r="AJ603" s="923"/>
      <c r="AK603" s="203"/>
      <c r="AM603" s="50"/>
    </row>
    <row r="604" spans="3:39">
      <c r="C604" s="50"/>
      <c r="E604" s="858"/>
      <c r="F604" s="858"/>
      <c r="G604" s="858"/>
      <c r="H604" s="858"/>
      <c r="I604" s="858"/>
      <c r="J604" s="858"/>
      <c r="K604" s="858"/>
      <c r="L604" s="858"/>
      <c r="M604" s="858"/>
      <c r="N604" s="858"/>
      <c r="O604" s="858"/>
      <c r="P604" s="858"/>
      <c r="Q604" s="858"/>
      <c r="R604" s="858"/>
      <c r="S604" s="858"/>
      <c r="T604" s="203"/>
      <c r="U604" s="912"/>
      <c r="V604" s="913"/>
      <c r="W604" s="914"/>
      <c r="X604" s="913"/>
      <c r="Y604" s="913"/>
      <c r="Z604" s="95"/>
      <c r="AA604" s="50"/>
      <c r="AB604" s="923"/>
      <c r="AC604" s="924"/>
      <c r="AD604" s="203"/>
      <c r="AE604" s="912"/>
      <c r="AF604" s="923"/>
      <c r="AG604" s="923"/>
      <c r="AH604" s="923"/>
      <c r="AI604" s="923"/>
      <c r="AJ604" s="923"/>
      <c r="AK604" s="203"/>
      <c r="AM604" s="50"/>
    </row>
    <row r="605" spans="3:39">
      <c r="C605" s="50"/>
      <c r="E605" s="858"/>
      <c r="F605" s="858"/>
      <c r="G605" s="858"/>
      <c r="H605" s="858"/>
      <c r="I605" s="858"/>
      <c r="J605" s="858"/>
      <c r="K605" s="858"/>
      <c r="L605" s="858"/>
      <c r="M605" s="858"/>
      <c r="N605" s="858"/>
      <c r="O605" s="858"/>
      <c r="P605" s="858"/>
      <c r="Q605" s="858"/>
      <c r="R605" s="858"/>
      <c r="S605" s="858"/>
      <c r="T605" s="203"/>
      <c r="U605" s="912"/>
      <c r="V605" s="913"/>
      <c r="W605" s="914"/>
      <c r="X605" s="913"/>
      <c r="Y605" s="913"/>
      <c r="Z605" s="95"/>
      <c r="AA605" s="50"/>
      <c r="AB605" s="923"/>
      <c r="AC605" s="924"/>
      <c r="AD605" s="203"/>
      <c r="AE605" s="912"/>
      <c r="AF605" s="923"/>
      <c r="AG605" s="923"/>
      <c r="AH605" s="923"/>
      <c r="AI605" s="923"/>
      <c r="AJ605" s="923"/>
      <c r="AK605" s="203"/>
      <c r="AM605" s="50"/>
    </row>
    <row r="606" spans="3:39">
      <c r="C606" s="50"/>
      <c r="E606" s="858"/>
      <c r="F606" s="858"/>
      <c r="G606" s="858"/>
      <c r="H606" s="858"/>
      <c r="I606" s="858"/>
      <c r="J606" s="858"/>
      <c r="K606" s="858"/>
      <c r="L606" s="858"/>
      <c r="M606" s="858"/>
      <c r="N606" s="858"/>
      <c r="O606" s="858"/>
      <c r="P606" s="858"/>
      <c r="Q606" s="858"/>
      <c r="R606" s="858"/>
      <c r="S606" s="858"/>
      <c r="T606" s="203"/>
      <c r="U606" s="912"/>
      <c r="V606" s="913"/>
      <c r="W606" s="914"/>
      <c r="X606" s="913"/>
      <c r="Y606" s="913"/>
      <c r="Z606" s="95"/>
      <c r="AA606" s="50"/>
      <c r="AB606" s="923"/>
      <c r="AC606" s="924"/>
      <c r="AD606" s="203"/>
      <c r="AE606" s="912"/>
      <c r="AF606" s="923"/>
      <c r="AG606" s="923"/>
      <c r="AH606" s="923"/>
      <c r="AI606" s="923"/>
      <c r="AJ606" s="923"/>
      <c r="AK606" s="203"/>
      <c r="AM606" s="50"/>
    </row>
    <row r="607" spans="3:39">
      <c r="C607" s="50"/>
      <c r="E607" s="858"/>
      <c r="F607" s="858"/>
      <c r="G607" s="858"/>
      <c r="H607" s="858"/>
      <c r="I607" s="858"/>
      <c r="J607" s="858"/>
      <c r="K607" s="858"/>
      <c r="L607" s="858"/>
      <c r="M607" s="858"/>
      <c r="N607" s="858"/>
      <c r="O607" s="858"/>
      <c r="P607" s="858"/>
      <c r="Q607" s="858"/>
      <c r="R607" s="858"/>
      <c r="S607" s="858"/>
      <c r="T607" s="203"/>
      <c r="U607" s="912"/>
      <c r="V607" s="913"/>
      <c r="W607" s="914"/>
      <c r="X607" s="913"/>
      <c r="Y607" s="913"/>
      <c r="Z607" s="95"/>
      <c r="AA607" s="50"/>
      <c r="AB607" s="923"/>
      <c r="AC607" s="924"/>
      <c r="AD607" s="203"/>
      <c r="AE607" s="912"/>
      <c r="AF607" s="923"/>
      <c r="AG607" s="923"/>
      <c r="AH607" s="923"/>
      <c r="AI607" s="923"/>
      <c r="AJ607" s="923"/>
      <c r="AK607" s="203"/>
      <c r="AM607" s="50"/>
    </row>
    <row r="608" spans="3:39">
      <c r="C608" s="50"/>
      <c r="E608" s="858"/>
      <c r="F608" s="858"/>
      <c r="G608" s="858"/>
      <c r="H608" s="858"/>
      <c r="I608" s="858"/>
      <c r="J608" s="858"/>
      <c r="K608" s="858"/>
      <c r="L608" s="858"/>
      <c r="M608" s="858"/>
      <c r="N608" s="858"/>
      <c r="O608" s="858"/>
      <c r="P608" s="858"/>
      <c r="Q608" s="858"/>
      <c r="R608" s="858"/>
      <c r="S608" s="858"/>
      <c r="T608" s="203"/>
      <c r="U608" s="912"/>
      <c r="V608" s="913"/>
      <c r="W608" s="914"/>
      <c r="X608" s="913"/>
      <c r="Y608" s="913"/>
      <c r="Z608" s="95"/>
      <c r="AA608" s="50"/>
      <c r="AB608" s="923"/>
      <c r="AC608" s="924"/>
      <c r="AD608" s="203"/>
      <c r="AE608" s="912"/>
      <c r="AF608" s="923"/>
      <c r="AG608" s="923"/>
      <c r="AH608" s="923"/>
      <c r="AI608" s="923"/>
      <c r="AJ608" s="923"/>
      <c r="AK608" s="203"/>
      <c r="AM608" s="50"/>
    </row>
    <row r="609" spans="3:39">
      <c r="C609" s="50"/>
      <c r="E609" s="858"/>
      <c r="F609" s="858"/>
      <c r="G609" s="858"/>
      <c r="H609" s="858"/>
      <c r="I609" s="858"/>
      <c r="J609" s="858"/>
      <c r="K609" s="858"/>
      <c r="L609" s="858"/>
      <c r="M609" s="858"/>
      <c r="N609" s="858"/>
      <c r="O609" s="858"/>
      <c r="P609" s="858"/>
      <c r="Q609" s="858"/>
      <c r="R609" s="858"/>
      <c r="S609" s="858"/>
      <c r="T609" s="203"/>
      <c r="U609" s="912"/>
      <c r="V609" s="913"/>
      <c r="W609" s="914"/>
      <c r="X609" s="913"/>
      <c r="Y609" s="913"/>
      <c r="Z609" s="95"/>
      <c r="AA609" s="50"/>
      <c r="AB609" s="923"/>
      <c r="AC609" s="924"/>
      <c r="AD609" s="203"/>
      <c r="AE609" s="912"/>
      <c r="AF609" s="923"/>
      <c r="AG609" s="923"/>
      <c r="AH609" s="923"/>
      <c r="AI609" s="923"/>
      <c r="AJ609" s="923"/>
      <c r="AK609" s="203"/>
      <c r="AM609" s="50"/>
    </row>
    <row r="610" spans="3:39">
      <c r="C610" s="50"/>
      <c r="E610" s="858"/>
      <c r="F610" s="858"/>
      <c r="G610" s="858"/>
      <c r="H610" s="858"/>
      <c r="I610" s="858"/>
      <c r="J610" s="858"/>
      <c r="K610" s="858"/>
      <c r="L610" s="858"/>
      <c r="M610" s="858"/>
      <c r="N610" s="858"/>
      <c r="O610" s="858"/>
      <c r="P610" s="858"/>
      <c r="Q610" s="858"/>
      <c r="R610" s="858"/>
      <c r="S610" s="858"/>
      <c r="T610" s="203"/>
      <c r="U610" s="912"/>
      <c r="V610" s="913"/>
      <c r="W610" s="914"/>
      <c r="X610" s="913"/>
      <c r="Y610" s="913"/>
      <c r="Z610" s="95"/>
      <c r="AA610" s="50"/>
      <c r="AB610" s="923"/>
      <c r="AC610" s="924"/>
      <c r="AD610" s="203"/>
      <c r="AE610" s="912"/>
      <c r="AF610" s="923"/>
      <c r="AG610" s="923"/>
      <c r="AH610" s="923"/>
      <c r="AI610" s="923"/>
      <c r="AJ610" s="923"/>
      <c r="AK610" s="203"/>
      <c r="AM610" s="50"/>
    </row>
    <row r="611" spans="3:39">
      <c r="C611" s="50"/>
      <c r="E611" s="858"/>
      <c r="F611" s="858"/>
      <c r="G611" s="858"/>
      <c r="H611" s="858"/>
      <c r="I611" s="858"/>
      <c r="J611" s="858"/>
      <c r="K611" s="858"/>
      <c r="L611" s="858"/>
      <c r="M611" s="858"/>
      <c r="N611" s="858"/>
      <c r="O611" s="858"/>
      <c r="P611" s="858"/>
      <c r="Q611" s="858"/>
      <c r="R611" s="858"/>
      <c r="S611" s="858"/>
      <c r="T611" s="203"/>
      <c r="U611" s="912"/>
      <c r="V611" s="913"/>
      <c r="W611" s="914"/>
      <c r="X611" s="913"/>
      <c r="Y611" s="913"/>
      <c r="Z611" s="95"/>
      <c r="AA611" s="50"/>
      <c r="AB611" s="923"/>
      <c r="AC611" s="924"/>
      <c r="AD611" s="203"/>
      <c r="AE611" s="912"/>
      <c r="AF611" s="923"/>
      <c r="AG611" s="923"/>
      <c r="AH611" s="923"/>
      <c r="AI611" s="923"/>
      <c r="AJ611" s="923"/>
      <c r="AK611" s="203"/>
      <c r="AM611" s="50"/>
    </row>
    <row r="612" spans="3:39">
      <c r="C612" s="50"/>
      <c r="E612" s="858"/>
      <c r="F612" s="858"/>
      <c r="G612" s="858"/>
      <c r="H612" s="858"/>
      <c r="I612" s="858"/>
      <c r="J612" s="858"/>
      <c r="K612" s="858"/>
      <c r="L612" s="858"/>
      <c r="M612" s="858"/>
      <c r="N612" s="858"/>
      <c r="O612" s="858"/>
      <c r="P612" s="858"/>
      <c r="Q612" s="858"/>
      <c r="R612" s="858"/>
      <c r="S612" s="858"/>
      <c r="T612" s="203"/>
      <c r="U612" s="912"/>
      <c r="V612" s="913"/>
      <c r="W612" s="914"/>
      <c r="X612" s="913"/>
      <c r="Y612" s="913"/>
      <c r="Z612" s="95"/>
      <c r="AA612" s="50"/>
      <c r="AB612" s="923"/>
      <c r="AC612" s="924"/>
      <c r="AD612" s="203"/>
      <c r="AE612" s="912"/>
      <c r="AF612" s="923"/>
      <c r="AG612" s="923"/>
      <c r="AH612" s="923"/>
      <c r="AI612" s="923"/>
      <c r="AJ612" s="923"/>
      <c r="AK612" s="203"/>
      <c r="AM612" s="50"/>
    </row>
    <row r="613" spans="3:39">
      <c r="C613" s="50"/>
      <c r="E613" s="858"/>
      <c r="F613" s="858"/>
      <c r="G613" s="858"/>
      <c r="H613" s="858"/>
      <c r="I613" s="858"/>
      <c r="J613" s="858"/>
      <c r="K613" s="858"/>
      <c r="L613" s="858"/>
      <c r="M613" s="858"/>
      <c r="N613" s="858"/>
      <c r="O613" s="858"/>
      <c r="P613" s="858"/>
      <c r="Q613" s="858"/>
      <c r="R613" s="858"/>
      <c r="S613" s="858"/>
      <c r="T613" s="203"/>
      <c r="U613" s="912"/>
      <c r="V613" s="913"/>
      <c r="W613" s="914"/>
      <c r="X613" s="913"/>
      <c r="Y613" s="913"/>
      <c r="Z613" s="95"/>
      <c r="AA613" s="50"/>
      <c r="AB613" s="923"/>
      <c r="AC613" s="924"/>
      <c r="AD613" s="203"/>
      <c r="AE613" s="912"/>
      <c r="AF613" s="923"/>
      <c r="AG613" s="923"/>
      <c r="AH613" s="923"/>
      <c r="AI613" s="923"/>
      <c r="AJ613" s="923"/>
      <c r="AK613" s="203"/>
      <c r="AM613" s="50"/>
    </row>
    <row r="614" spans="3:39">
      <c r="C614" s="50"/>
      <c r="E614" s="858"/>
      <c r="F614" s="858"/>
      <c r="G614" s="858"/>
      <c r="H614" s="858"/>
      <c r="I614" s="858"/>
      <c r="J614" s="858"/>
      <c r="K614" s="858"/>
      <c r="L614" s="858"/>
      <c r="M614" s="858"/>
      <c r="N614" s="858"/>
      <c r="O614" s="858"/>
      <c r="P614" s="858"/>
      <c r="Q614" s="858"/>
      <c r="R614" s="858"/>
      <c r="S614" s="858"/>
      <c r="T614" s="203"/>
      <c r="U614" s="912"/>
      <c r="V614" s="913"/>
      <c r="W614" s="914"/>
      <c r="X614" s="913"/>
      <c r="Y614" s="913"/>
      <c r="Z614" s="95"/>
      <c r="AA614" s="50"/>
      <c r="AB614" s="923"/>
      <c r="AC614" s="924"/>
      <c r="AD614" s="203"/>
      <c r="AE614" s="912"/>
      <c r="AF614" s="923"/>
      <c r="AG614" s="923"/>
      <c r="AH614" s="923"/>
      <c r="AI614" s="923"/>
      <c r="AJ614" s="923"/>
      <c r="AK614" s="203"/>
      <c r="AM614" s="50"/>
    </row>
    <row r="615" spans="3:39">
      <c r="C615" s="50"/>
      <c r="E615" s="858"/>
      <c r="F615" s="858"/>
      <c r="G615" s="858"/>
      <c r="H615" s="858"/>
      <c r="I615" s="858"/>
      <c r="J615" s="858"/>
      <c r="K615" s="858"/>
      <c r="L615" s="858"/>
      <c r="M615" s="858"/>
      <c r="N615" s="858"/>
      <c r="O615" s="858"/>
      <c r="P615" s="858"/>
      <c r="Q615" s="858"/>
      <c r="R615" s="858"/>
      <c r="S615" s="858"/>
      <c r="T615" s="203"/>
      <c r="U615" s="912"/>
      <c r="V615" s="913"/>
      <c r="W615" s="914"/>
      <c r="X615" s="913"/>
      <c r="Y615" s="913"/>
      <c r="Z615" s="95"/>
      <c r="AA615" s="50"/>
      <c r="AB615" s="923"/>
      <c r="AC615" s="924"/>
      <c r="AD615" s="203"/>
      <c r="AE615" s="912"/>
      <c r="AF615" s="923"/>
      <c r="AG615" s="923"/>
      <c r="AH615" s="923"/>
      <c r="AI615" s="923"/>
      <c r="AJ615" s="923"/>
      <c r="AK615" s="203"/>
      <c r="AM615" s="50"/>
    </row>
    <row r="616" spans="3:39">
      <c r="C616" s="50"/>
      <c r="E616" s="858"/>
      <c r="F616" s="858"/>
      <c r="G616" s="858"/>
      <c r="H616" s="858"/>
      <c r="I616" s="858"/>
      <c r="J616" s="858"/>
      <c r="K616" s="858"/>
      <c r="L616" s="858"/>
      <c r="M616" s="858"/>
      <c r="N616" s="858"/>
      <c r="O616" s="858"/>
      <c r="P616" s="858"/>
      <c r="Q616" s="858"/>
      <c r="R616" s="858"/>
      <c r="S616" s="858"/>
      <c r="T616" s="203"/>
      <c r="U616" s="912"/>
      <c r="V616" s="913"/>
      <c r="W616" s="914"/>
      <c r="X616" s="913"/>
      <c r="Y616" s="913"/>
      <c r="Z616" s="95"/>
      <c r="AA616" s="50"/>
      <c r="AB616" s="923"/>
      <c r="AC616" s="924"/>
      <c r="AD616" s="203"/>
      <c r="AE616" s="912"/>
      <c r="AF616" s="923"/>
      <c r="AG616" s="923"/>
      <c r="AH616" s="923"/>
      <c r="AI616" s="923"/>
      <c r="AJ616" s="923"/>
      <c r="AK616" s="203"/>
      <c r="AM616" s="50"/>
    </row>
    <row r="617" spans="3:39">
      <c r="C617" s="50"/>
      <c r="E617" s="858"/>
      <c r="F617" s="858"/>
      <c r="G617" s="858"/>
      <c r="H617" s="858"/>
      <c r="I617" s="858"/>
      <c r="J617" s="858"/>
      <c r="K617" s="858"/>
      <c r="L617" s="858"/>
      <c r="M617" s="858"/>
      <c r="N617" s="858"/>
      <c r="O617" s="858"/>
      <c r="P617" s="858"/>
      <c r="Q617" s="858"/>
      <c r="R617" s="858"/>
      <c r="S617" s="858"/>
      <c r="T617" s="203"/>
      <c r="U617" s="912"/>
      <c r="V617" s="913"/>
      <c r="W617" s="914"/>
      <c r="X617" s="913"/>
      <c r="Y617" s="913"/>
      <c r="Z617" s="95"/>
      <c r="AA617" s="50"/>
      <c r="AB617" s="923"/>
      <c r="AC617" s="924"/>
      <c r="AD617" s="203"/>
      <c r="AE617" s="912"/>
      <c r="AF617" s="923"/>
      <c r="AG617" s="923"/>
      <c r="AH617" s="923"/>
      <c r="AI617" s="923"/>
      <c r="AJ617" s="923"/>
      <c r="AK617" s="203"/>
      <c r="AM617" s="50"/>
    </row>
  </sheetData>
  <mergeCells count="3">
    <mergeCell ref="A1:AM1"/>
    <mergeCell ref="A2:AM2"/>
    <mergeCell ref="A3:AM3"/>
  </mergeCells>
  <conditionalFormatting sqref="AA6:AA617">
    <cfRule type="expression" dxfId="12" priority="3">
      <formula>LEFT(AA6,9)="Below MOQ"</formula>
    </cfRule>
  </conditionalFormatting>
  <conditionalFormatting sqref="AL6:AL617">
    <cfRule type="expression" dxfId="11" priority="1">
      <formula>AL6="PASS"</formula>
    </cfRule>
    <cfRule type="expression" dxfId="10" priority="2">
      <formula>AL6="CHECK"</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E0F6-8954-4E60-A460-8DFE0EDC57E5}">
  <dimension ref="A1:AZ257"/>
  <sheetViews>
    <sheetView topLeftCell="F1" workbookViewId="0">
      <selection activeCell="Q15" sqref="Q15"/>
    </sheetView>
  </sheetViews>
  <sheetFormatPr defaultRowHeight="15"/>
  <cols>
    <col min="1" max="1" width="13.140625" bestFit="1" customWidth="1"/>
    <col min="2" max="2" width="11.140625" bestFit="1" customWidth="1"/>
    <col min="3" max="3" width="32.7109375" customWidth="1"/>
    <col min="4" max="4" width="19.5703125" bestFit="1" customWidth="1"/>
    <col min="5" max="5" width="19.42578125" bestFit="1" customWidth="1"/>
    <col min="6" max="6" width="12.85546875" bestFit="1" customWidth="1"/>
    <col min="7" max="7" width="15.5703125" bestFit="1" customWidth="1"/>
    <col min="8" max="8" width="18.28515625" bestFit="1" customWidth="1"/>
    <col min="9" max="9" width="17.7109375" bestFit="1" customWidth="1"/>
    <col min="10" max="10" width="17.140625" bestFit="1" customWidth="1"/>
    <col min="11" max="11" width="12.85546875" bestFit="1" customWidth="1"/>
    <col min="12" max="12" width="9" bestFit="1" customWidth="1"/>
    <col min="13" max="13" width="10.140625" bestFit="1" customWidth="1"/>
    <col min="14" max="14" width="15.28515625" bestFit="1" customWidth="1"/>
    <col min="15" max="15" width="10.42578125" bestFit="1" customWidth="1"/>
    <col min="16" max="16" width="21.140625" bestFit="1" customWidth="1"/>
    <col min="17" max="17" width="10.42578125" bestFit="1" customWidth="1"/>
    <col min="18" max="19" width="14.85546875" bestFit="1" customWidth="1"/>
    <col min="20" max="21" width="13.140625" bestFit="1" customWidth="1"/>
    <col min="22" max="22" width="17.28515625" bestFit="1" customWidth="1"/>
    <col min="23" max="23" width="18.140625" bestFit="1" customWidth="1"/>
    <col min="24" max="24" width="18.85546875" bestFit="1" customWidth="1"/>
    <col min="25" max="25" width="17.28515625" bestFit="1" customWidth="1"/>
    <col min="26" max="26" width="18.140625" bestFit="1" customWidth="1"/>
    <col min="27" max="27" width="18.85546875" bestFit="1" customWidth="1"/>
    <col min="28" max="29" width="13.85546875" bestFit="1" customWidth="1"/>
    <col min="30" max="30" width="12.85546875" bestFit="1" customWidth="1"/>
    <col min="31" max="31" width="10.42578125" bestFit="1" customWidth="1"/>
    <col min="32" max="32" width="18.28515625" bestFit="1" customWidth="1"/>
    <col min="33" max="33" width="15.5703125" bestFit="1" customWidth="1"/>
    <col min="34" max="34" width="16.85546875" bestFit="1" customWidth="1"/>
    <col min="35" max="35" width="19.85546875" bestFit="1" customWidth="1"/>
    <col min="36" max="36" width="18.85546875" bestFit="1" customWidth="1"/>
    <col min="37" max="37" width="13.85546875" bestFit="1" customWidth="1"/>
    <col min="38" max="38" width="14" bestFit="1" customWidth="1"/>
    <col min="39" max="39" width="14.42578125" bestFit="1" customWidth="1"/>
    <col min="40" max="40" width="36.42578125" customWidth="1"/>
    <col min="41" max="41" width="27.85546875" customWidth="1"/>
  </cols>
  <sheetData>
    <row r="1" spans="1:52" ht="24">
      <c r="A1" s="1130" t="s">
        <v>1385</v>
      </c>
      <c r="B1" s="1130"/>
      <c r="C1" s="1130"/>
      <c r="D1" s="1130"/>
      <c r="E1" s="1130"/>
      <c r="F1" s="1130"/>
      <c r="G1" s="1130"/>
      <c r="H1" s="1130"/>
      <c r="I1" s="1130"/>
      <c r="J1" s="1130"/>
      <c r="K1" s="1130"/>
      <c r="L1" s="1130"/>
      <c r="M1" s="1130"/>
      <c r="N1" s="1130"/>
      <c r="O1" s="1130"/>
      <c r="P1" s="1130"/>
      <c r="Q1" s="1130"/>
      <c r="R1" s="1130"/>
      <c r="S1" s="1130"/>
      <c r="T1" s="1130"/>
      <c r="U1" s="1130"/>
      <c r="V1" s="1130"/>
      <c r="W1" s="1130"/>
      <c r="X1" s="1130"/>
      <c r="Y1" s="1130"/>
      <c r="Z1" s="1130"/>
      <c r="AA1" s="1130"/>
      <c r="AB1" s="1130"/>
      <c r="AC1" s="1130"/>
      <c r="AD1" s="1130"/>
      <c r="AE1" s="1130"/>
      <c r="AF1" s="1130"/>
      <c r="AG1" s="1130"/>
      <c r="AH1" s="1130"/>
      <c r="AI1" s="1130"/>
      <c r="AJ1" s="1130"/>
      <c r="AK1" s="1130"/>
      <c r="AL1" s="1130"/>
      <c r="AM1" s="1130"/>
      <c r="AN1" s="1130"/>
    </row>
    <row r="2" spans="1:52">
      <c r="A2" s="1131" t="s">
        <v>2287</v>
      </c>
      <c r="B2" s="1131"/>
      <c r="C2" s="1131"/>
      <c r="D2" s="1131"/>
      <c r="E2" s="1131"/>
      <c r="F2" s="1131"/>
      <c r="G2" s="1131"/>
      <c r="H2" s="1131"/>
      <c r="I2" s="1131"/>
      <c r="J2" s="1131"/>
      <c r="K2" s="1131"/>
      <c r="L2" s="1131"/>
      <c r="M2" s="1131"/>
      <c r="N2" s="1131"/>
      <c r="O2" s="1131"/>
      <c r="P2" s="1131"/>
      <c r="Q2" s="1131"/>
      <c r="R2" s="1131"/>
      <c r="S2" s="1131"/>
      <c r="T2" s="1131"/>
      <c r="U2" s="1131"/>
      <c r="V2" s="1131"/>
      <c r="W2" s="1131"/>
      <c r="X2" s="1131"/>
      <c r="Y2" s="1131"/>
      <c r="Z2" s="1131"/>
      <c r="AA2" s="1131"/>
      <c r="AB2" s="1131"/>
      <c r="AC2" s="1131"/>
      <c r="AD2" s="1131"/>
      <c r="AE2" s="1131"/>
      <c r="AF2" s="1131"/>
      <c r="AG2" s="1131"/>
      <c r="AH2" s="1131"/>
      <c r="AI2" s="1131"/>
      <c r="AJ2" s="1131"/>
      <c r="AK2" s="1131"/>
      <c r="AL2" s="1131"/>
      <c r="AM2" s="1131"/>
      <c r="AN2" s="1131"/>
    </row>
    <row r="3" spans="1:52">
      <c r="A3" s="1132" t="s">
        <v>1386</v>
      </c>
      <c r="B3" s="1132"/>
      <c r="C3" s="1132"/>
      <c r="D3" s="1132"/>
      <c r="E3" s="1132"/>
      <c r="F3" s="1132"/>
      <c r="G3" s="1132"/>
      <c r="H3" s="1132"/>
      <c r="I3" s="1132"/>
      <c r="J3" s="1132"/>
      <c r="K3" s="1132"/>
      <c r="L3" s="1132"/>
      <c r="M3" s="1132"/>
      <c r="N3" s="1132"/>
      <c r="O3" s="1132"/>
      <c r="P3" s="1132"/>
      <c r="Q3" s="1132"/>
      <c r="R3" s="1132"/>
      <c r="S3" s="1132"/>
      <c r="T3" s="1132"/>
      <c r="U3" s="1132"/>
      <c r="V3" s="1132"/>
      <c r="W3" s="1132"/>
      <c r="X3" s="1132"/>
      <c r="Y3" s="1132"/>
      <c r="Z3" s="1132"/>
      <c r="AA3" s="1132"/>
      <c r="AB3" s="1132"/>
      <c r="AC3" s="1132"/>
      <c r="AD3" s="1132"/>
      <c r="AE3" s="1132"/>
      <c r="AF3" s="1132"/>
      <c r="AG3" s="1132"/>
      <c r="AH3" s="1132"/>
      <c r="AI3" s="1132"/>
      <c r="AJ3" s="1132"/>
      <c r="AK3" s="1132"/>
      <c r="AL3" s="1132"/>
      <c r="AM3" s="1132"/>
      <c r="AN3" s="1132"/>
    </row>
    <row r="4" spans="1:52">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row>
    <row r="5" spans="1:52">
      <c r="A5" s="73" t="s">
        <v>1387</v>
      </c>
      <c r="B5" s="73" t="s">
        <v>158</v>
      </c>
      <c r="C5" s="73" t="s">
        <v>1388</v>
      </c>
      <c r="D5" s="73" t="s">
        <v>1054</v>
      </c>
      <c r="E5" s="73" t="s">
        <v>1389</v>
      </c>
      <c r="F5" s="73" t="s">
        <v>559</v>
      </c>
      <c r="G5" s="73" t="s">
        <v>1390</v>
      </c>
      <c r="H5" s="73" t="s">
        <v>1391</v>
      </c>
      <c r="I5" s="73" t="s">
        <v>1392</v>
      </c>
      <c r="J5" s="73" t="s">
        <v>1393</v>
      </c>
      <c r="K5" s="73" t="s">
        <v>1394</v>
      </c>
      <c r="L5" s="73" t="s">
        <v>1254</v>
      </c>
      <c r="M5" s="73" t="s">
        <v>1395</v>
      </c>
      <c r="N5" s="73" t="s">
        <v>1396</v>
      </c>
      <c r="O5" s="73" t="s">
        <v>222</v>
      </c>
      <c r="P5" s="73" t="s">
        <v>637</v>
      </c>
      <c r="Q5" s="73" t="s">
        <v>902</v>
      </c>
      <c r="R5" s="73" t="s">
        <v>665</v>
      </c>
      <c r="S5" s="73" t="s">
        <v>1397</v>
      </c>
      <c r="T5" s="73" t="s">
        <v>1398</v>
      </c>
      <c r="U5" s="73" t="s">
        <v>1399</v>
      </c>
      <c r="V5" s="73" t="s">
        <v>1400</v>
      </c>
      <c r="W5" s="73" t="s">
        <v>1401</v>
      </c>
      <c r="X5" s="73" t="s">
        <v>1402</v>
      </c>
      <c r="Y5" s="73" t="s">
        <v>1403</v>
      </c>
      <c r="Z5" s="73" t="s">
        <v>1404</v>
      </c>
      <c r="AA5" s="73" t="s">
        <v>1405</v>
      </c>
      <c r="AB5" s="73" t="s">
        <v>1406</v>
      </c>
      <c r="AC5" s="73" t="s">
        <v>1407</v>
      </c>
      <c r="AD5" s="73" t="s">
        <v>926</v>
      </c>
      <c r="AE5" s="73" t="s">
        <v>944</v>
      </c>
      <c r="AF5" s="73" t="s">
        <v>1408</v>
      </c>
      <c r="AG5" s="73" t="s">
        <v>1409</v>
      </c>
      <c r="AH5" s="73" t="s">
        <v>1410</v>
      </c>
      <c r="AI5" s="73" t="s">
        <v>1411</v>
      </c>
      <c r="AJ5" s="73" t="s">
        <v>1412</v>
      </c>
      <c r="AK5" s="73" t="s">
        <v>1413</v>
      </c>
      <c r="AL5" s="73" t="s">
        <v>1414</v>
      </c>
      <c r="AM5" s="73" t="s">
        <v>1415</v>
      </c>
      <c r="AN5" s="73" t="s">
        <v>1416</v>
      </c>
      <c r="AO5" s="73" t="s">
        <v>2188</v>
      </c>
      <c r="AP5" s="73" t="s">
        <v>2189</v>
      </c>
      <c r="AQ5" s="73" t="s">
        <v>2190</v>
      </c>
      <c r="AR5" s="73" t="s">
        <v>2191</v>
      </c>
      <c r="AS5" s="73" t="s">
        <v>2192</v>
      </c>
      <c r="AT5" s="73" t="s">
        <v>219</v>
      </c>
      <c r="AU5" s="73" t="s">
        <v>2193</v>
      </c>
      <c r="AV5" s="73" t="s">
        <v>2194</v>
      </c>
      <c r="AW5" s="73" t="s">
        <v>2195</v>
      </c>
      <c r="AX5" s="73" t="s">
        <v>2196</v>
      </c>
      <c r="AY5" s="73" t="s">
        <v>2197</v>
      </c>
      <c r="AZ5" s="73" t="s">
        <v>2198</v>
      </c>
    </row>
    <row r="6" spans="1:52">
      <c r="A6" s="73" t="s">
        <v>1417</v>
      </c>
      <c r="B6" s="73">
        <v>120</v>
      </c>
      <c r="C6" s="908" t="s">
        <v>1418</v>
      </c>
      <c r="D6" s="915" cm="1">
        <f t="array" ref="D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6" s="915">
        <v>120</v>
      </c>
      <c r="F6" s="73" t="s">
        <v>560</v>
      </c>
      <c r="G6" s="916">
        <v>100</v>
      </c>
      <c r="H6" s="916">
        <v>100</v>
      </c>
      <c r="I6" s="916"/>
      <c r="J6" s="916"/>
      <c r="K6" s="73" t="s">
        <v>124</v>
      </c>
      <c r="L6" s="921" t="s">
        <v>221</v>
      </c>
      <c r="M6" s="915">
        <v>1</v>
      </c>
      <c r="N6" s="73" t="s">
        <v>549</v>
      </c>
      <c r="O6" s="73" t="s">
        <v>250</v>
      </c>
      <c r="P6" s="916" cm="1">
        <f t="array" ref="P6">IFERROR(_xlfn.SWITCH(F6,"By Weight",IF(H6&lt;&gt;"",H6,G6)/AR6,"By Length",G6,"By Imp",G6/MAX(1,ROUNDDOWN(E6/I6,0))*J6/1000,"IMP",G6/MAX(1,ROUNDDOWN(E6/I6,0))*J6/1000,""),"")</f>
        <v>8759.0217924462195</v>
      </c>
      <c r="Q6" s="916">
        <f>IFERROR(P6*AR6,"")</f>
        <v>100</v>
      </c>
      <c r="R6" s="917">
        <f>IFERROR(Q6*T6,"")</f>
        <v>814.09096940667121</v>
      </c>
      <c r="S6" s="918">
        <f>IFERROR(R6*1.16,"")</f>
        <v>944.34552451173852</v>
      </c>
      <c r="T6" s="919">
        <f>IFERROR(AF6+AG6+AI6+AS6,"")</f>
        <v>8.1409096940667123</v>
      </c>
      <c r="U6" s="920">
        <f>IFERROR(T6*1.16,"")</f>
        <v>9.4434552451173861</v>
      </c>
      <c r="V6" s="919">
        <f>IFERROR(W6*AR6,"")</f>
        <v>0.10934486799437745</v>
      </c>
      <c r="W6" s="919">
        <f>IFERROR(T6/(1-AT6),"")</f>
        <v>9.5775408165490727</v>
      </c>
      <c r="X6" s="919" t="str">
        <f>IF(OR(I6="",J6=""),"",IFERROR(V6*(J6/1000)/MAX(1,ROUNDDOWN(E6/I6,0)),""))</f>
        <v/>
      </c>
      <c r="Y6" s="920">
        <f>IFERROR(V6*1.16,"")</f>
        <v>0.12684004687347783</v>
      </c>
      <c r="Z6" s="920">
        <f>IFERROR(W6*1.16,"")</f>
        <v>11.109947347196924</v>
      </c>
      <c r="AA6" s="920" t="str">
        <f>IFERROR(X6*1.16,"")</f>
        <v/>
      </c>
      <c r="AB6" s="917">
        <f>IFERROR(W6*Q6,"")</f>
        <v>957.75408165490728</v>
      </c>
      <c r="AC6" s="918">
        <f>IFERROR(AB6*1.16,"")</f>
        <v>1110.9947347196924</v>
      </c>
      <c r="AD6" s="916">
        <f>IFERROR(AE6/AR6,"")</f>
        <v>43795.108962231097</v>
      </c>
      <c r="AE6" s="916">
        <f>_xlfn.LET(_xlpm.lam,UPPER(SUBSTITUTE(B6&amp;"","LAMINATE","")),IF(_xlpm.lam="608W",2000,IF(_xlpm.lam="608",750,500)))</f>
        <v>500</v>
      </c>
      <c r="AF6" s="919" cm="1">
        <f t="array" ref="AF6">IFERROR(_xlfn.LET(_xlpm.lam,TEXT(B6,"0"),_xlpm.thick,D6,_xlpm.crit,(TEXT(HELPER!$BZ$2:$BZ$250,"0")=_xlpm.lam)*(HELPER!$CC$2:$CC$250=_xlpm.thick)*(HELPER!$BW$2:$BW$250&lt;&gt;""),_xlpm.mats,TRIM(SUBSTITUTE(_xlfn._xlws.FILTER(HELPER!$BW$2:$BW$250,_xlpm.crit),CHAR(160),"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6" s="919">
        <f>IFERROR(IF(N6="Europe to Canada",IF(Q6&lt;1000,VLOOKUP(1000,HELPER!$AG$4:$AH$8,2,FALSE)/Q6,VLOOKUP(Q6,HELPER!$AG$4:$AH$8,2,TRUE)/Q6),IF(N6="Europe to US",HELPER!$AH$2,IF(N6="Europe to Europe",HELPER!$AH$3,0))),0)</f>
        <v>0.2</v>
      </c>
      <c r="AH6" s="919" cm="1">
        <f t="array" ref="AH6">IFERROR(_xlfn.LET(_xlpm.cap,IF(O6="Quantum",760,1220),_xlpm.wUsed,E6*MAX(1,MIN(MAX(2,INT(900/E6)),INT((_xlpm.cap-50)/E6))),_xlpm.kgmUsed,AR6/E6*_xlpm.wUsed,_xlpm.lam,TEXT(B6,"0"),_xlpm.crit,(TEXT(HELPER!$BZ$2:$BZ$250,"0")=_xlpm.lam)*(HELPER!$CC$2:$CC$250=D6)*(HELPER!$BW$2:$BW$250&lt;&gt;""),_xlpm.mats,_xlfn._xlws.FILTER(HELPER!$BW$2:$BW$250,_xlpm.crit),_xlpm.realLayers,SUM((_xlpm.mats&lt;&gt;"")*ISERROR(SEARCH("EPOTAL",_xlpm.mats&amp;""))*ISERROR(SEARCH("BASONAT",_xlpm.mats&amp;""))*ISERROR(SEARCH("ADH",_xlpm.mats&amp;""))*ISERROR(SEARCH("HARDENER",_xlpm.mats&amp;""))),_xlpm.steps,MAX(0,_xlpm.realLayers-1),_xlpm.tier,IF(P6&lt;3000,1,IF(P6&lt;10000,2,IF(P6&lt;25000,3,IF(P6&lt;50000,4,IF(P6&lt;100000,5,IF(P6&lt;250000,6,7)))))),_xlpm.widthRow,IF(_xlpm.wUsed&lt;900,0,5),_xlpm.supplierRow,IF(O6="Marma",3,IF(OR(O6="Bastin",O6="Quantum"),13,0)),_xlpm.rate,INDEX('Lmntn &amp; Prntng- Marma &amp; Bastin '!$D$1:$K$22,_xlpm.supplierRow+_xlpm.widthRow,_xlpm.tier),_xlpm.rate*_xlpm.steps/_xlpm.kgmUsed),"")</f>
        <v>2.6059341121354995</v>
      </c>
      <c r="AI6" s="919" cm="1">
        <f t="array" ref="AI6">IFERROR(_xlfn.LET(_xlpm.cap,IF(O6="Quantum",760,1220),_xlpm.wUsed,E6*MAX(1,MIN(MAX(2,INT(900/E6)),INT((_xlpm.cap-50)/E6))),_xlpm.kgmUsed,AR6/E6*_xlpm.wUsed,_xlpm.tier,IF(P6&lt;3000,1,IF(P6&lt;10000,2,IF(P6&lt;25000,3,IF(P6&lt;50000,4,IF(P6&lt;100000,5,IF(P6&lt;250000,6,IF(P6&lt;500000,7,8))))))),_xlpm.widthRow,IF(_xlpm.wUsed&lt;900,0,5),_xlpm.slitRow,IF(O6="Marma",7,IF(OR(O6="Bastin",O6="Quantum"),17,0)),_xlpm.slitRate,INDEX('Lmntn &amp; Prntng- Marma &amp; Bastin '!$D$1:$K$22,_xlpm.slitRow+_xlpm.widthRow,_xlpm.tier),_xlpm.numColors,IF(ISNUMBER(L6),L6,IFERROR(--RIGHT(L6,LEN(L6)-FIND("-",L6)),0)),_xlpm.printRate,IF(OR(K6&lt;&gt;"Printed",_xlpm.numColors=0),0,IF(O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MAX(_xlfn._xlws.FILTER(_xlpm.meters,(_xlpm.widths=_xlpm.qWidth)*(_xlpm.bands=_xlpm.band)))),INDEX(_xlpm.rates,_xlfn.XMATCH(1,(_xlpm.widths=_xlpm.qWidth)*(_xlpm.bands=_xlpm.band)*(_xlpm.meters=_xlpm.targetM),0))/HELPER!$AK$2),_xlfn.LET(_xlpm.colorOffset,IF(_xlpm.numColors&lt;=2,1,IF(_xlpm.numColors&lt;=4,2,3)),_xlpm.supplierRow,IF(O6="Marma",3,IF(O6="Bastin",13,0)),INDEX('Lmntn &amp; Prntng- Marma &amp; Bastin '!$D$1:$K$22,_xlpm.supplierRow+_xlpm.widthRow+_xlpm.colorOffset,_xlpm.tier)))),AH6+_xlpm.slitRate/_xlpm.kgmUsed+_xlpm.printRate/_xlpm.kgmUsed+AJ6),"")</f>
        <v>2.9865761734586624</v>
      </c>
      <c r="AJ6" s="919" cm="1">
        <f t="array" ref="AJ6">IF(OR(K6&lt;&gt;"Printed",L6=0,L6="0",L6=""),0,IFERROR(_xlfn.LET(_xlpm.lam,TEXT(B6,"0"),_xlpm.crit,(TEXT(HELPER!$BZ$2:$BZ$250,"0")=_xlpm.lam)*(HELPER!$CC$2:$CC$250=D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WHITE"},0)))/ROWS(_xlpm.real),_xlpm.numColors,IF(ISNUMBER(L6),L6,IFERROR(--RIGHT(L6,LEN(L6)-FIND("-",L6)),0)),HELPER!$DB$1*_xlpm.numColors*MAX(1,M6)*1.05*_xlpm.nkRatio/Q6),0))</f>
        <v>0</v>
      </c>
      <c r="AK6" s="919">
        <f>IFERROR(V6/(E6/1000*1.55),"")</f>
        <v>0.58787563437837342</v>
      </c>
      <c r="AL6" s="919">
        <f>IFERROR(V6*1000,"")</f>
        <v>109.34486799437745</v>
      </c>
      <c r="AM6" s="73" t="str">
        <f>IF(AND(ISNUMBER(P6),ISNUMBER(Q6),ISNUMBER(R6),ISNUMBER(T6),Q6&gt;0),IF(ABS(T6-R6/Q6)&lt;0.02,IF(AN6="","PASS","CHECK"),"CHECK"),"CHECK")</f>
        <v>PASS</v>
      </c>
      <c r="AN6" s="908" t="str">
        <f t="shared" ref="AN6:AN69" si="0">_xlfn.TEXTJOIN("; ",TRUE,IF(AF6="","Missing BOM/price mapping",""),IF(AR6="","Missing thickness mapping",""),IF(E6+50&gt;IF(O6="Quantum",760,1220),"Lamination width exceeds supplier maximum",""))</f>
        <v/>
      </c>
      <c r="AO6" s="919">
        <f t="shared" ref="AO6:AO69" si="1">D6</f>
        <v>98</v>
      </c>
      <c r="AP6" s="919">
        <f t="shared" ref="AP6:AP69" si="2">P6</f>
        <v>8759.0217924462195</v>
      </c>
      <c r="AQ6" s="919"/>
      <c r="AR6" s="919" cm="1">
        <f t="array" ref="AR6">IFERROR(_xlfn.LET(_xlpm.lam,TEXT(B6,"0"),_xlpm.thick,D6,_xlpm.crit,(TEXT(HELPER!$BZ$2:$BZ$250,"0")=_xlpm.lam)*(HELPER!$CC$2:$CC$250=_xlpm.thick)*(HELPER!$BW$2:$BW$250&lt;&gt;""),_xlpm.mats,TRIM(SUBSTITUTE(_xlfn._xlws.FILTER(HELPER!$BW$2:$BW$250,_xlpm.crit),CHAR(160),"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")),HELPER!$AQ$2:$AQ$20,1),_xlpm.mass,IF(ISNUMBER(SEARCH("paper",_xlpm.mats)),42,_xlpm.dens*_xlpm.ths),E6/1000000*SUM(_xlpm.mass)),"")</f>
        <v>1.14168E-2</v>
      </c>
      <c r="AS6" s="919">
        <f>IFERROR(IF(D6&gt;31,(5%+250/P6)*AF6,VLOOKUP(D6,HELPER!$BH$3:$BI$5,2,TRUE)*AF6),0)</f>
        <v>0.36078637955276432</v>
      </c>
      <c r="AT6" s="919">
        <v>0.15</v>
      </c>
      <c r="AU6" s="919"/>
      <c r="AV6" s="919"/>
      <c r="AW6" s="919"/>
      <c r="AX6" s="919"/>
      <c r="AY6" s="919"/>
      <c r="AZ6" s="919">
        <f t="shared" ref="AZ6:AZ69" si="3">IFERROR(AJ6*Q6,0)</f>
        <v>0</v>
      </c>
    </row>
    <row r="7" spans="1:52">
      <c r="A7" s="73" t="s">
        <v>1419</v>
      </c>
      <c r="B7" s="73">
        <v>120</v>
      </c>
      <c r="C7" s="908" t="s">
        <v>1420</v>
      </c>
      <c r="D7" s="915" cm="1">
        <f t="array" ref="D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7" s="915">
        <v>120</v>
      </c>
      <c r="F7" s="73" t="s">
        <v>1040</v>
      </c>
      <c r="G7" s="916">
        <v>1000</v>
      </c>
      <c r="H7" s="916"/>
      <c r="I7" s="916">
        <v>80</v>
      </c>
      <c r="J7" s="916">
        <v>80</v>
      </c>
      <c r="K7" s="73" t="s">
        <v>123</v>
      </c>
      <c r="L7" s="921" t="s">
        <v>591</v>
      </c>
      <c r="M7" s="915">
        <v>1</v>
      </c>
      <c r="N7" s="73" t="s">
        <v>550</v>
      </c>
      <c r="O7" s="73" t="s">
        <v>240</v>
      </c>
      <c r="P7" s="916" cm="1">
        <f t="array" ref="P7">IFERROR(_xlfn.SWITCH(F7,"By Weight",IF(H7&lt;&gt;"",H7,G7)/AR7,"By Length",G7,"By Imp",G7/MAX(1,ROUNDDOWN(E7/I7,0))*J7/1000,"IMP",G7/MAX(1,ROUNDDOWN(E7/I7,0))*J7/1000,""),"")</f>
        <v>80</v>
      </c>
      <c r="Q7" s="916">
        <f t="shared" ref="Q7:Q70" si="4">IFERROR(P7*AR7,"")</f>
        <v>0.91334399999999993</v>
      </c>
      <c r="R7" s="917">
        <f t="shared" ref="R7:R70" si="5">IFERROR(Q7*T7,"")</f>
        <v>29.803125863142853</v>
      </c>
      <c r="S7" s="918">
        <f t="shared" ref="S7:S70" si="6">IFERROR(R7*1.16,"")</f>
        <v>34.571626001245704</v>
      </c>
      <c r="T7" s="919">
        <f t="shared" ref="T7:T70" si="7">IFERROR(AF7+AG7+AI7+AS7,"")</f>
        <v>32.630778614785726</v>
      </c>
      <c r="U7" s="920">
        <f t="shared" ref="U7:U70" si="8">IFERROR(T7*1.16,"")</f>
        <v>37.851703193151437</v>
      </c>
      <c r="V7" s="919">
        <f t="shared" ref="V7:V70" si="9">IFERROR(W7*AR7,"")</f>
        <v>0.46567384161160708</v>
      </c>
      <c r="W7" s="919">
        <f t="shared" ref="W7:W70" si="10">IFERROR(T7/(1-AT7),"")</f>
        <v>40.788473268482157</v>
      </c>
      <c r="X7" s="919">
        <f t="shared" ref="X7:X70" si="11">IF(OR(I7="",J7=""),"",IFERROR(V7*(J7/1000)/MAX(1,ROUNDDOWN(E7/I7,0)),""))</f>
        <v>3.7253907328928568E-2</v>
      </c>
      <c r="Y7" s="920">
        <f t="shared" ref="Y7:Y70" si="12">IFERROR(V7*1.16,"")</f>
        <v>0.54018165626946413</v>
      </c>
      <c r="Z7" s="920">
        <f t="shared" ref="Z7:Z70" si="13">IFERROR(W7*1.16,"")</f>
        <v>47.314628991439299</v>
      </c>
      <c r="AA7" s="920">
        <f t="shared" ref="AA7:AA70" si="14">IFERROR(X7*1.16,"")</f>
        <v>4.3214532501557136E-2</v>
      </c>
      <c r="AB7" s="917">
        <f t="shared" ref="AB7:AB70" si="15">IFERROR(W7*Q7,"")</f>
        <v>37.253907328928562</v>
      </c>
      <c r="AC7" s="918">
        <f t="shared" ref="AC7:AC70" si="16">IFERROR(AB7*1.16,"")</f>
        <v>43.21453250155713</v>
      </c>
      <c r="AD7" s="916">
        <f t="shared" ref="AD7:AD70" si="17">IFERROR(AE7/AR7,"")</f>
        <v>43795.108962231097</v>
      </c>
      <c r="AE7" s="916">
        <f t="shared" ref="AE7:AE70" si="18">_xlfn.LET(_xlpm.lam,UPPER(SUBSTITUTE(B7&amp;"","LAMINATE","")),IF(_xlpm.lam="608W",2000,IF(_xlpm.lam="608",750,500)))</f>
        <v>500</v>
      </c>
      <c r="AF7" s="919" cm="1">
        <f t="array" ref="AF7">IFERROR(_xlfn.LET(_xlpm.lam,TEXT(B7,"0"),_xlpm.thick,D7,_xlpm.crit,(TEXT(HELPER!$BZ$2:$BZ$250,"0")=_xlpm.lam)*(HELPER!$CC$2:$CC$250=_xlpm.thick)*(HELPER!$BW$2:$BW$250&lt;&gt;""),_xlpm.mats,TRIM(SUBSTITUTE(_xlfn._xlws.FILTER(HELPER!$BW$2:$BW$250,_xlpm.crit),CHAR(160),"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7" s="919">
        <f>IFERROR(IF(N7="Europe to Canada",IF(Q7&lt;1000,VLOOKUP(1000,HELPER!$AG$4:$AH$8,2,FALSE)/Q7,VLOOKUP(Q7,HELPER!$AG$4:$AH$8,2,TRUE)/Q7),IF(N7="Europe to US",HELPER!$AH$2,IF(N7="Europe to Europe",HELPER!$AH$3,0))),0)</f>
        <v>5.4</v>
      </c>
      <c r="AH7" s="919" cm="1">
        <f t="array" ref="AH7">IFERROR(_xlfn.LET(_xlpm.cap,IF(O7="Quantum",760,1220),_xlpm.wUsed,E7*MAX(1,MIN(MAX(2,INT(900/E7)),INT((_xlpm.cap-50)/E7))),_xlpm.kgmUsed,AR7/E7*_xlpm.wUsed,_xlpm.lam,TEXT(B7,"0"),_xlpm.crit,(TEXT(HELPER!$BZ$2:$BZ$250,"0")=_xlpm.lam)*(HELPER!$CC$2:$CC$250=D7)*(HELPER!$BW$2:$BW$250&lt;&gt;""),_xlpm.mats,_xlfn._xlws.FILTER(HELPER!$BW$2:$BW$250,_xlpm.crit),_xlpm.realLayers,SUM((_xlpm.mats&lt;&gt;"")*ISERROR(SEARCH("EPOTAL",_xlpm.mats&amp;""))*ISERROR(SEARCH("BASONAT",_xlpm.mats&amp;""))*ISERROR(SEARCH("ADH",_xlpm.mats&amp;""))*ISERROR(SEARCH("HARDENER",_xlpm.mats&amp;""))),_xlpm.steps,MAX(0,_xlpm.realLayers-1),_xlpm.tier,IF(P7&lt;3000,1,IF(P7&lt;10000,2,IF(P7&lt;25000,3,IF(P7&lt;50000,4,IF(P7&lt;100000,5,IF(P7&lt;250000,6,7)))))),_xlpm.widthRow,IF(_xlpm.wUsed&lt;900,0,5),_xlpm.supplierRow,IF(O7="Marma",3,IF(OR(O7="Bastin",O7="Quantum"),13,0)),_xlpm.rate,INDEX('Lmntn &amp; Prntng- Marma &amp; Bastin '!$D$1:$K$22,_xlpm.supplierRow+_xlpm.widthRow,_xlpm.tier),_xlpm.rate*_xlpm.steps/_xlpm.kgmUsed),"")</f>
        <v>3.7976365656626321</v>
      </c>
      <c r="AI7" s="919" cm="1">
        <f t="array" ref="AI7">IFERROR(_xlfn.LET(_xlpm.cap,IF(O7="Quantum",760,1220),_xlpm.wUsed,E7*MAX(1,MIN(MAX(2,INT(900/E7)),INT((_xlpm.cap-50)/E7))),_xlpm.kgmUsed,AR7/E7*_xlpm.wUsed,_xlpm.tier,IF(P7&lt;3000,1,IF(P7&lt;10000,2,IF(P7&lt;25000,3,IF(P7&lt;50000,4,IF(P7&lt;100000,5,IF(P7&lt;250000,6,IF(P7&lt;500000,7,8))))))),_xlpm.widthRow,IF(_xlpm.wUsed&lt;900,0,5),_xlpm.slitRow,IF(O7="Marma",7,IF(OR(O7="Bastin",O7="Quantum"),17,0)),_xlpm.slitRate,INDEX('Lmntn &amp; Prntng- Marma &amp; Bastin '!$D$1:$K$22,_xlpm.slitRow+_xlpm.widthRow,_xlpm.tier),_xlpm.numColors,IF(ISNUMBER(L7),L7,IFERROR(--RIGHT(L7,LEN(L7)-FIND("-",L7)),0)),_xlpm.printRate,IF(OR(K7&lt;&gt;"Printed",_xlpm.numColors=0),0,IF(O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MAX(_xlfn._xlws.FILTER(_xlpm.meters,(_xlpm.widths=_xlpm.qWidth)*(_xlpm.bands=_xlpm.band)))),INDEX(_xlpm.rates,_xlfn.XMATCH(1,(_xlpm.widths=_xlpm.qWidth)*(_xlpm.bands=_xlpm.band)*(_xlpm.meters=_xlpm.targetM),0))/HELPER!$AK$2),_xlfn.LET(_xlpm.colorOffset,IF(_xlpm.numColors&lt;=2,1,IF(_xlpm.numColors&lt;=4,2,3)),_xlpm.supplierRow,IF(O7="Marma",3,IF(O7="Bastin",13,0)),INDEX('Lmntn &amp; Prntng- Marma &amp; Bastin '!$D$1:$K$22,_xlpm.supplierRow+_xlpm.widthRow+_xlpm.colorOffset,_xlpm.tier)))),AH7+_xlpm.slitRate/_xlpm.kgmUsed+_xlpm.printRate/_xlpm.kgmUsed+AJ7),"")</f>
        <v>8.0527193008799056</v>
      </c>
      <c r="AJ7" s="919" cm="1">
        <f t="array" ref="AJ7">IF(OR(K7&lt;&gt;"Printed",L7=0,L7="0",L7=""),0,IFERROR(_xlfn.LET(_xlpm.lam,TEXT(B7,"0"),_xlpm.crit,(TEXT(HELPER!$BZ$2:$BZ$250,"0")=_xlpm.lam)*(HELPER!$CC$2:$CC$250=D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WHITE"},0)))/ROWS(_xlpm.real),_xlpm.numColors,IF(ISNUMBER(L7),L7,IFERROR(--RIGHT(L7,LEN(L7)-FIND("-",L7)),0)),HELPER!$DB$1*_xlpm.numColors*MAX(1,M7)*1.05*_xlpm.nkRatio/Q7),0))</f>
        <v>0</v>
      </c>
      <c r="AK7" s="919">
        <f t="shared" ref="AK7:AK70" si="19">IFERROR(V7/(E7/1000*1.55),"")</f>
        <v>2.5036228043634789</v>
      </c>
      <c r="AL7" s="919">
        <f t="shared" ref="AL7:AL70" si="20">IFERROR(V7*1000,"")</f>
        <v>465.67384161160709</v>
      </c>
      <c r="AM7" s="73" t="str">
        <f t="shared" ref="AM7:AM70" si="21">IF(AND(ISNUMBER(P7),ISNUMBER(Q7),ISNUMBER(R7),ISNUMBER(T7),Q7&gt;0),IF(ABS(T7-R7/Q7)&lt;0.02,IF(AN7="","PASS","CHECK"),"CHECK"),"CHECK")</f>
        <v>PASS</v>
      </c>
      <c r="AN7" s="908" t="str">
        <f t="shared" si="0"/>
        <v/>
      </c>
      <c r="AO7" s="919">
        <f t="shared" si="1"/>
        <v>98</v>
      </c>
      <c r="AP7" s="919">
        <f t="shared" si="2"/>
        <v>80</v>
      </c>
      <c r="AQ7" s="919"/>
      <c r="AR7" s="919" cm="1">
        <f t="array" ref="AR7">IFERROR(_xlfn.LET(_xlpm.lam,TEXT(B7,"0"),_xlpm.thick,D7,_xlpm.crit,(TEXT(HELPER!$BZ$2:$BZ$250,"0")=_xlpm.lam)*(HELPER!$CC$2:$CC$250=_xlpm.thick)*(HELPER!$BW$2:$BW$250&lt;&gt;""),_xlpm.mats,TRIM(SUBSTITUTE(_xlfn._xlws.FILTER(HELPER!$BW$2:$BW$250,_xlpm.crit),CHAR(160),"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")),HELPER!$AQ$2:$AQ$20,1),_xlpm.mass,IF(ISNUMBER(SEARCH("paper",_xlpm.mats)),42,_xlpm.dens*_xlpm.ths),E7/1000000*SUM(_xlpm.mass)),"")</f>
        <v>1.14168E-2</v>
      </c>
      <c r="AS7" s="919">
        <f>IFERROR(IF(D7&gt;31,(5%+250/P7)*AF7,VLOOKUP(D7,HELPER!$BH$3:$BI$5,2,TRUE)*AF7),0)</f>
        <v>14.584512172850534</v>
      </c>
      <c r="AT7" s="919">
        <v>0.2</v>
      </c>
      <c r="AU7" s="919"/>
      <c r="AV7" s="919"/>
      <c r="AW7" s="919"/>
      <c r="AX7" s="919"/>
      <c r="AY7" s="919"/>
      <c r="AZ7" s="919">
        <f t="shared" si="3"/>
        <v>0</v>
      </c>
    </row>
    <row r="8" spans="1:52">
      <c r="A8" s="73" t="s">
        <v>1421</v>
      </c>
      <c r="B8" s="73">
        <v>120</v>
      </c>
      <c r="C8" s="908" t="s">
        <v>1422</v>
      </c>
      <c r="D8" s="915" cm="1">
        <f t="array" ref="D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8" s="915">
        <v>350</v>
      </c>
      <c r="F8" s="73" t="s">
        <v>560</v>
      </c>
      <c r="G8" s="916">
        <v>5000</v>
      </c>
      <c r="H8" s="916">
        <v>5000</v>
      </c>
      <c r="I8" s="916"/>
      <c r="J8" s="916"/>
      <c r="K8" s="73" t="s">
        <v>123</v>
      </c>
      <c r="L8" s="921" t="s">
        <v>122</v>
      </c>
      <c r="M8" s="915">
        <v>4</v>
      </c>
      <c r="N8" s="73" t="s">
        <v>549</v>
      </c>
      <c r="O8" s="73" t="s">
        <v>1366</v>
      </c>
      <c r="P8" s="916" cm="1">
        <f t="array" ref="P8">IFERROR(_xlfn.SWITCH(F8,"By Weight",IF(H8&lt;&gt;"",H8,G8)/AR8,"By Length",G8,"By Imp",G8/MAX(1,ROUNDDOWN(E8/I8,0))*J8/1000,"IMP",G8/MAX(1,ROUNDDOWN(E8/I8,0))*J8/1000,""),"")</f>
        <v>150154.65929907805</v>
      </c>
      <c r="Q8" s="916">
        <f t="shared" si="4"/>
        <v>5000</v>
      </c>
      <c r="R8" s="917">
        <f t="shared" si="5"/>
        <v>99601.902208566476</v>
      </c>
      <c r="S8" s="918">
        <f t="shared" si="6"/>
        <v>115538.2065619371</v>
      </c>
      <c r="T8" s="919">
        <f t="shared" si="7"/>
        <v>19.920380441713295</v>
      </c>
      <c r="U8" s="920">
        <f t="shared" si="8"/>
        <v>23.107641312387422</v>
      </c>
      <c r="V8" s="919">
        <f t="shared" si="9"/>
        <v>0.78038676273954066</v>
      </c>
      <c r="W8" s="919">
        <f t="shared" si="10"/>
        <v>23.435741696133235</v>
      </c>
      <c r="X8" s="919" t="str">
        <f t="shared" si="11"/>
        <v/>
      </c>
      <c r="Y8" s="920">
        <f t="shared" si="12"/>
        <v>0.90524864477786715</v>
      </c>
      <c r="Z8" s="920">
        <f t="shared" si="13"/>
        <v>27.185460367514551</v>
      </c>
      <c r="AA8" s="920" t="str">
        <f t="shared" si="14"/>
        <v/>
      </c>
      <c r="AB8" s="917">
        <f t="shared" si="15"/>
        <v>117178.70848066617</v>
      </c>
      <c r="AC8" s="918">
        <f t="shared" si="16"/>
        <v>135927.30183757274</v>
      </c>
      <c r="AD8" s="916">
        <f t="shared" si="17"/>
        <v>15015.465929907805</v>
      </c>
      <c r="AE8" s="916">
        <f t="shared" si="18"/>
        <v>500</v>
      </c>
      <c r="AF8" s="919" cm="1">
        <f t="array" ref="AF8">IFERROR(_xlfn.LET(_xlpm.lam,TEXT(B8,"0"),_xlpm.thick,D8,_xlpm.crit,(TEXT(HELPER!$BZ$2:$BZ$250,"0")=_xlpm.lam)*(HELPER!$CC$2:$CC$250=_xlpm.thick)*(HELPER!$BW$2:$BW$250&lt;&gt;""),_xlpm.mats,TRIM(SUBSTITUTE(_xlfn._xlws.FILTER(HELPER!$BW$2:$BW$250,_xlpm.crit),CHAR(160),"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8" s="919">
        <f>IFERROR(IF(N8="Europe to Canada",IF(Q8&lt;1000,VLOOKUP(1000,HELPER!$AG$4:$AH$8,2,FALSE)/Q8,VLOOKUP(Q8,HELPER!$AG$4:$AH$8,2,TRUE)/Q8),IF(N8="Europe to US",HELPER!$AH$2,IF(N8="Europe to Europe",HELPER!$AH$3,0))),0)</f>
        <v>0.2</v>
      </c>
      <c r="AH8" s="919" cm="1">
        <f t="array" ref="AH8">IFERROR(_xlfn.LET(_xlpm.cap,IF(O8="Quantum",760,1220),_xlpm.wUsed,E8*MAX(1,MIN(MAX(2,INT(900/E8)),INT((_xlpm.cap-50)/E8))),_xlpm.kgmUsed,AR8/E8*_xlpm.wUsed,_xlpm.lam,TEXT(B8,"0"),_xlpm.crit,(TEXT(HELPER!$BZ$2:$BZ$250,"0")=_xlpm.lam)*(HELPER!$CC$2:$CC$250=D8)*(HELPER!$BW$2:$BW$250&lt;&gt;""),_xlpm.mats,_xlfn._xlws.FILTER(HELPER!$BW$2:$BW$250,_xlpm.crit),_xlpm.realLayers,SUM((_xlpm.mats&lt;&gt;"")*ISERROR(SEARCH("EPOTAL",_xlpm.mats&amp;""))*ISERROR(SEARCH("BASONAT",_xlpm.mats&amp;""))*ISERROR(SEARCH("ADH",_xlpm.mats&amp;""))*ISERROR(SEARCH("HARDENER",_xlpm.mats&amp;""))),_xlpm.steps,MAX(0,_xlpm.realLayers-1),_xlpm.tier,IF(P8&lt;3000,1,IF(P8&lt;10000,2,IF(P8&lt;25000,3,IF(P8&lt;50000,4,IF(P8&lt;100000,5,IF(P8&lt;250000,6,7)))))),_xlpm.widthRow,IF(_xlpm.wUsed&lt;900,0,5),_xlpm.supplierRow,IF(O8="Marma",3,IF(OR(O8="Bastin",O8="Quantum"),13,0)),_xlpm.rate,INDEX('Lmntn &amp; Prntng- Marma &amp; Bastin '!$D$1:$K$22,_xlpm.supplierRow+_xlpm.widthRow,_xlpm.tier),_xlpm.rate*_xlpm.steps/_xlpm.kgmUsed),"")</f>
        <v>3.278206552749332</v>
      </c>
      <c r="AI8" s="919" cm="1">
        <f t="array" ref="AI8">IFERROR(_xlfn.LET(_xlpm.cap,IF(O8="Quantum",760,1220),_xlpm.wUsed,E8*MAX(1,MIN(MAX(2,INT(900/E8)),INT((_xlpm.cap-50)/E8))),_xlpm.kgmUsed,AR8/E8*_xlpm.wUsed,_xlpm.tier,IF(P8&lt;3000,1,IF(P8&lt;10000,2,IF(P8&lt;25000,3,IF(P8&lt;50000,4,IF(P8&lt;100000,5,IF(P8&lt;250000,6,IF(P8&lt;500000,7,8))))))),_xlpm.widthRow,IF(_xlpm.wUsed&lt;900,0,5),_xlpm.slitRow,IF(O8="Marma",7,IF(OR(O8="Bastin",O8="Quantum"),17,0)),_xlpm.slitRate,INDEX('Lmntn &amp; Prntng- Marma &amp; Bastin '!$D$1:$K$22,_xlpm.slitRow+_xlpm.widthRow,_xlpm.tier),_xlpm.numColors,IF(ISNUMBER(L8),L8,IFERROR(--RIGHT(L8,LEN(L8)-FIND("-",L8)),0)),_xlpm.printRate,IF(OR(K8&lt;&gt;"Printed",_xlpm.numColors=0),0,IF(O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MAX(_xlfn._xlws.FILTER(_xlpm.meters,(_xlpm.widths=_xlpm.qWidth)*(_xlpm.bands=_xlpm.band)))),INDEX(_xlpm.rates,_xlfn.XMATCH(1,(_xlpm.widths=_xlpm.qWidth)*(_xlpm.bands=_xlpm.band)*(_xlpm.meters=_xlpm.targetM),0))/HELPER!$AK$2),_xlfn.LET(_xlpm.colorOffset,IF(_xlpm.numColors&lt;=2,1,IF(_xlpm.numColors&lt;=4,2,3)),_xlpm.supplierRow,IF(O8="Marma",3,IF(O8="Bastin",13,0)),INDEX('Lmntn &amp; Prntng- Marma &amp; Bastin '!$D$1:$K$22,_xlpm.supplierRow+_xlpm.widthRow+_xlpm.colorOffset,_xlpm.tier)))),AH8+_xlpm.slitRate/_xlpm.kgmUsed+_xlpm.printRate/_xlpm.kgmUsed+AJ8),"")</f>
        <v>14.889507917292743</v>
      </c>
      <c r="AJ8" s="919" cm="1">
        <f t="array" ref="AJ8">IF(OR(K8&lt;&gt;"Printed",L8=0,L8="0",L8=""),0,IFERROR(_xlfn.LET(_xlpm.lam,TEXT(B8,"0"),_xlpm.crit,(TEXT(HELPER!$BZ$2:$BZ$250,"0")=_xlpm.lam)*(HELPER!$CC$2:$CC$250=D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WHITE"},0)))/ROWS(_xlpm.real),_xlpm.numColors,IF(ISNUMBER(L8),L8,IFERROR(--RIGHT(L8,LEN(L8)-FIND("-",L8)),0)),HELPER!$DB$1*_xlpm.numColors*MAX(1,M8)*1.05*_xlpm.nkRatio/Q8),0))</f>
        <v>0</v>
      </c>
      <c r="AK8" s="919">
        <f t="shared" si="19"/>
        <v>1.4385009451420105</v>
      </c>
      <c r="AL8" s="919">
        <f t="shared" si="20"/>
        <v>780.3867627395407</v>
      </c>
      <c r="AM8" s="73" t="str">
        <f t="shared" si="21"/>
        <v>PASS</v>
      </c>
      <c r="AN8" s="908" t="str">
        <f t="shared" si="0"/>
        <v/>
      </c>
      <c r="AO8" s="919">
        <f t="shared" si="1"/>
        <v>98</v>
      </c>
      <c r="AP8" s="919">
        <f t="shared" si="2"/>
        <v>150154.65929907805</v>
      </c>
      <c r="AQ8" s="919"/>
      <c r="AR8" s="919" cm="1">
        <f t="array" ref="AR8">IFERROR(_xlfn.LET(_xlpm.lam,TEXT(B8,"0"),_xlpm.thick,D8,_xlpm.crit,(TEXT(HELPER!$BZ$2:$BZ$250,"0")=_xlpm.lam)*(HELPER!$CC$2:$CC$250=_xlpm.thick)*(HELPER!$BW$2:$BW$250&lt;&gt;""),_xlpm.mats,TRIM(SUBSTITUTE(_xlfn._xlws.FILTER(HELPER!$BW$2:$BW$250,_xlpm.crit),CHAR(160),"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")),HELPER!$AQ$2:$AQ$20,1),_xlpm.mass,IF(ISNUMBER(SEARCH("paper",_xlpm.mats)),42,_xlpm.dens*_xlpm.ths),E8/1000000*SUM(_xlpm.mass)),"")</f>
        <v>3.3299000000000002E-2</v>
      </c>
      <c r="AS8" s="919">
        <f>IFERROR(IF(D8&gt;31,(5%+250/P8)*AF8,VLOOKUP(D8,HELPER!$BH$3:$BI$5,2,TRUE)*AF8),0)</f>
        <v>0.23732538336526435</v>
      </c>
      <c r="AT8" s="919">
        <v>0.149999999999998</v>
      </c>
      <c r="AU8" s="919"/>
      <c r="AV8" s="919"/>
      <c r="AW8" s="919"/>
      <c r="AX8" s="919"/>
      <c r="AY8" s="919"/>
      <c r="AZ8" s="919">
        <f t="shared" si="3"/>
        <v>0</v>
      </c>
    </row>
    <row r="9" spans="1:52">
      <c r="A9" s="73" t="s">
        <v>1423</v>
      </c>
      <c r="B9" s="73">
        <v>120</v>
      </c>
      <c r="C9" s="908" t="s">
        <v>1424</v>
      </c>
      <c r="D9" s="915" cm="1">
        <f t="array" ref="D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9" s="915">
        <v>900</v>
      </c>
      <c r="F9" s="73" t="s">
        <v>560</v>
      </c>
      <c r="G9" s="916">
        <v>25000</v>
      </c>
      <c r="H9" s="916">
        <v>25000</v>
      </c>
      <c r="I9" s="916"/>
      <c r="J9" s="916"/>
      <c r="K9" s="73" t="s">
        <v>123</v>
      </c>
      <c r="L9" s="921" t="s">
        <v>592</v>
      </c>
      <c r="M9" s="915">
        <v>8</v>
      </c>
      <c r="N9" s="73" t="s">
        <v>550</v>
      </c>
      <c r="O9" s="73" t="s">
        <v>250</v>
      </c>
      <c r="P9" s="916" cm="1">
        <f t="array" ref="P9">IFERROR(_xlfn.SWITCH(F9,"By Weight",IF(H9&lt;&gt;"",H9,G9)/AR9,"By Length",G9,"By Imp",G9/MAX(1,ROUNDDOWN(E9/I9,0))*J9/1000,"IMP",G9/MAX(1,ROUNDDOWN(E9/I9,0))*J9/1000,""),"")</f>
        <v>291967.39308154065</v>
      </c>
      <c r="Q9" s="916">
        <f t="shared" si="4"/>
        <v>24999.999999999996</v>
      </c>
      <c r="R9" s="917">
        <f t="shared" si="5"/>
        <v>347858.35969652986</v>
      </c>
      <c r="S9" s="918">
        <f t="shared" si="6"/>
        <v>403515.69724797463</v>
      </c>
      <c r="T9" s="919">
        <f t="shared" si="7"/>
        <v>13.914334387861196</v>
      </c>
      <c r="U9" s="920">
        <f t="shared" si="8"/>
        <v>16.140627889918985</v>
      </c>
      <c r="V9" s="919">
        <f t="shared" si="9"/>
        <v>1.401680936817655</v>
      </c>
      <c r="W9" s="919">
        <f t="shared" si="10"/>
        <v>16.369805162189699</v>
      </c>
      <c r="X9" s="919" t="str">
        <f t="shared" si="11"/>
        <v/>
      </c>
      <c r="Y9" s="920">
        <f t="shared" si="12"/>
        <v>1.6259498867084798</v>
      </c>
      <c r="Z9" s="920">
        <f t="shared" si="13"/>
        <v>18.988973988140049</v>
      </c>
      <c r="AA9" s="920" t="str">
        <f t="shared" si="14"/>
        <v/>
      </c>
      <c r="AB9" s="917">
        <f t="shared" si="15"/>
        <v>409245.1290547424</v>
      </c>
      <c r="AC9" s="918">
        <f t="shared" si="16"/>
        <v>474724.34970350115</v>
      </c>
      <c r="AD9" s="916">
        <f t="shared" si="17"/>
        <v>5839.3478616308139</v>
      </c>
      <c r="AE9" s="916">
        <f t="shared" si="18"/>
        <v>500</v>
      </c>
      <c r="AF9" s="919" cm="1">
        <f t="array" ref="AF9">IFERROR(_xlfn.LET(_xlpm.lam,TEXT(B9,"0"),_xlpm.thick,D9,_xlpm.crit,(TEXT(HELPER!$BZ$2:$BZ$250,"0")=_xlpm.lam)*(HELPER!$CC$2:$CC$250=_xlpm.thick)*(HELPER!$BW$2:$BW$250&lt;&gt;""),_xlpm.mats,TRIM(SUBSTITUTE(_xlfn._xlws.FILTER(HELPER!$BW$2:$BW$250,_xlpm.crit),CHAR(160),"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9" s="919">
        <f>IFERROR(IF(N9="Europe to Canada",IF(Q9&lt;1000,VLOOKUP(1000,HELPER!$AG$4:$AH$8,2,FALSE)/Q9,VLOOKUP(Q9,HELPER!$AG$4:$AH$8,2,TRUE)/Q9),IF(N9="Europe to US",HELPER!$AH$2,IF(N9="Europe to Europe",HELPER!$AH$3,0))),0)</f>
        <v>5.4</v>
      </c>
      <c r="AH9" s="919" cm="1">
        <f t="array" ref="AH9">IFERROR(_xlfn.LET(_xlpm.cap,IF(O9="Quantum",760,1220),_xlpm.wUsed,E9*MAX(1,MIN(MAX(2,INT(900/E9)),INT((_xlpm.cap-50)/E9))),_xlpm.kgmUsed,AR9/E9*_xlpm.wUsed,_xlpm.lam,TEXT(B9,"0"),_xlpm.crit,(TEXT(HELPER!$BZ$2:$BZ$250,"0")=_xlpm.lam)*(HELPER!$CC$2:$CC$250=D9)*(HELPER!$BW$2:$BW$250&lt;&gt;""),_xlpm.mats,_xlfn._xlws.FILTER(HELPER!$BW$2:$BW$250,_xlpm.crit),_xlpm.realLayers,SUM((_xlpm.mats&lt;&gt;"")*ISERROR(SEARCH("EPOTAL",_xlpm.mats&amp;""))*ISERROR(SEARCH("BASONAT",_xlpm.mats&amp;""))*ISERROR(SEARCH("ADH",_xlpm.mats&amp;""))*ISERROR(SEARCH("HARDENER",_xlpm.mats&amp;""))),_xlpm.steps,MAX(0,_xlpm.realLayers-1),_xlpm.tier,IF(P9&lt;3000,1,IF(P9&lt;10000,2,IF(P9&lt;25000,3,IF(P9&lt;50000,4,IF(P9&lt;100000,5,IF(P9&lt;250000,6,7)))))),_xlpm.widthRow,IF(_xlpm.wUsed&lt;900,0,5),_xlpm.supplierRow,IF(O9="Marma",3,IF(OR(O9="Bastin",O9="Quantum"),13,0)),_xlpm.rate,INDEX('Lmntn &amp; Prntng- Marma &amp; Bastin '!$D$1:$K$22,_xlpm.supplierRow+_xlpm.widthRow,_xlpm.tier),_xlpm.rate*_xlpm.steps/_xlpm.kgmUsed),"")</f>
        <v>1.9494078901268306</v>
      </c>
      <c r="AI9" s="919" cm="1">
        <f t="array" ref="AI9">IFERROR(_xlfn.LET(_xlpm.cap,IF(O9="Quantum",760,1220),_xlpm.wUsed,E9*MAX(1,MIN(MAX(2,INT(900/E9)),INT((_xlpm.cap-50)/E9))),_xlpm.kgmUsed,AR9/E9*_xlpm.wUsed,_xlpm.tier,IF(P9&lt;3000,1,IF(P9&lt;10000,2,IF(P9&lt;25000,3,IF(P9&lt;50000,4,IF(P9&lt;100000,5,IF(P9&lt;250000,6,IF(P9&lt;500000,7,8))))))),_xlpm.widthRow,IF(_xlpm.wUsed&lt;900,0,5),_xlpm.slitRow,IF(O9="Marma",7,IF(OR(O9="Bastin",O9="Quantum"),17,0)),_xlpm.slitRate,INDEX('Lmntn &amp; Prntng- Marma &amp; Bastin '!$D$1:$K$22,_xlpm.slitRow+_xlpm.widthRow,_xlpm.tier),_xlpm.numColors,IF(ISNUMBER(L9),L9,IFERROR(--RIGHT(L9,LEN(L9)-FIND("-",L9)),0)),_xlpm.printRate,IF(OR(K9&lt;&gt;"Printed",_xlpm.numColors=0),0,IF(O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MAX(_xlfn._xlws.FILTER(_xlpm.meters,(_xlpm.widths=_xlpm.qWidth)*(_xlpm.bands=_xlpm.band)))),INDEX(_xlpm.rates,_xlfn.XMATCH(1,(_xlpm.widths=_xlpm.qWidth)*(_xlpm.bands=_xlpm.band)*(_xlpm.meters=_xlpm.targetM),0))/HELPER!$AK$2),_xlfn.LET(_xlpm.colorOffset,IF(_xlpm.numColors&lt;=2,1,IF(_xlpm.numColors&lt;=4,2,3)),_xlpm.supplierRow,IF(O9="Marma",3,IF(O9="Bastin",13,0)),INDEX('Lmntn &amp; Prntng- Marma &amp; Bastin '!$D$1:$K$22,_xlpm.supplierRow+_xlpm.widthRow+_xlpm.colorOffset,_xlpm.tier)))),AH9+_xlpm.slitRate/_xlpm.kgmUsed+_xlpm.printRate/_xlpm.kgmUsed+AJ9),"")</f>
        <v>3.6871766190781443</v>
      </c>
      <c r="AJ9" s="919" cm="1">
        <f t="array" ref="AJ9">IF(OR(K9&lt;&gt;"Printed",L9=0,L9="0",L9=""),0,IFERROR(_xlfn.LET(_xlpm.lam,TEXT(B9,"0"),_xlpm.crit,(TEXT(HELPER!$BZ$2:$BZ$250,"0")=_xlpm.lam)*(HELPER!$CC$2:$CC$250=D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WHITE"},0)))/ROWS(_xlpm.real),_xlpm.numColors,IF(ISNUMBER(L9),L9,IFERROR(--RIGHT(L9,LEN(L9)-FIND("-",L9)),0)),HELPER!$DB$1*_xlpm.numColors*MAX(1,M9)*1.05*_xlpm.nkRatio/Q9),0))</f>
        <v>0</v>
      </c>
      <c r="AK9" s="919">
        <f t="shared" si="19"/>
        <v>1.0047892020198244</v>
      </c>
      <c r="AL9" s="919">
        <f t="shared" si="20"/>
        <v>1401.680936817655</v>
      </c>
      <c r="AM9" s="73" t="str">
        <f t="shared" si="21"/>
        <v>PASS</v>
      </c>
      <c r="AN9" s="908" t="str">
        <f t="shared" si="0"/>
        <v/>
      </c>
      <c r="AO9" s="919">
        <f t="shared" si="1"/>
        <v>98</v>
      </c>
      <c r="AP9" s="919">
        <f t="shared" si="2"/>
        <v>291967.39308154065</v>
      </c>
      <c r="AQ9" s="919"/>
      <c r="AR9" s="919" cm="1">
        <f t="array" ref="AR9">IFERROR(_xlfn.LET(_xlpm.lam,TEXT(B9,"0"),_xlpm.thick,D9,_xlpm.crit,(TEXT(HELPER!$BZ$2:$BZ$250,"0")=_xlpm.lam)*(HELPER!$CC$2:$CC$250=_xlpm.thick)*(HELPER!$BW$2:$BW$250&lt;&gt;""),_xlpm.mats,TRIM(SUBSTITUTE(_xlfn._xlws.FILTER(HELPER!$BW$2:$BW$250,_xlpm.crit),CHAR(160),"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")),HELPER!$AQ$2:$AQ$20,1),_xlpm.mass,IF(ISNUMBER(SEARCH("paper",_xlpm.mats)),42,_xlpm.dens*_xlpm.ths),E9/1000000*SUM(_xlpm.mass)),"")</f>
        <v>8.5625999999999994E-2</v>
      </c>
      <c r="AS9" s="919">
        <f>IFERROR(IF(D9&gt;31,(5%+250/P9)*AF9,VLOOKUP(D9,HELPER!$BH$3:$BI$5,2,TRUE)*AF9),0)</f>
        <v>0.23361062772776434</v>
      </c>
      <c r="AT9" s="919">
        <v>0.15000000000000299</v>
      </c>
      <c r="AU9" s="919"/>
      <c r="AV9" s="919"/>
      <c r="AW9" s="919"/>
      <c r="AX9" s="919"/>
      <c r="AY9" s="919"/>
      <c r="AZ9" s="919">
        <f t="shared" si="3"/>
        <v>0</v>
      </c>
    </row>
    <row r="10" spans="1:52">
      <c r="A10" s="73" t="s">
        <v>1425</v>
      </c>
      <c r="B10" s="73">
        <v>120</v>
      </c>
      <c r="C10" s="908" t="s">
        <v>1426</v>
      </c>
      <c r="D10" s="915" cm="1">
        <f t="array" ref="D1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0" s="915">
        <v>350</v>
      </c>
      <c r="F10" s="73" t="s">
        <v>561</v>
      </c>
      <c r="G10" s="916">
        <v>2000</v>
      </c>
      <c r="H10" s="916"/>
      <c r="I10" s="916"/>
      <c r="J10" s="916"/>
      <c r="K10" s="73" t="s">
        <v>124</v>
      </c>
      <c r="L10" s="921" t="s">
        <v>221</v>
      </c>
      <c r="M10" s="915">
        <v>1</v>
      </c>
      <c r="N10" s="73" t="s">
        <v>549</v>
      </c>
      <c r="O10" s="73" t="s">
        <v>240</v>
      </c>
      <c r="P10" s="916" cm="1">
        <f t="array" ref="P10">IFERROR(_xlfn.SWITCH(F10,"By Weight",IF(H10&lt;&gt;"",H10,G10)/AR10,"By Length",G10,"By Imp",G10/MAX(1,ROUNDDOWN(E10/I10,0))*J10/1000,"IMP",G10/MAX(1,ROUNDDOWN(E10/I10,0))*J10/1000,""),"")</f>
        <v>2000</v>
      </c>
      <c r="Q10" s="916">
        <f t="shared" si="4"/>
        <v>66.597999999999999</v>
      </c>
      <c r="R10" s="917">
        <f t="shared" si="5"/>
        <v>721.6708366874999</v>
      </c>
      <c r="S10" s="918">
        <f t="shared" si="6"/>
        <v>837.13817055749985</v>
      </c>
      <c r="T10" s="919">
        <f t="shared" si="7"/>
        <v>10.836223860889215</v>
      </c>
      <c r="U10" s="920">
        <f t="shared" si="8"/>
        <v>12.570019678631487</v>
      </c>
      <c r="V10" s="919">
        <f t="shared" si="9"/>
        <v>0.4510442729296858</v>
      </c>
      <c r="W10" s="919">
        <f t="shared" si="10"/>
        <v>13.545279826111468</v>
      </c>
      <c r="X10" s="919" t="str">
        <f t="shared" si="11"/>
        <v/>
      </c>
      <c r="Y10" s="920">
        <f t="shared" si="12"/>
        <v>0.52321135659843554</v>
      </c>
      <c r="Z10" s="920">
        <f t="shared" si="13"/>
        <v>15.712524598289301</v>
      </c>
      <c r="AA10" s="920" t="str">
        <f t="shared" si="14"/>
        <v/>
      </c>
      <c r="AB10" s="917">
        <f t="shared" si="15"/>
        <v>902.08854585937149</v>
      </c>
      <c r="AC10" s="918">
        <f t="shared" si="16"/>
        <v>1046.422713196871</v>
      </c>
      <c r="AD10" s="916">
        <f t="shared" si="17"/>
        <v>15015.465929907805</v>
      </c>
      <c r="AE10" s="916">
        <f t="shared" si="18"/>
        <v>500</v>
      </c>
      <c r="AF10" s="919" cm="1">
        <f t="array" ref="AF10">IFERROR(_xlfn.LET(_xlpm.lam,TEXT(B10,"0"),_xlpm.thick,D10,_xlpm.crit,(TEXT(HELPER!$BZ$2:$BZ$250,"0")=_xlpm.lam)*(HELPER!$CC$2:$CC$250=_xlpm.thick)*(HELPER!$BW$2:$BW$250&lt;&gt;""),_xlpm.mats,TRIM(SUBSTITUTE(_xlfn._xlws.FILTER(HELPER!$BW$2:$BW$250,_xlpm.crit),CHAR(160),"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0" s="919">
        <f>IFERROR(IF(N10="Europe to Canada",IF(Q10&lt;1000,VLOOKUP(1000,HELPER!$AG$4:$AH$8,2,FALSE)/Q10,VLOOKUP(Q10,HELPER!$AG$4:$AH$8,2,TRUE)/Q10),IF(N10="Europe to US",HELPER!$AH$2,IF(N10="Europe to Europe",HELPER!$AH$3,0))),0)</f>
        <v>0.2</v>
      </c>
      <c r="AH10" s="919" cm="1">
        <f t="array" ref="AH10">IFERROR(_xlfn.LET(_xlpm.cap,IF(O10="Quantum",760,1220),_xlpm.wUsed,E10*MAX(1,MIN(MAX(2,INT(900/E10)),INT((_xlpm.cap-50)/E10))),_xlpm.kgmUsed,AR10/E10*_xlpm.wUsed,_xlpm.lam,TEXT(B10,"0"),_xlpm.crit,(TEXT(HELPER!$BZ$2:$BZ$250,"0")=_xlpm.lam)*(HELPER!$CC$2:$CC$250=D10)*(HELPER!$BW$2:$BW$250&lt;&gt;""),_xlpm.mats,_xlfn._xlws.FILTER(HELPER!$BW$2:$BW$250,_xlpm.crit),_xlpm.realLayers,SUM((_xlpm.mats&lt;&gt;"")*ISERROR(SEARCH("EPOTAL",_xlpm.mats&amp;""))*ISERROR(SEARCH("BASONAT",_xlpm.mats&amp;""))*ISERROR(SEARCH("ADH",_xlpm.mats&amp;""))*ISERROR(SEARCH("HARDENER",_xlpm.mats&amp;""))),_xlpm.steps,MAX(0,_xlpm.realLayers-1),_xlpm.tier,IF(P10&lt;3000,1,IF(P10&lt;10000,2,IF(P10&lt;25000,3,IF(P10&lt;50000,4,IF(P10&lt;100000,5,IF(P10&lt;250000,6,7)))))),_xlpm.widthRow,IF(_xlpm.wUsed&lt;900,0,5),_xlpm.supplierRow,IF(O10="Marma",3,IF(OR(O10="Bastin",O10="Quantum"),13,0)),_xlpm.rate,INDEX('Lmntn &amp; Prntng- Marma &amp; Bastin '!$D$1:$K$22,_xlpm.supplierRow+_xlpm.widthRow,_xlpm.tier),_xlpm.rate*_xlpm.steps/_xlpm.kgmUsed),"")</f>
        <v>4.5571638787951585</v>
      </c>
      <c r="AI10" s="919" cm="1">
        <f t="array" ref="AI10">IFERROR(_xlfn.LET(_xlpm.cap,IF(O10="Quantum",760,1220),_xlpm.wUsed,E10*MAX(1,MIN(MAX(2,INT(900/E10)),INT((_xlpm.cap-50)/E10))),_xlpm.kgmUsed,AR10/E10*_xlpm.wUsed,_xlpm.tier,IF(P10&lt;3000,1,IF(P10&lt;10000,2,IF(P10&lt;25000,3,IF(P10&lt;50000,4,IF(P10&lt;100000,5,IF(P10&lt;250000,6,IF(P10&lt;500000,7,8))))))),_xlpm.widthRow,IF(_xlpm.wUsed&lt;900,0,5),_xlpm.slitRow,IF(O10="Marma",7,IF(OR(O10="Bastin",O10="Quantum"),17,0)),_xlpm.slitRate,INDEX('Lmntn &amp; Prntng- Marma &amp; Bastin '!$D$1:$K$22,_xlpm.slitRow+_xlpm.widthRow,_xlpm.tier),_xlpm.numColors,IF(ISNUMBER(L10),L10,IFERROR(--RIGHT(L10,LEN(L10)-FIND("-",L10)),0)),_xlpm.printRate,IF(OR(K10&lt;&gt;"Printed",_xlpm.numColors=0),0,IF(O10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MAX(_xlfn._xlws.FILTER(_xlpm.meters,(_xlpm.widths=_xlpm.qWidth)*(_xlpm.bands=_xlpm.band)))),INDEX(_xlpm.rates,_xlfn.XMATCH(1,(_xlpm.widths=_xlpm.qWidth)*(_xlpm.bands=_xlpm.band)*(_xlpm.meters=_xlpm.targetM),0))/HELPER!$AK$2),_xlfn.LET(_xlpm.colorOffset,IF(_xlpm.numColors&lt;=2,1,IF(_xlpm.numColors&lt;=4,2,3)),_xlpm.supplierRow,IF(O10="Marma",3,IF(O10="Bastin",13,0)),INDEX('Lmntn &amp; Prntng- Marma &amp; Bastin '!$D$1:$K$22,_xlpm.supplierRow+_xlpm.widthRow+_xlpm.colorOffset,_xlpm.tier)))),AH10+_xlpm.slitRate/_xlpm.kgmUsed+_xlpm.printRate/_xlpm.kgmUsed+AJ10),"")</f>
        <v>5.2388059701492535</v>
      </c>
      <c r="AJ10" s="919" cm="1">
        <f t="array" ref="AJ10">IF(OR(K10&lt;&gt;"Printed",L10=0,L10="0",L10=""),0,IFERROR(_xlfn.LET(_xlpm.lam,TEXT(B10,"0"),_xlpm.crit,(TEXT(HELPER!$BZ$2:$BZ$250,"0")=_xlpm.lam)*(HELPER!$CC$2:$CC$250=D10)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WHITE"},0)))/ROWS(_xlpm.real),_xlpm.numColors,IF(ISNUMBER(L10),L10,IFERROR(--RIGHT(L10,LEN(L10)-FIND("-",L10)),0)),HELPER!$DB$1*_xlpm.numColors*MAX(1,M10)*1.05*_xlpm.nkRatio/Q10),0))</f>
        <v>0</v>
      </c>
      <c r="AK10" s="919">
        <f t="shared" si="19"/>
        <v>0.83141801461693232</v>
      </c>
      <c r="AL10" s="919">
        <f t="shared" si="20"/>
        <v>451.0442729296858</v>
      </c>
      <c r="AM10" s="73" t="str">
        <f t="shared" si="21"/>
        <v>PASS</v>
      </c>
      <c r="AN10" s="908" t="str">
        <f t="shared" si="0"/>
        <v/>
      </c>
      <c r="AO10" s="919">
        <f t="shared" si="1"/>
        <v>98</v>
      </c>
      <c r="AP10" s="919">
        <f t="shared" si="2"/>
        <v>2000</v>
      </c>
      <c r="AQ10" s="919"/>
      <c r="AR10" s="919" cm="1">
        <f t="array" ref="AR10">IFERROR(_xlfn.LET(_xlpm.lam,TEXT(B10,"0"),_xlpm.thick,D10,_xlpm.crit,(TEXT(HELPER!$BZ$2:$BZ$250,"0")=_xlpm.lam)*(HELPER!$CC$2:$CC$250=_xlpm.thick)*(HELPER!$BW$2:$BW$250&lt;&gt;""),_xlpm.mats,TRIM(SUBSTITUTE(_xlfn._xlws.FILTER(HELPER!$BW$2:$BW$250,_xlpm.crit),CHAR(160),"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")),HELPER!$AQ$2:$AQ$20,1),_xlpm.mass,IF(ISNUMBER(SEARCH("paper",_xlpm.mats)),42,_xlpm.dens*_xlpm.ths),E10/1000000*SUM(_xlpm.mass)),"")</f>
        <v>3.3299000000000002E-2</v>
      </c>
      <c r="AS10" s="919">
        <f>IFERROR(IF(D10&gt;31,(5%+250/P10)*AF10,VLOOKUP(D10,HELPER!$BH$3:$BI$5,2,TRUE)*AF10),0)</f>
        <v>0.80387074968467509</v>
      </c>
      <c r="AT10" s="919">
        <v>0.19999999999999701</v>
      </c>
      <c r="AU10" s="919"/>
      <c r="AV10" s="919"/>
      <c r="AW10" s="919"/>
      <c r="AX10" s="919"/>
      <c r="AY10" s="919"/>
      <c r="AZ10" s="919">
        <f t="shared" si="3"/>
        <v>0</v>
      </c>
    </row>
    <row r="11" spans="1:52">
      <c r="A11" s="73" t="s">
        <v>1427</v>
      </c>
      <c r="B11" s="73">
        <v>120</v>
      </c>
      <c r="C11" s="908" t="s">
        <v>1428</v>
      </c>
      <c r="D11" s="915" cm="1">
        <f t="array" ref="D1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1" s="915">
        <v>600</v>
      </c>
      <c r="F11" s="73" t="s">
        <v>561</v>
      </c>
      <c r="G11" s="916">
        <v>250000</v>
      </c>
      <c r="H11" s="916"/>
      <c r="I11" s="916"/>
      <c r="J11" s="916"/>
      <c r="K11" s="73" t="s">
        <v>123</v>
      </c>
      <c r="L11" s="921" t="s">
        <v>122</v>
      </c>
      <c r="M11" s="915">
        <v>4</v>
      </c>
      <c r="N11" s="73" t="s">
        <v>550</v>
      </c>
      <c r="O11" s="73" t="s">
        <v>1366</v>
      </c>
      <c r="P11" s="916" cm="1">
        <f t="array" ref="P11">IFERROR(_xlfn.SWITCH(F11,"By Weight",IF(H11&lt;&gt;"",H11,G11)/AR11,"By Length",G11,"By Imp",G11/MAX(1,ROUNDDOWN(E11/I11,0))*J11/1000,"IMP",G11/MAX(1,ROUNDDOWN(E11/I11,0))*J11/1000,""),"")</f>
        <v>250000</v>
      </c>
      <c r="Q11" s="916">
        <f t="shared" si="4"/>
        <v>14270.999999999998</v>
      </c>
      <c r="R11" s="917">
        <f t="shared" si="5"/>
        <v>393474.05339271558</v>
      </c>
      <c r="S11" s="918">
        <f t="shared" si="6"/>
        <v>456429.90193555003</v>
      </c>
      <c r="T11" s="919">
        <f t="shared" si="7"/>
        <v>27.571582467431547</v>
      </c>
      <c r="U11" s="920">
        <f t="shared" si="8"/>
        <v>31.983035662220594</v>
      </c>
      <c r="V11" s="919">
        <f t="shared" si="9"/>
        <v>1.851642604201019</v>
      </c>
      <c r="W11" s="919">
        <f t="shared" si="10"/>
        <v>32.437155844037193</v>
      </c>
      <c r="X11" s="919" t="str">
        <f t="shared" si="11"/>
        <v/>
      </c>
      <c r="Y11" s="920">
        <f t="shared" si="12"/>
        <v>2.1479054208731818</v>
      </c>
      <c r="Z11" s="920">
        <f t="shared" si="13"/>
        <v>37.627100779083143</v>
      </c>
      <c r="AA11" s="920" t="str">
        <f t="shared" si="14"/>
        <v/>
      </c>
      <c r="AB11" s="917">
        <f t="shared" si="15"/>
        <v>462910.6510502547</v>
      </c>
      <c r="AC11" s="918">
        <f t="shared" si="16"/>
        <v>536976.35521829547</v>
      </c>
      <c r="AD11" s="916">
        <f t="shared" si="17"/>
        <v>8759.0217924462195</v>
      </c>
      <c r="AE11" s="916">
        <f t="shared" si="18"/>
        <v>500</v>
      </c>
      <c r="AF11" s="919" cm="1">
        <f t="array" ref="AF11">IFERROR(_xlfn.LET(_xlpm.lam,TEXT(B11,"0"),_xlpm.thick,D11,_xlpm.crit,(TEXT(HELPER!$BZ$2:$BZ$250,"0")=_xlpm.lam)*(HELPER!$CC$2:$CC$250=_xlpm.thick)*(HELPER!$BW$2:$BW$250&lt;&gt;""),_xlpm.mats,TRIM(SUBSTITUTE(_xlfn._xlws.FILTER(HELPER!$BW$2:$BW$250,_xlpm.crit),CHAR(160),"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1" s="919">
        <f>IFERROR(IF(N11="Europe to Canada",IF(Q11&lt;1000,VLOOKUP(1000,HELPER!$AG$4:$AH$8,2,FALSE)/Q11,VLOOKUP(Q11,HELPER!$AG$4:$AH$8,2,TRUE)/Q11),IF(N11="Europe to US",HELPER!$AH$2,IF(N11="Europe to Europe",HELPER!$AH$3,0))),0)</f>
        <v>5.4</v>
      </c>
      <c r="AH11" s="919" cm="1">
        <f t="array" ref="AH11">IFERROR(_xlfn.LET(_xlpm.cap,IF(O11="Quantum",760,1220),_xlpm.wUsed,E11*MAX(1,MIN(MAX(2,INT(900/E11)),INT((_xlpm.cap-50)/E11))),_xlpm.kgmUsed,AR11/E11*_xlpm.wUsed,_xlpm.lam,TEXT(B11,"0"),_xlpm.crit,(TEXT(HELPER!$BZ$2:$BZ$250,"0")=_xlpm.lam)*(HELPER!$CC$2:$CC$250=D11)*(HELPER!$BW$2:$BW$250&lt;&gt;""),_xlpm.mats,_xlfn._xlws.FILTER(HELPER!$BW$2:$BW$250,_xlpm.crit),_xlpm.realLayers,SUM((_xlpm.mats&lt;&gt;"")*ISERROR(SEARCH("EPOTAL",_xlpm.mats&amp;""))*ISERROR(SEARCH("BASONAT",_xlpm.mats&amp;""))*ISERROR(SEARCH("ADH",_xlpm.mats&amp;""))*ISERROR(SEARCH("HARDENER",_xlpm.mats&amp;""))),_xlpm.steps,MAX(0,_xlpm.realLayers-1),_xlpm.tier,IF(P11&lt;3000,1,IF(P11&lt;10000,2,IF(P11&lt;25000,3,IF(P11&lt;50000,4,IF(P11&lt;100000,5,IF(P11&lt;250000,6,7)))))),_xlpm.widthRow,IF(_xlpm.wUsed&lt;900,0,5),_xlpm.supplierRow,IF(O11="Marma",3,IF(OR(O11="Bastin",O11="Quantum"),13,0)),_xlpm.rate,INDEX('Lmntn &amp; Prntng- Marma &amp; Bastin '!$D$1:$K$22,_xlpm.supplierRow+_xlpm.widthRow,_xlpm.tier),_xlpm.rate*_xlpm.steps/_xlpm.kgmUsed),"")</f>
        <v>3.8013453857473203</v>
      </c>
      <c r="AI11" s="919" cm="1">
        <f t="array" ref="AI11">IFERROR(_xlfn.LET(_xlpm.cap,IF(O11="Quantum",760,1220),_xlpm.wUsed,E11*MAX(1,MIN(MAX(2,INT(900/E11)),INT((_xlpm.cap-50)/E11))),_xlpm.kgmUsed,AR11/E11*_xlpm.wUsed,_xlpm.tier,IF(P11&lt;3000,1,IF(P11&lt;10000,2,IF(P11&lt;25000,3,IF(P11&lt;50000,4,IF(P11&lt;100000,5,IF(P11&lt;250000,6,IF(P11&lt;500000,7,8))))))),_xlpm.widthRow,IF(_xlpm.wUsed&lt;900,0,5),_xlpm.slitRow,IF(O11="Marma",7,IF(OR(O11="Bastin",O11="Quantum"),17,0)),_xlpm.slitRate,INDEX('Lmntn &amp; Prntng- Marma &amp; Bastin '!$D$1:$K$22,_xlpm.slitRow+_xlpm.widthRow,_xlpm.tier),_xlpm.numColors,IF(ISNUMBER(L11),L11,IFERROR(--RIGHT(L11,LEN(L11)-FIND("-",L11)),0)),_xlpm.printRate,IF(OR(K11&lt;&gt;"Printed",_xlpm.numColors=0),0,IF(O11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MAX(_xlfn._xlws.FILTER(_xlpm.meters,(_xlpm.widths=_xlpm.qWidth)*(_xlpm.bands=_xlpm.band)))),INDEX(_xlpm.rates,_xlfn.XMATCH(1,(_xlpm.widths=_xlpm.qWidth)*(_xlpm.bands=_xlpm.band)*(_xlpm.meters=_xlpm.targetM),0))/HELPER!$AK$2),_xlfn.LET(_xlpm.colorOffset,IF(_xlpm.numColors&lt;=2,1,IF(_xlpm.numColors&lt;=4,2,3)),_xlpm.supplierRow,IF(O11="Marma",3,IF(O11="Bastin",13,0)),INDEX('Lmntn &amp; Prntng- Marma &amp; Bastin '!$D$1:$K$22,_xlpm.supplierRow+_xlpm.widthRow+_xlpm.colorOffset,_xlpm.tier)))),AH11+_xlpm.slitRate/_xlpm.kgmUsed+_xlpm.printRate/_xlpm.kgmUsed+AJ11),"")</f>
        <v>17.343764422182439</v>
      </c>
      <c r="AJ11" s="919" cm="1">
        <f t="array" ref="AJ11">IF(OR(K11&lt;&gt;"Printed",L11=0,L11="0",L11=""),0,IFERROR(_xlfn.LET(_xlpm.lam,TEXT(B11,"0"),_xlpm.crit,(TEXT(HELPER!$BZ$2:$BZ$250,"0")=_xlpm.lam)*(HELPER!$CC$2:$CC$250=D11)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WHITE"},0)))/ROWS(_xlpm.real),_xlpm.numColors,IF(ISNUMBER(L11),L11,IFERROR(--RIGHT(L11,LEN(L11)-FIND("-",L11)),0)),HELPER!$DB$1*_xlpm.numColors*MAX(1,M11)*1.05*_xlpm.nkRatio/Q11),0))</f>
        <v>0</v>
      </c>
      <c r="AK11" s="919">
        <f t="shared" si="19"/>
        <v>1.9910135529043216</v>
      </c>
      <c r="AL11" s="919">
        <f t="shared" si="20"/>
        <v>1851.6426042010189</v>
      </c>
      <c r="AM11" s="73" t="str">
        <f t="shared" si="21"/>
        <v>PASS</v>
      </c>
      <c r="AN11" s="908" t="str">
        <f t="shared" si="0"/>
        <v/>
      </c>
      <c r="AO11" s="919">
        <f t="shared" si="1"/>
        <v>98</v>
      </c>
      <c r="AP11" s="919">
        <f t="shared" si="2"/>
        <v>250000</v>
      </c>
      <c r="AQ11" s="919"/>
      <c r="AR11" s="919" cm="1">
        <f t="array" ref="AR11">IFERROR(_xlfn.LET(_xlpm.lam,TEXT(B11,"0"),_xlpm.thick,D11,_xlpm.crit,(TEXT(HELPER!$BZ$2:$BZ$250,"0")=_xlpm.lam)*(HELPER!$CC$2:$CC$250=_xlpm.thick)*(HELPER!$BW$2:$BW$250&lt;&gt;""),_xlpm.mats,TRIM(SUBSTITUTE(_xlfn._xlws.FILTER(HELPER!$BW$2:$BW$250,_xlpm.crit),CHAR(160),"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")),HELPER!$AQ$2:$AQ$20,1),_xlpm.mass,IF(ISNUMBER(SEARCH("paper",_xlpm.mats)),42,_xlpm.dens*_xlpm.ths),E11/1000000*SUM(_xlpm.mass)),"")</f>
        <v>5.7083999999999996E-2</v>
      </c>
      <c r="AS11" s="919">
        <f>IFERROR(IF(D11&gt;31,(5%+250/P11)*AF11,VLOOKUP(D11,HELPER!$BH$3:$BI$5,2,TRUE)*AF11),0)</f>
        <v>0.23427090419381963</v>
      </c>
      <c r="AT11" s="919">
        <v>0.15000000000000199</v>
      </c>
      <c r="AU11" s="919"/>
      <c r="AV11" s="919"/>
      <c r="AW11" s="919"/>
      <c r="AX11" s="919"/>
      <c r="AY11" s="919"/>
      <c r="AZ11" s="919">
        <f t="shared" si="3"/>
        <v>0</v>
      </c>
    </row>
    <row r="12" spans="1:52">
      <c r="A12" s="73" t="s">
        <v>1429</v>
      </c>
      <c r="B12" s="73">
        <v>120</v>
      </c>
      <c r="C12" s="908" t="s">
        <v>1430</v>
      </c>
      <c r="D12" s="915" cm="1">
        <f t="array" ref="D1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2" s="915">
        <v>900</v>
      </c>
      <c r="F12" s="73" t="s">
        <v>1040</v>
      </c>
      <c r="G12" s="916">
        <v>1600000</v>
      </c>
      <c r="H12" s="916"/>
      <c r="I12" s="916">
        <v>140</v>
      </c>
      <c r="J12" s="916">
        <v>80</v>
      </c>
      <c r="K12" s="73" t="s">
        <v>123</v>
      </c>
      <c r="L12" s="921" t="s">
        <v>592</v>
      </c>
      <c r="M12" s="915">
        <v>8</v>
      </c>
      <c r="N12" s="73" t="s">
        <v>549</v>
      </c>
      <c r="O12" s="73" t="s">
        <v>250</v>
      </c>
      <c r="P12" s="916" cm="1">
        <f t="array" ref="P12">IFERROR(_xlfn.SWITCH(F12,"By Weight",IF(H12&lt;&gt;"",H12,G12)/AR12,"By Length",G12,"By Imp",G12/MAX(1,ROUNDDOWN(E12/I12,0))*J12/1000,"IMP",G12/MAX(1,ROUNDDOWN(E12/I12,0))*J12/1000,""),"")</f>
        <v>21333.333333333336</v>
      </c>
      <c r="Q12" s="916">
        <f t="shared" si="4"/>
        <v>1826.6880000000001</v>
      </c>
      <c r="R12" s="917">
        <f t="shared" si="5"/>
        <v>17330.732962825619</v>
      </c>
      <c r="S12" s="918">
        <f t="shared" si="6"/>
        <v>20103.650236877718</v>
      </c>
      <c r="T12" s="919">
        <f t="shared" si="7"/>
        <v>9.4875167312784772</v>
      </c>
      <c r="U12" s="920">
        <f t="shared" si="8"/>
        <v>11.005519408283032</v>
      </c>
      <c r="V12" s="919">
        <f t="shared" si="9"/>
        <v>0.95573895015582444</v>
      </c>
      <c r="W12" s="919">
        <f t="shared" si="10"/>
        <v>11.161784389739385</v>
      </c>
      <c r="X12" s="919">
        <f t="shared" si="11"/>
        <v>1.2743186002077659E-2</v>
      </c>
      <c r="Y12" s="920">
        <f t="shared" si="12"/>
        <v>1.1086571821807563</v>
      </c>
      <c r="Z12" s="920">
        <f t="shared" si="13"/>
        <v>12.947669892097686</v>
      </c>
      <c r="AA12" s="920">
        <f t="shared" si="14"/>
        <v>1.4782095762410083E-2</v>
      </c>
      <c r="AB12" s="917">
        <f t="shared" si="15"/>
        <v>20389.097603324259</v>
      </c>
      <c r="AC12" s="918">
        <f t="shared" si="16"/>
        <v>23651.353219856137</v>
      </c>
      <c r="AD12" s="916">
        <f t="shared" si="17"/>
        <v>5839.3478616308139</v>
      </c>
      <c r="AE12" s="916">
        <f t="shared" si="18"/>
        <v>500</v>
      </c>
      <c r="AF12" s="919" cm="1">
        <f t="array" ref="AF12">IFERROR(_xlfn.LET(_xlpm.lam,TEXT(B12,"0"),_xlpm.thick,D12,_xlpm.crit,(TEXT(HELPER!$BZ$2:$BZ$250,"0")=_xlpm.lam)*(HELPER!$CC$2:$CC$250=_xlpm.thick)*(HELPER!$BW$2:$BW$250&lt;&gt;""),_xlpm.mats,TRIM(SUBSTITUTE(_xlfn._xlws.FILTER(HELPER!$BW$2:$BW$250,_xlpm.crit),CHAR(160),"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2" s="919">
        <f>IFERROR(IF(N12="Europe to Canada",IF(Q12&lt;1000,VLOOKUP(1000,HELPER!$AG$4:$AH$8,2,FALSE)/Q12,VLOOKUP(Q12,HELPER!$AG$4:$AH$8,2,TRUE)/Q12),IF(N12="Europe to US",HELPER!$AH$2,IF(N12="Europe to Europe",HELPER!$AH$3,0))),0)</f>
        <v>0.2</v>
      </c>
      <c r="AH12" s="919" cm="1">
        <f t="array" ref="AH12">IFERROR(_xlfn.LET(_xlpm.cap,IF(O12="Quantum",760,1220),_xlpm.wUsed,E12*MAX(1,MIN(MAX(2,INT(900/E12)),INT((_xlpm.cap-50)/E12))),_xlpm.kgmUsed,AR12/E12*_xlpm.wUsed,_xlpm.lam,TEXT(B12,"0"),_xlpm.crit,(TEXT(HELPER!$BZ$2:$BZ$250,"0")=_xlpm.lam)*(HELPER!$CC$2:$CC$250=D12)*(HELPER!$BW$2:$BW$250&lt;&gt;""),_xlpm.mats,_xlfn._xlws.FILTER(HELPER!$BW$2:$BW$250,_xlpm.crit),_xlpm.realLayers,SUM((_xlpm.mats&lt;&gt;"")*ISERROR(SEARCH("EPOTAL",_xlpm.mats&amp;""))*ISERROR(SEARCH("BASONAT",_xlpm.mats&amp;""))*ISERROR(SEARCH("ADH",_xlpm.mats&amp;""))*ISERROR(SEARCH("HARDENER",_xlpm.mats&amp;""))),_xlpm.steps,MAX(0,_xlpm.realLayers-1),_xlpm.tier,IF(P12&lt;3000,1,IF(P12&lt;10000,2,IF(P12&lt;25000,3,IF(P12&lt;50000,4,IF(P12&lt;100000,5,IF(P12&lt;250000,6,7)))))),_xlpm.widthRow,IF(_xlpm.wUsed&lt;900,0,5),_xlpm.supplierRow,IF(O12="Marma",3,IF(OR(O12="Bastin",O12="Quantum"),13,0)),_xlpm.rate,INDEX('Lmntn &amp; Prntng- Marma &amp; Bastin '!$D$1:$K$22,_xlpm.supplierRow+_xlpm.widthRow,_xlpm.tier),_xlpm.rate*_xlpm.steps/_xlpm.kgmUsed),"")</f>
        <v>2.1379020391002737</v>
      </c>
      <c r="AI12" s="919" cm="1">
        <f t="array" ref="AI12">IFERROR(_xlfn.LET(_xlpm.cap,IF(O12="Quantum",760,1220),_xlpm.wUsed,E12*MAX(1,MIN(MAX(2,INT(900/E12)),INT((_xlpm.cap-50)/E12))),_xlpm.kgmUsed,AR12/E12*_xlpm.wUsed,_xlpm.tier,IF(P12&lt;3000,1,IF(P12&lt;10000,2,IF(P12&lt;25000,3,IF(P12&lt;50000,4,IF(P12&lt;100000,5,IF(P12&lt;250000,6,IF(P12&lt;500000,7,8))))))),_xlpm.widthRow,IF(_xlpm.wUsed&lt;900,0,5),_xlpm.slitRow,IF(O12="Marma",7,IF(OR(O12="Bastin",O12="Quantum"),17,0)),_xlpm.slitRate,INDEX('Lmntn &amp; Prntng- Marma &amp; Bastin '!$D$1:$K$22,_xlpm.slitRow+_xlpm.widthRow,_xlpm.tier),_xlpm.numColors,IF(ISNUMBER(L12),L12,IFERROR(--RIGHT(L12,LEN(L12)-FIND("-",L12)),0)),_xlpm.printRate,IF(OR(K12&lt;&gt;"Printed",_xlpm.numColors=0),0,IF(O12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MAX(_xlfn._xlws.FILTER(_xlpm.meters,(_xlpm.widths=_xlpm.qWidth)*(_xlpm.bands=_xlpm.band)))),INDEX(_xlpm.rates,_xlfn.XMATCH(1,(_xlpm.widths=_xlpm.qWidth)*(_xlpm.bands=_xlpm.band)*(_xlpm.meters=_xlpm.targetM),0))/HELPER!$AK$2),_xlfn.LET(_xlpm.colorOffset,IF(_xlpm.numColors&lt;=2,1,IF(_xlpm.numColors&lt;=4,2,3)),_xlpm.supplierRow,IF(O12="Marma",3,IF(O12="Bastin",13,0)),INDEX('Lmntn &amp; Prntng- Marma &amp; Bastin '!$D$1:$K$22,_xlpm.supplierRow+_xlpm.widthRow+_xlpm.colorOffset,_xlpm.tier)))),AH12+_xlpm.slitRate/_xlpm.kgmUsed+_xlpm.printRate/_xlpm.kgmUsed+AJ12),"")</f>
        <v>4.4104616026111838</v>
      </c>
      <c r="AJ12" s="919" cm="1">
        <f t="array" ref="AJ12">IF(OR(K12&lt;&gt;"Printed",L12=0,L12="0",L12=""),0,IFERROR(_xlfn.LET(_xlpm.lam,TEXT(B12,"0"),_xlpm.crit,(TEXT(HELPER!$BZ$2:$BZ$250,"0")=_xlpm.lam)*(HELPER!$CC$2:$CC$250=D12)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WHITE"},0)))/ROWS(_xlpm.real),_xlpm.numColors,IF(ISNUMBER(L12),L12,IFERROR(--RIGHT(L12,LEN(L12)-FIND("-",L12)),0)),HELPER!$DB$1*_xlpm.numColors*MAX(1,M12)*1.05*_xlpm.nkRatio/Q12),0))</f>
        <v>0</v>
      </c>
      <c r="AK12" s="919">
        <f t="shared" si="19"/>
        <v>0.68511752699342254</v>
      </c>
      <c r="AL12" s="919">
        <f t="shared" si="20"/>
        <v>955.73895015582445</v>
      </c>
      <c r="AM12" s="73" t="str">
        <f t="shared" si="21"/>
        <v>PASS</v>
      </c>
      <c r="AN12" s="908" t="str">
        <f t="shared" si="0"/>
        <v/>
      </c>
      <c r="AO12" s="919">
        <f t="shared" si="1"/>
        <v>98</v>
      </c>
      <c r="AP12" s="919">
        <f t="shared" si="2"/>
        <v>21333.333333333336</v>
      </c>
      <c r="AQ12" s="919"/>
      <c r="AR12" s="919" cm="1">
        <f t="array" ref="AR12">IFERROR(_xlfn.LET(_xlpm.lam,TEXT(B12,"0"),_xlpm.thick,D12,_xlpm.crit,(TEXT(HELPER!$BZ$2:$BZ$250,"0")=_xlpm.lam)*(HELPER!$CC$2:$CC$250=_xlpm.thick)*(HELPER!$BW$2:$BW$250&lt;&gt;""),_xlpm.mats,TRIM(SUBSTITUTE(_xlfn._xlws.FILTER(HELPER!$BW$2:$BW$250,_xlpm.crit),CHAR(160),"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")),HELPER!$AQ$2:$AQ$20,1),_xlpm.mass,IF(ISNUMBER(SEARCH("paper",_xlpm.mats)),42,_xlpm.dens*_xlpm.ths),E12/1000000*SUM(_xlpm.mass)),"")</f>
        <v>8.5625999999999994E-2</v>
      </c>
      <c r="AS12" s="919">
        <f>IFERROR(IF(D12&gt;31,(5%+250/P12)*AF12,VLOOKUP(D12,HELPER!$BH$3:$BI$5,2,TRUE)*AF12),0)</f>
        <v>0.28350798761200596</v>
      </c>
      <c r="AT12" s="919">
        <v>0.15</v>
      </c>
      <c r="AU12" s="919"/>
      <c r="AV12" s="919"/>
      <c r="AW12" s="919"/>
      <c r="AX12" s="919"/>
      <c r="AY12" s="919"/>
      <c r="AZ12" s="919">
        <f t="shared" si="3"/>
        <v>0</v>
      </c>
    </row>
    <row r="13" spans="1:52">
      <c r="A13" s="73" t="s">
        <v>1431</v>
      </c>
      <c r="B13" s="73">
        <v>120</v>
      </c>
      <c r="C13" s="908" t="s">
        <v>1432</v>
      </c>
      <c r="D13" s="915" cm="1">
        <f t="array" ref="D1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3" s="915">
        <v>250</v>
      </c>
      <c r="F13" s="73" t="s">
        <v>560</v>
      </c>
      <c r="G13" s="916">
        <v>500</v>
      </c>
      <c r="H13" s="916">
        <v>500</v>
      </c>
      <c r="I13" s="916"/>
      <c r="J13" s="916"/>
      <c r="K13" s="73" t="s">
        <v>124</v>
      </c>
      <c r="L13" s="921" t="s">
        <v>221</v>
      </c>
      <c r="M13" s="915">
        <v>1</v>
      </c>
      <c r="N13" s="73" t="s">
        <v>550</v>
      </c>
      <c r="O13" s="73" t="s">
        <v>240</v>
      </c>
      <c r="P13" s="916" cm="1">
        <f t="array" ref="P13">IFERROR(_xlfn.SWITCH(F13,"By Weight",IF(H13&lt;&gt;"",H13,G13)/AR13,"By Length",G13,"By Imp",G13/MAX(1,ROUNDDOWN(E13/I13,0))*J13/1000,"IMP",G13/MAX(1,ROUNDDOWN(E13/I13,0))*J13/1000,""),"")</f>
        <v>21021.652301870927</v>
      </c>
      <c r="Q13" s="916">
        <f t="shared" si="4"/>
        <v>500</v>
      </c>
      <c r="R13" s="917">
        <f t="shared" si="5"/>
        <v>7042.6054178943541</v>
      </c>
      <c r="S13" s="918">
        <f t="shared" si="6"/>
        <v>8169.4222847574501</v>
      </c>
      <c r="T13" s="919">
        <f t="shared" si="7"/>
        <v>14.085210835788708</v>
      </c>
      <c r="U13" s="920">
        <f t="shared" si="8"/>
        <v>16.338844569514901</v>
      </c>
      <c r="V13" s="919">
        <f t="shared" si="9"/>
        <v>0.4187709246615457</v>
      </c>
      <c r="W13" s="919">
        <f t="shared" si="10"/>
        <v>17.606513544735996</v>
      </c>
      <c r="X13" s="919" t="str">
        <f t="shared" si="11"/>
        <v/>
      </c>
      <c r="Y13" s="920">
        <f t="shared" si="12"/>
        <v>0.48577427260739298</v>
      </c>
      <c r="Z13" s="920">
        <f t="shared" si="13"/>
        <v>20.423555711893755</v>
      </c>
      <c r="AA13" s="920" t="str">
        <f t="shared" si="14"/>
        <v/>
      </c>
      <c r="AB13" s="917">
        <f t="shared" si="15"/>
        <v>8803.2567723679986</v>
      </c>
      <c r="AC13" s="918">
        <f t="shared" si="16"/>
        <v>10211.777855946877</v>
      </c>
      <c r="AD13" s="916">
        <f t="shared" si="17"/>
        <v>21021.652301870927</v>
      </c>
      <c r="AE13" s="916">
        <f t="shared" si="18"/>
        <v>500</v>
      </c>
      <c r="AF13" s="919" cm="1">
        <f t="array" ref="AF13">IFERROR(_xlfn.LET(_xlpm.lam,TEXT(B13,"0"),_xlpm.thick,D13,_xlpm.crit,(TEXT(HELPER!$BZ$2:$BZ$250,"0")=_xlpm.lam)*(HELPER!$CC$2:$CC$250=_xlpm.thick)*(HELPER!$BW$2:$BW$250&lt;&gt;""),_xlpm.mats,TRIM(SUBSTITUTE(_xlfn._xlws.FILTER(HELPER!$BW$2:$BW$250,_xlpm.crit),CHAR(160),"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3" s="919">
        <f>IFERROR(IF(N13="Europe to Canada",IF(Q13&lt;1000,VLOOKUP(1000,HELPER!$AG$4:$AH$8,2,FALSE)/Q13,VLOOKUP(Q13,HELPER!$AG$4:$AH$8,2,TRUE)/Q13),IF(N13="Europe to US",HELPER!$AH$2,IF(N13="Europe to Europe",HELPER!$AH$3,0))),0)</f>
        <v>5.4</v>
      </c>
      <c r="AH13" s="919" cm="1">
        <f t="array" ref="AH13">IFERROR(_xlfn.LET(_xlpm.cap,IF(O13="Quantum",760,1220),_xlpm.wUsed,E13*MAX(1,MIN(MAX(2,INT(900/E13)),INT((_xlpm.cap-50)/E13))),_xlpm.kgmUsed,AR13/E13*_xlpm.wUsed,_xlpm.lam,TEXT(B13,"0"),_xlpm.crit,(TEXT(HELPER!$BZ$2:$BZ$250,"0")=_xlpm.lam)*(HELPER!$CC$2:$CC$250=D13)*(HELPER!$BW$2:$BW$250&lt;&gt;""),_xlpm.mats,_xlfn._xlws.FILTER(HELPER!$BW$2:$BW$250,_xlpm.crit),_xlpm.realLayers,SUM((_xlpm.mats&lt;&gt;"")*ISERROR(SEARCH("EPOTAL",_xlpm.mats&amp;""))*ISERROR(SEARCH("BASONAT",_xlpm.mats&amp;""))*ISERROR(SEARCH("ADH",_xlpm.mats&amp;""))*ISERROR(SEARCH("HARDENER",_xlpm.mats&amp;""))),_xlpm.steps,MAX(0,_xlpm.realLayers-1),_xlpm.tier,IF(P13&lt;3000,1,IF(P13&lt;10000,2,IF(P13&lt;25000,3,IF(P13&lt;50000,4,IF(P13&lt;100000,5,IF(P13&lt;250000,6,7)))))),_xlpm.widthRow,IF(_xlpm.wUsed&lt;900,0,5),_xlpm.supplierRow,IF(O13="Marma",3,IF(OR(O13="Bastin",O13="Quantum"),13,0)),_xlpm.rate,INDEX('Lmntn &amp; Prntng- Marma &amp; Bastin '!$D$1:$K$22,_xlpm.supplierRow+_xlpm.widthRow,_xlpm.tier),_xlpm.rate*_xlpm.steps/_xlpm.kgmUsed),"")</f>
        <v>3.3351271809964262</v>
      </c>
      <c r="AI13" s="919" cm="1">
        <f t="array" ref="AI13">IFERROR(_xlfn.LET(_xlpm.cap,IF(O13="Quantum",760,1220),_xlpm.wUsed,E13*MAX(1,MIN(MAX(2,INT(900/E13)),INT((_xlpm.cap-50)/E13))),_xlpm.kgmUsed,AR13/E13*_xlpm.wUsed,_xlpm.tier,IF(P13&lt;3000,1,IF(P13&lt;10000,2,IF(P13&lt;25000,3,IF(P13&lt;50000,4,IF(P13&lt;100000,5,IF(P13&lt;250000,6,IF(P13&lt;500000,7,8))))))),_xlpm.widthRow,IF(_xlpm.wUsed&lt;900,0,5),_xlpm.slitRow,IF(O13="Marma",7,IF(OR(O13="Bastin",O13="Quantum"),17,0)),_xlpm.slitRate,INDEX('Lmntn &amp; Prntng- Marma &amp; Bastin '!$D$1:$K$22,_xlpm.slitRow+_xlpm.widthRow,_xlpm.tier),_xlpm.numColors,IF(ISNUMBER(L13),L13,IFERROR(--RIGHT(L13,LEN(L13)-FIND("-",L13)),0)),_xlpm.printRate,IF(OR(K13&lt;&gt;"Printed",_xlpm.numColors=0),0,IF(O13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MAX(_xlfn._xlws.FILTER(_xlpm.meters,(_xlpm.widths=_xlpm.qWidth)*(_xlpm.bands=_xlpm.band)))),INDEX(_xlpm.rates,_xlfn.XMATCH(1,(_xlpm.widths=_xlpm.qWidth)*(_xlpm.bands=_xlpm.band)*(_xlpm.meters=_xlpm.targetM),0))/HELPER!$AK$2),_xlfn.LET(_xlpm.colorOffset,IF(_xlpm.numColors&lt;=2,1,IF(_xlpm.numColors&lt;=4,2,3)),_xlpm.supplierRow,IF(O13="Marma",3,IF(O13="Bastin",13,0)),INDEX('Lmntn &amp; Prntng- Marma &amp; Bastin '!$D$1:$K$22,_xlpm.supplierRow+_xlpm.widthRow+_xlpm.colorOffset,_xlpm.tier)))),AH13+_xlpm.slitRate/_xlpm.kgmUsed+_xlpm.printRate/_xlpm.kgmUsed+AJ13),"")</f>
        <v>3.8073575783056546</v>
      </c>
      <c r="AJ13" s="919" cm="1">
        <f t="array" ref="AJ13">IF(OR(K13&lt;&gt;"Printed",L13=0,L13="0",L13=""),0,IFERROR(_xlfn.LET(_xlpm.lam,TEXT(B13,"0"),_xlpm.crit,(TEXT(HELPER!$BZ$2:$BZ$250,"0")=_xlpm.lam)*(HELPER!$CC$2:$CC$250=D13)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WHITE"},0)))/ROWS(_xlpm.real),_xlpm.numColors,IF(ISNUMBER(L13),L13,IFERROR(--RIGHT(L13,LEN(L13)-FIND("-",L13)),0)),HELPER!$DB$1*_xlpm.numColors*MAX(1,M13)*1.05*_xlpm.nkRatio/Q13),0))</f>
        <v>0</v>
      </c>
      <c r="AK13" s="919">
        <f t="shared" si="19"/>
        <v>1.0806991604168921</v>
      </c>
      <c r="AL13" s="919">
        <f t="shared" si="20"/>
        <v>418.77092466154568</v>
      </c>
      <c r="AM13" s="73" t="str">
        <f t="shared" si="21"/>
        <v>PASS</v>
      </c>
      <c r="AN13" s="908" t="str">
        <f t="shared" si="0"/>
        <v/>
      </c>
      <c r="AO13" s="919">
        <f t="shared" si="1"/>
        <v>98</v>
      </c>
      <c r="AP13" s="919">
        <f t="shared" si="2"/>
        <v>21021.652301870927</v>
      </c>
      <c r="AQ13" s="919"/>
      <c r="AR13" s="919" cm="1">
        <f t="array" ref="AR13">IFERROR(_xlfn.LET(_xlpm.lam,TEXT(B13,"0"),_xlpm.thick,D13,_xlpm.crit,(TEXT(HELPER!$BZ$2:$BZ$250,"0")=_xlpm.lam)*(HELPER!$CC$2:$CC$250=_xlpm.thick)*(HELPER!$BW$2:$BW$250&lt;&gt;""),_xlpm.mats,TRIM(SUBSTITUTE(_xlfn._xlws.FILTER(HELPER!$BW$2:$BW$250,_xlpm.crit),CHAR(160),"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")),HELPER!$AQ$2:$AQ$20,1),_xlpm.mass,IF(ISNUMBER(SEARCH("paper",_xlpm.mats)),42,_xlpm.dens*_xlpm.ths),E13/1000000*SUM(_xlpm.mass)),"")</f>
        <v>2.3785000000000001E-2</v>
      </c>
      <c r="AS13" s="919">
        <f>IFERROR(IF(D13&gt;31,(5%+250/P13)*AF13,VLOOKUP(D13,HELPER!$BH$3:$BI$5,2,TRUE)*AF13),0)</f>
        <v>0.28430611642776432</v>
      </c>
      <c r="AT13" s="919">
        <v>0.20000000000000501</v>
      </c>
      <c r="AU13" s="919"/>
      <c r="AV13" s="919"/>
      <c r="AW13" s="919"/>
      <c r="AX13" s="919"/>
      <c r="AY13" s="919"/>
      <c r="AZ13" s="919">
        <f t="shared" si="3"/>
        <v>0</v>
      </c>
    </row>
    <row r="14" spans="1:52">
      <c r="A14" s="73" t="s">
        <v>1433</v>
      </c>
      <c r="B14" s="73">
        <v>120</v>
      </c>
      <c r="C14" s="908" t="s">
        <v>1434</v>
      </c>
      <c r="D14" s="915" cm="1">
        <f t="array" ref="D1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4" s="915">
        <v>600</v>
      </c>
      <c r="F14" s="73" t="s">
        <v>1040</v>
      </c>
      <c r="G14" s="916">
        <v>100000</v>
      </c>
      <c r="H14" s="916"/>
      <c r="I14" s="916">
        <v>300</v>
      </c>
      <c r="J14" s="916">
        <v>200</v>
      </c>
      <c r="K14" s="73" t="s">
        <v>123</v>
      </c>
      <c r="L14" s="921" t="s">
        <v>122</v>
      </c>
      <c r="M14" s="915">
        <v>4</v>
      </c>
      <c r="N14" s="73" t="s">
        <v>549</v>
      </c>
      <c r="O14" s="73" t="s">
        <v>250</v>
      </c>
      <c r="P14" s="916" cm="1">
        <f t="array" ref="P14">IFERROR(_xlfn.SWITCH(F14,"By Weight",IF(H14&lt;&gt;"",H14,G14)/AR14,"By Length",G14,"By Imp",G14/MAX(1,ROUNDDOWN(E14/I14,0))*J14/1000,"IMP",G14/MAX(1,ROUNDDOWN(E14/I14,0))*J14/1000,""),"")</f>
        <v>10000</v>
      </c>
      <c r="Q14" s="916">
        <f t="shared" si="4"/>
        <v>570.83999999999992</v>
      </c>
      <c r="R14" s="917">
        <f t="shared" si="5"/>
        <v>6289.0119837500006</v>
      </c>
      <c r="S14" s="918">
        <f t="shared" si="6"/>
        <v>7295.2539011500003</v>
      </c>
      <c r="T14" s="919">
        <f t="shared" si="7"/>
        <v>11.017118603724338</v>
      </c>
      <c r="U14" s="920">
        <f t="shared" si="8"/>
        <v>12.779857580320231</v>
      </c>
      <c r="V14" s="919">
        <f t="shared" si="9"/>
        <v>0.73988376279411949</v>
      </c>
      <c r="W14" s="919">
        <f t="shared" si="10"/>
        <v>12.961316004381604</v>
      </c>
      <c r="X14" s="919">
        <f t="shared" si="11"/>
        <v>7.3988376279411947E-2</v>
      </c>
      <c r="Y14" s="920">
        <f t="shared" si="12"/>
        <v>0.85826516484117854</v>
      </c>
      <c r="Z14" s="920">
        <f t="shared" si="13"/>
        <v>15.03512656508266</v>
      </c>
      <c r="AA14" s="920">
        <f t="shared" si="14"/>
        <v>8.5826516484117849E-2</v>
      </c>
      <c r="AB14" s="917">
        <f t="shared" si="15"/>
        <v>7398.8376279411941</v>
      </c>
      <c r="AC14" s="918">
        <f t="shared" si="16"/>
        <v>8582.6516484117838</v>
      </c>
      <c r="AD14" s="916">
        <f t="shared" si="17"/>
        <v>8759.0217924462195</v>
      </c>
      <c r="AE14" s="916">
        <f t="shared" si="18"/>
        <v>500</v>
      </c>
      <c r="AF14" s="919" cm="1">
        <f t="array" ref="AF14">IFERROR(_xlfn.LET(_xlpm.lam,TEXT(B14,"0"),_xlpm.thick,D14,_xlpm.crit,(TEXT(HELPER!$BZ$2:$BZ$250,"0")=_xlpm.lam)*(HELPER!$CC$2:$CC$250=_xlpm.thick)*(HELPER!$BW$2:$BW$250&lt;&gt;""),_xlpm.mats,TRIM(SUBSTITUTE(_xlfn._xlws.FILTER(HELPER!$BW$2:$BW$250,_xlpm.crit),CHAR(160),"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4" s="919">
        <f>IFERROR(IF(N14="Europe to Canada",IF(Q14&lt;1000,VLOOKUP(1000,HELPER!$AG$4:$AH$8,2,FALSE)/Q14,VLOOKUP(Q14,HELPER!$AG$4:$AH$8,2,TRUE)/Q14),IF(N14="Europe to US",HELPER!$AH$2,IF(N14="Europe to Europe",HELPER!$AH$3,0))),0)</f>
        <v>0.2</v>
      </c>
      <c r="AH14" s="919" cm="1">
        <f t="array" ref="AH14">IFERROR(_xlfn.LET(_xlpm.cap,IF(O14="Quantum",760,1220),_xlpm.wUsed,E14*MAX(1,MIN(MAX(2,INT(900/E14)),INT((_xlpm.cap-50)/E14))),_xlpm.kgmUsed,AR14/E14*_xlpm.wUsed,_xlpm.lam,TEXT(B14,"0"),_xlpm.crit,(TEXT(HELPER!$BZ$2:$BZ$250,"0")=_xlpm.lam)*(HELPER!$CC$2:$CC$250=D14)*(HELPER!$BW$2:$BW$250&lt;&gt;""),_xlpm.mats,_xlfn._xlws.FILTER(HELPER!$BW$2:$BW$250,_xlpm.crit),_xlpm.realLayers,SUM((_xlpm.mats&lt;&gt;"")*ISERROR(SEARCH("EPOTAL",_xlpm.mats&amp;""))*ISERROR(SEARCH("BASONAT",_xlpm.mats&amp;""))*ISERROR(SEARCH("ADH",_xlpm.mats&amp;""))*ISERROR(SEARCH("HARDENER",_xlpm.mats&amp;""))),_xlpm.steps,MAX(0,_xlpm.realLayers-1),_xlpm.tier,IF(P14&lt;3000,1,IF(P14&lt;10000,2,IF(P14&lt;25000,3,IF(P14&lt;50000,4,IF(P14&lt;100000,5,IF(P14&lt;250000,6,7)))))),_xlpm.widthRow,IF(_xlpm.wUsed&lt;900,0,5),_xlpm.supplierRow,IF(O14="Marma",3,IF(OR(O14="Bastin",O14="Quantum"),13,0)),_xlpm.rate,INDEX('Lmntn &amp; Prntng- Marma &amp; Bastin '!$D$1:$K$22,_xlpm.supplierRow+_xlpm.widthRow,_xlpm.tier),_xlpm.rate*_xlpm.steps/_xlpm.kgmUsed),"")</f>
        <v>3.2068530586504105</v>
      </c>
      <c r="AI14" s="919" cm="1">
        <f t="array" ref="AI14">IFERROR(_xlfn.LET(_xlpm.cap,IF(O14="Quantum",760,1220),_xlpm.wUsed,E14*MAX(1,MIN(MAX(2,INT(900/E14)),INT((_xlpm.cap-50)/E14))),_xlpm.kgmUsed,AR14/E14*_xlpm.wUsed,_xlpm.tier,IF(P14&lt;3000,1,IF(P14&lt;10000,2,IF(P14&lt;25000,3,IF(P14&lt;50000,4,IF(P14&lt;100000,5,IF(P14&lt;250000,6,IF(P14&lt;500000,7,8))))))),_xlpm.widthRow,IF(_xlpm.wUsed&lt;900,0,5),_xlpm.slitRow,IF(O14="Marma",7,IF(OR(O14="Bastin",O14="Quantum"),17,0)),_xlpm.slitRate,INDEX('Lmntn &amp; Prntng- Marma &amp; Bastin '!$D$1:$K$22,_xlpm.slitRow+_xlpm.widthRow,_xlpm.tier),_xlpm.numColors,IF(ISNUMBER(L14),L14,IFERROR(--RIGHT(L14,LEN(L14)-FIND("-",L14)),0)),_xlpm.printRate,IF(OR(K14&lt;&gt;"Printed",_xlpm.numColors=0),0,IF(O14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MAX(_xlfn._xlws.FILTER(_xlpm.meters,(_xlpm.widths=_xlpm.qWidth)*(_xlpm.bands=_xlpm.band)))),INDEX(_xlpm.rates,_xlfn.XMATCH(1,(_xlpm.widths=_xlpm.qWidth)*(_xlpm.bands=_xlpm.band)*(_xlpm.meters=_xlpm.targetM),0))/HELPER!$AK$2),_xlfn.LET(_xlpm.colorOffset,IF(_xlpm.numColors&lt;=2,1,IF(_xlpm.numColors&lt;=4,2,3)),_xlpm.supplierRow,IF(O14="Marma",3,IF(O14="Bastin",13,0)),INDEX('Lmntn &amp; Prntng- Marma &amp; Bastin '!$D$1:$K$22,_xlpm.supplierRow+_xlpm.widthRow+_xlpm.colorOffset,_xlpm.tier)))),AH14+_xlpm.slitRate/_xlpm.kgmUsed+_xlpm.printRate/_xlpm.kgmUsed+AJ14),"")</f>
        <v>5.879055427089904</v>
      </c>
      <c r="AJ14" s="919" cm="1">
        <f t="array" ref="AJ14">IF(OR(K14&lt;&gt;"Printed",L14=0,L14="0",L14=""),0,IFERROR(_xlfn.LET(_xlpm.lam,TEXT(B14,"0"),_xlpm.crit,(TEXT(HELPER!$BZ$2:$BZ$250,"0")=_xlpm.lam)*(HELPER!$CC$2:$CC$250=D14)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WHITE"},0)))/ROWS(_xlpm.real),_xlpm.numColors,IF(ISNUMBER(L14),L14,IFERROR(--RIGHT(L14,LEN(L14)-FIND("-",L14)),0)),HELPER!$DB$1*_xlpm.numColors*MAX(1,M14)*1.05*_xlpm.nkRatio/Q14),0))</f>
        <v>0</v>
      </c>
      <c r="AK14" s="919">
        <f t="shared" si="19"/>
        <v>0.7955739384883006</v>
      </c>
      <c r="AL14" s="919">
        <f t="shared" si="20"/>
        <v>739.88376279411955</v>
      </c>
      <c r="AM14" s="73" t="str">
        <f t="shared" si="21"/>
        <v>PASS</v>
      </c>
      <c r="AN14" s="908" t="str">
        <f t="shared" si="0"/>
        <v/>
      </c>
      <c r="AO14" s="919">
        <f t="shared" si="1"/>
        <v>98</v>
      </c>
      <c r="AP14" s="919">
        <f t="shared" si="2"/>
        <v>10000</v>
      </c>
      <c r="AQ14" s="919"/>
      <c r="AR14" s="919" cm="1">
        <f t="array" ref="AR14">IFERROR(_xlfn.LET(_xlpm.lam,TEXT(B14,"0"),_xlpm.thick,D14,_xlpm.crit,(TEXT(HELPER!$BZ$2:$BZ$250,"0")=_xlpm.lam)*(HELPER!$CC$2:$CC$250=_xlpm.thick)*(HELPER!$BW$2:$BW$250&lt;&gt;""),_xlpm.mats,TRIM(SUBSTITUTE(_xlfn._xlws.FILTER(HELPER!$BW$2:$BW$250,_xlpm.crit),CHAR(160),"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")),HELPER!$AQ$2:$AQ$20,1),_xlpm.mass,IF(ISNUMBER(SEARCH("paper",_xlpm.mats)),42,_xlpm.dens*_xlpm.ths),E14/1000000*SUM(_xlpm.mass)),"")</f>
        <v>5.7083999999999996E-2</v>
      </c>
      <c r="AS14" s="919">
        <f>IFERROR(IF(D14&gt;31,(5%+250/P14)*AF14,VLOOKUP(D14,HELPER!$BH$3:$BI$5,2,TRUE)*AF14),0)</f>
        <v>0.34451603557914656</v>
      </c>
      <c r="AT14" s="919">
        <v>0.15000000000000199</v>
      </c>
      <c r="AU14" s="919"/>
      <c r="AV14" s="919"/>
      <c r="AW14" s="919"/>
      <c r="AX14" s="919"/>
      <c r="AY14" s="919"/>
      <c r="AZ14" s="919">
        <f t="shared" si="3"/>
        <v>0</v>
      </c>
    </row>
    <row r="15" spans="1:52">
      <c r="A15" s="73" t="s">
        <v>1435</v>
      </c>
      <c r="B15" s="73">
        <v>120</v>
      </c>
      <c r="C15" s="908" t="s">
        <v>1436</v>
      </c>
      <c r="D15" s="915" cm="1">
        <f t="array" ref="D1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5" s="915">
        <v>450</v>
      </c>
      <c r="F15" s="73" t="s">
        <v>560</v>
      </c>
      <c r="G15" s="916">
        <v>500</v>
      </c>
      <c r="H15" s="916">
        <v>500</v>
      </c>
      <c r="I15" s="916"/>
      <c r="J15" s="916"/>
      <c r="K15" s="73" t="s">
        <v>123</v>
      </c>
      <c r="L15" s="921" t="s">
        <v>591</v>
      </c>
      <c r="M15" s="915">
        <v>2</v>
      </c>
      <c r="N15" s="73" t="s">
        <v>549</v>
      </c>
      <c r="O15" s="73" t="s">
        <v>1366</v>
      </c>
      <c r="P15" s="916" cm="1">
        <f t="array" ref="P15">IFERROR(_xlfn.SWITCH(F15,"By Weight",IF(H15&lt;&gt;"",H15,G15)/AR15,"By Length",G15,"By Imp",G15/MAX(1,ROUNDDOWN(E15/I15,0))*J15/1000,"IMP",G15/MAX(1,ROUNDDOWN(E15/I15,0))*J15/1000,""),"")</f>
        <v>11678.695723261628</v>
      </c>
      <c r="Q15" s="916">
        <f t="shared" si="4"/>
        <v>500.00000000000006</v>
      </c>
      <c r="R15" s="917">
        <f t="shared" si="5"/>
        <v>13787.849027007132</v>
      </c>
      <c r="S15" s="918">
        <f t="shared" si="6"/>
        <v>15993.904871328272</v>
      </c>
      <c r="T15" s="919">
        <f t="shared" si="7"/>
        <v>27.575698054014261</v>
      </c>
      <c r="U15" s="920">
        <f t="shared" si="8"/>
        <v>31.987809742656541</v>
      </c>
      <c r="V15" s="919">
        <f t="shared" si="9"/>
        <v>1.3889392479841307</v>
      </c>
      <c r="W15" s="919">
        <f t="shared" si="10"/>
        <v>32.441997710604973</v>
      </c>
      <c r="X15" s="919" t="str">
        <f t="shared" si="11"/>
        <v/>
      </c>
      <c r="Y15" s="920">
        <f t="shared" si="12"/>
        <v>1.6111695276615916</v>
      </c>
      <c r="Z15" s="920">
        <f t="shared" si="13"/>
        <v>37.632717344301767</v>
      </c>
      <c r="AA15" s="920" t="str">
        <f t="shared" si="14"/>
        <v/>
      </c>
      <c r="AB15" s="917">
        <f t="shared" si="15"/>
        <v>16220.998855302489</v>
      </c>
      <c r="AC15" s="918">
        <f t="shared" si="16"/>
        <v>18816.358672150887</v>
      </c>
      <c r="AD15" s="916">
        <f t="shared" si="17"/>
        <v>11678.695723261628</v>
      </c>
      <c r="AE15" s="916">
        <f t="shared" si="18"/>
        <v>500</v>
      </c>
      <c r="AF15" s="919" cm="1">
        <f t="array" ref="AF15">IFERROR(_xlfn.LET(_xlpm.lam,TEXT(B15,"0"),_xlpm.thick,D15,_xlpm.crit,(TEXT(HELPER!$BZ$2:$BZ$250,"0")=_xlpm.lam)*(HELPER!$CC$2:$CC$250=_xlpm.thick)*(HELPER!$BW$2:$BW$250&lt;&gt;""),_xlpm.mats,TRIM(SUBSTITUTE(_xlfn._xlws.FILTER(HELPER!$BW$2:$BW$250,_xlpm.crit),CHAR(160),"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5" s="919">
        <f>IFERROR(IF(N15="Europe to Canada",IF(Q15&lt;1000,VLOOKUP(1000,HELPER!$AG$4:$AH$8,2,FALSE)/Q15,VLOOKUP(Q15,HELPER!$AG$4:$AH$8,2,TRUE)/Q15),IF(N15="Europe to US",HELPER!$AH$2,IF(N15="Europe to Europe",HELPER!$AH$3,0))),0)</f>
        <v>0.2</v>
      </c>
      <c r="AH15" s="919" cm="1">
        <f t="array" ref="AH15">IFERROR(_xlfn.LET(_xlpm.cap,IF(O15="Quantum",760,1220),_xlpm.wUsed,E15*MAX(1,MIN(MAX(2,INT(900/E15)),INT((_xlpm.cap-50)/E15))),_xlpm.kgmUsed,AR15/E15*_xlpm.wUsed,_xlpm.lam,TEXT(B15,"0"),_xlpm.crit,(TEXT(HELPER!$BZ$2:$BZ$250,"0")=_xlpm.lam)*(HELPER!$CC$2:$CC$250=D15)*(HELPER!$BW$2:$BW$250&lt;&gt;""),_xlpm.mats,_xlfn._xlws.FILTER(HELPER!$BW$2:$BW$250,_xlpm.crit),_xlpm.realLayers,SUM((_xlpm.mats&lt;&gt;"")*ISERROR(SEARCH("EPOTAL",_xlpm.mats&amp;""))*ISERROR(SEARCH("BASONAT",_xlpm.mats&amp;""))*ISERROR(SEARCH("ADH",_xlpm.mats&amp;""))*ISERROR(SEARCH("HARDENER",_xlpm.mats&amp;""))),_xlpm.steps,MAX(0,_xlpm.realLayers-1),_xlpm.tier,IF(P15&lt;3000,1,IF(P15&lt;10000,2,IF(P15&lt;25000,3,IF(P15&lt;50000,4,IF(P15&lt;100000,5,IF(P15&lt;250000,6,7)))))),_xlpm.widthRow,IF(_xlpm.wUsed&lt;900,0,5),_xlpm.supplierRow,IF(O15="Marma",3,IF(OR(O15="Bastin",O15="Quantum"),13,0)),_xlpm.rate,INDEX('Lmntn &amp; Prntng- Marma &amp; Bastin '!$D$1:$K$22,_xlpm.supplierRow+_xlpm.widthRow,_xlpm.tier),_xlpm.rate*_xlpm.steps/_xlpm.kgmUsed),"")</f>
        <v>5.5585453016607111</v>
      </c>
      <c r="AI15" s="919" cm="1">
        <f t="array" ref="AI15">IFERROR(_xlfn.LET(_xlpm.cap,IF(O15="Quantum",760,1220),_xlpm.wUsed,E15*MAX(1,MIN(MAX(2,INT(900/E15)),INT((_xlpm.cap-50)/E15))),_xlpm.kgmUsed,AR15/E15*_xlpm.wUsed,_xlpm.tier,IF(P15&lt;3000,1,IF(P15&lt;10000,2,IF(P15&lt;25000,3,IF(P15&lt;50000,4,IF(P15&lt;100000,5,IF(P15&lt;250000,6,IF(P15&lt;500000,7,8))))))),_xlpm.widthRow,IF(_xlpm.wUsed&lt;900,0,5),_xlpm.slitRow,IF(O15="Marma",7,IF(OR(O15="Bastin",O15="Quantum"),17,0)),_xlpm.slitRate,INDEX('Lmntn &amp; Prntng- Marma &amp; Bastin '!$D$1:$K$22,_xlpm.slitRow+_xlpm.widthRow,_xlpm.tier),_xlpm.numColors,IF(ISNUMBER(L15),L15,IFERROR(--RIGHT(L15,LEN(L15)-FIND("-",L15)),0)),_xlpm.printRate,IF(OR(K15&lt;&gt;"Printed",_xlpm.numColors=0),0,IF(O15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MAX(_xlfn._xlws.FILTER(_xlpm.meters,(_xlpm.widths=_xlpm.qWidth)*(_xlpm.bands=_xlpm.band)))),INDEX(_xlpm.rates,_xlfn.XMATCH(1,(_xlpm.widths=_xlpm.qWidth)*(_xlpm.bands=_xlpm.band)*(_xlpm.meters=_xlpm.targetM),0))/HELPER!$AK$2),_xlfn.LET(_xlpm.colorOffset,IF(_xlpm.numColors&lt;=2,1,IF(_xlpm.numColors&lt;=4,2,3)),_xlpm.supplierRow,IF(O15="Marma",3,IF(O15="Bastin",13,0)),INDEX('Lmntn &amp; Prntng- Marma &amp; Bastin '!$D$1:$K$22,_xlpm.supplierRow+_xlpm.widthRow+_xlpm.colorOffset,_xlpm.tier)))),AH15+_xlpm.slitRate/_xlpm.kgmUsed+_xlpm.printRate/_xlpm.kgmUsed+AJ15),"")</f>
        <v>22.454141789031208</v>
      </c>
      <c r="AJ15" s="919" cm="1">
        <f t="array" ref="AJ15">IF(OR(K15&lt;&gt;"Printed",L15=0,L15="0",L15=""),0,IFERROR(_xlfn.LET(_xlpm.lam,TEXT(B15,"0"),_xlpm.crit,(TEXT(HELPER!$BZ$2:$BZ$250,"0")=_xlpm.lam)*(HELPER!$CC$2:$CC$250=D15)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WHITE"},0)))/ROWS(_xlpm.real),_xlpm.numColors,IF(ISNUMBER(L15),L15,IFERROR(--RIGHT(L15,LEN(L15)-FIND("-",L15)),0)),HELPER!$DB$1*_xlpm.numColors*MAX(1,M15)*1.05*_xlpm.nkRatio/Q15),0))</f>
        <v>0</v>
      </c>
      <c r="AK15" s="919">
        <f t="shared" si="19"/>
        <v>1.9913107497980369</v>
      </c>
      <c r="AL15" s="919">
        <f t="shared" si="20"/>
        <v>1388.9392479841308</v>
      </c>
      <c r="AM15" s="73" t="str">
        <f t="shared" si="21"/>
        <v>PASS</v>
      </c>
      <c r="AN15" s="908" t="str">
        <f t="shared" si="0"/>
        <v/>
      </c>
      <c r="AO15" s="919">
        <f t="shared" si="1"/>
        <v>98</v>
      </c>
      <c r="AP15" s="919">
        <f t="shared" si="2"/>
        <v>11678.695723261628</v>
      </c>
      <c r="AQ15" s="919"/>
      <c r="AR15" s="919" cm="1">
        <f t="array" ref="AR15">IFERROR(_xlfn.LET(_xlpm.lam,TEXT(B15,"0"),_xlpm.thick,D15,_xlpm.crit,(TEXT(HELPER!$BZ$2:$BZ$250,"0")=_xlpm.lam)*(HELPER!$CC$2:$CC$250=_xlpm.thick)*(HELPER!$BW$2:$BW$250&lt;&gt;""),_xlpm.mats,TRIM(SUBSTITUTE(_xlfn._xlws.FILTER(HELPER!$BW$2:$BW$250,_xlpm.crit),CHAR(160),"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")),HELPER!$AQ$2:$AQ$20,1),_xlpm.mass,IF(ISNUMBER(SEARCH("paper",_xlpm.mats)),42,_xlpm.dens*_xlpm.ths),E15/1000000*SUM(_xlpm.mass)),"")</f>
        <v>4.2812999999999997E-2</v>
      </c>
      <c r="AS15" s="919">
        <f>IFERROR(IF(D15&gt;31,(5%+250/P15)*AF15,VLOOKUP(D15,HELPER!$BH$3:$BI$5,2,TRUE)*AF15),0)</f>
        <v>0.32800912392776432</v>
      </c>
      <c r="AT15" s="919">
        <v>0.149999999999999</v>
      </c>
      <c r="AU15" s="919"/>
      <c r="AV15" s="919"/>
      <c r="AW15" s="919"/>
      <c r="AX15" s="919"/>
      <c r="AY15" s="919"/>
      <c r="AZ15" s="919">
        <f t="shared" si="3"/>
        <v>0</v>
      </c>
    </row>
    <row r="16" spans="1:52">
      <c r="A16" s="73" t="s">
        <v>1437</v>
      </c>
      <c r="B16" s="73">
        <v>418</v>
      </c>
      <c r="C16" s="908" t="s">
        <v>1418</v>
      </c>
      <c r="D16" s="915" cm="1">
        <f t="array" ref="D1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6" s="915">
        <v>120</v>
      </c>
      <c r="F16" s="73" t="s">
        <v>560</v>
      </c>
      <c r="G16" s="916">
        <v>100</v>
      </c>
      <c r="H16" s="916">
        <v>100</v>
      </c>
      <c r="I16" s="916"/>
      <c r="J16" s="916"/>
      <c r="K16" s="73" t="s">
        <v>124</v>
      </c>
      <c r="L16" s="921" t="s">
        <v>221</v>
      </c>
      <c r="M16" s="915">
        <v>1</v>
      </c>
      <c r="N16" s="73" t="s">
        <v>549</v>
      </c>
      <c r="O16" s="73" t="s">
        <v>250</v>
      </c>
      <c r="P16" s="916" cm="1">
        <f t="array" ref="P16">IFERROR(_xlfn.SWITCH(F16,"By Weight",IF(H16&lt;&gt;"",H16,G16)/AR16,"By Length",G16,"By Imp",G16/MAX(1,ROUNDDOWN(E16/I16,0))*J16/1000,"IMP",G16/MAX(1,ROUNDDOWN(E16/I16,0))*J16/1000,""),"")</f>
        <v>12369.50175646925</v>
      </c>
      <c r="Q16" s="916">
        <f t="shared" si="4"/>
        <v>100</v>
      </c>
      <c r="R16" s="917">
        <f t="shared" si="5"/>
        <v>1112.4884352820163</v>
      </c>
      <c r="S16" s="918">
        <f t="shared" si="6"/>
        <v>1290.4865849271389</v>
      </c>
      <c r="T16" s="919">
        <f t="shared" si="7"/>
        <v>11.124884352820162</v>
      </c>
      <c r="U16" s="920">
        <f t="shared" si="8"/>
        <v>12.904865849271387</v>
      </c>
      <c r="V16" s="919">
        <f t="shared" si="9"/>
        <v>0.11242251882742375</v>
      </c>
      <c r="W16" s="919">
        <f t="shared" si="10"/>
        <v>13.906105441025153</v>
      </c>
      <c r="X16" s="919" t="str">
        <f t="shared" si="11"/>
        <v/>
      </c>
      <c r="Y16" s="920">
        <f t="shared" si="12"/>
        <v>0.13041012183981154</v>
      </c>
      <c r="Z16" s="920">
        <f t="shared" si="13"/>
        <v>16.131082311589175</v>
      </c>
      <c r="AA16" s="920" t="str">
        <f t="shared" si="14"/>
        <v/>
      </c>
      <c r="AB16" s="917">
        <f t="shared" si="15"/>
        <v>1390.6105441025152</v>
      </c>
      <c r="AC16" s="918">
        <f t="shared" si="16"/>
        <v>1613.1082311589175</v>
      </c>
      <c r="AD16" s="916">
        <f t="shared" si="17"/>
        <v>61847.508782346245</v>
      </c>
      <c r="AE16" s="916">
        <f t="shared" si="18"/>
        <v>500</v>
      </c>
      <c r="AF16" s="919" cm="1">
        <f t="array" ref="AF16">IFERROR(_xlfn.LET(_xlpm.lam,TEXT(B16,"0"),_xlpm.thick,D16,_xlpm.crit,(TEXT(HELPER!$BZ$2:$BZ$250,"0")=_xlpm.lam)*(HELPER!$CC$2:$CC$250=_xlpm.thick)*(HELPER!$BW$2:$BW$250&lt;&gt;""),_xlpm.mats,TRIM(SUBSTITUTE(_xlfn._xlws.FILTER(HELPER!$BW$2:$BW$250,_xlpm.crit),CHAR(160),"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6" s="919">
        <f>IFERROR(IF(N16="Europe to Canada",IF(Q16&lt;1000,VLOOKUP(1000,HELPER!$AG$4:$AH$8,2,FALSE)/Q16,VLOOKUP(Q16,HELPER!$AG$4:$AH$8,2,TRUE)/Q16),IF(N16="Europe to US",HELPER!$AH$2,IF(N16="Europe to Europe",HELPER!$AH$3,0))),0)</f>
        <v>0.2</v>
      </c>
      <c r="AH16" s="919" cm="1">
        <f t="array" ref="AH16">IFERROR(_xlfn.LET(_xlpm.cap,IF(O16="Quantum",760,1220),_xlpm.wUsed,E16*MAX(1,MIN(MAX(2,INT(900/E16)),INT((_xlpm.cap-50)/E16))),_xlpm.kgmUsed,AR16/E16*_xlpm.wUsed,_xlpm.lam,TEXT(B16,"0"),_xlpm.crit,(TEXT(HELPER!$BZ$2:$BZ$250,"0")=_xlpm.lam)*(HELPER!$CC$2:$CC$250=D16)*(HELPER!$BW$2:$BW$250&lt;&gt;""),_xlpm.mats,_xlfn._xlws.FILTER(HELPER!$BW$2:$BW$250,_xlpm.crit),_xlpm.realLayers,SUM((_xlpm.mats&lt;&gt;"")*ISERROR(SEARCH("EPOTAL",_xlpm.mats&amp;""))*ISERROR(SEARCH("BASONAT",_xlpm.mats&amp;""))*ISERROR(SEARCH("ADH",_xlpm.mats&amp;""))*ISERROR(SEARCH("HARDENER",_xlpm.mats&amp;""))),_xlpm.steps,MAX(0,_xlpm.realLayers-1),_xlpm.tier,IF(P16&lt;3000,1,IF(P16&lt;10000,2,IF(P16&lt;25000,3,IF(P16&lt;50000,4,IF(P16&lt;100000,5,IF(P16&lt;250000,6,7)))))),_xlpm.widthRow,IF(_xlpm.wUsed&lt;900,0,5),_xlpm.supplierRow,IF(O16="Marma",3,IF(OR(O16="Bastin",O16="Quantum"),13,0)),_xlpm.rate,INDEX('Lmntn &amp; Prntng- Marma &amp; Bastin '!$D$1:$K$22,_xlpm.supplierRow+_xlpm.widthRow,_xlpm.tier),_xlpm.rate*_xlpm.steps/_xlpm.kgmUsed),"")</f>
        <v>1.617400708242329</v>
      </c>
      <c r="AI16" s="919" cm="1">
        <f t="array" ref="AI16">IFERROR(_xlfn.LET(_xlpm.cap,IF(O16="Quantum",760,1220),_xlpm.wUsed,E16*MAX(1,MIN(MAX(2,INT(900/E16)),INT((_xlpm.cap-50)/E16))),_xlpm.kgmUsed,AR16/E16*_xlpm.wUsed,_xlpm.tier,IF(P16&lt;3000,1,IF(P16&lt;10000,2,IF(P16&lt;25000,3,IF(P16&lt;50000,4,IF(P16&lt;100000,5,IF(P16&lt;250000,6,IF(P16&lt;500000,7,8))))))),_xlpm.widthRow,IF(_xlpm.wUsed&lt;900,0,5),_xlpm.slitRow,IF(O16="Marma",7,IF(OR(O16="Bastin",O16="Quantum"),17,0)),_xlpm.slitRate,INDEX('Lmntn &amp; Prntng- Marma &amp; Bastin '!$D$1:$K$22,_xlpm.slitRow+_xlpm.widthRow,_xlpm.tier),_xlpm.numColors,IF(ISNUMBER(L16),L16,IFERROR(--RIGHT(L16,LEN(L16)-FIND("-",L16)),0)),_xlpm.printRate,IF(OR(K16&lt;&gt;"Printed",_xlpm.numColors=0),0,IF(O16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MAX(_xlfn._xlws.FILTER(_xlpm.meters,(_xlpm.widths=_xlpm.qWidth)*(_xlpm.bands=_xlpm.band)))),INDEX(_xlpm.rates,_xlfn.XMATCH(1,(_xlpm.widths=_xlpm.qWidth)*(_xlpm.bands=_xlpm.band)*(_xlpm.meters=_xlpm.targetM),0))/HELPER!$AK$2),_xlfn.LET(_xlpm.colorOffset,IF(_xlpm.numColors&lt;=2,1,IF(_xlpm.numColors&lt;=4,2,3)),_xlpm.supplierRow,IF(O16="Marma",3,IF(O16="Bastin",13,0)),INDEX('Lmntn &amp; Prntng- Marma &amp; Bastin '!$D$1:$K$22,_xlpm.supplierRow+_xlpm.widthRow+_xlpm.colorOffset,_xlpm.tier)))),AH16+_xlpm.slitRate/_xlpm.kgmUsed+_xlpm.printRate/_xlpm.kgmUsed+AJ16),"")</f>
        <v>2.0754256875675905</v>
      </c>
      <c r="AJ16" s="919" cm="1">
        <f t="array" ref="AJ16">IF(OR(K16&lt;&gt;"Printed",L16=0,L16="0",L16=""),0,IFERROR(_xlfn.LET(_xlpm.lam,TEXT(B16,"0"),_xlpm.crit,(TEXT(HELPER!$BZ$2:$BZ$250,"0")=_xlpm.lam)*(HELPER!$CC$2:$CC$250=D16)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WHITE"},0)))/ROWS(_xlpm.real),_xlpm.numColors,IF(ISNUMBER(L16),L16,IFERROR(--RIGHT(L16,LEN(L16)-FIND("-",L16)),0)),HELPER!$DB$1*_xlpm.numColors*MAX(1,M16)*1.05*_xlpm.nkRatio/Q16),0))</f>
        <v>0</v>
      </c>
      <c r="AK16" s="919">
        <f t="shared" si="19"/>
        <v>0.60442214423346108</v>
      </c>
      <c r="AL16" s="919">
        <f t="shared" si="20"/>
        <v>112.42251882742376</v>
      </c>
      <c r="AM16" s="73" t="str">
        <f t="shared" si="21"/>
        <v>PASS</v>
      </c>
      <c r="AN16" s="908" t="str">
        <f t="shared" si="0"/>
        <v/>
      </c>
      <c r="AO16" s="919">
        <f t="shared" si="1"/>
        <v>51</v>
      </c>
      <c r="AP16" s="919">
        <f t="shared" si="2"/>
        <v>12369.50175646925</v>
      </c>
      <c r="AQ16" s="919"/>
      <c r="AR16" s="919" cm="1">
        <f t="array" ref="AR16">IFERROR(_xlfn.LET(_xlpm.lam,TEXT(B16,"0"),_xlpm.thick,D16,_xlpm.crit,(TEXT(HELPER!$BZ$2:$BZ$250,"0")=_xlpm.lam)*(HELPER!$CC$2:$CC$250=_xlpm.thick)*(HELPER!$BW$2:$BW$250&lt;&gt;""),_xlpm.mats,TRIM(SUBSTITUTE(_xlfn._xlws.FILTER(HELPER!$BW$2:$BW$250,_xlpm.crit),CHAR(160),"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")),HELPER!$AQ$2:$AQ$20,1),_xlpm.mass,IF(ISNUMBER(SEARCH("paper",_xlpm.mats)),42,_xlpm.dens*_xlpm.ths),E16/1000000*SUM(_xlpm.mass)),"")</f>
        <v>8.0844000000000003E-3</v>
      </c>
      <c r="AS16" s="919">
        <f>IFERROR(IF(D16&gt;31,(5%+250/P16)*AF16,VLOOKUP(D16,HELPER!$BH$3:$BI$5,2,TRUE)*AF16),0)</f>
        <v>0.58056714269059861</v>
      </c>
      <c r="AT16" s="919">
        <v>0.19999999999999701</v>
      </c>
      <c r="AU16" s="919"/>
      <c r="AV16" s="919"/>
      <c r="AW16" s="919"/>
      <c r="AX16" s="919"/>
      <c r="AY16" s="919"/>
      <c r="AZ16" s="919">
        <f t="shared" si="3"/>
        <v>0</v>
      </c>
    </row>
    <row r="17" spans="1:52">
      <c r="A17" s="73" t="s">
        <v>1438</v>
      </c>
      <c r="B17" s="73">
        <v>418</v>
      </c>
      <c r="C17" s="908" t="s">
        <v>1420</v>
      </c>
      <c r="D17" s="915" cm="1">
        <f t="array" ref="D1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7" s="915">
        <v>120</v>
      </c>
      <c r="F17" s="73" t="s">
        <v>1040</v>
      </c>
      <c r="G17" s="916">
        <v>1000</v>
      </c>
      <c r="H17" s="916"/>
      <c r="I17" s="916">
        <v>80</v>
      </c>
      <c r="J17" s="916">
        <v>80</v>
      </c>
      <c r="K17" s="73" t="s">
        <v>123</v>
      </c>
      <c r="L17" s="921" t="s">
        <v>591</v>
      </c>
      <c r="M17" s="915">
        <v>1</v>
      </c>
      <c r="N17" s="73" t="s">
        <v>550</v>
      </c>
      <c r="O17" s="73" t="s">
        <v>240</v>
      </c>
      <c r="P17" s="916" cm="1">
        <f t="array" ref="P17">IFERROR(_xlfn.SWITCH(F17,"By Weight",IF(H17&lt;&gt;"",H17,G17)/AR17,"By Length",G17,"By Imp",G17/MAX(1,ROUNDDOWN(E17/I17,0))*J17/1000,"IMP",G17/MAX(1,ROUNDDOWN(E17/I17,0))*J17/1000,""),"")</f>
        <v>80</v>
      </c>
      <c r="Q17" s="916">
        <f t="shared" si="4"/>
        <v>0.64675199999999999</v>
      </c>
      <c r="R17" s="917">
        <f t="shared" si="5"/>
        <v>346.44066426417857</v>
      </c>
      <c r="S17" s="918">
        <f t="shared" si="6"/>
        <v>401.8711705464471</v>
      </c>
      <c r="T17" s="919">
        <f t="shared" si="7"/>
        <v>535.66230064101626</v>
      </c>
      <c r="U17" s="920">
        <f t="shared" si="8"/>
        <v>621.36826874357882</v>
      </c>
      <c r="V17" s="919">
        <f t="shared" si="9"/>
        <v>5.0947156509438152</v>
      </c>
      <c r="W17" s="919">
        <f t="shared" si="10"/>
        <v>630.19094193060891</v>
      </c>
      <c r="X17" s="919">
        <f t="shared" si="11"/>
        <v>0.40757725207550521</v>
      </c>
      <c r="Y17" s="920">
        <f t="shared" si="12"/>
        <v>5.9098701550948256</v>
      </c>
      <c r="Z17" s="920">
        <f t="shared" si="13"/>
        <v>731.02149263950628</v>
      </c>
      <c r="AA17" s="920">
        <f t="shared" si="14"/>
        <v>0.47278961240758599</v>
      </c>
      <c r="AB17" s="917">
        <f t="shared" si="15"/>
        <v>407.57725207550516</v>
      </c>
      <c r="AC17" s="918">
        <f t="shared" si="16"/>
        <v>472.78961240758593</v>
      </c>
      <c r="AD17" s="916">
        <f t="shared" si="17"/>
        <v>61847.508782346245</v>
      </c>
      <c r="AE17" s="916">
        <f t="shared" si="18"/>
        <v>500</v>
      </c>
      <c r="AF17" s="919" cm="1">
        <f t="array" ref="AF17">IFERROR(_xlfn.LET(_xlpm.lam,TEXT(B17,"0"),_xlpm.thick,D17,_xlpm.crit,(TEXT(HELPER!$BZ$2:$BZ$250,"0")=_xlpm.lam)*(HELPER!$CC$2:$CC$250=_xlpm.thick)*(HELPER!$BW$2:$BW$250&lt;&gt;""),_xlpm.mats,TRIM(SUBSTITUTE(_xlfn._xlws.FILTER(HELPER!$BW$2:$BW$250,_xlpm.crit),CHAR(160),"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7" s="919">
        <f>IFERROR(IF(N17="Europe to Canada",IF(Q17&lt;1000,VLOOKUP(1000,HELPER!$AG$4:$AH$8,2,FALSE)/Q17,VLOOKUP(Q17,HELPER!$AG$4:$AH$8,2,TRUE)/Q17),IF(N17="Europe to US",HELPER!$AH$2,IF(N17="Europe to Europe",HELPER!$AH$3,0))),0)</f>
        <v>5.4</v>
      </c>
      <c r="AH17" s="919" cm="1">
        <f t="array" ref="AH17">IFERROR(_xlfn.LET(_xlpm.cap,IF(O17="Quantum",760,1220),_xlpm.wUsed,E17*MAX(1,MIN(MAX(2,INT(900/E17)),INT((_xlpm.cap-50)/E17))),_xlpm.kgmUsed,AR17/E17*_xlpm.wUsed,_xlpm.lam,TEXT(B17,"0"),_xlpm.crit,(TEXT(HELPER!$BZ$2:$BZ$250,"0")=_xlpm.lam)*(HELPER!$CC$2:$CC$250=D17)*(HELPER!$BW$2:$BW$250&lt;&gt;""),_xlpm.mats,_xlfn._xlws.FILTER(HELPER!$BW$2:$BW$250,_xlpm.crit),_xlpm.realLayers,SUM((_xlpm.mats&lt;&gt;"")*ISERROR(SEARCH("EPOTAL",_xlpm.mats&amp;""))*ISERROR(SEARCH("BASONAT",_xlpm.mats&amp;""))*ISERROR(SEARCH("ADH",_xlpm.mats&amp;""))*ISERROR(SEARCH("HARDENER",_xlpm.mats&amp;""))),_xlpm.steps,MAX(0,_xlpm.realLayers-1),_xlpm.tier,IF(P17&lt;3000,1,IF(P17&lt;10000,2,IF(P17&lt;25000,3,IF(P17&lt;50000,4,IF(P17&lt;100000,5,IF(P17&lt;250000,6,7)))))),_xlpm.widthRow,IF(_xlpm.wUsed&lt;900,0,5),_xlpm.supplierRow,IF(O17="Marma",3,IF(OR(O17="Bastin",O17="Quantum"),13,0)),_xlpm.rate,INDEX('Lmntn &amp; Prntng- Marma &amp; Bastin '!$D$1:$K$22,_xlpm.supplierRow+_xlpm.widthRow,_xlpm.tier),_xlpm.rate*_xlpm.steps/_xlpm.kgmUsed),"")</f>
        <v>2.6815136029177884</v>
      </c>
      <c r="AI17" s="919" cm="1">
        <f t="array" ref="AI17">IFERROR(_xlfn.LET(_xlpm.cap,IF(O17="Quantum",760,1220),_xlpm.wUsed,E17*MAX(1,MIN(MAX(2,INT(900/E17)),INT((_xlpm.cap-50)/E17))),_xlpm.kgmUsed,AR17/E17*_xlpm.wUsed,_xlpm.tier,IF(P17&lt;3000,1,IF(P17&lt;10000,2,IF(P17&lt;25000,3,IF(P17&lt;50000,4,IF(P17&lt;100000,5,IF(P17&lt;250000,6,IF(P17&lt;500000,7,8))))))),_xlpm.widthRow,IF(_xlpm.wUsed&lt;900,0,5),_xlpm.slitRow,IF(O17="Marma",7,IF(OR(O17="Bastin",O17="Quantum"),17,0)),_xlpm.slitRate,INDEX('Lmntn &amp; Prntng- Marma &amp; Bastin '!$D$1:$K$22,_xlpm.slitRow+_xlpm.widthRow,_xlpm.tier),_xlpm.numColors,IF(ISNUMBER(L17),L17,IFERROR(--RIGHT(L17,LEN(L17)-FIND("-",L17)),0)),_xlpm.printRate,IF(OR(K17&lt;&gt;"Printed",_xlpm.numColors=0),0,IF(O17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MAX(_xlfn._xlws.FILTER(_xlpm.meters,(_xlpm.widths=_xlpm.qWidth)*(_xlpm.bands=_xlpm.band)))),INDEX(_xlpm.rates,_xlfn.XMATCH(1,(_xlpm.widths=_xlpm.qWidth)*(_xlpm.bands=_xlpm.band)*(_xlpm.meters=_xlpm.targetM),0))/HELPER!$AK$2),_xlfn.LET(_xlpm.colorOffset,IF(_xlpm.numColors&lt;=2,1,IF(_xlpm.numColors&lt;=4,2,3)),_xlpm.supplierRow,IF(O17="Marma",3,IF(O17="Bastin",13,0)),INDEX('Lmntn &amp; Prntng- Marma &amp; Bastin '!$D$1:$K$22,_xlpm.supplierRow+_xlpm.widthRow+_xlpm.colorOffset,_xlpm.tier)))),AH17+_xlpm.slitRate/_xlpm.kgmUsed+_xlpm.printRate/_xlpm.kgmUsed+AJ17),"")</f>
        <v>495.73967853432003</v>
      </c>
      <c r="AJ17" s="919" cm="1">
        <f t="array" ref="AJ17">IF(OR(K17&lt;&gt;"Printed",L17=0,L17="0",L17=""),0,IFERROR(_xlfn.LET(_xlpm.lam,TEXT(B17,"0"),_xlpm.crit,(TEXT(HELPER!$BZ$2:$BZ$250,"0")=_xlpm.lam)*(HELPER!$CC$2:$CC$250=D17)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WHITE"},0)))/ROWS(_xlpm.real),_xlpm.numColors,IF(ISNUMBER(L17),L17,IFERROR(--RIGHT(L17,LEN(L17)-FIND("-",L17)),0)),HELPER!$DB$1*_xlpm.numColors*MAX(1,M17)*1.05*_xlpm.nkRatio/Q17),0))</f>
        <v>487.04913166097668</v>
      </c>
      <c r="AK17" s="919">
        <f t="shared" si="19"/>
        <v>27.390944359912986</v>
      </c>
      <c r="AL17" s="919">
        <f t="shared" si="20"/>
        <v>5094.7156509438155</v>
      </c>
      <c r="AM17" s="73" t="str">
        <f t="shared" si="21"/>
        <v>PASS</v>
      </c>
      <c r="AN17" s="908" t="str">
        <f t="shared" si="0"/>
        <v/>
      </c>
      <c r="AO17" s="919">
        <f t="shared" si="1"/>
        <v>51</v>
      </c>
      <c r="AP17" s="919">
        <f t="shared" si="2"/>
        <v>80</v>
      </c>
      <c r="AQ17" s="919"/>
      <c r="AR17" s="919" cm="1">
        <f t="array" ref="AR17">IFERROR(_xlfn.LET(_xlpm.lam,TEXT(B17,"0"),_xlpm.thick,D17,_xlpm.crit,(TEXT(HELPER!$BZ$2:$BZ$250,"0")=_xlpm.lam)*(HELPER!$CC$2:$CC$250=_xlpm.thick)*(HELPER!$BW$2:$BW$250&lt;&gt;""),_xlpm.mats,TRIM(SUBSTITUTE(_xlfn._xlws.FILTER(HELPER!$BW$2:$BW$250,_xlpm.crit),CHAR(160),"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")),HELPER!$AQ$2:$AQ$20,1),_xlpm.mass,IF(ISNUMBER(SEARCH("paper",_xlpm.mats)),42,_xlpm.dens*_xlpm.ths),E17/1000000*SUM(_xlpm.mass)),"")</f>
        <v>8.0844000000000003E-3</v>
      </c>
      <c r="AS17" s="919">
        <f>IFERROR(IF(D17&gt;31,(5%+250/P17)*AF17,VLOOKUP(D17,HELPER!$BH$3:$BI$5,2,TRUE)*AF17),0)</f>
        <v>26.25373058413426</v>
      </c>
      <c r="AT17" s="919">
        <v>0.15000000000000199</v>
      </c>
      <c r="AU17" s="919"/>
      <c r="AV17" s="919"/>
      <c r="AW17" s="919"/>
      <c r="AX17" s="919"/>
      <c r="AY17" s="919"/>
      <c r="AZ17" s="919">
        <f t="shared" si="3"/>
        <v>315</v>
      </c>
    </row>
    <row r="18" spans="1:52">
      <c r="A18" s="73" t="s">
        <v>1439</v>
      </c>
      <c r="B18" s="73">
        <v>418</v>
      </c>
      <c r="C18" s="908" t="s">
        <v>1422</v>
      </c>
      <c r="D18" s="915" cm="1">
        <f t="array" ref="D1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8" s="915">
        <v>350</v>
      </c>
      <c r="F18" s="73" t="s">
        <v>560</v>
      </c>
      <c r="G18" s="916">
        <v>5000</v>
      </c>
      <c r="H18" s="916">
        <v>5000</v>
      </c>
      <c r="I18" s="916"/>
      <c r="J18" s="916"/>
      <c r="K18" s="73" t="s">
        <v>123</v>
      </c>
      <c r="L18" s="921" t="s">
        <v>122</v>
      </c>
      <c r="M18" s="915">
        <v>4</v>
      </c>
      <c r="N18" s="73" t="s">
        <v>549</v>
      </c>
      <c r="O18" s="73" t="s">
        <v>1366</v>
      </c>
      <c r="P18" s="916" cm="1">
        <f t="array" ref="P18">IFERROR(_xlfn.SWITCH(F18,"By Weight",IF(H18&lt;&gt;"",H18,G18)/AR18,"By Length",G18,"By Imp",G18/MAX(1,ROUNDDOWN(E18/I18,0))*J18/1000,"IMP",G18/MAX(1,ROUNDDOWN(E18/I18,0))*J18/1000,""),"")</f>
        <v>212048.60153947285</v>
      </c>
      <c r="Q18" s="916">
        <f t="shared" si="4"/>
        <v>5000</v>
      </c>
      <c r="R18" s="917">
        <f t="shared" si="5"/>
        <v>140541.61631775316</v>
      </c>
      <c r="S18" s="918">
        <f t="shared" si="6"/>
        <v>163028.27492859366</v>
      </c>
      <c r="T18" s="919">
        <f t="shared" si="7"/>
        <v>28.108323263550631</v>
      </c>
      <c r="U18" s="920">
        <f t="shared" si="8"/>
        <v>32.605654985718729</v>
      </c>
      <c r="V18" s="919">
        <f t="shared" si="9"/>
        <v>0.77974142163869653</v>
      </c>
      <c r="W18" s="919">
        <f t="shared" si="10"/>
        <v>33.068615604177211</v>
      </c>
      <c r="X18" s="919" t="str">
        <f t="shared" si="11"/>
        <v/>
      </c>
      <c r="Y18" s="920">
        <f t="shared" si="12"/>
        <v>0.90450004910088788</v>
      </c>
      <c r="Z18" s="920">
        <f t="shared" si="13"/>
        <v>38.359594100845563</v>
      </c>
      <c r="AA18" s="920" t="str">
        <f t="shared" si="14"/>
        <v/>
      </c>
      <c r="AB18" s="917">
        <f t="shared" si="15"/>
        <v>165343.07802088605</v>
      </c>
      <c r="AC18" s="918">
        <f t="shared" si="16"/>
        <v>191797.97050422782</v>
      </c>
      <c r="AD18" s="916">
        <f t="shared" si="17"/>
        <v>21204.860153947284</v>
      </c>
      <c r="AE18" s="916">
        <f t="shared" si="18"/>
        <v>500</v>
      </c>
      <c r="AF18" s="919" cm="1">
        <f t="array" ref="AF18">IFERROR(_xlfn.LET(_xlpm.lam,TEXT(B18,"0"),_xlpm.thick,D18,_xlpm.crit,(TEXT(HELPER!$BZ$2:$BZ$250,"0")=_xlpm.lam)*(HELPER!$CC$2:$CC$250=_xlpm.thick)*(HELPER!$BW$2:$BW$250&lt;&gt;""),_xlpm.mats,TRIM(SUBSTITUTE(_xlfn._xlws.FILTER(HELPER!$BW$2:$BW$250,_xlpm.crit),CHAR(160),"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8" s="919">
        <f>IFERROR(IF(N18="Europe to Canada",IF(Q18&lt;1000,VLOOKUP(1000,HELPER!$AG$4:$AH$8,2,FALSE)/Q18,VLOOKUP(Q18,HELPER!$AG$4:$AH$8,2,TRUE)/Q18),IF(N18="Europe to US",HELPER!$AH$2,IF(N18="Europe to Europe",HELPER!$AH$3,0))),0)</f>
        <v>0.2</v>
      </c>
      <c r="AH18" s="919" cm="1">
        <f t="array" ref="AH18">IFERROR(_xlfn.LET(_xlpm.cap,IF(O18="Quantum",760,1220),_xlpm.wUsed,E18*MAX(1,MIN(MAX(2,INT(900/E18)),INT((_xlpm.cap-50)/E18))),_xlpm.kgmUsed,AR18/E18*_xlpm.wUsed,_xlpm.lam,TEXT(B18,"0"),_xlpm.crit,(TEXT(HELPER!$BZ$2:$BZ$250,"0")=_xlpm.lam)*(HELPER!$CC$2:$CC$250=D18)*(HELPER!$BW$2:$BW$250&lt;&gt;""),_xlpm.mats,_xlfn._xlws.FILTER(HELPER!$BW$2:$BW$250,_xlpm.crit),_xlpm.realLayers,SUM((_xlpm.mats&lt;&gt;"")*ISERROR(SEARCH("EPOTAL",_xlpm.mats&amp;""))*ISERROR(SEARCH("BASONAT",_xlpm.mats&amp;""))*ISERROR(SEARCH("ADH",_xlpm.mats&amp;""))*ISERROR(SEARCH("HARDENER",_xlpm.mats&amp;""))),_xlpm.steps,MAX(0,_xlpm.realLayers-1),_xlpm.tier,IF(P18&lt;3000,1,IF(P18&lt;10000,2,IF(P18&lt;25000,3,IF(P18&lt;50000,4,IF(P18&lt;100000,5,IF(P18&lt;250000,6,7)))))),_xlpm.widthRow,IF(_xlpm.wUsed&lt;900,0,5),_xlpm.supplierRow,IF(O18="Marma",3,IF(OR(O18="Bastin",O18="Quantum"),13,0)),_xlpm.rate,INDEX('Lmntn &amp; Prntng- Marma &amp; Bastin '!$D$1:$K$22,_xlpm.supplierRow+_xlpm.widthRow,_xlpm.tier),_xlpm.rate*_xlpm.steps/_xlpm.kgmUsed),"")</f>
        <v>2.3147437392650398</v>
      </c>
      <c r="AI18" s="919" cm="1">
        <f t="array" ref="AI18">IFERROR(_xlfn.LET(_xlpm.cap,IF(O18="Quantum",760,1220),_xlpm.wUsed,E18*MAX(1,MIN(MAX(2,INT(900/E18)),INT((_xlpm.cap-50)/E18))),_xlpm.kgmUsed,AR18/E18*_xlpm.wUsed,_xlpm.tier,IF(P18&lt;3000,1,IF(P18&lt;10000,2,IF(P18&lt;25000,3,IF(P18&lt;50000,4,IF(P18&lt;100000,5,IF(P18&lt;250000,6,IF(P18&lt;500000,7,8))))))),_xlpm.widthRow,IF(_xlpm.wUsed&lt;900,0,5),_xlpm.slitRow,IF(O18="Marma",7,IF(OR(O18="Bastin",O18="Quantum"),17,0)),_xlpm.slitRate,INDEX('Lmntn &amp; Prntng- Marma &amp; Bastin '!$D$1:$K$22,_xlpm.slitRow+_xlpm.widthRow,_xlpm.tier),_xlpm.numColors,IF(ISNUMBER(L18),L18,IFERROR(--RIGHT(L18,LEN(L18)-FIND("-",L18)),0)),_xlpm.printRate,IF(OR(K18&lt;&gt;"Printed",_xlpm.numColors=0),0,IF(O18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MAX(_xlfn._xlws.FILTER(_xlpm.meters,(_xlpm.widths=_xlpm.qWidth)*(_xlpm.bands=_xlpm.band)))),INDEX(_xlpm.rates,_xlfn.XMATCH(1,(_xlpm.widths=_xlpm.qWidth)*(_xlpm.bands=_xlpm.band)*(_xlpm.meters=_xlpm.targetM),0))/HELPER!$AK$2),_xlfn.LET(_xlpm.colorOffset,IF(_xlpm.numColors&lt;=2,1,IF(_xlpm.numColors&lt;=4,2,3)),_xlpm.supplierRow,IF(O18="Marma",3,IF(O18="Bastin",13,0)),INDEX('Lmntn &amp; Prntng- Marma &amp; Bastin '!$D$1:$K$22,_xlpm.supplierRow+_xlpm.widthRow+_xlpm.colorOffset,_xlpm.tier)))),AH18+_xlpm.slitRate/_xlpm.kgmUsed+_xlpm.printRate/_xlpm.kgmUsed+AJ18),"")</f>
        <v>19.216238348477749</v>
      </c>
      <c r="AJ18" s="919" cm="1">
        <f t="array" ref="AJ18">IF(OR(K18&lt;&gt;"Printed",L18=0,L18="0",L18=""),0,IFERROR(_xlfn.LET(_xlpm.lam,TEXT(B18,"0"),_xlpm.crit,(TEXT(HELPER!$BZ$2:$BZ$250,"0")=_xlpm.lam)*(HELPER!$CC$2:$CC$250=D18)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WHITE"},0)))/ROWS(_xlpm.real),_xlpm.numColors,IF(ISNUMBER(L18),L18,IFERROR(--RIGHT(L18,LEN(L18)-FIND("-",L18)),0)),HELPER!$DB$1*_xlpm.numColors*MAX(1,M18)*1.05*_xlpm.nkRatio/Q18),0))</f>
        <v>0.504</v>
      </c>
      <c r="AK18" s="919">
        <f t="shared" si="19"/>
        <v>1.4373113762925283</v>
      </c>
      <c r="AL18" s="919">
        <f t="shared" si="20"/>
        <v>779.74142163869658</v>
      </c>
      <c r="AM18" s="73" t="str">
        <f t="shared" si="21"/>
        <v>PASS</v>
      </c>
      <c r="AN18" s="908" t="str">
        <f t="shared" si="0"/>
        <v/>
      </c>
      <c r="AO18" s="919">
        <f t="shared" si="1"/>
        <v>51</v>
      </c>
      <c r="AP18" s="919">
        <f t="shared" si="2"/>
        <v>212048.60153947285</v>
      </c>
      <c r="AQ18" s="919"/>
      <c r="AR18" s="919" cm="1">
        <f t="array" ref="AR18">IFERROR(_xlfn.LET(_xlpm.lam,TEXT(B18,"0"),_xlpm.thick,D18,_xlpm.crit,(TEXT(HELPER!$BZ$2:$BZ$250,"0")=_xlpm.lam)*(HELPER!$CC$2:$CC$250=_xlpm.thick)*(HELPER!$BW$2:$BW$250&lt;&gt;""),_xlpm.mats,TRIM(SUBSTITUTE(_xlfn._xlws.FILTER(HELPER!$BW$2:$BW$250,_xlpm.crit),CHAR(160),"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")),HELPER!$AQ$2:$AQ$20,1),_xlpm.mass,IF(ISNUMBER(SEARCH("paper",_xlpm.mats)),42,_xlpm.dens*_xlpm.ths),E18/1000000*SUM(_xlpm.mass)),"")</f>
        <v>2.35795E-2</v>
      </c>
      <c r="AS18" s="919">
        <f>IFERROR(IF(D18&gt;31,(5%+250/P18)*AF18,VLOOKUP(D18,HELPER!$BH$3:$BI$5,2,TRUE)*AF18),0)</f>
        <v>0.42319339251091115</v>
      </c>
      <c r="AT18" s="919">
        <v>0.15</v>
      </c>
      <c r="AU18" s="919"/>
      <c r="AV18" s="919"/>
      <c r="AW18" s="919"/>
      <c r="AX18" s="919"/>
      <c r="AY18" s="919"/>
      <c r="AZ18" s="919">
        <f t="shared" si="3"/>
        <v>2520</v>
      </c>
    </row>
    <row r="19" spans="1:52">
      <c r="A19" s="73" t="s">
        <v>1440</v>
      </c>
      <c r="B19" s="73">
        <v>418</v>
      </c>
      <c r="C19" s="908" t="s">
        <v>1424</v>
      </c>
      <c r="D19" s="915" cm="1">
        <f t="array" ref="D1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 s="915">
        <v>900</v>
      </c>
      <c r="F19" s="73" t="s">
        <v>560</v>
      </c>
      <c r="G19" s="916">
        <v>25000</v>
      </c>
      <c r="H19" s="916">
        <v>25000</v>
      </c>
      <c r="I19" s="916"/>
      <c r="J19" s="916"/>
      <c r="K19" s="73" t="s">
        <v>123</v>
      </c>
      <c r="L19" s="921" t="s">
        <v>592</v>
      </c>
      <c r="M19" s="915">
        <v>8</v>
      </c>
      <c r="N19" s="73" t="s">
        <v>550</v>
      </c>
      <c r="O19" s="73" t="s">
        <v>250</v>
      </c>
      <c r="P19" s="916" cm="1">
        <f t="array" ref="P19">IFERROR(_xlfn.SWITCH(F19,"By Weight",IF(H19&lt;&gt;"",H19,G19)/AR19,"By Length",G19,"By Imp",G19/MAX(1,ROUNDDOWN(E19/I19,0))*J19/1000,"IMP",G19/MAX(1,ROUNDDOWN(E19/I19,0))*J19/1000,""),"")</f>
        <v>412316.72521564167</v>
      </c>
      <c r="Q19" s="916">
        <f t="shared" si="4"/>
        <v>25000</v>
      </c>
      <c r="R19" s="917">
        <f t="shared" si="5"/>
        <v>458027.6787122573</v>
      </c>
      <c r="S19" s="918">
        <f t="shared" si="6"/>
        <v>531312.10730621847</v>
      </c>
      <c r="T19" s="919">
        <f t="shared" si="7"/>
        <v>18.321107148490292</v>
      </c>
      <c r="U19" s="920">
        <f t="shared" si="8"/>
        <v>21.252484292248738</v>
      </c>
      <c r="V19" s="919">
        <f t="shared" si="9"/>
        <v>1.3885796121680098</v>
      </c>
      <c r="W19" s="919">
        <f t="shared" si="10"/>
        <v>22.901383935612781</v>
      </c>
      <c r="X19" s="919" t="str">
        <f t="shared" si="11"/>
        <v/>
      </c>
      <c r="Y19" s="920">
        <f t="shared" si="12"/>
        <v>1.6107523501148913</v>
      </c>
      <c r="Z19" s="920">
        <f t="shared" si="13"/>
        <v>26.565605365310823</v>
      </c>
      <c r="AA19" s="920" t="str">
        <f t="shared" si="14"/>
        <v/>
      </c>
      <c r="AB19" s="917">
        <f t="shared" si="15"/>
        <v>572534.5983903195</v>
      </c>
      <c r="AC19" s="918">
        <f t="shared" si="16"/>
        <v>664140.13413277059</v>
      </c>
      <c r="AD19" s="916">
        <f t="shared" si="17"/>
        <v>8246.3345043128338</v>
      </c>
      <c r="AE19" s="916">
        <f t="shared" si="18"/>
        <v>500</v>
      </c>
      <c r="AF19" s="919" cm="1">
        <f t="array" ref="AF19">IFERROR(_xlfn.LET(_xlpm.lam,TEXT(B19,"0"),_xlpm.thick,D19,_xlpm.crit,(TEXT(HELPER!$BZ$2:$BZ$250,"0")=_xlpm.lam)*(HELPER!$CC$2:$CC$250=_xlpm.thick)*(HELPER!$BW$2:$BW$250&lt;&gt;""),_xlpm.mats,TRIM(SUBSTITUTE(_xlfn._xlws.FILTER(HELPER!$BW$2:$BW$250,_xlpm.crit),CHAR(160),"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 s="919">
        <f>IFERROR(IF(N19="Europe to Canada",IF(Q19&lt;1000,VLOOKUP(1000,HELPER!$AG$4:$AH$8,2,FALSE)/Q19,VLOOKUP(Q19,HELPER!$AG$4:$AH$8,2,TRUE)/Q19),IF(N19="Europe to US",HELPER!$AH$2,IF(N19="Europe to Europe",HELPER!$AH$3,0))),0)</f>
        <v>5.4</v>
      </c>
      <c r="AH19" s="919" cm="1">
        <f t="array" ref="AH19">IFERROR(_xlfn.LET(_xlpm.cap,IF(O19="Quantum",760,1220),_xlpm.wUsed,E19*MAX(1,MIN(MAX(2,INT(900/E19)),INT((_xlpm.cap-50)/E19))),_xlpm.kgmUsed,AR19/E19*_xlpm.wUsed,_xlpm.lam,TEXT(B19,"0"),_xlpm.crit,(TEXT(HELPER!$BZ$2:$BZ$250,"0")=_xlpm.lam)*(HELPER!$CC$2:$CC$250=D19)*(HELPER!$BW$2:$BW$250&lt;&gt;""),_xlpm.mats,_xlfn._xlws.FILTER(HELPER!$BW$2:$BW$250,_xlpm.crit),_xlpm.realLayers,SUM((_xlpm.mats&lt;&gt;"")*ISERROR(SEARCH("EPOTAL",_xlpm.mats&amp;""))*ISERROR(SEARCH("BASONAT",_xlpm.mats&amp;""))*ISERROR(SEARCH("ADH",_xlpm.mats&amp;""))*ISERROR(SEARCH("HARDENER",_xlpm.mats&amp;""))),_xlpm.steps,MAX(0,_xlpm.realLayers-1),_xlpm.tier,IF(P19&lt;3000,1,IF(P19&lt;10000,2,IF(P19&lt;25000,3,IF(P19&lt;50000,4,IF(P19&lt;100000,5,IF(P19&lt;250000,6,7)))))),_xlpm.widthRow,IF(_xlpm.wUsed&lt;900,0,5),_xlpm.supplierRow,IF(O19="Marma",3,IF(OR(O19="Bastin",O19="Quantum"),13,0)),_xlpm.rate,INDEX('Lmntn &amp; Prntng- Marma &amp; Bastin '!$D$1:$K$22,_xlpm.supplierRow+_xlpm.widthRow,_xlpm.tier),_xlpm.rate*_xlpm.steps/_xlpm.kgmUsed),"")</f>
        <v>1.3764781554598979</v>
      </c>
      <c r="AI19" s="919" cm="1">
        <f t="array" ref="AI19">IFERROR(_xlfn.LET(_xlpm.cap,IF(O19="Quantum",760,1220),_xlpm.wUsed,E19*MAX(1,MIN(MAX(2,INT(900/E19)),INT((_xlpm.cap-50)/E19))),_xlpm.kgmUsed,AR19/E19*_xlpm.wUsed,_xlpm.tier,IF(P19&lt;3000,1,IF(P19&lt;10000,2,IF(P19&lt;25000,3,IF(P19&lt;50000,4,IF(P19&lt;100000,5,IF(P19&lt;250000,6,IF(P19&lt;500000,7,8))))))),_xlpm.widthRow,IF(_xlpm.wUsed&lt;900,0,5),_xlpm.slitRow,IF(O19="Marma",7,IF(OR(O19="Bastin",O19="Quantum"),17,0)),_xlpm.slitRate,INDEX('Lmntn &amp; Prntng- Marma &amp; Bastin '!$D$1:$K$22,_xlpm.slitRow+_xlpm.widthRow,_xlpm.tier),_xlpm.numColors,IF(ISNUMBER(L19),L19,IFERROR(--RIGHT(L19,LEN(L19)-FIND("-",L19)),0)),_xlpm.printRate,IF(OR(K19&lt;&gt;"Printed",_xlpm.numColors=0),0,IF(O19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MAX(_xlfn._xlws.FILTER(_xlpm.meters,(_xlpm.widths=_xlpm.qWidth)*(_xlpm.bands=_xlpm.band)))),INDEX(_xlpm.rates,_xlfn.XMATCH(1,(_xlpm.widths=_xlpm.qWidth)*(_xlpm.bands=_xlpm.band)*(_xlpm.meters=_xlpm.targetM),0))/HELPER!$AK$2),_xlfn.LET(_xlpm.colorOffset,IF(_xlpm.numColors&lt;=2,1,IF(_xlpm.numColors&lt;=4,2,3)),_xlpm.supplierRow,IF(O19="Marma",3,IF(O19="Bastin",13,0)),INDEX('Lmntn &amp; Prntng- Marma &amp; Bastin '!$D$1:$K$22,_xlpm.supplierRow+_xlpm.widthRow+_xlpm.colorOffset,_xlpm.tier)))),AH19+_xlpm.slitRate/_xlpm.kgmUsed+_xlpm.printRate/_xlpm.kgmUsed+AJ19),"")</f>
        <v>4.2337573728033444</v>
      </c>
      <c r="AJ19" s="919" cm="1">
        <f t="array" ref="AJ19">IF(OR(K19&lt;&gt;"Printed",L19=0,L19="0",L19=""),0,IFERROR(_xlfn.LET(_xlpm.lam,TEXT(B19,"0"),_xlpm.crit,(TEXT(HELPER!$BZ$2:$BZ$250,"0")=_xlpm.lam)*(HELPER!$CC$2:$CC$250=D19)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WHITE"},0)))/ROWS(_xlpm.real),_xlpm.numColors,IF(ISNUMBER(L19),L19,IFERROR(--RIGHT(L19,LEN(L19)-FIND("-",L19)),0)),HELPER!$DB$1*_xlpm.numColors*MAX(1,M19)*1.05*_xlpm.nkRatio/Q19),0))</f>
        <v>0.4032</v>
      </c>
      <c r="AK19" s="919">
        <f t="shared" si="19"/>
        <v>0.99539757144660201</v>
      </c>
      <c r="AL19" s="919">
        <f t="shared" si="20"/>
        <v>1388.5796121680098</v>
      </c>
      <c r="AM19" s="73" t="str">
        <f t="shared" si="21"/>
        <v>PASS</v>
      </c>
      <c r="AN19" s="908" t="str">
        <f t="shared" si="0"/>
        <v/>
      </c>
      <c r="AO19" s="919">
        <f t="shared" si="1"/>
        <v>51</v>
      </c>
      <c r="AP19" s="919">
        <f t="shared" si="2"/>
        <v>412316.72521564167</v>
      </c>
      <c r="AQ19" s="919"/>
      <c r="AR19" s="919" cm="1">
        <f t="array" ref="AR19">IFERROR(_xlfn.LET(_xlpm.lam,TEXT(B19,"0"),_xlpm.thick,D19,_xlpm.crit,(TEXT(HELPER!$BZ$2:$BZ$250,"0")=_xlpm.lam)*(HELPER!$CC$2:$CC$250=_xlpm.thick)*(HELPER!$BW$2:$BW$250&lt;&gt;""),_xlpm.mats,TRIM(SUBSTITUTE(_xlfn._xlws.FILTER(HELPER!$BW$2:$BW$250,_xlpm.crit),CHAR(160),"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")),HELPER!$AQ$2:$AQ$20,1),_xlpm.mass,IF(ISNUMBER(SEARCH("paper",_xlpm.mats)),42,_xlpm.dens*_xlpm.ths),E19/1000000*SUM(_xlpm.mass)),"")</f>
        <v>6.0632999999999999E-2</v>
      </c>
      <c r="AS19" s="919">
        <f>IFERROR(IF(D19&gt;31,(5%+250/P19)*AF19,VLOOKUP(D19,HELPER!$BH$3:$BI$5,2,TRUE)*AF19),0)</f>
        <v>0.41845825312497364</v>
      </c>
      <c r="AT19" s="919">
        <v>0.19999999999999701</v>
      </c>
      <c r="AU19" s="919"/>
      <c r="AV19" s="919"/>
      <c r="AW19" s="919"/>
      <c r="AX19" s="919"/>
      <c r="AY19" s="919"/>
      <c r="AZ19" s="919">
        <f t="shared" si="3"/>
        <v>10080</v>
      </c>
    </row>
    <row r="20" spans="1:52">
      <c r="A20" s="73" t="s">
        <v>1441</v>
      </c>
      <c r="B20" s="73">
        <v>418</v>
      </c>
      <c r="C20" s="908" t="s">
        <v>1426</v>
      </c>
      <c r="D20" s="915" cm="1">
        <f t="array" ref="D2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 s="915">
        <v>350</v>
      </c>
      <c r="F20" s="73" t="s">
        <v>561</v>
      </c>
      <c r="G20" s="916">
        <v>2000</v>
      </c>
      <c r="H20" s="916"/>
      <c r="I20" s="916"/>
      <c r="J20" s="916"/>
      <c r="K20" s="73" t="s">
        <v>124</v>
      </c>
      <c r="L20" s="921" t="s">
        <v>221</v>
      </c>
      <c r="M20" s="915">
        <v>1</v>
      </c>
      <c r="N20" s="73" t="s">
        <v>549</v>
      </c>
      <c r="O20" s="73" t="s">
        <v>240</v>
      </c>
      <c r="P20" s="916" cm="1">
        <f t="array" ref="P20">IFERROR(_xlfn.SWITCH(F20,"By Weight",IF(H20&lt;&gt;"",H20,G20)/AR20,"By Length",G20,"By Imp",G20/MAX(1,ROUNDDOWN(E20/I20,0))*J20/1000,"IMP",G20/MAX(1,ROUNDDOWN(E20/I20,0))*J20/1000,""),"")</f>
        <v>2000</v>
      </c>
      <c r="Q20" s="916">
        <f t="shared" si="4"/>
        <v>47.158999999999999</v>
      </c>
      <c r="R20" s="917">
        <f t="shared" si="5"/>
        <v>664.77116999218742</v>
      </c>
      <c r="S20" s="918">
        <f t="shared" si="6"/>
        <v>771.13455719093736</v>
      </c>
      <c r="T20" s="919">
        <f t="shared" si="7"/>
        <v>14.096379694060253</v>
      </c>
      <c r="U20" s="920">
        <f t="shared" si="8"/>
        <v>16.351800445109895</v>
      </c>
      <c r="V20" s="919">
        <f t="shared" si="9"/>
        <v>0.39104186470128721</v>
      </c>
      <c r="W20" s="919">
        <f t="shared" si="10"/>
        <v>16.58397611065914</v>
      </c>
      <c r="X20" s="919" t="str">
        <f t="shared" si="11"/>
        <v/>
      </c>
      <c r="Y20" s="920">
        <f t="shared" si="12"/>
        <v>0.45360856305349312</v>
      </c>
      <c r="Z20" s="920">
        <f t="shared" si="13"/>
        <v>19.237412288364602</v>
      </c>
      <c r="AA20" s="920" t="str">
        <f t="shared" si="14"/>
        <v/>
      </c>
      <c r="AB20" s="917">
        <f t="shared" si="15"/>
        <v>782.08372940257436</v>
      </c>
      <c r="AC20" s="918">
        <f t="shared" si="16"/>
        <v>907.21712610698614</v>
      </c>
      <c r="AD20" s="916">
        <f t="shared" si="17"/>
        <v>21204.860153947284</v>
      </c>
      <c r="AE20" s="916">
        <f t="shared" si="18"/>
        <v>500</v>
      </c>
      <c r="AF20" s="919" cm="1">
        <f t="array" ref="AF20">IFERROR(_xlfn.LET(_xlpm.lam,TEXT(B20,"0"),_xlpm.thick,D20,_xlpm.crit,(TEXT(HELPER!$BZ$2:$BZ$250,"0")=_xlpm.lam)*(HELPER!$CC$2:$CC$250=_xlpm.thick)*(HELPER!$BW$2:$BW$250&lt;&gt;""),_xlpm.mats,TRIM(SUBSTITUTE(_xlfn._xlws.FILTER(HELPER!$BW$2:$BW$250,_xlpm.crit),CHAR(160),"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0" s="919">
        <f>IFERROR(IF(N20="Europe to Canada",IF(Q20&lt;1000,VLOOKUP(1000,HELPER!$AG$4:$AH$8,2,FALSE)/Q20,VLOOKUP(Q20,HELPER!$AG$4:$AH$8,2,TRUE)/Q20),IF(N20="Europe to US",HELPER!$AH$2,IF(N20="Europe to Europe",HELPER!$AH$3,0))),0)</f>
        <v>0.2</v>
      </c>
      <c r="AH20" s="919" cm="1">
        <f t="array" ref="AH20">IFERROR(_xlfn.LET(_xlpm.cap,IF(O20="Quantum",760,1220),_xlpm.wUsed,E20*MAX(1,MIN(MAX(2,INT(900/E20)),INT((_xlpm.cap-50)/E20))),_xlpm.kgmUsed,AR20/E20*_xlpm.wUsed,_xlpm.lam,TEXT(B20,"0"),_xlpm.crit,(TEXT(HELPER!$BZ$2:$BZ$250,"0")=_xlpm.lam)*(HELPER!$CC$2:$CC$250=D20)*(HELPER!$BW$2:$BW$250&lt;&gt;""),_xlpm.mats,_xlfn._xlws.FILTER(HELPER!$BW$2:$BW$250,_xlpm.crit),_xlpm.realLayers,SUM((_xlpm.mats&lt;&gt;"")*ISERROR(SEARCH("EPOTAL",_xlpm.mats&amp;""))*ISERROR(SEARCH("BASONAT",_xlpm.mats&amp;""))*ISERROR(SEARCH("ADH",_xlpm.mats&amp;""))*ISERROR(SEARCH("HARDENER",_xlpm.mats&amp;""))),_xlpm.steps,MAX(0,_xlpm.realLayers-1),_xlpm.tier,IF(P20&lt;3000,1,IF(P20&lt;10000,2,IF(P20&lt;25000,3,IF(P20&lt;50000,4,IF(P20&lt;100000,5,IF(P20&lt;250000,6,7)))))),_xlpm.widthRow,IF(_xlpm.wUsed&lt;900,0,5),_xlpm.supplierRow,IF(O20="Marma",3,IF(OR(O20="Bastin",O20="Quantum"),13,0)),_xlpm.rate,INDEX('Lmntn &amp; Prntng- Marma &amp; Bastin '!$D$1:$K$22,_xlpm.supplierRow+_xlpm.widthRow,_xlpm.tier),_xlpm.rate*_xlpm.steps/_xlpm.kgmUsed),"")</f>
        <v>3.2178163235013466</v>
      </c>
      <c r="AI20" s="919" cm="1">
        <f t="array" ref="AI20">IFERROR(_xlfn.LET(_xlpm.cap,IF(O20="Quantum",760,1220),_xlpm.wUsed,E20*MAX(1,MIN(MAX(2,INT(900/E20)),INT((_xlpm.cap-50)/E20))),_xlpm.kgmUsed,AR20/E20*_xlpm.wUsed,_xlpm.tier,IF(P20&lt;3000,1,IF(P20&lt;10000,2,IF(P20&lt;25000,3,IF(P20&lt;50000,4,IF(P20&lt;100000,5,IF(P20&lt;250000,6,IF(P20&lt;500000,7,8))))))),_xlpm.widthRow,IF(_xlpm.wUsed&lt;900,0,5),_xlpm.slitRow,IF(O20="Marma",7,IF(OR(O20="Bastin",O20="Quantum"),17,0)),_xlpm.slitRate,INDEX('Lmntn &amp; Prntng- Marma &amp; Bastin '!$D$1:$K$22,_xlpm.slitRow+_xlpm.widthRow,_xlpm.tier),_xlpm.numColors,IF(ISNUMBER(L20),L20,IFERROR(--RIGHT(L20,LEN(L20)-FIND("-",L20)),0)),_xlpm.printRate,IF(OR(K20&lt;&gt;"Printed",_xlpm.numColors=0),0,IF(O20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MAX(_xlfn._xlws.FILTER(_xlpm.meters,(_xlpm.widths=_xlpm.qWidth)*(_xlpm.bands=_xlpm.band)))),INDEX(_xlpm.rates,_xlfn.XMATCH(1,(_xlpm.widths=_xlpm.qWidth)*(_xlpm.bands=_xlpm.band)*(_xlpm.meters=_xlpm.targetM),0))/HELPER!$AK$2),_xlfn.LET(_xlpm.colorOffset,IF(_xlpm.numColors&lt;=2,1,IF(_xlpm.numColors&lt;=4,2,3)),_xlpm.supplierRow,IF(O20="Marma",3,IF(O20="Bastin",13,0)),INDEX('Lmntn &amp; Prntng- Marma &amp; Bastin '!$D$1:$K$22,_xlpm.supplierRow+_xlpm.widthRow+_xlpm.colorOffset,_xlpm.tier)))),AH20+_xlpm.slitRate/_xlpm.kgmUsed+_xlpm.printRate/_xlpm.kgmUsed+AJ20),"")</f>
        <v>4.180432155049937</v>
      </c>
      <c r="AJ20" s="919" cm="1">
        <f t="array" ref="AJ20">IF(OR(K20&lt;&gt;"Printed",L20=0,L20="0",L20=""),0,IFERROR(_xlfn.LET(_xlpm.lam,TEXT(B20,"0"),_xlpm.crit,(TEXT(HELPER!$BZ$2:$BZ$250,"0")=_xlpm.lam)*(HELPER!$CC$2:$CC$250=D20)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WHITE"},0)))/ROWS(_xlpm.real),_xlpm.numColors,IF(ISNUMBER(L20),L20,IFERROR(--RIGHT(L20,LEN(L20)-FIND("-",L20)),0)),HELPER!$DB$1*_xlpm.numColors*MAX(1,M20)*1.05*_xlpm.nkRatio/Q20),0))</f>
        <v>0</v>
      </c>
      <c r="AK20" s="919">
        <f t="shared" si="19"/>
        <v>0.72081449714522994</v>
      </c>
      <c r="AL20" s="919">
        <f t="shared" si="20"/>
        <v>391.04186470128724</v>
      </c>
      <c r="AM20" s="73" t="str">
        <f t="shared" si="21"/>
        <v>PASS</v>
      </c>
      <c r="AN20" s="908" t="str">
        <f t="shared" si="0"/>
        <v/>
      </c>
      <c r="AO20" s="919">
        <f t="shared" si="1"/>
        <v>51</v>
      </c>
      <c r="AP20" s="919">
        <f t="shared" si="2"/>
        <v>2000</v>
      </c>
      <c r="AQ20" s="919"/>
      <c r="AR20" s="919" cm="1">
        <f t="array" ref="AR20">IFERROR(_xlfn.LET(_xlpm.lam,TEXT(B20,"0"),_xlpm.thick,D20,_xlpm.crit,(TEXT(HELPER!$BZ$2:$BZ$250,"0")=_xlpm.lam)*(HELPER!$CC$2:$CC$250=_xlpm.thick)*(HELPER!$BW$2:$BW$250&lt;&gt;""),_xlpm.mats,TRIM(SUBSTITUTE(_xlfn._xlws.FILTER(HELPER!$BW$2:$BW$250,_xlpm.crit),CHAR(160),"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")),HELPER!$AQ$2:$AQ$20,1),_xlpm.mass,IF(ISNUMBER(SEARCH("paper",_xlpm.mats)),42,_xlpm.dens*_xlpm.ths),E20/1000000*SUM(_xlpm.mass)),"")</f>
        <v>2.35795E-2</v>
      </c>
      <c r="AS20" s="919">
        <f>IFERROR(IF(D20&gt;31,(5%+250/P20)*AF20,VLOOKUP(D20,HELPER!$BH$3:$BI$5,2,TRUE)*AF20),0)</f>
        <v>1.447056016448345</v>
      </c>
      <c r="AT20" s="919">
        <v>0.15000000000000099</v>
      </c>
      <c r="AU20" s="919"/>
      <c r="AV20" s="919"/>
      <c r="AW20" s="919"/>
      <c r="AX20" s="919"/>
      <c r="AY20" s="919"/>
      <c r="AZ20" s="919">
        <f t="shared" si="3"/>
        <v>0</v>
      </c>
    </row>
    <row r="21" spans="1:52">
      <c r="A21" s="73" t="s">
        <v>1442</v>
      </c>
      <c r="B21" s="73">
        <v>418</v>
      </c>
      <c r="C21" s="908" t="s">
        <v>1428</v>
      </c>
      <c r="D21" s="915" cm="1">
        <f t="array" ref="D2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 s="915">
        <v>600</v>
      </c>
      <c r="F21" s="73" t="s">
        <v>561</v>
      </c>
      <c r="G21" s="916">
        <v>250000</v>
      </c>
      <c r="H21" s="916"/>
      <c r="I21" s="916"/>
      <c r="J21" s="916"/>
      <c r="K21" s="73" t="s">
        <v>123</v>
      </c>
      <c r="L21" s="921" t="s">
        <v>122</v>
      </c>
      <c r="M21" s="915">
        <v>4</v>
      </c>
      <c r="N21" s="73" t="s">
        <v>550</v>
      </c>
      <c r="O21" s="73" t="s">
        <v>1366</v>
      </c>
      <c r="P21" s="916" cm="1">
        <f t="array" ref="P21">IFERROR(_xlfn.SWITCH(F21,"By Weight",IF(H21&lt;&gt;"",H21,G21)/AR21,"By Length",G21,"By Imp",G21/MAX(1,ROUNDDOWN(E21/I21,0))*J21/1000,"IMP",G21/MAX(1,ROUNDDOWN(E21/I21,0))*J21/1000,""),"")</f>
        <v>250000</v>
      </c>
      <c r="Q21" s="916">
        <f t="shared" si="4"/>
        <v>10105.5</v>
      </c>
      <c r="R21" s="917">
        <f t="shared" si="5"/>
        <v>365300.9707975593</v>
      </c>
      <c r="S21" s="918">
        <f t="shared" si="6"/>
        <v>423749.12612516875</v>
      </c>
      <c r="T21" s="919">
        <f t="shared" si="7"/>
        <v>36.148727999362656</v>
      </c>
      <c r="U21" s="920">
        <f t="shared" si="8"/>
        <v>41.932524479260678</v>
      </c>
      <c r="V21" s="919">
        <f t="shared" si="9"/>
        <v>1.7190633919885165</v>
      </c>
      <c r="W21" s="919">
        <f t="shared" si="10"/>
        <v>42.527915293367883</v>
      </c>
      <c r="X21" s="919" t="str">
        <f t="shared" si="11"/>
        <v/>
      </c>
      <c r="Y21" s="920">
        <f t="shared" si="12"/>
        <v>1.994113534706679</v>
      </c>
      <c r="Z21" s="920">
        <f t="shared" si="13"/>
        <v>49.332381740306744</v>
      </c>
      <c r="AA21" s="920" t="str">
        <f t="shared" si="14"/>
        <v/>
      </c>
      <c r="AB21" s="917">
        <f t="shared" si="15"/>
        <v>429765.84799712914</v>
      </c>
      <c r="AC21" s="918">
        <f t="shared" si="16"/>
        <v>498528.38367666979</v>
      </c>
      <c r="AD21" s="916">
        <f t="shared" si="17"/>
        <v>12369.50175646925</v>
      </c>
      <c r="AE21" s="916">
        <f t="shared" si="18"/>
        <v>500</v>
      </c>
      <c r="AF21" s="919" cm="1">
        <f t="array" ref="AF21">IFERROR(_xlfn.LET(_xlpm.lam,TEXT(B21,"0"),_xlpm.thick,D21,_xlpm.crit,(TEXT(HELPER!$BZ$2:$BZ$250,"0")=_xlpm.lam)*(HELPER!$CC$2:$CC$250=_xlpm.thick)*(HELPER!$BW$2:$BW$250&lt;&gt;""),_xlpm.mats,TRIM(SUBSTITUTE(_xlfn._xlws.FILTER(HELPER!$BW$2:$BW$250,_xlpm.crit),CHAR(160),"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1" s="919">
        <f>IFERROR(IF(N21="Europe to Canada",IF(Q21&lt;1000,VLOOKUP(1000,HELPER!$AG$4:$AH$8,2,FALSE)/Q21,VLOOKUP(Q21,HELPER!$AG$4:$AH$8,2,TRUE)/Q21),IF(N21="Europe to US",HELPER!$AH$2,IF(N21="Europe to Europe",HELPER!$AH$3,0))),0)</f>
        <v>5.4</v>
      </c>
      <c r="AH21" s="919" cm="1">
        <f t="array" ref="AH21">IFERROR(_xlfn.LET(_xlpm.cap,IF(O21="Quantum",760,1220),_xlpm.wUsed,E21*MAX(1,MIN(MAX(2,INT(900/E21)),INT((_xlpm.cap-50)/E21))),_xlpm.kgmUsed,AR21/E21*_xlpm.wUsed,_xlpm.lam,TEXT(B21,"0"),_xlpm.crit,(TEXT(HELPER!$BZ$2:$BZ$250,"0")=_xlpm.lam)*(HELPER!$CC$2:$CC$250=D21)*(HELPER!$BW$2:$BW$250&lt;&gt;""),_xlpm.mats,_xlfn._xlws.FILTER(HELPER!$BW$2:$BW$250,_xlpm.crit),_xlpm.realLayers,SUM((_xlpm.mats&lt;&gt;"")*ISERROR(SEARCH("EPOTAL",_xlpm.mats&amp;""))*ISERROR(SEARCH("BASONAT",_xlpm.mats&amp;""))*ISERROR(SEARCH("ADH",_xlpm.mats&amp;""))*ISERROR(SEARCH("HARDENER",_xlpm.mats&amp;""))),_xlpm.steps,MAX(0,_xlpm.realLayers-1),_xlpm.tier,IF(P21&lt;3000,1,IF(P21&lt;10000,2,IF(P21&lt;25000,3,IF(P21&lt;50000,4,IF(P21&lt;100000,5,IF(P21&lt;250000,6,7)))))),_xlpm.widthRow,IF(_xlpm.wUsed&lt;900,0,5),_xlpm.supplierRow,IF(O21="Marma",3,IF(OR(O21="Bastin",O21="Quantum"),13,0)),_xlpm.rate,INDEX('Lmntn &amp; Prntng- Marma &amp; Bastin '!$D$1:$K$22,_xlpm.supplierRow+_xlpm.widthRow,_xlpm.tier),_xlpm.rate*_xlpm.steps/_xlpm.kgmUsed),"")</f>
        <v>2.6841324031468012</v>
      </c>
      <c r="AI21" s="919" cm="1">
        <f t="array" ref="AI21">IFERROR(_xlfn.LET(_xlpm.cap,IF(O21="Quantum",760,1220),_xlpm.wUsed,E21*MAX(1,MIN(MAX(2,INT(900/E21)),INT((_xlpm.cap-50)/E21))),_xlpm.kgmUsed,AR21/E21*_xlpm.wUsed,_xlpm.tier,IF(P21&lt;3000,1,IF(P21&lt;10000,2,IF(P21&lt;25000,3,IF(P21&lt;50000,4,IF(P21&lt;100000,5,IF(P21&lt;250000,6,IF(P21&lt;500000,7,8))))))),_xlpm.widthRow,IF(_xlpm.wUsed&lt;900,0,5),_xlpm.slitRow,IF(O21="Marma",7,IF(OR(O21="Bastin",O21="Quantum"),17,0)),_xlpm.slitRate,INDEX('Lmntn &amp; Prntng- Marma &amp; Bastin '!$D$1:$K$22,_xlpm.slitRow+_xlpm.widthRow,_xlpm.tier),_xlpm.numColors,IF(ISNUMBER(L21),L21,IFERROR(--RIGHT(L21,LEN(L21)-FIND("-",L21)),0)),_xlpm.printRate,IF(OR(K21&lt;&gt;"Printed",_xlpm.numColors=0),0,IF(O21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MAX(_xlfn._xlws.FILTER(_xlpm.meters,(_xlpm.widths=_xlpm.qWidth)*(_xlpm.bands=_xlpm.band)))),INDEX(_xlpm.rates,_xlfn.XMATCH(1,(_xlpm.widths=_xlpm.qWidth)*(_xlpm.bands=_xlpm.band)*(_xlpm.meters=_xlpm.targetM),0))/HELPER!$AK$2),_xlfn.LET(_xlpm.colorOffset,IF(_xlpm.numColors&lt;=2,1,IF(_xlpm.numColors&lt;=4,2,3)),_xlpm.supplierRow,IF(O21="Marma",3,IF(O21="Bastin",13,0)),INDEX('Lmntn &amp; Prntng- Marma &amp; Bastin '!$D$1:$K$22,_xlpm.supplierRow+_xlpm.widthRow+_xlpm.colorOffset,_xlpm.tier)))),AH21+_xlpm.slitRate/_xlpm.kgmUsed+_xlpm.printRate/_xlpm.kgmUsed+AJ21),"")</f>
        <v>22.05812300915002</v>
      </c>
      <c r="AJ21" s="919" cm="1">
        <f t="array" ref="AJ21">IF(OR(K21&lt;&gt;"Printed",L21=0,L21="0",L21=""),0,IFERROR(_xlfn.LET(_xlpm.lam,TEXT(B21,"0"),_xlpm.crit,(TEXT(HELPER!$BZ$2:$BZ$250,"0")=_xlpm.lam)*(HELPER!$CC$2:$CC$250=D21)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WHITE"},0)))/ROWS(_xlpm.real),_xlpm.numColors,IF(ISNUMBER(L21),L21,IFERROR(--RIGHT(L21,LEN(L21)-FIND("-",L21)),0)),HELPER!$DB$1*_xlpm.numColors*MAX(1,M21)*1.05*_xlpm.nkRatio/Q21),0))</f>
        <v>0.24936915541042007</v>
      </c>
      <c r="AK21" s="919">
        <f t="shared" si="19"/>
        <v>1.848455260202706</v>
      </c>
      <c r="AL21" s="919">
        <f t="shared" si="20"/>
        <v>1719.0633919885165</v>
      </c>
      <c r="AM21" s="73" t="str">
        <f t="shared" si="21"/>
        <v>PASS</v>
      </c>
      <c r="AN21" s="908" t="str">
        <f t="shared" si="0"/>
        <v/>
      </c>
      <c r="AO21" s="919">
        <f t="shared" si="1"/>
        <v>51</v>
      </c>
      <c r="AP21" s="919">
        <f t="shared" si="2"/>
        <v>250000</v>
      </c>
      <c r="AQ21" s="919"/>
      <c r="AR21" s="919" cm="1">
        <f t="array" ref="AR21">IFERROR(_xlfn.LET(_xlpm.lam,TEXT(B21,"0"),_xlpm.thick,D21,_xlpm.crit,(TEXT(HELPER!$BZ$2:$BZ$250,"0")=_xlpm.lam)*(HELPER!$CC$2:$CC$250=_xlpm.thick)*(HELPER!$BW$2:$BW$250&lt;&gt;""),_xlpm.mats,TRIM(SUBSTITUTE(_xlfn._xlws.FILTER(HELPER!$BW$2:$BW$250,_xlpm.crit),CHAR(160),"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")),HELPER!$AQ$2:$AQ$20,1),_xlpm.mass,IF(ISNUMBER(SEARCH("paper",_xlpm.mats)),42,_xlpm.dens*_xlpm.ths),E21/1000000*SUM(_xlpm.mass)),"")</f>
        <v>4.0422E-2</v>
      </c>
      <c r="AS21" s="919">
        <f>IFERROR(IF(D21&gt;31,(5%+250/P21)*AF21,VLOOKUP(D21,HELPER!$BH$3:$BI$5,2,TRUE)*AF21),0)</f>
        <v>0.42171346765066064</v>
      </c>
      <c r="AT21" s="919">
        <v>0.15000000000000099</v>
      </c>
      <c r="AU21" s="919"/>
      <c r="AV21" s="919"/>
      <c r="AW21" s="919"/>
      <c r="AX21" s="919"/>
      <c r="AY21" s="919"/>
      <c r="AZ21" s="919">
        <f t="shared" si="3"/>
        <v>2520</v>
      </c>
    </row>
    <row r="22" spans="1:52">
      <c r="A22" s="73" t="s">
        <v>1443</v>
      </c>
      <c r="B22" s="73">
        <v>418</v>
      </c>
      <c r="C22" s="908" t="s">
        <v>1430</v>
      </c>
      <c r="D22" s="915" cm="1">
        <f t="array" ref="D2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2" s="915">
        <v>900</v>
      </c>
      <c r="F22" s="73" t="s">
        <v>1040</v>
      </c>
      <c r="G22" s="916">
        <v>1600000</v>
      </c>
      <c r="H22" s="916"/>
      <c r="I22" s="916">
        <v>140</v>
      </c>
      <c r="J22" s="916">
        <v>80</v>
      </c>
      <c r="K22" s="73" t="s">
        <v>123</v>
      </c>
      <c r="L22" s="921" t="s">
        <v>592</v>
      </c>
      <c r="M22" s="915">
        <v>8</v>
      </c>
      <c r="N22" s="73" t="s">
        <v>549</v>
      </c>
      <c r="O22" s="73" t="s">
        <v>250</v>
      </c>
      <c r="P22" s="916" cm="1">
        <f t="array" ref="P22">IFERROR(_xlfn.SWITCH(F22,"By Weight",IF(H22&lt;&gt;"",H22,G22)/AR22,"By Length",G22,"By Imp",G22/MAX(1,ROUNDDOWN(E22/I22,0))*J22/1000,"IMP",G22/MAX(1,ROUNDDOWN(E22/I22,0))*J22/1000,""),"")</f>
        <v>21333.333333333336</v>
      </c>
      <c r="Q22" s="916">
        <f t="shared" si="4"/>
        <v>1293.5040000000001</v>
      </c>
      <c r="R22" s="917">
        <f t="shared" si="5"/>
        <v>27798.576481872493</v>
      </c>
      <c r="S22" s="918">
        <f t="shared" si="6"/>
        <v>32246.348718972091</v>
      </c>
      <c r="T22" s="919">
        <f t="shared" si="7"/>
        <v>21.49090878874166</v>
      </c>
      <c r="U22" s="920">
        <f t="shared" si="8"/>
        <v>24.929454194940323</v>
      </c>
      <c r="V22" s="919">
        <f t="shared" si="9"/>
        <v>1.6288228407347145</v>
      </c>
      <c r="W22" s="919">
        <f t="shared" si="10"/>
        <v>26.863635985927043</v>
      </c>
      <c r="X22" s="919">
        <f t="shared" si="11"/>
        <v>2.1717637876462859E-2</v>
      </c>
      <c r="Y22" s="920">
        <f t="shared" si="12"/>
        <v>1.8894344952522686</v>
      </c>
      <c r="Z22" s="920">
        <f t="shared" si="13"/>
        <v>31.161817743675368</v>
      </c>
      <c r="AA22" s="920">
        <f t="shared" si="14"/>
        <v>2.5192459936696915E-2</v>
      </c>
      <c r="AB22" s="917">
        <f t="shared" si="15"/>
        <v>34748.220602340582</v>
      </c>
      <c r="AC22" s="918">
        <f t="shared" si="16"/>
        <v>40307.93589871507</v>
      </c>
      <c r="AD22" s="916">
        <f t="shared" si="17"/>
        <v>8246.3345043128338</v>
      </c>
      <c r="AE22" s="916">
        <f t="shared" si="18"/>
        <v>500</v>
      </c>
      <c r="AF22" s="919" cm="1">
        <f t="array" ref="AF22">IFERROR(_xlfn.LET(_xlpm.lam,TEXT(B22,"0"),_xlpm.thick,D22,_xlpm.crit,(TEXT(HELPER!$BZ$2:$BZ$250,"0")=_xlpm.lam)*(HELPER!$CC$2:$CC$250=_xlpm.thick)*(HELPER!$BW$2:$BW$250&lt;&gt;""),_xlpm.mats,TRIM(SUBSTITUTE(_xlfn._xlws.FILTER(HELPER!$BW$2:$BW$250,_xlpm.crit),CHAR(160),"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2" s="919">
        <f>IFERROR(IF(N22="Europe to Canada",IF(Q22&lt;1000,VLOOKUP(1000,HELPER!$AG$4:$AH$8,2,FALSE)/Q22,VLOOKUP(Q22,HELPER!$AG$4:$AH$8,2,TRUE)/Q22),IF(N22="Europe to US",HELPER!$AH$2,IF(N22="Europe to Europe",HELPER!$AH$3,0))),0)</f>
        <v>0.2</v>
      </c>
      <c r="AH22" s="919" cm="1">
        <f t="array" ref="AH22">IFERROR(_xlfn.LET(_xlpm.cap,IF(O22="Quantum",760,1220),_xlpm.wUsed,E22*MAX(1,MIN(MAX(2,INT(900/E22)),INT((_xlpm.cap-50)/E22))),_xlpm.kgmUsed,AR22/E22*_xlpm.wUsed,_xlpm.lam,TEXT(B22,"0"),_xlpm.crit,(TEXT(HELPER!$BZ$2:$BZ$250,"0")=_xlpm.lam)*(HELPER!$CC$2:$CC$250=D22)*(HELPER!$BW$2:$BW$250&lt;&gt;""),_xlpm.mats,_xlfn._xlws.FILTER(HELPER!$BW$2:$BW$250,_xlpm.crit),_xlpm.realLayers,SUM((_xlpm.mats&lt;&gt;"")*ISERROR(SEARCH("EPOTAL",_xlpm.mats&amp;""))*ISERROR(SEARCH("BASONAT",_xlpm.mats&amp;""))*ISERROR(SEARCH("ADH",_xlpm.mats&amp;""))*ISERROR(SEARCH("HARDENER",_xlpm.mats&amp;""))),_xlpm.steps,MAX(0,_xlpm.realLayers-1),_xlpm.tier,IF(P22&lt;3000,1,IF(P22&lt;10000,2,IF(P22&lt;25000,3,IF(P22&lt;50000,4,IF(P22&lt;100000,5,IF(P22&lt;250000,6,7)))))),_xlpm.widthRow,IF(_xlpm.wUsed&lt;900,0,5),_xlpm.supplierRow,IF(O22="Marma",3,IF(OR(O22="Bastin",O22="Quantum"),13,0)),_xlpm.rate,INDEX('Lmntn &amp; Prntng- Marma &amp; Bastin '!$D$1:$K$22,_xlpm.supplierRow+_xlpm.widthRow,_xlpm.tier),_xlpm.rate*_xlpm.steps/_xlpm.kgmUsed),"")</f>
        <v>1.5095739943595072</v>
      </c>
      <c r="AI22" s="919" cm="1">
        <f t="array" ref="AI22">IFERROR(_xlfn.LET(_xlpm.cap,IF(O22="Quantum",760,1220),_xlpm.wUsed,E22*MAX(1,MIN(MAX(2,INT(900/E22)),INT((_xlpm.cap-50)/E22))),_xlpm.kgmUsed,AR22/E22*_xlpm.wUsed,_xlpm.tier,IF(P22&lt;3000,1,IF(P22&lt;10000,2,IF(P22&lt;25000,3,IF(P22&lt;50000,4,IF(P22&lt;100000,5,IF(P22&lt;250000,6,IF(P22&lt;500000,7,8))))))),_xlpm.widthRow,IF(_xlpm.wUsed&lt;900,0,5),_xlpm.slitRow,IF(O22="Marma",7,IF(OR(O22="Bastin",O22="Quantum"),17,0)),_xlpm.slitRate,INDEX('Lmntn &amp; Prntng- Marma &amp; Bastin '!$D$1:$K$22,_xlpm.slitRow+_xlpm.widthRow,_xlpm.tier),_xlpm.numColors,IF(ISNUMBER(L22),L22,IFERROR(--RIGHT(L22,LEN(L22)-FIND("-",L22)),0)),_xlpm.printRate,IF(OR(K22&lt;&gt;"Printed",_xlpm.numColors=0),0,IF(O22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MAX(_xlfn._xlws.FILTER(_xlpm.meters,(_xlpm.widths=_xlpm.qWidth)*(_xlpm.bands=_xlpm.band)))),INDEX(_xlpm.rates,_xlfn.XMATCH(1,(_xlpm.widths=_xlpm.qWidth)*(_xlpm.bands=_xlpm.band)*(_xlpm.meters=_xlpm.targetM),0))/HELPER!$AK$2),_xlfn.LET(_xlpm.colorOffset,IF(_xlpm.numColors&lt;=2,1,IF(_xlpm.numColors&lt;=4,2,3)),_xlpm.supplierRow,IF(O22="Marma",3,IF(O22="Bastin",13,0)),INDEX('Lmntn &amp; Prntng- Marma &amp; Bastin '!$D$1:$K$22,_xlpm.supplierRow+_xlpm.widthRow+_xlpm.colorOffset,_xlpm.tier)))),AH22+_xlpm.slitRate/_xlpm.kgmUsed+_xlpm.printRate/_xlpm.kgmUsed+AJ22),"")</f>
        <v>12.511671617521566</v>
      </c>
      <c r="AJ22" s="919" cm="1">
        <f t="array" ref="AJ22">IF(OR(K22&lt;&gt;"Printed",L22=0,L22="0",L22=""),0,IFERROR(_xlfn.LET(_xlpm.lam,TEXT(B22,"0"),_xlpm.crit,(TEXT(HELPER!$BZ$2:$BZ$250,"0")=_xlpm.lam)*(HELPER!$CC$2:$CC$250=D22)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WHITE"},0)))/ROWS(_xlpm.real),_xlpm.numColors,IF(ISNUMBER(L22),L22,IFERROR(--RIGHT(L22,LEN(L22)-FIND("-",L22)),0)),HELPER!$DB$1*_xlpm.numColors*MAX(1,M22)*1.05*_xlpm.nkRatio/Q22),0))</f>
        <v>7.7927861065756261</v>
      </c>
      <c r="AK22" s="919">
        <f t="shared" si="19"/>
        <v>1.1676149395947775</v>
      </c>
      <c r="AL22" s="919">
        <f t="shared" si="20"/>
        <v>1628.8228407347144</v>
      </c>
      <c r="AM22" s="73" t="str">
        <f t="shared" si="21"/>
        <v>PASS</v>
      </c>
      <c r="AN22" s="908" t="str">
        <f t="shared" si="0"/>
        <v/>
      </c>
      <c r="AO22" s="919">
        <f t="shared" si="1"/>
        <v>51</v>
      </c>
      <c r="AP22" s="919">
        <f t="shared" si="2"/>
        <v>21333.333333333336</v>
      </c>
      <c r="AQ22" s="919"/>
      <c r="AR22" s="919" cm="1">
        <f t="array" ref="AR22">IFERROR(_xlfn.LET(_xlpm.lam,TEXT(B22,"0"),_xlpm.thick,D22,_xlpm.crit,(TEXT(HELPER!$BZ$2:$BZ$250,"0")=_xlpm.lam)*(HELPER!$CC$2:$CC$250=_xlpm.thick)*(HELPER!$BW$2:$BW$250&lt;&gt;""),_xlpm.mats,TRIM(SUBSTITUTE(_xlfn._xlws.FILTER(HELPER!$BW$2:$BW$250,_xlpm.crit),CHAR(160),"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")),HELPER!$AQ$2:$AQ$20,1),_xlpm.mass,IF(ISNUMBER(SEARCH("paper",_xlpm.mats)),42,_xlpm.dens*_xlpm.ths),E22/1000000*SUM(_xlpm.mass)),"")</f>
        <v>6.0632999999999999E-2</v>
      </c>
      <c r="AS22" s="919">
        <f>IFERROR(IF(D22&gt;31,(5%+250/P22)*AF22,VLOOKUP(D22,HELPER!$BH$3:$BI$5,2,TRUE)*AF22),0)</f>
        <v>0.51034564865812171</v>
      </c>
      <c r="AT22" s="919">
        <v>0.19999999999999901</v>
      </c>
      <c r="AU22" s="919"/>
      <c r="AV22" s="919"/>
      <c r="AW22" s="919"/>
      <c r="AX22" s="919"/>
      <c r="AY22" s="919"/>
      <c r="AZ22" s="919">
        <f t="shared" si="3"/>
        <v>10080</v>
      </c>
    </row>
    <row r="23" spans="1:52">
      <c r="A23" s="73" t="s">
        <v>1444</v>
      </c>
      <c r="B23" s="73">
        <v>418</v>
      </c>
      <c r="C23" s="908" t="s">
        <v>1432</v>
      </c>
      <c r="D23" s="915" cm="1">
        <f t="array" ref="D2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3" s="915">
        <v>250</v>
      </c>
      <c r="F23" s="73" t="s">
        <v>560</v>
      </c>
      <c r="G23" s="916">
        <v>500</v>
      </c>
      <c r="H23" s="916">
        <v>500</v>
      </c>
      <c r="I23" s="916"/>
      <c r="J23" s="916"/>
      <c r="K23" s="73" t="s">
        <v>124</v>
      </c>
      <c r="L23" s="921" t="s">
        <v>221</v>
      </c>
      <c r="M23" s="915">
        <v>1</v>
      </c>
      <c r="N23" s="73" t="s">
        <v>550</v>
      </c>
      <c r="O23" s="73" t="s">
        <v>240</v>
      </c>
      <c r="P23" s="916" cm="1">
        <f t="array" ref="P23">IFERROR(_xlfn.SWITCH(F23,"By Weight",IF(H23&lt;&gt;"",H23,G23)/AR23,"By Length",G23,"By Imp",G23/MAX(1,ROUNDDOWN(E23/I23,0))*J23/1000,"IMP",G23/MAX(1,ROUNDDOWN(E23/I23,0))*J23/1000,""),"")</f>
        <v>29686.804215526197</v>
      </c>
      <c r="Q23" s="916">
        <f t="shared" si="4"/>
        <v>500</v>
      </c>
      <c r="R23" s="917">
        <f t="shared" si="5"/>
        <v>8498.9034635666103</v>
      </c>
      <c r="S23" s="918">
        <f t="shared" si="6"/>
        <v>9858.7280177372668</v>
      </c>
      <c r="T23" s="919">
        <f t="shared" si="7"/>
        <v>16.997806927133219</v>
      </c>
      <c r="U23" s="920">
        <f t="shared" si="8"/>
        <v>19.717456035474534</v>
      </c>
      <c r="V23" s="919">
        <f t="shared" si="9"/>
        <v>0.33680654490616813</v>
      </c>
      <c r="W23" s="919">
        <f t="shared" si="10"/>
        <v>19.997419914274492</v>
      </c>
      <c r="X23" s="919" t="str">
        <f t="shared" si="11"/>
        <v/>
      </c>
      <c r="Y23" s="920">
        <f t="shared" si="12"/>
        <v>0.39069559209115501</v>
      </c>
      <c r="Z23" s="920">
        <f t="shared" si="13"/>
        <v>23.197007100558409</v>
      </c>
      <c r="AA23" s="920" t="str">
        <f t="shared" si="14"/>
        <v/>
      </c>
      <c r="AB23" s="917">
        <f t="shared" si="15"/>
        <v>9998.7099571372455</v>
      </c>
      <c r="AC23" s="918">
        <f t="shared" si="16"/>
        <v>11598.503550279203</v>
      </c>
      <c r="AD23" s="916">
        <f t="shared" si="17"/>
        <v>29686.804215526197</v>
      </c>
      <c r="AE23" s="916">
        <f t="shared" si="18"/>
        <v>500</v>
      </c>
      <c r="AF23" s="919" cm="1">
        <f t="array" ref="AF23">IFERROR(_xlfn.LET(_xlpm.lam,TEXT(B23,"0"),_xlpm.thick,D23,_xlpm.crit,(TEXT(HELPER!$BZ$2:$BZ$250,"0")=_xlpm.lam)*(HELPER!$CC$2:$CC$250=_xlpm.thick)*(HELPER!$BW$2:$BW$250&lt;&gt;""),_xlpm.mats,TRIM(SUBSTITUTE(_xlfn._xlws.FILTER(HELPER!$BW$2:$BW$250,_xlpm.crit),CHAR(160),"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3" s="919">
        <f>IFERROR(IF(N23="Europe to Canada",IF(Q23&lt;1000,VLOOKUP(1000,HELPER!$AG$4:$AH$8,2,FALSE)/Q23,VLOOKUP(Q23,HELPER!$AG$4:$AH$8,2,TRUE)/Q23),IF(N23="Europe to US",HELPER!$AH$2,IF(N23="Europe to Europe",HELPER!$AH$3,0))),0)</f>
        <v>5.4</v>
      </c>
      <c r="AH23" s="919" cm="1">
        <f t="array" ref="AH23">IFERROR(_xlfn.LET(_xlpm.cap,IF(O23="Quantum",760,1220),_xlpm.wUsed,E23*MAX(1,MIN(MAX(2,INT(900/E23)),INT((_xlpm.cap-50)/E23))),_xlpm.kgmUsed,AR23/E23*_xlpm.wUsed,_xlpm.lam,TEXT(B23,"0"),_xlpm.crit,(TEXT(HELPER!$BZ$2:$BZ$250,"0")=_xlpm.lam)*(HELPER!$CC$2:$CC$250=D23)*(HELPER!$BW$2:$BW$250&lt;&gt;""),_xlpm.mats,_xlfn._xlws.FILTER(HELPER!$BW$2:$BW$250,_xlpm.crit),_xlpm.realLayers,SUM((_xlpm.mats&lt;&gt;"")*ISERROR(SEARCH("EPOTAL",_xlpm.mats&amp;""))*ISERROR(SEARCH("BASONAT",_xlpm.mats&amp;""))*ISERROR(SEARCH("ADH",_xlpm.mats&amp;""))*ISERROR(SEARCH("HARDENER",_xlpm.mats&amp;""))),_xlpm.steps,MAX(0,_xlpm.realLayers-1),_xlpm.tier,IF(P23&lt;3000,1,IF(P23&lt;10000,2,IF(P23&lt;25000,3,IF(P23&lt;50000,4,IF(P23&lt;100000,5,IF(P23&lt;250000,6,7)))))),_xlpm.widthRow,IF(_xlpm.wUsed&lt;900,0,5),_xlpm.supplierRow,IF(O23="Marma",3,IF(OR(O23="Bastin",O23="Quantum"),13,0)),_xlpm.rate,INDEX('Lmntn &amp; Prntng- Marma &amp; Bastin '!$D$1:$K$22,_xlpm.supplierRow+_xlpm.widthRow,_xlpm.tier),_xlpm.rate*_xlpm.steps/_xlpm.kgmUsed),"")</f>
        <v>2.2252634703874126</v>
      </c>
      <c r="AI23" s="919" cm="1">
        <f t="array" ref="AI23">IFERROR(_xlfn.LET(_xlpm.cap,IF(O23="Quantum",760,1220),_xlpm.wUsed,E23*MAX(1,MIN(MAX(2,INT(900/E23)),INT((_xlpm.cap-50)/E23))),_xlpm.kgmUsed,AR23/E23*_xlpm.wUsed,_xlpm.tier,IF(P23&lt;3000,1,IF(P23&lt;10000,2,IF(P23&lt;25000,3,IF(P23&lt;50000,4,IF(P23&lt;100000,5,IF(P23&lt;250000,6,IF(P23&lt;500000,7,8))))))),_xlpm.widthRow,IF(_xlpm.wUsed&lt;900,0,5),_xlpm.slitRow,IF(O23="Marma",7,IF(OR(O23="Bastin",O23="Quantum"),17,0)),_xlpm.slitRate,INDEX('Lmntn &amp; Prntng- Marma &amp; Bastin '!$D$1:$K$22,_xlpm.slitRow+_xlpm.widthRow,_xlpm.tier),_xlpm.numColors,IF(ISNUMBER(L23),L23,IFERROR(--RIGHT(L23,LEN(L23)-FIND("-",L23)),0)),_xlpm.printRate,IF(OR(K23&lt;&gt;"Printed",_xlpm.numColors=0),0,IF(O23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MAX(_xlfn._xlws.FILTER(_xlpm.meters,(_xlpm.widths=_xlpm.qWidth)*(_xlpm.bands=_xlpm.band)))),INDEX(_xlpm.rates,_xlfn.XMATCH(1,(_xlpm.widths=_xlpm.qWidth)*(_xlpm.bands=_xlpm.band)*(_xlpm.meters=_xlpm.targetM),0))/HELPER!$AK$2),_xlfn.LET(_xlpm.colorOffset,IF(_xlpm.numColors&lt;=2,1,IF(_xlpm.numColors&lt;=4,2,3)),_xlpm.supplierRow,IF(O23="Marma",3,IF(O23="Bastin",13,0)),INDEX('Lmntn &amp; Prntng- Marma &amp; Bastin '!$D$1:$K$22,_xlpm.supplierRow+_xlpm.widthRow+_xlpm.colorOffset,_xlpm.tier)))),AH23+_xlpm.slitRate/_xlpm.kgmUsed+_xlpm.printRate/_xlpm.kgmUsed+AJ23),"")</f>
        <v>2.8458364257087725</v>
      </c>
      <c r="AJ23" s="919" cm="1">
        <f t="array" ref="AJ23">IF(OR(K23&lt;&gt;"Printed",L23=0,L23="0",L23=""),0,IFERROR(_xlfn.LET(_xlpm.lam,TEXT(B23,"0"),_xlpm.crit,(TEXT(HELPER!$BZ$2:$BZ$250,"0")=_xlpm.lam)*(HELPER!$CC$2:$CC$250=D23)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WHITE"},0)))/ROWS(_xlpm.real),_xlpm.numColors,IF(ISNUMBER(L23),L23,IFERROR(--RIGHT(L23,LEN(L23)-FIND("-",L23)),0)),HELPER!$DB$1*_xlpm.numColors*MAX(1,M23)*1.05*_xlpm.nkRatio/Q23),0))</f>
        <v>0</v>
      </c>
      <c r="AK23" s="919">
        <f t="shared" si="19"/>
        <v>0.86917818040301453</v>
      </c>
      <c r="AL23" s="919">
        <f t="shared" si="20"/>
        <v>336.80654490616814</v>
      </c>
      <c r="AM23" s="73" t="str">
        <f t="shared" si="21"/>
        <v>PASS</v>
      </c>
      <c r="AN23" s="908" t="str">
        <f t="shared" si="0"/>
        <v/>
      </c>
      <c r="AO23" s="919">
        <f t="shared" si="1"/>
        <v>51</v>
      </c>
      <c r="AP23" s="919">
        <f t="shared" si="2"/>
        <v>29686.804215526197</v>
      </c>
      <c r="AQ23" s="919"/>
      <c r="AR23" s="919" cm="1">
        <f t="array" ref="AR23">IFERROR(_xlfn.LET(_xlpm.lam,TEXT(B23,"0"),_xlpm.thick,D23,_xlpm.crit,(TEXT(HELPER!$BZ$2:$BZ$250,"0")=_xlpm.lam)*(HELPER!$CC$2:$CC$250=_xlpm.thick)*(HELPER!$BW$2:$BW$250&lt;&gt;""),_xlpm.mats,TRIM(SUBSTITUTE(_xlfn._xlws.FILTER(HELPER!$BW$2:$BW$250,_xlpm.crit),CHAR(160),"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")),HELPER!$AQ$2:$AQ$20,1),_xlpm.mass,IF(ISNUMBER(SEARCH("paper",_xlpm.mats)),42,_xlpm.dens*_xlpm.ths),E23/1000000*SUM(_xlpm.mass)),"")</f>
        <v>1.68425E-2</v>
      </c>
      <c r="AS23" s="919">
        <f>IFERROR(IF(D23&gt;31,(5%+250/P23)*AF23,VLOOKUP(D23,HELPER!$BH$3:$BI$5,2,TRUE)*AF23),0)</f>
        <v>0.48307897886247364</v>
      </c>
      <c r="AT23" s="919">
        <v>0.15000000000000499</v>
      </c>
      <c r="AU23" s="919"/>
      <c r="AV23" s="919"/>
      <c r="AW23" s="919"/>
      <c r="AX23" s="919"/>
      <c r="AY23" s="919"/>
      <c r="AZ23" s="919">
        <f t="shared" si="3"/>
        <v>0</v>
      </c>
    </row>
    <row r="24" spans="1:52">
      <c r="A24" s="73" t="s">
        <v>1445</v>
      </c>
      <c r="B24" s="73">
        <v>418</v>
      </c>
      <c r="C24" s="908" t="s">
        <v>1434</v>
      </c>
      <c r="D24" s="915" cm="1">
        <f t="array" ref="D2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 s="915">
        <v>600</v>
      </c>
      <c r="F24" s="73" t="s">
        <v>1040</v>
      </c>
      <c r="G24" s="916">
        <v>100000</v>
      </c>
      <c r="H24" s="916"/>
      <c r="I24" s="916">
        <v>300</v>
      </c>
      <c r="J24" s="916">
        <v>200</v>
      </c>
      <c r="K24" s="73" t="s">
        <v>123</v>
      </c>
      <c r="L24" s="921" t="s">
        <v>122</v>
      </c>
      <c r="M24" s="915">
        <v>4</v>
      </c>
      <c r="N24" s="73" t="s">
        <v>549</v>
      </c>
      <c r="O24" s="73" t="s">
        <v>250</v>
      </c>
      <c r="P24" s="916" cm="1">
        <f t="array" ref="P24">IFERROR(_xlfn.SWITCH(F24,"By Weight",IF(H24&lt;&gt;"",H24,G24)/AR24,"By Length",G24,"By Imp",G24/MAX(1,ROUNDDOWN(E24/I24,0))*J24/1000,"IMP",G24/MAX(1,ROUNDDOWN(E24/I24,0))*J24/1000,""),"")</f>
        <v>10000</v>
      </c>
      <c r="Q24" s="916">
        <f t="shared" si="4"/>
        <v>404.21999999999997</v>
      </c>
      <c r="R24" s="917">
        <f t="shared" si="5"/>
        <v>8634.6791810937484</v>
      </c>
      <c r="S24" s="918">
        <f t="shared" si="6"/>
        <v>10016.227850068748</v>
      </c>
      <c r="T24" s="919">
        <f t="shared" si="7"/>
        <v>21.361335859417519</v>
      </c>
      <c r="U24" s="920">
        <f t="shared" si="8"/>
        <v>24.77914959692432</v>
      </c>
      <c r="V24" s="919">
        <f t="shared" si="9"/>
        <v>1.0158446095404412</v>
      </c>
      <c r="W24" s="919">
        <f t="shared" si="10"/>
        <v>25.130983364020612</v>
      </c>
      <c r="X24" s="919">
        <f t="shared" si="11"/>
        <v>0.10158446095404412</v>
      </c>
      <c r="Y24" s="920">
        <f t="shared" si="12"/>
        <v>1.1783797470669117</v>
      </c>
      <c r="Z24" s="920">
        <f t="shared" si="13"/>
        <v>29.151940702263907</v>
      </c>
      <c r="AA24" s="920">
        <f t="shared" si="14"/>
        <v>0.11783797470669118</v>
      </c>
      <c r="AB24" s="917">
        <f t="shared" si="15"/>
        <v>10158.446095404412</v>
      </c>
      <c r="AC24" s="918">
        <f t="shared" si="16"/>
        <v>11783.797470669117</v>
      </c>
      <c r="AD24" s="916">
        <f t="shared" si="17"/>
        <v>12369.50175646925</v>
      </c>
      <c r="AE24" s="916">
        <f t="shared" si="18"/>
        <v>500</v>
      </c>
      <c r="AF24" s="919" cm="1">
        <f t="array" ref="AF24">IFERROR(_xlfn.LET(_xlpm.lam,TEXT(B24,"0"),_xlpm.thick,D24,_xlpm.crit,(TEXT(HELPER!$BZ$2:$BZ$250,"0")=_xlpm.lam)*(HELPER!$CC$2:$CC$250=_xlpm.thick)*(HELPER!$BW$2:$BW$250&lt;&gt;""),_xlpm.mats,TRIM(SUBSTITUTE(_xlfn._xlws.FILTER(HELPER!$BW$2:$BW$250,_xlpm.crit),CHAR(160),"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4" s="919">
        <f>IFERROR(IF(N24="Europe to Canada",IF(Q24&lt;1000,VLOOKUP(1000,HELPER!$AG$4:$AH$8,2,FALSE)/Q24,VLOOKUP(Q24,HELPER!$AG$4:$AH$8,2,TRUE)/Q24),IF(N24="Europe to US",HELPER!$AH$2,IF(N24="Europe to Europe",HELPER!$AH$3,0))),0)</f>
        <v>0.2</v>
      </c>
      <c r="AH24" s="919" cm="1">
        <f t="array" ref="AH24">IFERROR(_xlfn.LET(_xlpm.cap,IF(O24="Quantum",760,1220),_xlpm.wUsed,E24*MAX(1,MIN(MAX(2,INT(900/E24)),INT((_xlpm.cap-50)/E24))),_xlpm.kgmUsed,AR24/E24*_xlpm.wUsed,_xlpm.lam,TEXT(B24,"0"),_xlpm.crit,(TEXT(HELPER!$BZ$2:$BZ$250,"0")=_xlpm.lam)*(HELPER!$CC$2:$CC$250=D24)*(HELPER!$BW$2:$BW$250&lt;&gt;""),_xlpm.mats,_xlfn._xlws.FILTER(HELPER!$BW$2:$BW$250,_xlpm.crit),_xlpm.realLayers,SUM((_xlpm.mats&lt;&gt;"")*ISERROR(SEARCH("EPOTAL",_xlpm.mats&amp;""))*ISERROR(SEARCH("BASONAT",_xlpm.mats&amp;""))*ISERROR(SEARCH("ADH",_xlpm.mats&amp;""))*ISERROR(SEARCH("HARDENER",_xlpm.mats&amp;""))),_xlpm.steps,MAX(0,_xlpm.realLayers-1),_xlpm.tier,IF(P24&lt;3000,1,IF(P24&lt;10000,2,IF(P24&lt;25000,3,IF(P24&lt;50000,4,IF(P24&lt;100000,5,IF(P24&lt;250000,6,7)))))),_xlpm.widthRow,IF(_xlpm.wUsed&lt;900,0,5),_xlpm.supplierRow,IF(O24="Marma",3,IF(OR(O24="Bastin",O24="Quantum"),13,0)),_xlpm.rate,INDEX('Lmntn &amp; Prntng- Marma &amp; Bastin '!$D$1:$K$22,_xlpm.supplierRow+_xlpm.widthRow,_xlpm.tier),_xlpm.rate*_xlpm.steps/_xlpm.kgmUsed),"")</f>
        <v>2.2643609915392608</v>
      </c>
      <c r="AI24" s="919" cm="1">
        <f t="array" ref="AI24">IFERROR(_xlfn.LET(_xlpm.cap,IF(O24="Quantum",760,1220),_xlpm.wUsed,E24*MAX(1,MIN(MAX(2,INT(900/E24)),INT((_xlpm.cap-50)/E24))),_xlpm.kgmUsed,AR24/E24*_xlpm.wUsed,_xlpm.tier,IF(P24&lt;3000,1,IF(P24&lt;10000,2,IF(P24&lt;25000,3,IF(P24&lt;50000,4,IF(P24&lt;100000,5,IF(P24&lt;250000,6,IF(P24&lt;500000,7,8))))))),_xlpm.widthRow,IF(_xlpm.wUsed&lt;900,0,5),_xlpm.slitRow,IF(O24="Marma",7,IF(OR(O24="Bastin",O24="Quantum"),17,0)),_xlpm.slitRate,INDEX('Lmntn &amp; Prntng- Marma &amp; Bastin '!$D$1:$K$22,_xlpm.slitRow+_xlpm.widthRow,_xlpm.tier),_xlpm.numColors,IF(ISNUMBER(L24),L24,IFERROR(--RIGHT(L24,LEN(L24)-FIND("-",L24)),0)),_xlpm.printRate,IF(OR(K24&lt;&gt;"Printed",_xlpm.numColors=0),0,IF(O24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MAX(_xlfn._xlws.FILTER(_xlpm.meters,(_xlpm.widths=_xlpm.qWidth)*(_xlpm.bands=_xlpm.band)))),INDEX(_xlpm.rates,_xlfn.XMATCH(1,(_xlpm.widths=_xlpm.qWidth)*(_xlpm.bands=_xlpm.band)*(_xlpm.meters=_xlpm.targetM),0))/HELPER!$AK$2),_xlfn.LET(_xlpm.colorOffset,IF(_xlpm.numColors&lt;=2,1,IF(_xlpm.numColors&lt;=4,2,3)),_xlpm.supplierRow,IF(O24="Marma",3,IF(O24="Bastin",13,0)),INDEX('Lmntn &amp; Prntng- Marma &amp; Bastin '!$D$1:$K$22,_xlpm.supplierRow+_xlpm.widthRow+_xlpm.colorOffset,_xlpm.tier)))),AH24+_xlpm.slitRate/_xlpm.kgmUsed+_xlpm.printRate/_xlpm.kgmUsed+AJ24),"")</f>
        <v>12.272277472663401</v>
      </c>
      <c r="AJ24" s="919" cm="1">
        <f t="array" ref="AJ24">IF(OR(K24&lt;&gt;"Printed",L24=0,L24="0",L24=""),0,IFERROR(_xlfn.LET(_xlpm.lam,TEXT(B24,"0"),_xlpm.crit,(TEXT(HELPER!$BZ$2:$BZ$250,"0")=_xlpm.lam)*(HELPER!$CC$2:$CC$250=D24)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WHITE"},0)))/ROWS(_xlpm.real),_xlpm.numColors,IF(ISNUMBER(L24),L24,IFERROR(--RIGHT(L24,LEN(L24)-FIND("-",L24)),0)),HELPER!$DB$1*_xlpm.numColors*MAX(1,M24)*1.05*_xlpm.nkRatio/Q24),0))</f>
        <v>6.2342288852605021</v>
      </c>
      <c r="AK24" s="919">
        <f t="shared" si="19"/>
        <v>1.0923060317639153</v>
      </c>
      <c r="AL24" s="919">
        <f t="shared" si="20"/>
        <v>1015.8446095404412</v>
      </c>
      <c r="AM24" s="73" t="str">
        <f t="shared" si="21"/>
        <v>PASS</v>
      </c>
      <c r="AN24" s="908" t="str">
        <f t="shared" si="0"/>
        <v/>
      </c>
      <c r="AO24" s="919">
        <f t="shared" si="1"/>
        <v>51</v>
      </c>
      <c r="AP24" s="919">
        <f t="shared" si="2"/>
        <v>10000</v>
      </c>
      <c r="AQ24" s="919"/>
      <c r="AR24" s="919" cm="1">
        <f t="array" ref="AR24">IFERROR(_xlfn.LET(_xlpm.lam,TEXT(B24,"0"),_xlpm.thick,D24,_xlpm.crit,(TEXT(HELPER!$BZ$2:$BZ$250,"0")=_xlpm.lam)*(HELPER!$CC$2:$CC$250=_xlpm.thick)*(HELPER!$BW$2:$BW$250&lt;&gt;""),_xlpm.mats,TRIM(SUBSTITUTE(_xlfn._xlws.FILTER(HELPER!$BW$2:$BW$250,_xlpm.crit),CHAR(160),"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")),HELPER!$AQ$2:$AQ$20,1),_xlpm.mass,IF(ISNUMBER(SEARCH("paper",_xlpm.mats)),42,_xlpm.dens*_xlpm.ths),E24/1000000*SUM(_xlpm.mass)),"")</f>
        <v>4.0422E-2</v>
      </c>
      <c r="AS24" s="919">
        <f>IFERROR(IF(D24&gt;31,(5%+250/P24)*AF24,VLOOKUP(D24,HELPER!$BH$3:$BI$5,2,TRUE)*AF24),0)</f>
        <v>0.62016686419214806</v>
      </c>
      <c r="AT24" s="919">
        <v>0.15</v>
      </c>
      <c r="AU24" s="919"/>
      <c r="AV24" s="919"/>
      <c r="AW24" s="919"/>
      <c r="AX24" s="919"/>
      <c r="AY24" s="919"/>
      <c r="AZ24" s="919">
        <f t="shared" si="3"/>
        <v>2520</v>
      </c>
    </row>
    <row r="25" spans="1:52">
      <c r="A25" s="73" t="s">
        <v>1446</v>
      </c>
      <c r="B25" s="73">
        <v>418</v>
      </c>
      <c r="C25" s="908" t="s">
        <v>1436</v>
      </c>
      <c r="D25" s="915" cm="1">
        <f t="array" ref="D2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5" s="915">
        <v>450</v>
      </c>
      <c r="F25" s="73" t="s">
        <v>560</v>
      </c>
      <c r="G25" s="916">
        <v>500</v>
      </c>
      <c r="H25" s="916">
        <v>500</v>
      </c>
      <c r="I25" s="916"/>
      <c r="J25" s="916"/>
      <c r="K25" s="73" t="s">
        <v>123</v>
      </c>
      <c r="L25" s="921" t="s">
        <v>591</v>
      </c>
      <c r="M25" s="915">
        <v>2</v>
      </c>
      <c r="N25" s="73" t="s">
        <v>549</v>
      </c>
      <c r="O25" s="73" t="s">
        <v>1366</v>
      </c>
      <c r="P25" s="916" cm="1">
        <f t="array" ref="P25">IFERROR(_xlfn.SWITCH(F25,"By Weight",IF(H25&lt;&gt;"",H25,G25)/AR25,"By Length",G25,"By Imp",G25/MAX(1,ROUNDDOWN(E25/I25,0))*J25/1000,"IMP",G25/MAX(1,ROUNDDOWN(E25/I25,0))*J25/1000,""),"")</f>
        <v>16492.669008625668</v>
      </c>
      <c r="Q25" s="916">
        <f t="shared" si="4"/>
        <v>500.00000000000006</v>
      </c>
      <c r="R25" s="917">
        <f t="shared" si="5"/>
        <v>19026.276668095339</v>
      </c>
      <c r="S25" s="918">
        <f t="shared" si="6"/>
        <v>22070.480934990592</v>
      </c>
      <c r="T25" s="919">
        <f t="shared" si="7"/>
        <v>38.052553336190677</v>
      </c>
      <c r="U25" s="920">
        <f t="shared" si="8"/>
        <v>44.140961869981183</v>
      </c>
      <c r="V25" s="919">
        <f t="shared" si="9"/>
        <v>1.4420252915207827</v>
      </c>
      <c r="W25" s="919">
        <f t="shared" si="10"/>
        <v>47.565691670238408</v>
      </c>
      <c r="X25" s="919" t="str">
        <f t="shared" si="11"/>
        <v/>
      </c>
      <c r="Y25" s="920">
        <f t="shared" si="12"/>
        <v>1.6727493381641079</v>
      </c>
      <c r="Z25" s="920">
        <f t="shared" si="13"/>
        <v>55.176202337476546</v>
      </c>
      <c r="AA25" s="920" t="str">
        <f t="shared" si="14"/>
        <v/>
      </c>
      <c r="AB25" s="917">
        <f t="shared" si="15"/>
        <v>23782.845835119206</v>
      </c>
      <c r="AC25" s="918">
        <f t="shared" si="16"/>
        <v>27588.101168738278</v>
      </c>
      <c r="AD25" s="916">
        <f t="shared" si="17"/>
        <v>16492.669008625668</v>
      </c>
      <c r="AE25" s="916">
        <f t="shared" si="18"/>
        <v>500</v>
      </c>
      <c r="AF25" s="919" cm="1">
        <f t="array" ref="AF25">IFERROR(_xlfn.LET(_xlpm.lam,TEXT(B25,"0"),_xlpm.thick,D25,_xlpm.crit,(TEXT(HELPER!$BZ$2:$BZ$250,"0")=_xlpm.lam)*(HELPER!$CC$2:$CC$250=_xlpm.thick)*(HELPER!$BW$2:$BW$250&lt;&gt;""),_xlpm.mats,TRIM(SUBSTITUTE(_xlfn._xlws.FILTER(HELPER!$BW$2:$BW$250,_xlpm.crit),CHAR(160),"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5" s="919">
        <f>IFERROR(IF(N25="Europe to Canada",IF(Q25&lt;1000,VLOOKUP(1000,HELPER!$AG$4:$AH$8,2,FALSE)/Q25,VLOOKUP(Q25,HELPER!$AG$4:$AH$8,2,TRUE)/Q25),IF(N25="Europe to US",HELPER!$AH$2,IF(N25="Europe to Europe",HELPER!$AH$3,0))),0)</f>
        <v>0.2</v>
      </c>
      <c r="AH25" s="919" cm="1">
        <f t="array" ref="AH25">IFERROR(_xlfn.LET(_xlpm.cap,IF(O25="Quantum",760,1220),_xlpm.wUsed,E25*MAX(1,MIN(MAX(2,INT(900/E25)),INT((_xlpm.cap-50)/E25))),_xlpm.kgmUsed,AR25/E25*_xlpm.wUsed,_xlpm.lam,TEXT(B25,"0"),_xlpm.crit,(TEXT(HELPER!$BZ$2:$BZ$250,"0")=_xlpm.lam)*(HELPER!$CC$2:$CC$250=D25)*(HELPER!$BW$2:$BW$250&lt;&gt;""),_xlpm.mats,_xlfn._xlws.FILTER(HELPER!$BW$2:$BW$250,_xlpm.crit),_xlpm.realLayers,SUM((_xlpm.mats&lt;&gt;"")*ISERROR(SEARCH("EPOTAL",_xlpm.mats&amp;""))*ISERROR(SEARCH("BASONAT",_xlpm.mats&amp;""))*ISERROR(SEARCH("ADH",_xlpm.mats&amp;""))*ISERROR(SEARCH("HARDENER",_xlpm.mats&amp;""))),_xlpm.steps,MAX(0,_xlpm.realLayers-1),_xlpm.tier,IF(P25&lt;3000,1,IF(P25&lt;10000,2,IF(P25&lt;25000,3,IF(P25&lt;50000,4,IF(P25&lt;100000,5,IF(P25&lt;250000,6,7)))))),_xlpm.widthRow,IF(_xlpm.wUsed&lt;900,0,5),_xlpm.supplierRow,IF(O25="Marma",3,IF(OR(O25="Bastin",O25="Quantum"),13,0)),_xlpm.rate,INDEX('Lmntn &amp; Prntng- Marma &amp; Bastin '!$D$1:$K$22,_xlpm.supplierRow+_xlpm.widthRow,_xlpm.tier),_xlpm.rate*_xlpm.steps/_xlpm.kgmUsed),"")</f>
        <v>3.9248923853347186</v>
      </c>
      <c r="AI25" s="919" cm="1">
        <f t="array" ref="AI25">IFERROR(_xlfn.LET(_xlpm.cap,IF(O25="Quantum",760,1220),_xlpm.wUsed,E25*MAX(1,MIN(MAX(2,INT(900/E25)),INT((_xlpm.cap-50)/E25))),_xlpm.kgmUsed,AR25/E25*_xlpm.wUsed,_xlpm.tier,IF(P25&lt;3000,1,IF(P25&lt;10000,2,IF(P25&lt;25000,3,IF(P25&lt;50000,4,IF(P25&lt;100000,5,IF(P25&lt;250000,6,IF(P25&lt;500000,7,8))))))),_xlpm.widthRow,IF(_xlpm.wUsed&lt;900,0,5),_xlpm.slitRow,IF(O25="Marma",7,IF(OR(O25="Bastin",O25="Quantum"),17,0)),_xlpm.slitRate,INDEX('Lmntn &amp; Prntng- Marma &amp; Bastin '!$D$1:$K$22,_xlpm.slitRow+_xlpm.widthRow,_xlpm.tier),_xlpm.numColors,IF(ISNUMBER(L25),L25,IFERROR(--RIGHT(L25,LEN(L25)-FIND("-",L25)),0)),_xlpm.printRate,IF(OR(K25&lt;&gt;"Printed",_xlpm.numColors=0),0,IF(O25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MAX(_xlfn._xlws.FILTER(_xlpm.meters,(_xlpm.widths=_xlpm.qWidth)*(_xlpm.bands=_xlpm.band)))),INDEX(_xlpm.rates,_xlfn.XMATCH(1,(_xlpm.widths=_xlpm.qWidth)*(_xlpm.bands=_xlpm.band)*(_xlpm.meters=_xlpm.targetM),0))/HELPER!$AK$2),_xlfn.LET(_xlpm.colorOffset,IF(_xlpm.numColors&lt;=2,1,IF(_xlpm.numColors&lt;=4,2,3)),_xlpm.supplierRow,IF(O25="Marma",3,IF(O25="Bastin",13,0)),INDEX('Lmntn &amp; Prntng- Marma &amp; Bastin '!$D$1:$K$22,_xlpm.supplierRow+_xlpm.widthRow+_xlpm.colorOffset,_xlpm.tier)))),AH25+_xlpm.slitRate/_xlpm.kgmUsed+_xlpm.printRate/_xlpm.kgmUsed+AJ25),"")</f>
        <v>29.044875312578732</v>
      </c>
      <c r="AJ25" s="919" cm="1">
        <f t="array" ref="AJ25">IF(OR(K25&lt;&gt;"Printed",L25=0,L25="0",L25=""),0,IFERROR(_xlfn.LET(_xlpm.lam,TEXT(B25,"0"),_xlpm.crit,(TEXT(HELPER!$BZ$2:$BZ$250,"0")=_xlpm.lam)*(HELPER!$CC$2:$CC$250=D25)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WHITE"},0)))/ROWS(_xlpm.real),_xlpm.numColors,IF(ISNUMBER(L25),L25,IFERROR(--RIGHT(L25,LEN(L25)-FIND("-",L25)),0)),HELPER!$DB$1*_xlpm.numColors*MAX(1,M25)*1.05*_xlpm.nkRatio/Q25),0))</f>
        <v>1.2599999999999998</v>
      </c>
      <c r="AK25" s="919">
        <f t="shared" si="19"/>
        <v>2.0674197727896528</v>
      </c>
      <c r="AL25" s="919">
        <f t="shared" si="20"/>
        <v>1442.0252915207827</v>
      </c>
      <c r="AM25" s="73" t="str">
        <f t="shared" si="21"/>
        <v>PASS</v>
      </c>
      <c r="AN25" s="908" t="str">
        <f t="shared" si="0"/>
        <v/>
      </c>
      <c r="AO25" s="919">
        <f t="shared" si="1"/>
        <v>51</v>
      </c>
      <c r="AP25" s="919">
        <f t="shared" si="2"/>
        <v>16492.669008625668</v>
      </c>
      <c r="AQ25" s="919"/>
      <c r="AR25" s="919" cm="1">
        <f t="array" ref="AR25">IFERROR(_xlfn.LET(_xlpm.lam,TEXT(B25,"0"),_xlpm.thick,D25,_xlpm.crit,(TEXT(HELPER!$BZ$2:$BZ$250,"0")=_xlpm.lam)*(HELPER!$CC$2:$CC$250=_xlpm.thick)*(HELPER!$BW$2:$BW$250&lt;&gt;""),_xlpm.mats,TRIM(SUBSTITUTE(_xlfn._xlws.FILTER(HELPER!$BW$2:$BW$250,_xlpm.crit),CHAR(160),"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")),HELPER!$AQ$2:$AQ$20,1),_xlpm.mass,IF(ISNUMBER(SEARCH("paper",_xlpm.mats)),42,_xlpm.dens*_xlpm.ths),E25/1000000*SUM(_xlpm.mass)),"")</f>
        <v>3.03165E-2</v>
      </c>
      <c r="AS25" s="919">
        <f>IFERROR(IF(D25&gt;31,(5%+250/P25)*AF25,VLOOKUP(D25,HELPER!$BH$3:$BI$5,2,TRUE)*AF25),0)</f>
        <v>0.53878650104997361</v>
      </c>
      <c r="AT25" s="919">
        <v>0.20000000000000101</v>
      </c>
      <c r="AU25" s="919"/>
      <c r="AV25" s="919"/>
      <c r="AW25" s="919"/>
      <c r="AX25" s="919"/>
      <c r="AY25" s="919"/>
      <c r="AZ25" s="919">
        <f t="shared" si="3"/>
        <v>630</v>
      </c>
    </row>
    <row r="26" spans="1:52">
      <c r="A26" s="73" t="s">
        <v>1447</v>
      </c>
      <c r="B26" s="73">
        <v>428</v>
      </c>
      <c r="C26" s="908" t="s">
        <v>1418</v>
      </c>
      <c r="D26" s="915" cm="1">
        <f t="array" ref="D2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26" s="915">
        <v>120</v>
      </c>
      <c r="F26" s="73" t="s">
        <v>560</v>
      </c>
      <c r="G26" s="916">
        <v>100</v>
      </c>
      <c r="H26" s="916">
        <v>100</v>
      </c>
      <c r="I26" s="916"/>
      <c r="J26" s="916"/>
      <c r="K26" s="73" t="s">
        <v>124</v>
      </c>
      <c r="L26" s="921" t="s">
        <v>221</v>
      </c>
      <c r="M26" s="915">
        <v>1</v>
      </c>
      <c r="N26" s="73" t="s">
        <v>549</v>
      </c>
      <c r="O26" s="73" t="s">
        <v>250</v>
      </c>
      <c r="P26" s="916" cm="1">
        <f t="array" ref="P26">IFERROR(_xlfn.SWITCH(F26,"By Weight",IF(H26&lt;&gt;"",H26,G26)/AR26,"By Length",G26,"By Imp",G26/MAX(1,ROUNDDOWN(E26/I26,0))*J26/1000,"IMP",G26/MAX(1,ROUNDDOWN(E26/I26,0))*J26/1000,""),"")</f>
        <v>8120.5742870135764</v>
      </c>
      <c r="Q26" s="916">
        <f t="shared" si="4"/>
        <v>100</v>
      </c>
      <c r="R26" s="917">
        <f t="shared" si="5"/>
        <v>1197.8907002510664</v>
      </c>
      <c r="S26" s="918">
        <f t="shared" si="6"/>
        <v>1389.5532122912368</v>
      </c>
      <c r="T26" s="919">
        <f t="shared" si="7"/>
        <v>11.978907002510665</v>
      </c>
      <c r="U26" s="920">
        <f t="shared" si="8"/>
        <v>13.895532122912371</v>
      </c>
      <c r="V26" s="919">
        <f t="shared" si="9"/>
        <v>0.1735447675196683</v>
      </c>
      <c r="W26" s="919">
        <f t="shared" si="10"/>
        <v>14.092831767659673</v>
      </c>
      <c r="X26" s="919" t="str">
        <f t="shared" si="11"/>
        <v/>
      </c>
      <c r="Y26" s="920">
        <f t="shared" si="12"/>
        <v>0.20131193032281522</v>
      </c>
      <c r="Z26" s="920">
        <f t="shared" si="13"/>
        <v>16.347684850485219</v>
      </c>
      <c r="AA26" s="920" t="str">
        <f t="shared" si="14"/>
        <v/>
      </c>
      <c r="AB26" s="917">
        <f t="shared" si="15"/>
        <v>1409.2831767659673</v>
      </c>
      <c r="AC26" s="918">
        <f t="shared" si="16"/>
        <v>1634.7684850485218</v>
      </c>
      <c r="AD26" s="916">
        <f t="shared" si="17"/>
        <v>40602.871435067886</v>
      </c>
      <c r="AE26" s="916">
        <f t="shared" si="18"/>
        <v>500</v>
      </c>
      <c r="AF26" s="919" cm="1">
        <f t="array" ref="AF26">IFERROR(_xlfn.LET(_xlpm.lam,TEXT(B26,"0"),_xlpm.thick,D26,_xlpm.crit,(TEXT(HELPER!$BZ$2:$BZ$250,"0")=_xlpm.lam)*(HELPER!$CC$2:$CC$250=_xlpm.thick)*(HELPER!$BW$2:$BW$250&lt;&gt;""),_xlpm.mats,TRIM(SUBSTITUTE(_xlfn._xlws.FILTER(HELPER!$BW$2:$BW$250,_xlpm.crit),CHAR(160),"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26" s="919">
        <f>IFERROR(IF(N26="Europe to Canada",IF(Q26&lt;1000,VLOOKUP(1000,HELPER!$AG$4:$AH$8,2,FALSE)/Q26,VLOOKUP(Q26,HELPER!$AG$4:$AH$8,2,TRUE)/Q26),IF(N26="Europe to US",HELPER!$AH$2,IF(N26="Europe to Europe",HELPER!$AH$3,0))),0)</f>
        <v>0.2</v>
      </c>
      <c r="AH26" s="919" cm="1">
        <f t="array" ref="AH26">IFERROR(_xlfn.LET(_xlpm.cap,IF(O26="Quantum",760,1220),_xlpm.wUsed,E26*MAX(1,MIN(MAX(2,INT(900/E26)),INT((_xlpm.cap-50)/E26))),_xlpm.kgmUsed,AR26/E26*_xlpm.wUsed,_xlpm.lam,TEXT(B26,"0"),_xlpm.crit,(TEXT(HELPER!$BZ$2:$BZ$250,"0")=_xlpm.lam)*(HELPER!$CC$2:$CC$250=D26)*(HELPER!$BW$2:$BW$250&lt;&gt;""),_xlpm.mats,_xlfn._xlws.FILTER(HELPER!$BW$2:$BW$250,_xlpm.crit),_xlpm.realLayers,SUM((_xlpm.mats&lt;&gt;"")*ISERROR(SEARCH("EPOTAL",_xlpm.mats&amp;""))*ISERROR(SEARCH("BASONAT",_xlpm.mats&amp;""))*ISERROR(SEARCH("ADH",_xlpm.mats&amp;""))*ISERROR(SEARCH("HARDENER",_xlpm.mats&amp;""))),_xlpm.steps,MAX(0,_xlpm.realLayers-1),_xlpm.tier,IF(P26&lt;3000,1,IF(P26&lt;10000,2,IF(P26&lt;25000,3,IF(P26&lt;50000,4,IF(P26&lt;100000,5,IF(P26&lt;250000,6,7)))))),_xlpm.widthRow,IF(_xlpm.wUsed&lt;900,0,5),_xlpm.supplierRow,IF(O26="Marma",3,IF(OR(O26="Bastin",O26="Quantum"),13,0)),_xlpm.rate,INDEX('Lmntn &amp; Prntng- Marma &amp; Bastin '!$D$1:$K$22,_xlpm.supplierRow+_xlpm.widthRow,_xlpm.tier),_xlpm.rate*_xlpm.steps/_xlpm.kgmUsed),"")</f>
        <v>2.4159868585906392</v>
      </c>
      <c r="AI26" s="919" cm="1">
        <f t="array" ref="AI26">IFERROR(_xlfn.LET(_xlpm.cap,IF(O26="Quantum",760,1220),_xlpm.wUsed,E26*MAX(1,MIN(MAX(2,INT(900/E26)),INT((_xlpm.cap-50)/E26))),_xlpm.kgmUsed,AR26/E26*_xlpm.wUsed,_xlpm.tier,IF(P26&lt;3000,1,IF(P26&lt;10000,2,IF(P26&lt;25000,3,IF(P26&lt;50000,4,IF(P26&lt;100000,5,IF(P26&lt;250000,6,IF(P26&lt;500000,7,8))))))),_xlpm.widthRow,IF(_xlpm.wUsed&lt;900,0,5),_xlpm.slitRow,IF(O26="Marma",7,IF(OR(O26="Bastin",O26="Quantum"),17,0)),_xlpm.slitRate,INDEX('Lmntn &amp; Prntng- Marma &amp; Bastin '!$D$1:$K$22,_xlpm.slitRow+_xlpm.widthRow,_xlpm.tier),_xlpm.numColors,IF(ISNUMBER(L26),L26,IFERROR(--RIGHT(L26,LEN(L26)-FIND("-",L26)),0)),_xlpm.printRate,IF(OR(K26&lt;&gt;"Printed",_xlpm.numColors=0),0,IF(O26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26))),MAX(_xlfn._xlws.FILTER(_xlpm.meters,(_xlpm.widths=_xlpm.qWidth)*(_xlpm.bands=_xlpm.band)))),INDEX(_xlpm.rates,_xlfn.XMATCH(1,(_xlpm.widths=_xlpm.qWidth)*(_xlpm.bands=_xlpm.band)*(_xlpm.meters=_xlpm.targetM),0))/HELPER!$AK$2),_xlfn.LET(_xlpm.colorOffset,IF(_xlpm.numColors&lt;=2,1,IF(_xlpm.numColors&lt;=4,2,3)),_xlpm.supplierRow,IF(O26="Marma",3,IF(O26="Bastin",13,0)),INDEX('Lmntn &amp; Prntng- Marma &amp; Bastin '!$D$1:$K$22,_xlpm.supplierRow+_xlpm.widthRow+_xlpm.colorOffset,_xlpm.tier)))),AH26+_xlpm.slitRate/_xlpm.kgmUsed+_xlpm.printRate/_xlpm.kgmUsed+AJ26),"")</f>
        <v>2.7688838154634294</v>
      </c>
      <c r="AJ26" s="919" cm="1">
        <f t="array" ref="AJ26">IF(OR(K26&lt;&gt;"Printed",L26=0,L26="0",L26=""),0,IFERROR(_xlfn.LET(_xlpm.lam,TEXT(B26,"0"),_xlpm.crit,(TEXT(HELPER!$BZ$2:$BZ$250,"0")=_xlpm.lam)*(HELPER!$CC$2:$CC$250=D26)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WHITE"},0)))/ROWS(_xlpm.real),_xlpm.numColors,IF(ISNUMBER(L26),L26,IFERROR(--RIGHT(L26,LEN(L26)-FIND("-",L26)),0)),HELPER!$DB$1*_xlpm.numColors*MAX(1,M26)*1.05*_xlpm.nkRatio/Q26),0))</f>
        <v>0</v>
      </c>
      <c r="AK26" s="919">
        <f t="shared" si="19"/>
        <v>0.93303638451434567</v>
      </c>
      <c r="AL26" s="919">
        <f t="shared" si="20"/>
        <v>173.54476751966828</v>
      </c>
      <c r="AM26" s="73" t="str">
        <f t="shared" si="21"/>
        <v>PASS</v>
      </c>
      <c r="AN26" s="908" t="str">
        <f t="shared" si="0"/>
        <v/>
      </c>
      <c r="AO26" s="919">
        <f t="shared" si="1"/>
        <v>80</v>
      </c>
      <c r="AP26" s="919">
        <f t="shared" si="2"/>
        <v>8120.5742870135764</v>
      </c>
      <c r="AQ26" s="919"/>
      <c r="AR26" s="919" cm="1">
        <f t="array" ref="AR26">IFERROR(_xlfn.LET(_xlpm.lam,TEXT(B26,"0"),_xlpm.thick,D26,_xlpm.crit,(TEXT(HELPER!$BZ$2:$BZ$250,"0")=_xlpm.lam)*(HELPER!$CC$2:$CC$250=_xlpm.thick)*(HELPER!$BW$2:$BW$250&lt;&gt;""),_xlpm.mats,TRIM(SUBSTITUTE(_xlfn._xlws.FILTER(HELPER!$BW$2:$BW$250,_xlpm.crit),CHAR(160),"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")),HELPER!$AQ$2:$AQ$20,1),_xlpm.mass,IF(ISNUMBER(SEARCH("paper",_xlpm.mats)),42,_xlpm.dens*_xlpm.ths),E26/1000000*SUM(_xlpm.mass)),"")</f>
        <v>1.2314400000000001E-2</v>
      </c>
      <c r="AS26" s="919">
        <f>IFERROR(IF(D26&gt;31,(5%+250/P26)*AF26,VLOOKUP(D26,HELPER!$BH$3:$BI$5,2,TRUE)*AF26),0)</f>
        <v>0.67347627854986847</v>
      </c>
      <c r="AT26" s="919">
        <v>0.15000000000000399</v>
      </c>
      <c r="AU26" s="919"/>
      <c r="AV26" s="919"/>
      <c r="AW26" s="919"/>
      <c r="AX26" s="919"/>
      <c r="AY26" s="919"/>
      <c r="AZ26" s="919">
        <f t="shared" si="3"/>
        <v>0</v>
      </c>
    </row>
    <row r="27" spans="1:52">
      <c r="A27" s="73" t="s">
        <v>1448</v>
      </c>
      <c r="B27" s="73">
        <v>428</v>
      </c>
      <c r="C27" s="908" t="s">
        <v>1420</v>
      </c>
      <c r="D27" s="915" cm="1">
        <f t="array" ref="D2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27" s="915">
        <v>120</v>
      </c>
      <c r="F27" s="73" t="s">
        <v>1040</v>
      </c>
      <c r="G27" s="916">
        <v>1000</v>
      </c>
      <c r="H27" s="916"/>
      <c r="I27" s="916">
        <v>80</v>
      </c>
      <c r="J27" s="916">
        <v>80</v>
      </c>
      <c r="K27" s="73" t="s">
        <v>123</v>
      </c>
      <c r="L27" s="921" t="s">
        <v>591</v>
      </c>
      <c r="M27" s="915">
        <v>1</v>
      </c>
      <c r="N27" s="73" t="s">
        <v>550</v>
      </c>
      <c r="O27" s="73" t="s">
        <v>240</v>
      </c>
      <c r="P27" s="916" cm="1">
        <f t="array" ref="P27">IFERROR(_xlfn.SWITCH(F27,"By Weight",IF(H27&lt;&gt;"",H27,G27)/AR27,"By Length",G27,"By Imp",G27/MAX(1,ROUNDDOWN(E27/I27,0))*J27/1000,"IMP",G27/MAX(1,ROUNDDOWN(E27/I27,0))*J27/1000,""),"")</f>
        <v>80</v>
      </c>
      <c r="Q27" s="916">
        <f t="shared" si="4"/>
        <v>0.98515200000000014</v>
      </c>
      <c r="R27" s="917">
        <f t="shared" si="5"/>
        <v>256.96302112264289</v>
      </c>
      <c r="S27" s="918">
        <f t="shared" si="6"/>
        <v>298.07710450226574</v>
      </c>
      <c r="T27" s="919">
        <f t="shared" si="7"/>
        <v>260.83591275523253</v>
      </c>
      <c r="U27" s="920">
        <f t="shared" si="8"/>
        <v>302.56965879606969</v>
      </c>
      <c r="V27" s="919">
        <f t="shared" si="9"/>
        <v>3.7788679576859243</v>
      </c>
      <c r="W27" s="919">
        <f t="shared" si="10"/>
        <v>306.86577971203826</v>
      </c>
      <c r="X27" s="919">
        <f t="shared" si="11"/>
        <v>0.30230943661487397</v>
      </c>
      <c r="Y27" s="920">
        <f t="shared" si="12"/>
        <v>4.3834868309156718</v>
      </c>
      <c r="Z27" s="920">
        <f t="shared" si="13"/>
        <v>355.96430446596435</v>
      </c>
      <c r="AA27" s="920">
        <f t="shared" si="14"/>
        <v>0.35067894647325376</v>
      </c>
      <c r="AB27" s="917">
        <f t="shared" si="15"/>
        <v>302.30943661487396</v>
      </c>
      <c r="AC27" s="918">
        <f t="shared" si="16"/>
        <v>350.67894647325375</v>
      </c>
      <c r="AD27" s="916">
        <f t="shared" si="17"/>
        <v>40602.871435067886</v>
      </c>
      <c r="AE27" s="916">
        <f t="shared" si="18"/>
        <v>500</v>
      </c>
      <c r="AF27" s="919" cm="1">
        <f t="array" ref="AF27">IFERROR(_xlfn.LET(_xlpm.lam,TEXT(B27,"0"),_xlpm.thick,D27,_xlpm.crit,(TEXT(HELPER!$BZ$2:$BZ$250,"0")=_xlpm.lam)*(HELPER!$CC$2:$CC$250=_xlpm.thick)*(HELPER!$BW$2:$BW$250&lt;&gt;""),_xlpm.mats,TRIM(SUBSTITUTE(_xlfn._xlws.FILTER(HELPER!$BW$2:$BW$250,_xlpm.crit),CHAR(160),"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27" s="919">
        <f>IFERROR(IF(N27="Europe to Canada",IF(Q27&lt;1000,VLOOKUP(1000,HELPER!$AG$4:$AH$8,2,FALSE)/Q27,VLOOKUP(Q27,HELPER!$AG$4:$AH$8,2,TRUE)/Q27),IF(N27="Europe to US",HELPER!$AH$2,IF(N27="Europe to Europe",HELPER!$AH$3,0))),0)</f>
        <v>5.4</v>
      </c>
      <c r="AH27" s="919" cm="1">
        <f t="array" ref="AH27">IFERROR(_xlfn.LET(_xlpm.cap,IF(O27="Quantum",760,1220),_xlpm.wUsed,E27*MAX(1,MIN(MAX(2,INT(900/E27)),INT((_xlpm.cap-50)/E27))),_xlpm.kgmUsed,AR27/E27*_xlpm.wUsed,_xlpm.lam,TEXT(B27,"0"),_xlpm.crit,(TEXT(HELPER!$BZ$2:$BZ$250,"0")=_xlpm.lam)*(HELPER!$CC$2:$CC$250=D27)*(HELPER!$BW$2:$BW$250&lt;&gt;""),_xlpm.mats,_xlfn._xlws.FILTER(HELPER!$BW$2:$BW$250,_xlpm.crit),_xlpm.realLayers,SUM((_xlpm.mats&lt;&gt;"")*ISERROR(SEARCH("EPOTAL",_xlpm.mats&amp;""))*ISERROR(SEARCH("BASONAT",_xlpm.mats&amp;""))*ISERROR(SEARCH("ADH",_xlpm.mats&amp;""))*ISERROR(SEARCH("HARDENER",_xlpm.mats&amp;""))),_xlpm.steps,MAX(0,_xlpm.realLayers-1),_xlpm.tier,IF(P27&lt;3000,1,IF(P27&lt;10000,2,IF(P27&lt;25000,3,IF(P27&lt;50000,4,IF(P27&lt;100000,5,IF(P27&lt;250000,6,7)))))),_xlpm.widthRow,IF(_xlpm.wUsed&lt;900,0,5),_xlpm.supplierRow,IF(O27="Marma",3,IF(OR(O27="Bastin",O27="Quantum"),13,0)),_xlpm.rate,INDEX('Lmntn &amp; Prntng- Marma &amp; Bastin '!$D$1:$K$22,_xlpm.supplierRow+_xlpm.widthRow,_xlpm.tier),_xlpm.rate*_xlpm.steps/_xlpm.kgmUsed),"")</f>
        <v>3.5208257928000664</v>
      </c>
      <c r="AI27" s="919" cm="1">
        <f t="array" ref="AI27">IFERROR(_xlfn.LET(_xlpm.cap,IF(O27="Quantum",760,1220),_xlpm.wUsed,E27*MAX(1,MIN(MAX(2,INT(900/E27)),INT((_xlpm.cap-50)/E27))),_xlpm.kgmUsed,AR27/E27*_xlpm.wUsed,_xlpm.tier,IF(P27&lt;3000,1,IF(P27&lt;10000,2,IF(P27&lt;25000,3,IF(P27&lt;50000,4,IF(P27&lt;100000,5,IF(P27&lt;250000,6,IF(P27&lt;500000,7,8))))))),_xlpm.widthRow,IF(_xlpm.wUsed&lt;900,0,5),_xlpm.slitRow,IF(O27="Marma",7,IF(OR(O27="Bastin",O27="Quantum"),17,0)),_xlpm.slitRate,INDEX('Lmntn &amp; Prntng- Marma &amp; Bastin '!$D$1:$K$22,_xlpm.slitRow+_xlpm.widthRow,_xlpm.tier),_xlpm.numColors,IF(ISNUMBER(L27),L27,IFERROR(--RIGHT(L27,LEN(L27)-FIND("-",L27)),0)),_xlpm.printRate,IF(OR(K27&lt;&gt;"Printed",_xlpm.numColors=0),0,IF(O27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27))),MAX(_xlfn._xlws.FILTER(_xlpm.meters,(_xlpm.widths=_xlpm.qWidth)*(_xlpm.bands=_xlpm.band)))),INDEX(_xlpm.rates,_xlfn.XMATCH(1,(_xlpm.widths=_xlpm.qWidth)*(_xlpm.bands=_xlpm.band)*(_xlpm.meters=_xlpm.targetM),0))/HELPER!$AK$2),_xlfn.LET(_xlpm.colorOffset,IF(_xlpm.numColors&lt;=2,1,IF(_xlpm.numColors&lt;=4,2,3)),_xlpm.supplierRow,IF(O27="Marma",3,IF(O27="Bastin",13,0)),INDEX('Lmntn &amp; Prntng- Marma &amp; Bastin '!$D$1:$K$22,_xlpm.supplierRow+_xlpm.widthRow+_xlpm.colorOffset,_xlpm.tier)))),AH27+_xlpm.slitRate/_xlpm.kgmUsed+_xlpm.printRate/_xlpm.kgmUsed+AJ27),"")</f>
        <v>220.63082941225602</v>
      </c>
      <c r="AJ27" s="919" cm="1">
        <f t="array" ref="AJ27">IF(OR(K27&lt;&gt;"Printed",L27=0,L27="0",L27=""),0,IFERROR(_xlfn.LET(_xlpm.lam,TEXT(B27,"0"),_xlpm.crit,(TEXT(HELPER!$BZ$2:$BZ$250,"0")=_xlpm.lam)*(HELPER!$CC$2:$CC$250=D27)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WHITE"},0)))/ROWS(_xlpm.real),_xlpm.numColors,IF(ISNUMBER(L27),L27,IFERROR(--RIGHT(L27,LEN(L27)-FIND("-",L27)),0)),HELPER!$DB$1*_xlpm.numColors*MAX(1,M27)*1.05*_xlpm.nkRatio/Q27),0))</f>
        <v>213.16507503410639</v>
      </c>
      <c r="AK27" s="919">
        <f t="shared" si="19"/>
        <v>20.316494396160884</v>
      </c>
      <c r="AL27" s="919">
        <f t="shared" si="20"/>
        <v>3778.8679576859245</v>
      </c>
      <c r="AM27" s="73" t="str">
        <f t="shared" si="21"/>
        <v>PASS</v>
      </c>
      <c r="AN27" s="908" t="str">
        <f t="shared" si="0"/>
        <v/>
      </c>
      <c r="AO27" s="919">
        <f t="shared" si="1"/>
        <v>80</v>
      </c>
      <c r="AP27" s="919">
        <f t="shared" si="2"/>
        <v>80</v>
      </c>
      <c r="AQ27" s="919"/>
      <c r="AR27" s="919" cm="1">
        <f t="array" ref="AR27">IFERROR(_xlfn.LET(_xlpm.lam,TEXT(B27,"0"),_xlpm.thick,D27,_xlpm.crit,(TEXT(HELPER!$BZ$2:$BZ$250,"0")=_xlpm.lam)*(HELPER!$CC$2:$CC$250=_xlpm.thick)*(HELPER!$BW$2:$BW$250&lt;&gt;""),_xlpm.mats,TRIM(SUBSTITUTE(_xlfn._xlws.FILTER(HELPER!$BW$2:$BW$250,_xlpm.crit),CHAR(160),"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")),HELPER!$AQ$2:$AQ$20,1),_xlpm.mass,IF(ISNUMBER(SEARCH("paper",_xlpm.mats)),42,_xlpm.dens*_xlpm.ths),E27/1000000*SUM(_xlpm.mass)),"")</f>
        <v>1.2314400000000001E-2</v>
      </c>
      <c r="AS27" s="919">
        <f>IFERROR(IF(D27&gt;31,(5%+250/P27)*AF27,VLOOKUP(D27,HELPER!$BH$3:$BI$5,2,TRUE)*AF27),0)</f>
        <v>26.468536434479141</v>
      </c>
      <c r="AT27" s="919">
        <v>0.15</v>
      </c>
      <c r="AU27" s="919"/>
      <c r="AV27" s="919"/>
      <c r="AW27" s="919"/>
      <c r="AX27" s="919"/>
      <c r="AY27" s="919"/>
      <c r="AZ27" s="919">
        <f t="shared" si="3"/>
        <v>210</v>
      </c>
    </row>
    <row r="28" spans="1:52">
      <c r="A28" s="73" t="s">
        <v>1449</v>
      </c>
      <c r="B28" s="73">
        <v>428</v>
      </c>
      <c r="C28" s="908" t="s">
        <v>1422</v>
      </c>
      <c r="D28" s="915" cm="1">
        <f t="array" ref="D2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28" s="915">
        <v>350</v>
      </c>
      <c r="F28" s="73" t="s">
        <v>560</v>
      </c>
      <c r="G28" s="916">
        <v>5000</v>
      </c>
      <c r="H28" s="916">
        <v>5000</v>
      </c>
      <c r="I28" s="916"/>
      <c r="J28" s="916"/>
      <c r="K28" s="73" t="s">
        <v>123</v>
      </c>
      <c r="L28" s="921" t="s">
        <v>122</v>
      </c>
      <c r="M28" s="915">
        <v>4</v>
      </c>
      <c r="N28" s="73" t="s">
        <v>549</v>
      </c>
      <c r="O28" s="73" t="s">
        <v>1366</v>
      </c>
      <c r="P28" s="916" cm="1">
        <f t="array" ref="P28">IFERROR(_xlfn.SWITCH(F28,"By Weight",IF(H28&lt;&gt;"",H28,G28)/AR28,"By Length",G28,"By Imp",G28/MAX(1,ROUNDDOWN(E28/I28,0))*J28/1000,"IMP",G28/MAX(1,ROUNDDOWN(E28/I28,0))*J28/1000,""),"")</f>
        <v>139209.84492023275</v>
      </c>
      <c r="Q28" s="916">
        <f t="shared" si="4"/>
        <v>5000</v>
      </c>
      <c r="R28" s="917">
        <f t="shared" si="5"/>
        <v>115542.76517624437</v>
      </c>
      <c r="S28" s="918">
        <f t="shared" si="6"/>
        <v>134029.60760444347</v>
      </c>
      <c r="T28" s="919">
        <f t="shared" si="7"/>
        <v>23.108553035248875</v>
      </c>
      <c r="U28" s="920">
        <f t="shared" si="8"/>
        <v>26.805921520888692</v>
      </c>
      <c r="V28" s="919">
        <f t="shared" si="9"/>
        <v>1.0374873742087913</v>
      </c>
      <c r="W28" s="919">
        <f t="shared" si="10"/>
        <v>28.885691294061061</v>
      </c>
      <c r="X28" s="919" t="str">
        <f t="shared" si="11"/>
        <v/>
      </c>
      <c r="Y28" s="920">
        <f t="shared" si="12"/>
        <v>1.2034853540821979</v>
      </c>
      <c r="Z28" s="920">
        <f t="shared" si="13"/>
        <v>33.507401901110832</v>
      </c>
      <c r="AA28" s="920" t="str">
        <f t="shared" si="14"/>
        <v/>
      </c>
      <c r="AB28" s="917">
        <f t="shared" si="15"/>
        <v>144428.4564703053</v>
      </c>
      <c r="AC28" s="918">
        <f t="shared" si="16"/>
        <v>167537.00950555413</v>
      </c>
      <c r="AD28" s="916">
        <f t="shared" si="17"/>
        <v>13920.984492023274</v>
      </c>
      <c r="AE28" s="916">
        <f t="shared" si="18"/>
        <v>500</v>
      </c>
      <c r="AF28" s="919" cm="1">
        <f t="array" ref="AF28">IFERROR(_xlfn.LET(_xlpm.lam,TEXT(B28,"0"),_xlpm.thick,D28,_xlpm.crit,(TEXT(HELPER!$BZ$2:$BZ$250,"0")=_xlpm.lam)*(HELPER!$CC$2:$CC$250=_xlpm.thick)*(HELPER!$BW$2:$BW$250&lt;&gt;""),_xlpm.mats,TRIM(SUBSTITUTE(_xlfn._xlws.FILTER(HELPER!$BW$2:$BW$250,_xlpm.crit),CHAR(160),"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28" s="919">
        <f>IFERROR(IF(N28="Europe to Canada",IF(Q28&lt;1000,VLOOKUP(1000,HELPER!$AG$4:$AH$8,2,FALSE)/Q28,VLOOKUP(Q28,HELPER!$AG$4:$AH$8,2,TRUE)/Q28),IF(N28="Europe to US",HELPER!$AH$2,IF(N28="Europe to Europe",HELPER!$AH$3,0))),0)</f>
        <v>0.2</v>
      </c>
      <c r="AH28" s="919" cm="1">
        <f t="array" ref="AH28">IFERROR(_xlfn.LET(_xlpm.cap,IF(O28="Quantum",760,1220),_xlpm.wUsed,E28*MAX(1,MIN(MAX(2,INT(900/E28)),INT((_xlpm.cap-50)/E28))),_xlpm.kgmUsed,AR28/E28*_xlpm.wUsed,_xlpm.lam,TEXT(B28,"0"),_xlpm.crit,(TEXT(HELPER!$BZ$2:$BZ$250,"0")=_xlpm.lam)*(HELPER!$CC$2:$CC$250=D28)*(HELPER!$BW$2:$BW$250&lt;&gt;""),_xlpm.mats,_xlfn._xlws.FILTER(HELPER!$BW$2:$BW$250,_xlpm.crit),_xlpm.realLayers,SUM((_xlpm.mats&lt;&gt;"")*ISERROR(SEARCH("EPOTAL",_xlpm.mats&amp;""))*ISERROR(SEARCH("BASONAT",_xlpm.mats&amp;""))*ISERROR(SEARCH("ADH",_xlpm.mats&amp;""))*ISERROR(SEARCH("HARDENER",_xlpm.mats&amp;""))),_xlpm.steps,MAX(0,_xlpm.realLayers-1),_xlpm.tier,IF(P28&lt;3000,1,IF(P28&lt;10000,2,IF(P28&lt;25000,3,IF(P28&lt;50000,4,IF(P28&lt;100000,5,IF(P28&lt;250000,6,7)))))),_xlpm.widthRow,IF(_xlpm.wUsed&lt;900,0,5),_xlpm.supplierRow,IF(O28="Marma",3,IF(OR(O28="Bastin",O28="Quantum"),13,0)),_xlpm.rate,INDEX('Lmntn &amp; Prntng- Marma &amp; Bastin '!$D$1:$K$22,_xlpm.supplierRow+_xlpm.widthRow,_xlpm.tier),_xlpm.rate*_xlpm.steps/_xlpm.kgmUsed),"")</f>
        <v>3.0392571762675056</v>
      </c>
      <c r="AI28" s="919" cm="1">
        <f t="array" ref="AI28">IFERROR(_xlfn.LET(_xlpm.cap,IF(O28="Quantum",760,1220),_xlpm.wUsed,E28*MAX(1,MIN(MAX(2,INT(900/E28)),INT((_xlpm.cap-50)/E28))),_xlpm.kgmUsed,AR28/E28*_xlpm.wUsed,_xlpm.tier,IF(P28&lt;3000,1,IF(P28&lt;10000,2,IF(P28&lt;25000,3,IF(P28&lt;50000,4,IF(P28&lt;100000,5,IF(P28&lt;250000,6,IF(P28&lt;500000,7,8))))))),_xlpm.widthRow,IF(_xlpm.wUsed&lt;900,0,5),_xlpm.slitRow,IF(O28="Marma",7,IF(OR(O28="Bastin",O28="Quantum"),17,0)),_xlpm.slitRate,INDEX('Lmntn &amp; Prntng- Marma &amp; Bastin '!$D$1:$K$22,_xlpm.slitRow+_xlpm.widthRow,_xlpm.tier),_xlpm.numColors,IF(ISNUMBER(L28),L28,IFERROR(--RIGHT(L28,LEN(L28)-FIND("-",L28)),0)),_xlpm.printRate,IF(OR(K28&lt;&gt;"Printed",_xlpm.numColors=0),0,IF(O28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28))),MAX(_xlfn._xlws.FILTER(_xlpm.meters,(_xlpm.widths=_xlpm.qWidth)*(_xlpm.bands=_xlpm.band)))),INDEX(_xlpm.rates,_xlfn.XMATCH(1,(_xlpm.widths=_xlpm.qWidth)*(_xlpm.bands=_xlpm.band)*(_xlpm.meters=_xlpm.targetM),0))/HELPER!$AK$2),_xlfn.LET(_xlpm.colorOffset,IF(_xlpm.numColors&lt;=2,1,IF(_xlpm.numColors&lt;=4,2,3)),_xlpm.supplierRow,IF(O28="Marma",3,IF(O28="Bastin",13,0)),INDEX('Lmntn &amp; Prntng- Marma &amp; Bastin '!$D$1:$K$22,_xlpm.supplierRow+_xlpm.widthRow+_xlpm.colorOffset,_xlpm.tier)))),AH28+_xlpm.slitRate/_xlpm.kgmUsed+_xlpm.printRate/_xlpm.kgmUsed+AJ28),"")</f>
        <v>14.140207593561014</v>
      </c>
      <c r="AJ28" s="919" cm="1">
        <f t="array" ref="AJ28">IF(OR(K28&lt;&gt;"Printed",L28=0,L28="0",L28=""),0,IFERROR(_xlfn.LET(_xlpm.lam,TEXT(B28,"0"),_xlpm.crit,(TEXT(HELPER!$BZ$2:$BZ$250,"0")=_xlpm.lam)*(HELPER!$CC$2:$CC$250=D28)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WHITE"},0)))/ROWS(_xlpm.real),_xlpm.numColors,IF(ISNUMBER(L28),L28,IFERROR(--RIGHT(L28,LEN(L28)-FIND("-",L28)),0)),HELPER!$DB$1*_xlpm.numColors*MAX(1,M28)*1.05*_xlpm.nkRatio/Q28),0))</f>
        <v>0.33600000000000002</v>
      </c>
      <c r="AK28" s="919">
        <f t="shared" si="19"/>
        <v>1.9124191229655141</v>
      </c>
      <c r="AL28" s="919">
        <f t="shared" si="20"/>
        <v>1037.4873742087914</v>
      </c>
      <c r="AM28" s="73" t="str">
        <f t="shared" si="21"/>
        <v>PASS</v>
      </c>
      <c r="AN28" s="908" t="str">
        <f t="shared" si="0"/>
        <v/>
      </c>
      <c r="AO28" s="919">
        <f t="shared" si="1"/>
        <v>80</v>
      </c>
      <c r="AP28" s="919">
        <f t="shared" si="2"/>
        <v>139209.84492023275</v>
      </c>
      <c r="AQ28" s="919"/>
      <c r="AR28" s="919" cm="1">
        <f t="array" ref="AR28">IFERROR(_xlfn.LET(_xlpm.lam,TEXT(B28,"0"),_xlpm.thick,D28,_xlpm.crit,(TEXT(HELPER!$BZ$2:$BZ$250,"0")=_xlpm.lam)*(HELPER!$CC$2:$CC$250=_xlpm.thick)*(HELPER!$BW$2:$BW$250&lt;&gt;""),_xlpm.mats,TRIM(SUBSTITUTE(_xlfn._xlws.FILTER(HELPER!$BW$2:$BW$250,_xlpm.crit),CHAR(160),"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")),HELPER!$AQ$2:$AQ$20,1),_xlpm.mass,IF(ISNUMBER(SEARCH("paper",_xlpm.mats)),42,_xlpm.dens*_xlpm.ths),E28/1000000*SUM(_xlpm.mass)),"")</f>
        <v>3.5917000000000004E-2</v>
      </c>
      <c r="AS28" s="919">
        <f>IFERROR(IF(D28&gt;31,(5%+250/P28)*AF28,VLOOKUP(D28,HELPER!$BH$3:$BI$5,2,TRUE)*AF28),0)</f>
        <v>0.43179853319049344</v>
      </c>
      <c r="AT28" s="919">
        <v>0.19999999999999901</v>
      </c>
      <c r="AU28" s="919"/>
      <c r="AV28" s="919"/>
      <c r="AW28" s="919"/>
      <c r="AX28" s="919"/>
      <c r="AY28" s="919"/>
      <c r="AZ28" s="919">
        <f t="shared" si="3"/>
        <v>1680</v>
      </c>
    </row>
    <row r="29" spans="1:52">
      <c r="A29" s="73" t="s">
        <v>1450</v>
      </c>
      <c r="B29" s="73">
        <v>428</v>
      </c>
      <c r="C29" s="908" t="s">
        <v>1424</v>
      </c>
      <c r="D29" s="915" cm="1">
        <f t="array" ref="D2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29" s="915">
        <v>900</v>
      </c>
      <c r="F29" s="73" t="s">
        <v>560</v>
      </c>
      <c r="G29" s="916">
        <v>25000</v>
      </c>
      <c r="H29" s="916">
        <v>25000</v>
      </c>
      <c r="I29" s="916"/>
      <c r="J29" s="916"/>
      <c r="K29" s="73" t="s">
        <v>123</v>
      </c>
      <c r="L29" s="921" t="s">
        <v>592</v>
      </c>
      <c r="M29" s="915">
        <v>8</v>
      </c>
      <c r="N29" s="73" t="s">
        <v>550</v>
      </c>
      <c r="O29" s="73" t="s">
        <v>250</v>
      </c>
      <c r="P29" s="916" cm="1">
        <f t="array" ref="P29">IFERROR(_xlfn.SWITCH(F29,"By Weight",IF(H29&lt;&gt;"",H29,G29)/AR29,"By Length",G29,"By Imp",G29/MAX(1,ROUNDDOWN(E29/I29,0))*J29/1000,"IMP",G29/MAX(1,ROUNDDOWN(E29/I29,0))*J29/1000,""),"")</f>
        <v>270685.80956711929</v>
      </c>
      <c r="Q29" s="916">
        <f t="shared" si="4"/>
        <v>25000.000000000004</v>
      </c>
      <c r="R29" s="917">
        <f t="shared" si="5"/>
        <v>446207.27559981332</v>
      </c>
      <c r="S29" s="918">
        <f t="shared" si="6"/>
        <v>517600.43969578343</v>
      </c>
      <c r="T29" s="919">
        <f t="shared" si="7"/>
        <v>17.84829102399253</v>
      </c>
      <c r="U29" s="920">
        <f t="shared" si="8"/>
        <v>20.704017587831334</v>
      </c>
      <c r="V29" s="919">
        <f t="shared" si="9"/>
        <v>1.9393323086987038</v>
      </c>
      <c r="W29" s="919">
        <f t="shared" si="10"/>
        <v>20.997989439991162</v>
      </c>
      <c r="X29" s="919" t="str">
        <f t="shared" si="11"/>
        <v/>
      </c>
      <c r="Y29" s="920">
        <f t="shared" si="12"/>
        <v>2.2496254780904961</v>
      </c>
      <c r="Z29" s="920">
        <f t="shared" si="13"/>
        <v>24.357667750389748</v>
      </c>
      <c r="AA29" s="920" t="str">
        <f t="shared" si="14"/>
        <v/>
      </c>
      <c r="AB29" s="917">
        <f t="shared" si="15"/>
        <v>524949.73599977908</v>
      </c>
      <c r="AC29" s="918">
        <f t="shared" si="16"/>
        <v>608941.69375974371</v>
      </c>
      <c r="AD29" s="916">
        <f t="shared" si="17"/>
        <v>5413.7161913423852</v>
      </c>
      <c r="AE29" s="916">
        <f t="shared" si="18"/>
        <v>500</v>
      </c>
      <c r="AF29" s="919" cm="1">
        <f t="array" ref="AF29">IFERROR(_xlfn.LET(_xlpm.lam,TEXT(B29,"0"),_xlpm.thick,D29,_xlpm.crit,(TEXT(HELPER!$BZ$2:$BZ$250,"0")=_xlpm.lam)*(HELPER!$CC$2:$CC$250=_xlpm.thick)*(HELPER!$BW$2:$BW$250&lt;&gt;""),_xlpm.mats,TRIM(SUBSTITUTE(_xlfn._xlws.FILTER(HELPER!$BW$2:$BW$250,_xlpm.crit),CHAR(160),"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29" s="919">
        <f>IFERROR(IF(N29="Europe to Canada",IF(Q29&lt;1000,VLOOKUP(1000,HELPER!$AG$4:$AH$8,2,FALSE)/Q29,VLOOKUP(Q29,HELPER!$AG$4:$AH$8,2,TRUE)/Q29),IF(N29="Europe to US",HELPER!$AH$2,IF(N29="Europe to Europe",HELPER!$AH$3,0))),0)</f>
        <v>5.4</v>
      </c>
      <c r="AH29" s="919" cm="1">
        <f t="array" ref="AH29">IFERROR(_xlfn.LET(_xlpm.cap,IF(O29="Quantum",760,1220),_xlpm.wUsed,E29*MAX(1,MIN(MAX(2,INT(900/E29)),INT((_xlpm.cap-50)/E29))),_xlpm.kgmUsed,AR29/E29*_xlpm.wUsed,_xlpm.lam,TEXT(B29,"0"),_xlpm.crit,(TEXT(HELPER!$BZ$2:$BZ$250,"0")=_xlpm.lam)*(HELPER!$CC$2:$CC$250=D29)*(HELPER!$BW$2:$BW$250&lt;&gt;""),_xlpm.mats,_xlfn._xlws.FILTER(HELPER!$BW$2:$BW$250,_xlpm.crit),_xlpm.realLayers,SUM((_xlpm.mats&lt;&gt;"")*ISERROR(SEARCH("EPOTAL",_xlpm.mats&amp;""))*ISERROR(SEARCH("BASONAT",_xlpm.mats&amp;""))*ISERROR(SEARCH("ADH",_xlpm.mats&amp;""))*ISERROR(SEARCH("HARDENER",_xlpm.mats&amp;""))),_xlpm.steps,MAX(0,_xlpm.realLayers-1),_xlpm.tier,IF(P29&lt;3000,1,IF(P29&lt;10000,2,IF(P29&lt;25000,3,IF(P29&lt;50000,4,IF(P29&lt;100000,5,IF(P29&lt;250000,6,7)))))),_xlpm.widthRow,IF(_xlpm.wUsed&lt;900,0,5),_xlpm.supplierRow,IF(O29="Marma",3,IF(OR(O29="Bastin",O29="Quantum"),13,0)),_xlpm.rate,INDEX('Lmntn &amp; Prntng- Marma &amp; Bastin '!$D$1:$K$22,_xlpm.supplierRow+_xlpm.widthRow,_xlpm.tier),_xlpm.rate*_xlpm.steps/_xlpm.kgmUsed),"")</f>
        <v>1.8073150133177418</v>
      </c>
      <c r="AI29" s="919" cm="1">
        <f t="array" ref="AI29">IFERROR(_xlfn.LET(_xlpm.cap,IF(O29="Quantum",760,1220),_xlpm.wUsed,E29*MAX(1,MIN(MAX(2,INT(900/E29)),INT((_xlpm.cap-50)/E29))),_xlpm.kgmUsed,AR29/E29*_xlpm.wUsed,_xlpm.tier,IF(P29&lt;3000,1,IF(P29&lt;10000,2,IF(P29&lt;25000,3,IF(P29&lt;50000,4,IF(P29&lt;100000,5,IF(P29&lt;250000,6,IF(P29&lt;500000,7,8))))))),_xlpm.widthRow,IF(_xlpm.wUsed&lt;900,0,5),_xlpm.slitRow,IF(O29="Marma",7,IF(OR(O29="Bastin",O29="Quantum"),17,0)),_xlpm.slitRate,INDEX('Lmntn &amp; Prntng- Marma &amp; Bastin '!$D$1:$K$22,_xlpm.slitRow+_xlpm.widthRow,_xlpm.tier),_xlpm.numColors,IF(ISNUMBER(L29),L29,IFERROR(--RIGHT(L29,LEN(L29)-FIND("-",L29)),0)),_xlpm.printRate,IF(OR(K29&lt;&gt;"Printed",_xlpm.numColors=0),0,IF(O29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29))),MAX(_xlfn._xlws.FILTER(_xlpm.meters,(_xlpm.widths=_xlpm.qWidth)*(_xlpm.bands=_xlpm.band)))),INDEX(_xlpm.rates,_xlfn.XMATCH(1,(_xlpm.widths=_xlpm.qWidth)*(_xlpm.bands=_xlpm.band)*(_xlpm.meters=_xlpm.targetM),0))/HELPER!$AK$2),_xlfn.LET(_xlpm.colorOffset,IF(_xlpm.numColors&lt;=2,1,IF(_xlpm.numColors&lt;=4,2,3)),_xlpm.supplierRow,IF(O29="Marma",3,IF(O29="Bastin",13,0)),INDEX('Lmntn &amp; Prntng- Marma &amp; Bastin '!$D$1:$K$22,_xlpm.supplierRow+_xlpm.widthRow+_xlpm.colorOffset,_xlpm.tier)))),AH29+_xlpm.slitRate/_xlpm.kgmUsed+_xlpm.printRate/_xlpm.kgmUsed+AJ29),"")</f>
        <v>3.6872173020765415</v>
      </c>
      <c r="AJ29" s="919" cm="1">
        <f t="array" ref="AJ29">IF(OR(K29&lt;&gt;"Printed",L29=0,L29="0",L29=""),0,IFERROR(_xlfn.LET(_xlpm.lam,TEXT(B29,"0"),_xlpm.crit,(TEXT(HELPER!$BZ$2:$BZ$250,"0")=_xlpm.lam)*(HELPER!$CC$2:$CC$250=D29)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WHITE"},0)))/ROWS(_xlpm.real),_xlpm.numColors,IF(ISNUMBER(L29),L29,IFERROR(--RIGHT(L29,LEN(L29)-FIND("-",L29)),0)),HELPER!$DB$1*_xlpm.numColors*MAX(1,M29)*1.05*_xlpm.nkRatio/Q29),0))</f>
        <v>0.26879999999999998</v>
      </c>
      <c r="AK29" s="919">
        <f t="shared" si="19"/>
        <v>1.3902023718270278</v>
      </c>
      <c r="AL29" s="919">
        <f t="shared" si="20"/>
        <v>1939.3323086987039</v>
      </c>
      <c r="AM29" s="73" t="str">
        <f t="shared" si="21"/>
        <v>PASS</v>
      </c>
      <c r="AN29" s="908" t="str">
        <f t="shared" si="0"/>
        <v/>
      </c>
      <c r="AO29" s="919">
        <f t="shared" si="1"/>
        <v>80</v>
      </c>
      <c r="AP29" s="919">
        <f t="shared" si="2"/>
        <v>270685.80956711929</v>
      </c>
      <c r="AQ29" s="919"/>
      <c r="AR29" s="919" cm="1">
        <f t="array" ref="AR29">IFERROR(_xlfn.LET(_xlpm.lam,TEXT(B29,"0"),_xlpm.thick,D29,_xlpm.crit,(TEXT(HELPER!$BZ$2:$BZ$250,"0")=_xlpm.lam)*(HELPER!$CC$2:$CC$250=_xlpm.thick)*(HELPER!$BW$2:$BW$250&lt;&gt;""),_xlpm.mats,TRIM(SUBSTITUTE(_xlfn._xlws.FILTER(HELPER!$BW$2:$BW$250,_xlpm.crit),CHAR(160),"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")),HELPER!$AQ$2:$AQ$20,1),_xlpm.mass,IF(ISNUMBER(SEARCH("paper",_xlpm.mats)),42,_xlpm.dens*_xlpm.ths),E29/1000000*SUM(_xlpm.mass)),"")</f>
        <v>9.2357999999999996E-2</v>
      </c>
      <c r="AS29" s="919">
        <f>IFERROR(IF(D29&gt;31,(5%+250/P29)*AF29,VLOOKUP(D29,HELPER!$BH$3:$BI$5,2,TRUE)*AF29),0)</f>
        <v>0.42452681341861842</v>
      </c>
      <c r="AT29" s="919">
        <v>0.149999999999998</v>
      </c>
      <c r="AU29" s="919"/>
      <c r="AV29" s="919"/>
      <c r="AW29" s="919"/>
      <c r="AX29" s="919"/>
      <c r="AY29" s="919"/>
      <c r="AZ29" s="919">
        <f t="shared" si="3"/>
        <v>6720.0000000000009</v>
      </c>
    </row>
    <row r="30" spans="1:52">
      <c r="A30" s="73" t="s">
        <v>1451</v>
      </c>
      <c r="B30" s="73">
        <v>428</v>
      </c>
      <c r="C30" s="908" t="s">
        <v>1426</v>
      </c>
      <c r="D30" s="915" cm="1">
        <f t="array" ref="D3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30" s="915">
        <v>350</v>
      </c>
      <c r="F30" s="73" t="s">
        <v>561</v>
      </c>
      <c r="G30" s="916">
        <v>2000</v>
      </c>
      <c r="H30" s="916"/>
      <c r="I30" s="916"/>
      <c r="J30" s="916"/>
      <c r="K30" s="73" t="s">
        <v>124</v>
      </c>
      <c r="L30" s="921" t="s">
        <v>221</v>
      </c>
      <c r="M30" s="915">
        <v>1</v>
      </c>
      <c r="N30" s="73" t="s">
        <v>549</v>
      </c>
      <c r="O30" s="73" t="s">
        <v>240</v>
      </c>
      <c r="P30" s="916" cm="1">
        <f t="array" ref="P30">IFERROR(_xlfn.SWITCH(F30,"By Weight",IF(H30&lt;&gt;"",H30,G30)/AR30,"By Length",G30,"By Imp",G30/MAX(1,ROUNDDOWN(E30/I30,0))*J30/1000,"IMP",G30/MAX(1,ROUNDDOWN(E30/I30,0))*J30/1000,""),"")</f>
        <v>2000</v>
      </c>
      <c r="Q30" s="916">
        <f t="shared" si="4"/>
        <v>71.834000000000003</v>
      </c>
      <c r="R30" s="917">
        <f t="shared" si="5"/>
        <v>1066.906624984375</v>
      </c>
      <c r="S30" s="918">
        <f t="shared" si="6"/>
        <v>1237.6116849818748</v>
      </c>
      <c r="T30" s="919">
        <f t="shared" si="7"/>
        <v>14.852390580844375</v>
      </c>
      <c r="U30" s="920">
        <f t="shared" si="8"/>
        <v>17.228773073779475</v>
      </c>
      <c r="V30" s="919">
        <f t="shared" si="9"/>
        <v>0.627592132343747</v>
      </c>
      <c r="W30" s="919">
        <f t="shared" si="10"/>
        <v>17.473400683346242</v>
      </c>
      <c r="X30" s="919" t="str">
        <f t="shared" si="11"/>
        <v/>
      </c>
      <c r="Y30" s="920">
        <f t="shared" si="12"/>
        <v>0.72800687351874649</v>
      </c>
      <c r="Z30" s="920">
        <f t="shared" si="13"/>
        <v>20.26914479268164</v>
      </c>
      <c r="AA30" s="920" t="str">
        <f t="shared" si="14"/>
        <v/>
      </c>
      <c r="AB30" s="917">
        <f t="shared" si="15"/>
        <v>1255.1842646874941</v>
      </c>
      <c r="AC30" s="918">
        <f t="shared" si="16"/>
        <v>1456.013747037493</v>
      </c>
      <c r="AD30" s="916">
        <f t="shared" si="17"/>
        <v>13920.984492023274</v>
      </c>
      <c r="AE30" s="916">
        <f t="shared" si="18"/>
        <v>500</v>
      </c>
      <c r="AF30" s="919" cm="1">
        <f t="array" ref="AF30">IFERROR(_xlfn.LET(_xlpm.lam,TEXT(B30,"0"),_xlpm.thick,D30,_xlpm.crit,(TEXT(HELPER!$BZ$2:$BZ$250,"0")=_xlpm.lam)*(HELPER!$CC$2:$CC$250=_xlpm.thick)*(HELPER!$BW$2:$BW$250&lt;&gt;""),_xlpm.mats,TRIM(SUBSTITUTE(_xlfn._xlws.FILTER(HELPER!$BW$2:$BW$250,_xlpm.crit),CHAR(160),"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30" s="919">
        <f>IFERROR(IF(N30="Europe to Canada",IF(Q30&lt;1000,VLOOKUP(1000,HELPER!$AG$4:$AH$8,2,FALSE)/Q30,VLOOKUP(Q30,HELPER!$AG$4:$AH$8,2,TRUE)/Q30),IF(N30="Europe to US",HELPER!$AH$2,IF(N30="Europe to Europe",HELPER!$AH$3,0))),0)</f>
        <v>0.2</v>
      </c>
      <c r="AH30" s="919" cm="1">
        <f t="array" ref="AH30">IFERROR(_xlfn.LET(_xlpm.cap,IF(O30="Quantum",760,1220),_xlpm.wUsed,E30*MAX(1,MIN(MAX(2,INT(900/E30)),INT((_xlpm.cap-50)/E30))),_xlpm.kgmUsed,AR30/E30*_xlpm.wUsed,_xlpm.lam,TEXT(B30,"0"),_xlpm.crit,(TEXT(HELPER!$BZ$2:$BZ$250,"0")=_xlpm.lam)*(HELPER!$CC$2:$CC$250=D30)*(HELPER!$BW$2:$BW$250&lt;&gt;""),_xlpm.mats,_xlfn._xlws.FILTER(HELPER!$BW$2:$BW$250,_xlpm.crit),_xlpm.realLayers,SUM((_xlpm.mats&lt;&gt;"")*ISERROR(SEARCH("EPOTAL",_xlpm.mats&amp;""))*ISERROR(SEARCH("BASONAT",_xlpm.mats&amp;""))*ISERROR(SEARCH("ADH",_xlpm.mats&amp;""))*ISERROR(SEARCH("HARDENER",_xlpm.mats&amp;""))),_xlpm.steps,MAX(0,_xlpm.realLayers-1),_xlpm.tier,IF(P30&lt;3000,1,IF(P30&lt;10000,2,IF(P30&lt;25000,3,IF(P30&lt;50000,4,IF(P30&lt;100000,5,IF(P30&lt;250000,6,7)))))),_xlpm.widthRow,IF(_xlpm.wUsed&lt;900,0,5),_xlpm.supplierRow,IF(O30="Marma",3,IF(OR(O30="Bastin",O30="Quantum"),13,0)),_xlpm.rate,INDEX('Lmntn &amp; Prntng- Marma &amp; Bastin '!$D$1:$K$22,_xlpm.supplierRow+_xlpm.widthRow,_xlpm.tier),_xlpm.rate*_xlpm.steps/_xlpm.kgmUsed),"")</f>
        <v>4.2249909513600796</v>
      </c>
      <c r="AI30" s="919" cm="1">
        <f t="array" ref="AI30">IFERROR(_xlfn.LET(_xlpm.cap,IF(O30="Quantum",760,1220),_xlpm.wUsed,E30*MAX(1,MIN(MAX(2,INT(900/E30)),INT((_xlpm.cap-50)/E30))),_xlpm.kgmUsed,AR30/E30*_xlpm.wUsed,_xlpm.tier,IF(P30&lt;3000,1,IF(P30&lt;10000,2,IF(P30&lt;25000,3,IF(P30&lt;50000,4,IF(P30&lt;100000,5,IF(P30&lt;250000,6,IF(P30&lt;500000,7,8))))))),_xlpm.widthRow,IF(_xlpm.wUsed&lt;900,0,5),_xlpm.slitRow,IF(O30="Marma",7,IF(OR(O30="Bastin",O30="Quantum"),17,0)),_xlpm.slitRate,INDEX('Lmntn &amp; Prntng- Marma &amp; Bastin '!$D$1:$K$22,_xlpm.slitRow+_xlpm.widthRow,_xlpm.tier),_xlpm.numColors,IF(ISNUMBER(L30),L30,IFERROR(--RIGHT(L30,LEN(L30)-FIND("-",L30)),0)),_xlpm.printRate,IF(OR(K30&lt;&gt;"Printed",_xlpm.numColors=0),0,IF(O30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30))),MAX(_xlfn._xlws.FILTER(_xlpm.meters,(_xlpm.widths=_xlpm.qWidth)*(_xlpm.bands=_xlpm.band)))),INDEX(_xlpm.rates,_xlfn.XMATCH(1,(_xlpm.widths=_xlpm.qWidth)*(_xlpm.bands=_xlpm.band)*(_xlpm.meters=_xlpm.targetM),0))/HELPER!$AK$2),_xlfn.LET(_xlpm.colorOffset,IF(_xlpm.numColors&lt;=2,1,IF(_xlpm.numColors&lt;=4,2,3)),_xlpm.supplierRow,IF(O30="Marma",3,IF(O30="Bastin",13,0)),INDEX('Lmntn &amp; Prntng- Marma &amp; Bastin '!$D$1:$K$22,_xlpm.supplierRow+_xlpm.widthRow+_xlpm.colorOffset,_xlpm.tier)))),AH30+_xlpm.slitRate/_xlpm.kgmUsed+_xlpm.printRate/_xlpm.kgmUsed+AJ30),"")</f>
        <v>4.8569479633599677</v>
      </c>
      <c r="AJ30" s="919" cm="1">
        <f t="array" ref="AJ30">IF(OR(K30&lt;&gt;"Printed",L30=0,L30="0",L30=""),0,IFERROR(_xlfn.LET(_xlpm.lam,TEXT(B30,"0"),_xlpm.crit,(TEXT(HELPER!$BZ$2:$BZ$250,"0")=_xlpm.lam)*(HELPER!$CC$2:$CC$250=D30)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WHITE"},0)))/ROWS(_xlpm.real),_xlpm.numColors,IF(ISNUMBER(L30),L30,IFERROR(--RIGHT(L30,LEN(L30)-FIND("-",L30)),0)),HELPER!$DB$1*_xlpm.numColors*MAX(1,M30)*1.05*_xlpm.nkRatio/Q30),0))</f>
        <v>0</v>
      </c>
      <c r="AK30" s="919">
        <f t="shared" si="19"/>
        <v>1.1568518568548332</v>
      </c>
      <c r="AL30" s="919">
        <f t="shared" si="20"/>
        <v>627.59213234374704</v>
      </c>
      <c r="AM30" s="73" t="str">
        <f t="shared" si="21"/>
        <v>PASS</v>
      </c>
      <c r="AN30" s="908" t="str">
        <f t="shared" si="0"/>
        <v/>
      </c>
      <c r="AO30" s="919">
        <f t="shared" si="1"/>
        <v>80</v>
      </c>
      <c r="AP30" s="919">
        <f t="shared" si="2"/>
        <v>2000</v>
      </c>
      <c r="AQ30" s="919"/>
      <c r="AR30" s="919" cm="1">
        <f t="array" ref="AR30">IFERROR(_xlfn.LET(_xlpm.lam,TEXT(B30,"0"),_xlpm.thick,D30,_xlpm.crit,(TEXT(HELPER!$BZ$2:$BZ$250,"0")=_xlpm.lam)*(HELPER!$CC$2:$CC$250=_xlpm.thick)*(HELPER!$BW$2:$BW$250&lt;&gt;""),_xlpm.mats,TRIM(SUBSTITUTE(_xlfn._xlws.FILTER(HELPER!$BW$2:$BW$250,_xlpm.crit),CHAR(160),"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")),HELPER!$AQ$2:$AQ$20,1),_xlpm.mass,IF(ISNUMBER(SEARCH("paper",_xlpm.mats)),42,_xlpm.dens*_xlpm.ths),E30/1000000*SUM(_xlpm.mass)),"")</f>
        <v>3.5917000000000004E-2</v>
      </c>
      <c r="AS30" s="919">
        <f>IFERROR(IF(D30&gt;31,(5%+250/P30)*AF30,VLOOKUP(D30,HELPER!$BH$3:$BI$5,2,TRUE)*AF30),0)</f>
        <v>1.4588957089870394</v>
      </c>
      <c r="AT30" s="919">
        <v>0.149999999999996</v>
      </c>
      <c r="AU30" s="919"/>
      <c r="AV30" s="919"/>
      <c r="AW30" s="919"/>
      <c r="AX30" s="919"/>
      <c r="AY30" s="919"/>
      <c r="AZ30" s="919">
        <f t="shared" si="3"/>
        <v>0</v>
      </c>
    </row>
    <row r="31" spans="1:52">
      <c r="A31" s="73" t="s">
        <v>1452</v>
      </c>
      <c r="B31" s="73">
        <v>428</v>
      </c>
      <c r="C31" s="908" t="s">
        <v>1428</v>
      </c>
      <c r="D31" s="915" cm="1">
        <f t="array" ref="D3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31" s="915">
        <v>600</v>
      </c>
      <c r="F31" s="73" t="s">
        <v>561</v>
      </c>
      <c r="G31" s="916">
        <v>250000</v>
      </c>
      <c r="H31" s="916"/>
      <c r="I31" s="916"/>
      <c r="J31" s="916"/>
      <c r="K31" s="73" t="s">
        <v>123</v>
      </c>
      <c r="L31" s="921" t="s">
        <v>122</v>
      </c>
      <c r="M31" s="915">
        <v>4</v>
      </c>
      <c r="N31" s="73" t="s">
        <v>550</v>
      </c>
      <c r="O31" s="73" t="s">
        <v>1366</v>
      </c>
      <c r="P31" s="916" cm="1">
        <f t="array" ref="P31">IFERROR(_xlfn.SWITCH(F31,"By Weight",IF(H31&lt;&gt;"",H31,G31)/AR31,"By Length",G31,"By Imp",G31/MAX(1,ROUNDDOWN(E31/I31,0))*J31/1000,"IMP",G31/MAX(1,ROUNDDOWN(E31/I31,0))*J31/1000,""),"")</f>
        <v>250000</v>
      </c>
      <c r="Q31" s="916">
        <f t="shared" si="4"/>
        <v>15392.999999999998</v>
      </c>
      <c r="R31" s="917">
        <f t="shared" si="5"/>
        <v>467184.07642615295</v>
      </c>
      <c r="S31" s="918">
        <f t="shared" si="6"/>
        <v>541933.52865433739</v>
      </c>
      <c r="T31" s="919">
        <f t="shared" si="7"/>
        <v>30.350423986627234</v>
      </c>
      <c r="U31" s="920">
        <f t="shared" si="8"/>
        <v>35.206491824487593</v>
      </c>
      <c r="V31" s="919">
        <f t="shared" si="9"/>
        <v>2.3359203821307708</v>
      </c>
      <c r="W31" s="919">
        <f t="shared" si="10"/>
        <v>37.938029983284139</v>
      </c>
      <c r="X31" s="919" t="str">
        <f t="shared" si="11"/>
        <v/>
      </c>
      <c r="Y31" s="920">
        <f t="shared" si="12"/>
        <v>2.7096676432716937</v>
      </c>
      <c r="Z31" s="920">
        <f t="shared" si="13"/>
        <v>44.008114780609596</v>
      </c>
      <c r="AA31" s="920" t="str">
        <f t="shared" si="14"/>
        <v/>
      </c>
      <c r="AB31" s="917">
        <f t="shared" si="15"/>
        <v>583980.09553269274</v>
      </c>
      <c r="AC31" s="918">
        <f t="shared" si="16"/>
        <v>677416.91081792349</v>
      </c>
      <c r="AD31" s="916">
        <f t="shared" si="17"/>
        <v>8120.5742870135782</v>
      </c>
      <c r="AE31" s="916">
        <f t="shared" si="18"/>
        <v>500</v>
      </c>
      <c r="AF31" s="919" cm="1">
        <f t="array" ref="AF31">IFERROR(_xlfn.LET(_xlpm.lam,TEXT(B31,"0"),_xlpm.thick,D31,_xlpm.crit,(TEXT(HELPER!$BZ$2:$BZ$250,"0")=_xlpm.lam)*(HELPER!$CC$2:$CC$250=_xlpm.thick)*(HELPER!$BW$2:$BW$250&lt;&gt;""),_xlpm.mats,TRIM(SUBSTITUTE(_xlfn._xlws.FILTER(HELPER!$BW$2:$BW$250,_xlpm.crit),CHAR(160),"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31" s="919">
        <f>IFERROR(IF(N31="Europe to Canada",IF(Q31&lt;1000,VLOOKUP(1000,HELPER!$AG$4:$AH$8,2,FALSE)/Q31,VLOOKUP(Q31,HELPER!$AG$4:$AH$8,2,TRUE)/Q31),IF(N31="Europe to US",HELPER!$AH$2,IF(N31="Europe to Europe",HELPER!$AH$3,0))),0)</f>
        <v>5.4</v>
      </c>
      <c r="AH31" s="919" cm="1">
        <f t="array" ref="AH31">IFERROR(_xlfn.LET(_xlpm.cap,IF(O31="Quantum",760,1220),_xlpm.wUsed,E31*MAX(1,MIN(MAX(2,INT(900/E31)),INT((_xlpm.cap-50)/E31))),_xlpm.kgmUsed,AR31/E31*_xlpm.wUsed,_xlpm.lam,TEXT(B31,"0"),_xlpm.crit,(TEXT(HELPER!$BZ$2:$BZ$250,"0")=_xlpm.lam)*(HELPER!$CC$2:$CC$250=D31)*(HELPER!$BW$2:$BW$250&lt;&gt;""),_xlpm.mats,_xlfn._xlws.FILTER(HELPER!$BW$2:$BW$250,_xlpm.crit),_xlpm.realLayers,SUM((_xlpm.mats&lt;&gt;"")*ISERROR(SEARCH("EPOTAL",_xlpm.mats&amp;""))*ISERROR(SEARCH("BASONAT",_xlpm.mats&amp;""))*ISERROR(SEARCH("ADH",_xlpm.mats&amp;""))*ISERROR(SEARCH("HARDENER",_xlpm.mats&amp;""))),_xlpm.steps,MAX(0,_xlpm.realLayers-1),_xlpm.tier,IF(P31&lt;3000,1,IF(P31&lt;10000,2,IF(P31&lt;25000,3,IF(P31&lt;50000,4,IF(P31&lt;100000,5,IF(P31&lt;250000,6,7)))))),_xlpm.widthRow,IF(_xlpm.wUsed&lt;900,0,5),_xlpm.supplierRow,IF(O31="Marma",3,IF(OR(O31="Bastin",O31="Quantum"),13,0)),_xlpm.rate,INDEX('Lmntn &amp; Prntng- Marma &amp; Bastin '!$D$1:$K$22,_xlpm.supplierRow+_xlpm.widthRow,_xlpm.tier),_xlpm.rate*_xlpm.steps/_xlpm.kgmUsed),"")</f>
        <v>3.5242642759695966</v>
      </c>
      <c r="AI31" s="919" cm="1">
        <f t="array" ref="AI31">IFERROR(_xlfn.LET(_xlpm.cap,IF(O31="Quantum",760,1220),_xlpm.wUsed,E31*MAX(1,MIN(MAX(2,INT(900/E31)),INT((_xlpm.cap-50)/E31))),_xlpm.kgmUsed,AR31/E31*_xlpm.wUsed,_xlpm.tier,IF(P31&lt;3000,1,IF(P31&lt;10000,2,IF(P31&lt;25000,3,IF(P31&lt;50000,4,IF(P31&lt;100000,5,IF(P31&lt;250000,6,IF(P31&lt;500000,7,8))))))),_xlpm.widthRow,IF(_xlpm.wUsed&lt;900,0,5),_xlpm.slitRow,IF(O31="Marma",7,IF(OR(O31="Bastin",O31="Quantum"),17,0)),_xlpm.slitRate,INDEX('Lmntn &amp; Prntng- Marma &amp; Bastin '!$D$1:$K$22,_xlpm.slitRow+_xlpm.widthRow,_xlpm.tier),_xlpm.numColors,IF(ISNUMBER(L31),L31,IFERROR(--RIGHT(L31,LEN(L31)-FIND("-",L31)),0)),_xlpm.printRate,IF(OR(K31&lt;&gt;"Printed",_xlpm.numColors=0),0,IF(O31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31))),MAX(_xlfn._xlws.FILTER(_xlpm.meters,(_xlpm.widths=_xlpm.qWidth)*(_xlpm.bands=_xlpm.band)))),INDEX(_xlpm.rates,_xlfn.XMATCH(1,(_xlpm.widths=_xlpm.qWidth)*(_xlpm.bands=_xlpm.band)*(_xlpm.meters=_xlpm.targetM),0))/HELPER!$AK$2),_xlfn.LET(_xlpm.colorOffset,IF(_xlpm.numColors&lt;=2,1,IF(_xlpm.numColors&lt;=4,2,3)),_xlpm.supplierRow,IF(O31="Marma",3,IF(O31="Bastin",13,0)),INDEX('Lmntn &amp; Prntng- Marma &amp; Bastin '!$D$1:$K$22,_xlpm.supplierRow+_xlpm.widthRow+_xlpm.colorOffset,_xlpm.tier)))),AH31+_xlpm.slitRate/_xlpm.kgmUsed+_xlpm.printRate/_xlpm.kgmUsed+AJ31),"")</f>
        <v>16.188713185796502</v>
      </c>
      <c r="AJ31" s="919" cm="1">
        <f t="array" ref="AJ31">IF(OR(K31&lt;&gt;"Printed",L31=0,L31="0",L31=""),0,IFERROR(_xlfn.LET(_xlpm.lam,TEXT(B31,"0"),_xlpm.crit,(TEXT(HELPER!$BZ$2:$BZ$250,"0")=_xlpm.lam)*(HELPER!$CC$2:$CC$250=D31)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WHITE"},0)))/ROWS(_xlpm.real),_xlpm.numColors,IF(ISNUMBER(L31),L31,IFERROR(--RIGHT(L31,LEN(L31)-FIND("-",L31)),0)),HELPER!$DB$1*_xlpm.numColors*MAX(1,M31)*1.05*_xlpm.nkRatio/Q31),0))</f>
        <v>0.1091405184174625</v>
      </c>
      <c r="AK31" s="919">
        <f t="shared" si="19"/>
        <v>2.5117423463771731</v>
      </c>
      <c r="AL31" s="919">
        <f t="shared" si="20"/>
        <v>2335.9203821307706</v>
      </c>
      <c r="AM31" s="73" t="str">
        <f t="shared" si="21"/>
        <v>PASS</v>
      </c>
      <c r="AN31" s="908" t="str">
        <f t="shared" si="0"/>
        <v/>
      </c>
      <c r="AO31" s="919">
        <f t="shared" si="1"/>
        <v>80</v>
      </c>
      <c r="AP31" s="919">
        <f t="shared" si="2"/>
        <v>250000</v>
      </c>
      <c r="AQ31" s="919"/>
      <c r="AR31" s="919" cm="1">
        <f t="array" ref="AR31">IFERROR(_xlfn.LET(_xlpm.lam,TEXT(B31,"0"),_xlpm.thick,D31,_xlpm.crit,(TEXT(HELPER!$BZ$2:$BZ$250,"0")=_xlpm.lam)*(HELPER!$CC$2:$CC$250=_xlpm.thick)*(HELPER!$BW$2:$BW$250&lt;&gt;""),_xlpm.mats,TRIM(SUBSTITUTE(_xlfn._xlws.FILTER(HELPER!$BW$2:$BW$250,_xlpm.crit),CHAR(160),"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")),HELPER!$AQ$2:$AQ$20,1),_xlpm.mass,IF(ISNUMBER(SEARCH("paper",_xlpm.mats)),42,_xlpm.dens*_xlpm.ths),E31/1000000*SUM(_xlpm.mass)),"")</f>
        <v>6.1571999999999995E-2</v>
      </c>
      <c r="AS31" s="919">
        <f>IFERROR(IF(D31&gt;31,(5%+250/P31)*AF31,VLOOKUP(D31,HELPER!$BH$3:$BI$5,2,TRUE)*AF31),0)</f>
        <v>0.42516389233336582</v>
      </c>
      <c r="AT31" s="919">
        <v>0.20000000000000201</v>
      </c>
      <c r="AU31" s="919"/>
      <c r="AV31" s="919"/>
      <c r="AW31" s="919"/>
      <c r="AX31" s="919"/>
      <c r="AY31" s="919"/>
      <c r="AZ31" s="919">
        <f t="shared" si="3"/>
        <v>1680</v>
      </c>
    </row>
    <row r="32" spans="1:52">
      <c r="A32" s="73" t="s">
        <v>1453</v>
      </c>
      <c r="B32" s="73">
        <v>428</v>
      </c>
      <c r="C32" s="908" t="s">
        <v>1430</v>
      </c>
      <c r="D32" s="915" cm="1">
        <f t="array" ref="D3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32" s="915">
        <v>900</v>
      </c>
      <c r="F32" s="73" t="s">
        <v>1040</v>
      </c>
      <c r="G32" s="916">
        <v>1600000</v>
      </c>
      <c r="H32" s="916"/>
      <c r="I32" s="916">
        <v>140</v>
      </c>
      <c r="J32" s="916">
        <v>80</v>
      </c>
      <c r="K32" s="73" t="s">
        <v>123</v>
      </c>
      <c r="L32" s="921" t="s">
        <v>592</v>
      </c>
      <c r="M32" s="915">
        <v>8</v>
      </c>
      <c r="N32" s="73" t="s">
        <v>549</v>
      </c>
      <c r="O32" s="73" t="s">
        <v>250</v>
      </c>
      <c r="P32" s="916" cm="1">
        <f t="array" ref="P32">IFERROR(_xlfn.SWITCH(F32,"By Weight",IF(H32&lt;&gt;"",H32,G32)/AR32,"By Length",G32,"By Imp",G32/MAX(1,ROUNDDOWN(E32/I32,0))*J32/1000,"IMP",G32/MAX(1,ROUNDDOWN(E32/I32,0))*J32/1000,""),"")</f>
        <v>21333.333333333336</v>
      </c>
      <c r="Q32" s="916">
        <f t="shared" si="4"/>
        <v>1970.3040000000001</v>
      </c>
      <c r="R32" s="917">
        <f t="shared" si="5"/>
        <v>32609.893089794365</v>
      </c>
      <c r="S32" s="918">
        <f t="shared" si="6"/>
        <v>37827.475984161458</v>
      </c>
      <c r="T32" s="919">
        <f t="shared" si="7"/>
        <v>16.550691207952866</v>
      </c>
      <c r="U32" s="920">
        <f t="shared" si="8"/>
        <v>19.198801801225322</v>
      </c>
      <c r="V32" s="919">
        <f t="shared" si="9"/>
        <v>1.7983396924518906</v>
      </c>
      <c r="W32" s="919">
        <f t="shared" si="10"/>
        <v>19.471401421120973</v>
      </c>
      <c r="X32" s="919">
        <f t="shared" si="11"/>
        <v>2.3977862566025212E-2</v>
      </c>
      <c r="Y32" s="920">
        <f t="shared" si="12"/>
        <v>2.0860740432441931</v>
      </c>
      <c r="Z32" s="920">
        <f t="shared" si="13"/>
        <v>22.586825648500326</v>
      </c>
      <c r="AA32" s="920">
        <f t="shared" si="14"/>
        <v>2.7814320576589245E-2</v>
      </c>
      <c r="AB32" s="917">
        <f t="shared" si="15"/>
        <v>38364.580105640336</v>
      </c>
      <c r="AC32" s="918">
        <f t="shared" si="16"/>
        <v>44502.91292254279</v>
      </c>
      <c r="AD32" s="916">
        <f t="shared" si="17"/>
        <v>5413.7161913423852</v>
      </c>
      <c r="AE32" s="916">
        <f t="shared" si="18"/>
        <v>500</v>
      </c>
      <c r="AF32" s="919" cm="1">
        <f t="array" ref="AF32">IFERROR(_xlfn.LET(_xlpm.lam,TEXT(B32,"0"),_xlpm.thick,D32,_xlpm.crit,(TEXT(HELPER!$BZ$2:$BZ$250,"0")=_xlpm.lam)*(HELPER!$CC$2:$CC$250=_xlpm.thick)*(HELPER!$BW$2:$BW$250&lt;&gt;""),_xlpm.mats,TRIM(SUBSTITUTE(_xlfn._xlws.FILTER(HELPER!$BW$2:$BW$250,_xlpm.crit),CHAR(160),"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32" s="919">
        <f>IFERROR(IF(N32="Europe to Canada",IF(Q32&lt;1000,VLOOKUP(1000,HELPER!$AG$4:$AH$8,2,FALSE)/Q32,VLOOKUP(Q32,HELPER!$AG$4:$AH$8,2,TRUE)/Q32),IF(N32="Europe to US",HELPER!$AH$2,IF(N32="Europe to Europe",HELPER!$AH$3,0))),0)</f>
        <v>0.2</v>
      </c>
      <c r="AH32" s="919" cm="1">
        <f t="array" ref="AH32">IFERROR(_xlfn.LET(_xlpm.cap,IF(O32="Quantum",760,1220),_xlpm.wUsed,E32*MAX(1,MIN(MAX(2,INT(900/E32)),INT((_xlpm.cap-50)/E32))),_xlpm.kgmUsed,AR32/E32*_xlpm.wUsed,_xlpm.lam,TEXT(B32,"0"),_xlpm.crit,(TEXT(HELPER!$BZ$2:$BZ$250,"0")=_xlpm.lam)*(HELPER!$CC$2:$CC$250=D32)*(HELPER!$BW$2:$BW$250&lt;&gt;""),_xlpm.mats,_xlfn._xlws.FILTER(HELPER!$BW$2:$BW$250,_xlpm.crit),_xlpm.realLayers,SUM((_xlpm.mats&lt;&gt;"")*ISERROR(SEARCH("EPOTAL",_xlpm.mats&amp;""))*ISERROR(SEARCH("BASONAT",_xlpm.mats&amp;""))*ISERROR(SEARCH("ADH",_xlpm.mats&amp;""))*ISERROR(SEARCH("HARDENER",_xlpm.mats&amp;""))),_xlpm.steps,MAX(0,_xlpm.realLayers-1),_xlpm.tier,IF(P32&lt;3000,1,IF(P32&lt;10000,2,IF(P32&lt;25000,3,IF(P32&lt;50000,4,IF(P32&lt;100000,5,IF(P32&lt;250000,6,7)))))),_xlpm.widthRow,IF(_xlpm.wUsed&lt;900,0,5),_xlpm.supplierRow,IF(O32="Marma",3,IF(OR(O32="Bastin",O32="Quantum"),13,0)),_xlpm.rate,INDEX('Lmntn &amp; Prntng- Marma &amp; Bastin '!$D$1:$K$22,_xlpm.supplierRow+_xlpm.widthRow,_xlpm.tier),_xlpm.rate*_xlpm.steps/_xlpm.kgmUsed),"")</f>
        <v>1.9820697719742741</v>
      </c>
      <c r="AI32" s="919" cm="1">
        <f t="array" ref="AI32">IFERROR(_xlfn.LET(_xlpm.cap,IF(O32="Quantum",760,1220),_xlpm.wUsed,E32*MAX(1,MIN(MAX(2,INT(900/E32)),INT((_xlpm.cap-50)/E32))),_xlpm.kgmUsed,AR32/E32*_xlpm.wUsed,_xlpm.tier,IF(P32&lt;3000,1,IF(P32&lt;10000,2,IF(P32&lt;25000,3,IF(P32&lt;50000,4,IF(P32&lt;100000,5,IF(P32&lt;250000,6,IF(P32&lt;500000,7,8))))))),_xlpm.widthRow,IF(_xlpm.wUsed&lt;900,0,5),_xlpm.slitRow,IF(O32="Marma",7,IF(OR(O32="Bastin",O32="Quantum"),17,0)),_xlpm.slitRate,INDEX('Lmntn &amp; Prntng- Marma &amp; Bastin '!$D$1:$K$22,_xlpm.slitRow+_xlpm.widthRow,_xlpm.tier),_xlpm.numColors,IF(ISNUMBER(L32),L32,IFERROR(--RIGHT(L32,LEN(L32)-FIND("-",L32)),0)),_xlpm.printRate,IF(OR(K32&lt;&gt;"Printed",_xlpm.numColors=0),0,IF(O32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32))),MAX(_xlfn._xlws.FILTER(_xlpm.meters,(_xlpm.widths=_xlpm.qWidth)*(_xlpm.bands=_xlpm.band)))),INDEX(_xlpm.rates,_xlfn.XMATCH(1,(_xlpm.widths=_xlpm.qWidth)*(_xlpm.bands=_xlpm.band)*(_xlpm.meters=_xlpm.targetM),0))/HELPER!$AK$2),_xlfn.LET(_xlpm.colorOffset,IF(_xlpm.numColors&lt;=2,1,IF(_xlpm.numColors&lt;=4,2,3)),_xlpm.supplierRow,IF(O32="Marma",3,IF(O32="Bastin",13,0)),INDEX('Lmntn &amp; Prntng- Marma &amp; Bastin '!$D$1:$K$22,_xlpm.supplierRow+_xlpm.widthRow+_xlpm.colorOffset,_xlpm.tier)))),AH32+_xlpm.slitRate/_xlpm.kgmUsed+_xlpm.printRate/_xlpm.kgmUsed+AJ32),"")</f>
        <v>7.4996230449466772</v>
      </c>
      <c r="AJ32" s="919" cm="1">
        <f t="array" ref="AJ32">IF(OR(K32&lt;&gt;"Printed",L32=0,L32="0",L32=""),0,IFERROR(_xlfn.LET(_xlpm.lam,TEXT(B32,"0"),_xlpm.crit,(TEXT(HELPER!$BZ$2:$BZ$250,"0")=_xlpm.lam)*(HELPER!$CC$2:$CC$250=D32)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WHITE"},0)))/ROWS(_xlpm.real),_xlpm.numColors,IF(ISNUMBER(L32),L32,IFERROR(--RIGHT(L32,LEN(L32)-FIND("-",L32)),0)),HELPER!$DB$1*_xlpm.numColors*MAX(1,M32)*1.05*_xlpm.nkRatio/Q32),0))</f>
        <v>3.4106412005457023</v>
      </c>
      <c r="AK32" s="919">
        <f t="shared" si="19"/>
        <v>1.2891323960228607</v>
      </c>
      <c r="AL32" s="919">
        <f t="shared" si="20"/>
        <v>1798.3396924518906</v>
      </c>
      <c r="AM32" s="73" t="str">
        <f t="shared" si="21"/>
        <v>PASS</v>
      </c>
      <c r="AN32" s="908" t="str">
        <f t="shared" si="0"/>
        <v/>
      </c>
      <c r="AO32" s="919">
        <f t="shared" si="1"/>
        <v>80</v>
      </c>
      <c r="AP32" s="919">
        <f t="shared" si="2"/>
        <v>21333.333333333336</v>
      </c>
      <c r="AQ32" s="919"/>
      <c r="AR32" s="919" cm="1">
        <f t="array" ref="AR32">IFERROR(_xlfn.LET(_xlpm.lam,TEXT(B32,"0"),_xlpm.thick,D32,_xlpm.crit,(TEXT(HELPER!$BZ$2:$BZ$250,"0")=_xlpm.lam)*(HELPER!$CC$2:$CC$250=_xlpm.thick)*(HELPER!$BW$2:$BW$250&lt;&gt;""),_xlpm.mats,TRIM(SUBSTITUTE(_xlfn._xlws.FILTER(HELPER!$BW$2:$BW$250,_xlpm.crit),CHAR(160),"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")),HELPER!$AQ$2:$AQ$20,1),_xlpm.mass,IF(ISNUMBER(SEARCH("paper",_xlpm.mats)),42,_xlpm.dens*_xlpm.ths),E32/1000000*SUM(_xlpm.mass)),"")</f>
        <v>9.2357999999999996E-2</v>
      </c>
      <c r="AS32" s="919">
        <f>IFERROR(IF(D32&gt;31,(5%+250/P32)*AF32,VLOOKUP(D32,HELPER!$BH$3:$BI$5,2,TRUE)*AF32),0)</f>
        <v>0.51452125450882202</v>
      </c>
      <c r="AT32" s="919">
        <v>0.149999999999998</v>
      </c>
      <c r="AU32" s="919"/>
      <c r="AV32" s="919"/>
      <c r="AW32" s="919"/>
      <c r="AX32" s="919"/>
      <c r="AY32" s="919"/>
      <c r="AZ32" s="919">
        <f t="shared" si="3"/>
        <v>6720</v>
      </c>
    </row>
    <row r="33" spans="1:52">
      <c r="A33" s="73" t="s">
        <v>1454</v>
      </c>
      <c r="B33" s="73">
        <v>428</v>
      </c>
      <c r="C33" s="908" t="s">
        <v>1432</v>
      </c>
      <c r="D33" s="915" cm="1">
        <f t="array" ref="D3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33" s="915">
        <v>250</v>
      </c>
      <c r="F33" s="73" t="s">
        <v>560</v>
      </c>
      <c r="G33" s="916">
        <v>500</v>
      </c>
      <c r="H33" s="916">
        <v>500</v>
      </c>
      <c r="I33" s="916"/>
      <c r="J33" s="916"/>
      <c r="K33" s="73" t="s">
        <v>124</v>
      </c>
      <c r="L33" s="921" t="s">
        <v>221</v>
      </c>
      <c r="M33" s="915">
        <v>1</v>
      </c>
      <c r="N33" s="73" t="s">
        <v>550</v>
      </c>
      <c r="O33" s="73" t="s">
        <v>240</v>
      </c>
      <c r="P33" s="916" cm="1">
        <f t="array" ref="P33">IFERROR(_xlfn.SWITCH(F33,"By Weight",IF(H33&lt;&gt;"",H33,G33)/AR33,"By Length",G33,"By Imp",G33/MAX(1,ROUNDDOWN(E33/I33,0))*J33/1000,"IMP",G33/MAX(1,ROUNDDOWN(E33/I33,0))*J33/1000,""),"")</f>
        <v>19489.378288832584</v>
      </c>
      <c r="Q33" s="916">
        <f t="shared" si="4"/>
        <v>499.99999999999994</v>
      </c>
      <c r="R33" s="917">
        <f t="shared" si="5"/>
        <v>8895.0747737755937</v>
      </c>
      <c r="S33" s="918">
        <f t="shared" si="6"/>
        <v>10318.286737579689</v>
      </c>
      <c r="T33" s="919">
        <f t="shared" si="7"/>
        <v>17.790149547551188</v>
      </c>
      <c r="U33" s="920">
        <f t="shared" si="8"/>
        <v>20.636573475159377</v>
      </c>
      <c r="V33" s="919">
        <f t="shared" si="9"/>
        <v>0.53694857252049966</v>
      </c>
      <c r="W33" s="919">
        <f t="shared" si="10"/>
        <v>20.929587703001349</v>
      </c>
      <c r="X33" s="919" t="str">
        <f t="shared" si="11"/>
        <v/>
      </c>
      <c r="Y33" s="920">
        <f t="shared" si="12"/>
        <v>0.62286034412377955</v>
      </c>
      <c r="Z33" s="920">
        <f t="shared" si="13"/>
        <v>24.278321735481562</v>
      </c>
      <c r="AA33" s="920" t="str">
        <f t="shared" si="14"/>
        <v/>
      </c>
      <c r="AB33" s="917">
        <f t="shared" si="15"/>
        <v>10464.793851500674</v>
      </c>
      <c r="AC33" s="918">
        <f t="shared" si="16"/>
        <v>12139.16086774078</v>
      </c>
      <c r="AD33" s="916">
        <f t="shared" si="17"/>
        <v>19489.378288832584</v>
      </c>
      <c r="AE33" s="916">
        <f t="shared" si="18"/>
        <v>500</v>
      </c>
      <c r="AF33" s="919" cm="1">
        <f t="array" ref="AF33">IFERROR(_xlfn.LET(_xlpm.lam,TEXT(B33,"0"),_xlpm.thick,D33,_xlpm.crit,(TEXT(HELPER!$BZ$2:$BZ$250,"0")=_xlpm.lam)*(HELPER!$CC$2:$CC$250=_xlpm.thick)*(HELPER!$BW$2:$BW$250&lt;&gt;""),_xlpm.mats,TRIM(SUBSTITUTE(_xlfn._xlws.FILTER(HELPER!$BW$2:$BW$250,_xlpm.crit),CHAR(160),"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33" s="919">
        <f>IFERROR(IF(N33="Europe to Canada",IF(Q33&lt;1000,VLOOKUP(1000,HELPER!$AG$4:$AH$8,2,FALSE)/Q33,VLOOKUP(Q33,HELPER!$AG$4:$AH$8,2,TRUE)/Q33),IF(N33="Europe to US",HELPER!$AH$2,IF(N33="Europe to Europe",HELPER!$AH$3,0))),0)</f>
        <v>5.4</v>
      </c>
      <c r="AH33" s="919" cm="1">
        <f t="array" ref="AH33">IFERROR(_xlfn.LET(_xlpm.cap,IF(O33="Quantum",760,1220),_xlpm.wUsed,E33*MAX(1,MIN(MAX(2,INT(900/E33)),INT((_xlpm.cap-50)/E33))),_xlpm.kgmUsed,AR33/E33*_xlpm.wUsed,_xlpm.lam,TEXT(B33,"0"),_xlpm.crit,(TEXT(HELPER!$BZ$2:$BZ$250,"0")=_xlpm.lam)*(HELPER!$CC$2:$CC$250=D33)*(HELPER!$BW$2:$BW$250&lt;&gt;""),_xlpm.mats,_xlfn._xlws.FILTER(HELPER!$BW$2:$BW$250,_xlpm.crit),_xlpm.realLayers,SUM((_xlpm.mats&lt;&gt;"")*ISERROR(SEARCH("EPOTAL",_xlpm.mats&amp;""))*ISERROR(SEARCH("BASONAT",_xlpm.mats&amp;""))*ISERROR(SEARCH("ADH",_xlpm.mats&amp;""))*ISERROR(SEARCH("HARDENER",_xlpm.mats&amp;""))),_xlpm.steps,MAX(0,_xlpm.realLayers-1),_xlpm.tier,IF(P33&lt;3000,1,IF(P33&lt;10000,2,IF(P33&lt;25000,3,IF(P33&lt;50000,4,IF(P33&lt;100000,5,IF(P33&lt;250000,6,7)))))),_xlpm.widthRow,IF(_xlpm.wUsed&lt;900,0,5),_xlpm.supplierRow,IF(O33="Marma",3,IF(OR(O33="Bastin",O33="Quantum"),13,0)),_xlpm.rate,INDEX('Lmntn &amp; Prntng- Marma &amp; Bastin '!$D$1:$K$22,_xlpm.supplierRow+_xlpm.widthRow,_xlpm.tier),_xlpm.rate*_xlpm.steps/_xlpm.kgmUsed),"")</f>
        <v>3.0920288442798674</v>
      </c>
      <c r="AI33" s="919" cm="1">
        <f t="array" ref="AI33">IFERROR(_xlfn.LET(_xlpm.cap,IF(O33="Quantum",760,1220),_xlpm.wUsed,E33*MAX(1,MIN(MAX(2,INT(900/E33)),INT((_xlpm.cap-50)/E33))),_xlpm.kgmUsed,AR33/E33*_xlpm.wUsed,_xlpm.tier,IF(P33&lt;3000,1,IF(P33&lt;10000,2,IF(P33&lt;25000,3,IF(P33&lt;50000,4,IF(P33&lt;100000,5,IF(P33&lt;250000,6,IF(P33&lt;500000,7,8))))))),_xlpm.widthRow,IF(_xlpm.wUsed&lt;900,0,5),_xlpm.slitRow,IF(O33="Marma",7,IF(OR(O33="Bastin",O33="Quantum"),17,0)),_xlpm.slitRate,INDEX('Lmntn &amp; Prntng- Marma &amp; Bastin '!$D$1:$K$22,_xlpm.slitRow+_xlpm.widthRow,_xlpm.tier),_xlpm.numColors,IF(ISNUMBER(L33),L33,IFERROR(--RIGHT(L33,LEN(L33)-FIND("-",L33)),0)),_xlpm.printRate,IF(OR(K33&lt;&gt;"Printed",_xlpm.numColors=0),0,IF(O33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33))),MAX(_xlfn._xlws.FILTER(_xlpm.meters,(_xlpm.widths=_xlpm.qWidth)*(_xlpm.bands=_xlpm.band)))),INDEX(_xlpm.rates,_xlfn.XMATCH(1,(_xlpm.widths=_xlpm.qWidth)*(_xlpm.bands=_xlpm.band)*(_xlpm.meters=_xlpm.targetM),0))/HELPER!$AK$2),_xlfn.LET(_xlpm.colorOffset,IF(_xlpm.numColors&lt;=2,1,IF(_xlpm.numColors&lt;=4,2,3)),_xlpm.supplierRow,IF(O33="Marma",3,IF(O33="Bastin",13,0)),INDEX('Lmntn &amp; Prntng- Marma &amp; Bastin '!$D$1:$K$22,_xlpm.supplierRow+_xlpm.widthRow+_xlpm.colorOffset,_xlpm.tier)))),AH33+_xlpm.slitRate/_xlpm.kgmUsed+_xlpm.printRate/_xlpm.kgmUsed+AJ33),"")</f>
        <v>3.5298382381602025</v>
      </c>
      <c r="AJ33" s="919" cm="1">
        <f t="array" ref="AJ33">IF(OR(K33&lt;&gt;"Printed",L33=0,L33="0",L33=""),0,IFERROR(_xlfn.LET(_xlpm.lam,TEXT(B33,"0"),_xlpm.crit,(TEXT(HELPER!$BZ$2:$BZ$250,"0")=_xlpm.lam)*(HELPER!$CC$2:$CC$250=D33)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WHITE"},0)))/ROWS(_xlpm.real),_xlpm.numColors,IF(ISNUMBER(L33),L33,IFERROR(--RIGHT(L33,LEN(L33)-FIND("-",L33)),0)),HELPER!$DB$1*_xlpm.numColors*MAX(1,M33)*1.05*_xlpm.nkRatio/Q33),0))</f>
        <v>0</v>
      </c>
      <c r="AK33" s="919">
        <f t="shared" si="19"/>
        <v>1.3856737355367732</v>
      </c>
      <c r="AL33" s="919">
        <f t="shared" si="20"/>
        <v>536.94857252049962</v>
      </c>
      <c r="AM33" s="73" t="str">
        <f t="shared" si="21"/>
        <v>PASS</v>
      </c>
      <c r="AN33" s="908" t="str">
        <f t="shared" si="0"/>
        <v/>
      </c>
      <c r="AO33" s="919">
        <f t="shared" si="1"/>
        <v>80</v>
      </c>
      <c r="AP33" s="919">
        <f t="shared" si="2"/>
        <v>19489.378288832584</v>
      </c>
      <c r="AQ33" s="919"/>
      <c r="AR33" s="919" cm="1">
        <f t="array" ref="AR33">IFERROR(_xlfn.LET(_xlpm.lam,TEXT(B33,"0"),_xlpm.thick,D33,_xlpm.crit,(TEXT(HELPER!$BZ$2:$BZ$250,"0")=_xlpm.lam)*(HELPER!$CC$2:$CC$250=_xlpm.thick)*(HELPER!$BW$2:$BW$250&lt;&gt;""),_xlpm.mats,TRIM(SUBSTITUTE(_xlfn._xlws.FILTER(HELPER!$BW$2:$BW$250,_xlpm.crit),CHAR(160),"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")),HELPER!$AQ$2:$AQ$20,1),_xlpm.mass,IF(ISNUMBER(SEARCH("paper",_xlpm.mats)),42,_xlpm.dens*_xlpm.ths),E33/1000000*SUM(_xlpm.mass)),"")</f>
        <v>2.5655000000000001E-2</v>
      </c>
      <c r="AS33" s="919">
        <f>IFERROR(IF(D33&gt;31,(5%+250/P33)*AF33,VLOOKUP(D33,HELPER!$BH$3:$BI$5,2,TRUE)*AF33),0)</f>
        <v>0.52376440089361842</v>
      </c>
      <c r="AT33" s="919">
        <v>0.149999999999998</v>
      </c>
      <c r="AU33" s="919"/>
      <c r="AV33" s="919"/>
      <c r="AW33" s="919"/>
      <c r="AX33" s="919"/>
      <c r="AY33" s="919"/>
      <c r="AZ33" s="919">
        <f t="shared" si="3"/>
        <v>0</v>
      </c>
    </row>
    <row r="34" spans="1:52">
      <c r="A34" s="73" t="s">
        <v>1455</v>
      </c>
      <c r="B34" s="73">
        <v>428</v>
      </c>
      <c r="C34" s="908" t="s">
        <v>1434</v>
      </c>
      <c r="D34" s="915" cm="1">
        <f t="array" ref="D3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34" s="915">
        <v>600</v>
      </c>
      <c r="F34" s="73" t="s">
        <v>1040</v>
      </c>
      <c r="G34" s="916">
        <v>100000</v>
      </c>
      <c r="H34" s="916"/>
      <c r="I34" s="916">
        <v>300</v>
      </c>
      <c r="J34" s="916">
        <v>200</v>
      </c>
      <c r="K34" s="73" t="s">
        <v>123</v>
      </c>
      <c r="L34" s="921" t="s">
        <v>122</v>
      </c>
      <c r="M34" s="915">
        <v>4</v>
      </c>
      <c r="N34" s="73" t="s">
        <v>549</v>
      </c>
      <c r="O34" s="73" t="s">
        <v>250</v>
      </c>
      <c r="P34" s="916" cm="1">
        <f t="array" ref="P34">IFERROR(_xlfn.SWITCH(F34,"By Weight",IF(H34&lt;&gt;"",H34,G34)/AR34,"By Length",G34,"By Imp",G34/MAX(1,ROUNDDOWN(E34/I34,0))*J34/1000,"IMP",G34/MAX(1,ROUNDDOWN(E34/I34,0))*J34/1000,""),"")</f>
        <v>10000</v>
      </c>
      <c r="Q34" s="916">
        <f t="shared" si="4"/>
        <v>615.71999999999991</v>
      </c>
      <c r="R34" s="917">
        <f t="shared" si="5"/>
        <v>10677.096062187498</v>
      </c>
      <c r="S34" s="918">
        <f t="shared" si="6"/>
        <v>12385.431432137497</v>
      </c>
      <c r="T34" s="919">
        <f t="shared" si="7"/>
        <v>17.340830348514746</v>
      </c>
      <c r="U34" s="920">
        <f t="shared" si="8"/>
        <v>20.115363204277106</v>
      </c>
      <c r="V34" s="919">
        <f t="shared" si="9"/>
        <v>1.3346370077734324</v>
      </c>
      <c r="W34" s="919">
        <f t="shared" si="10"/>
        <v>21.676037935643354</v>
      </c>
      <c r="X34" s="919">
        <f t="shared" si="11"/>
        <v>0.13346370077734324</v>
      </c>
      <c r="Y34" s="920">
        <f t="shared" si="12"/>
        <v>1.5481789290171815</v>
      </c>
      <c r="Z34" s="920">
        <f t="shared" si="13"/>
        <v>25.144204005346289</v>
      </c>
      <c r="AA34" s="920">
        <f t="shared" si="14"/>
        <v>0.15481789290171813</v>
      </c>
      <c r="AB34" s="917">
        <f t="shared" si="15"/>
        <v>13346.370077734324</v>
      </c>
      <c r="AC34" s="918">
        <f t="shared" si="16"/>
        <v>15481.789290171815</v>
      </c>
      <c r="AD34" s="916">
        <f t="shared" si="17"/>
        <v>8120.5742870135782</v>
      </c>
      <c r="AE34" s="916">
        <f t="shared" si="18"/>
        <v>500</v>
      </c>
      <c r="AF34" s="919" cm="1">
        <f t="array" ref="AF34">IFERROR(_xlfn.LET(_xlpm.lam,TEXT(B34,"0"),_xlpm.thick,D34,_xlpm.crit,(TEXT(HELPER!$BZ$2:$BZ$250,"0")=_xlpm.lam)*(HELPER!$CC$2:$CC$250=_xlpm.thick)*(HELPER!$BW$2:$BW$250&lt;&gt;""),_xlpm.mats,TRIM(SUBSTITUTE(_xlfn._xlws.FILTER(HELPER!$BW$2:$BW$250,_xlpm.crit),CHAR(160),"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34" s="919">
        <f>IFERROR(IF(N34="Europe to Canada",IF(Q34&lt;1000,VLOOKUP(1000,HELPER!$AG$4:$AH$8,2,FALSE)/Q34,VLOOKUP(Q34,HELPER!$AG$4:$AH$8,2,TRUE)/Q34),IF(N34="Europe to US",HELPER!$AH$2,IF(N34="Europe to Europe",HELPER!$AH$3,0))),0)</f>
        <v>0.2</v>
      </c>
      <c r="AH34" s="919" cm="1">
        <f t="array" ref="AH34">IFERROR(_xlfn.LET(_xlpm.cap,IF(O34="Quantum",760,1220),_xlpm.wUsed,E34*MAX(1,MIN(MAX(2,INT(900/E34)),INT((_xlpm.cap-50)/E34))),_xlpm.kgmUsed,AR34/E34*_xlpm.wUsed,_xlpm.lam,TEXT(B34,"0"),_xlpm.crit,(TEXT(HELPER!$BZ$2:$BZ$250,"0")=_xlpm.lam)*(HELPER!$CC$2:$CC$250=D34)*(HELPER!$BW$2:$BW$250&lt;&gt;""),_xlpm.mats,_xlfn._xlws.FILTER(HELPER!$BW$2:$BW$250,_xlpm.crit),_xlpm.realLayers,SUM((_xlpm.mats&lt;&gt;"")*ISERROR(SEARCH("EPOTAL",_xlpm.mats&amp;""))*ISERROR(SEARCH("BASONAT",_xlpm.mats&amp;""))*ISERROR(SEARCH("ADH",_xlpm.mats&amp;""))*ISERROR(SEARCH("HARDENER",_xlpm.mats&amp;""))),_xlpm.steps,MAX(0,_xlpm.realLayers-1),_xlpm.tier,IF(P34&lt;3000,1,IF(P34&lt;10000,2,IF(P34&lt;25000,3,IF(P34&lt;50000,4,IF(P34&lt;100000,5,IF(P34&lt;250000,6,7)))))),_xlpm.widthRow,IF(_xlpm.wUsed&lt;900,0,5),_xlpm.supplierRow,IF(O34="Marma",3,IF(OR(O34="Bastin",O34="Quantum"),13,0)),_xlpm.rate,INDEX('Lmntn &amp; Prntng- Marma &amp; Bastin '!$D$1:$K$22,_xlpm.supplierRow+_xlpm.widthRow,_xlpm.tier),_xlpm.rate*_xlpm.steps/_xlpm.kgmUsed),"")</f>
        <v>2.9731046579614113</v>
      </c>
      <c r="AI34" s="919" cm="1">
        <f t="array" ref="AI34">IFERROR(_xlfn.LET(_xlpm.cap,IF(O34="Quantum",760,1220),_xlpm.wUsed,E34*MAX(1,MIN(MAX(2,INT(900/E34)),INT((_xlpm.cap-50)/E34))),_xlpm.kgmUsed,AR34/E34*_xlpm.wUsed,_xlpm.tier,IF(P34&lt;3000,1,IF(P34&lt;10000,2,IF(P34&lt;25000,3,IF(P34&lt;50000,4,IF(P34&lt;100000,5,IF(P34&lt;250000,6,IF(P34&lt;500000,7,8))))))),_xlpm.widthRow,IF(_xlpm.wUsed&lt;900,0,5),_xlpm.slitRow,IF(O34="Marma",7,IF(OR(O34="Bastin",O34="Quantum"),17,0)),_xlpm.slitRate,INDEX('Lmntn &amp; Prntng- Marma &amp; Bastin '!$D$1:$K$22,_xlpm.slitRow+_xlpm.widthRow,_xlpm.tier),_xlpm.numColors,IF(ISNUMBER(L34),L34,IFERROR(--RIGHT(L34,LEN(L34)-FIND("-",L34)),0)),_xlpm.printRate,IF(OR(K34&lt;&gt;"Printed",_xlpm.numColors=0),0,IF(O34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34))),MAX(_xlfn._xlws.FILTER(_xlpm.meters,(_xlpm.widths=_xlpm.qWidth)*(_xlpm.bands=_xlpm.band)))),INDEX(_xlpm.rates,_xlfn.XMATCH(1,(_xlpm.widths=_xlpm.qWidth)*(_xlpm.bands=_xlpm.band)*(_xlpm.meters=_xlpm.targetM),0))/HELPER!$AK$2),_xlfn.LET(_xlpm.colorOffset,IF(_xlpm.numColors&lt;=2,1,IF(_xlpm.numColors&lt;=4,2,3)),_xlpm.supplierRow,IF(O34="Marma",3,IF(O34="Bastin",13,0)),INDEX('Lmntn &amp; Prntng- Marma &amp; Bastin '!$D$1:$K$22,_xlpm.supplierRow+_xlpm.widthRow+_xlpm.colorOffset,_xlpm.tier)))),AH34+_xlpm.slitRate/_xlpm.kgmUsed+_xlpm.printRate/_xlpm.kgmUsed+AJ34),"")</f>
        <v>8.1790424218800766</v>
      </c>
      <c r="AJ34" s="919" cm="1">
        <f t="array" ref="AJ34">IF(OR(K34&lt;&gt;"Printed",L34=0,L34="0",L34=""),0,IFERROR(_xlfn.LET(_xlpm.lam,TEXT(B34,"0"),_xlpm.crit,(TEXT(HELPER!$BZ$2:$BZ$250,"0")=_xlpm.lam)*(HELPER!$CC$2:$CC$250=D34)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WHITE"},0)))/ROWS(_xlpm.real),_xlpm.numColors,IF(ISNUMBER(L34),L34,IFERROR(--RIGHT(L34,LEN(L34)-FIND("-",L34)),0)),HELPER!$DB$1*_xlpm.numColors*MAX(1,M34)*1.05*_xlpm.nkRatio/Q34),0))</f>
        <v>2.7285129604365626</v>
      </c>
      <c r="AK34" s="919">
        <f t="shared" si="19"/>
        <v>1.4350935567456264</v>
      </c>
      <c r="AL34" s="919">
        <f t="shared" si="20"/>
        <v>1334.6370077734325</v>
      </c>
      <c r="AM34" s="73" t="str">
        <f t="shared" si="21"/>
        <v>PASS</v>
      </c>
      <c r="AN34" s="908" t="str">
        <f t="shared" si="0"/>
        <v/>
      </c>
      <c r="AO34" s="919">
        <f t="shared" si="1"/>
        <v>80</v>
      </c>
      <c r="AP34" s="919">
        <f t="shared" si="2"/>
        <v>10000</v>
      </c>
      <c r="AQ34" s="919"/>
      <c r="AR34" s="919" cm="1">
        <f t="array" ref="AR34">IFERROR(_xlfn.LET(_xlpm.lam,TEXT(B34,"0"),_xlpm.thick,D34,_xlpm.crit,(TEXT(HELPER!$BZ$2:$BZ$250,"0")=_xlpm.lam)*(HELPER!$CC$2:$CC$250=_xlpm.thick)*(HELPER!$BW$2:$BW$250&lt;&gt;""),_xlpm.mats,TRIM(SUBSTITUTE(_xlfn._xlws.FILTER(HELPER!$BW$2:$BW$250,_xlpm.crit),CHAR(160),"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")),HELPER!$AQ$2:$AQ$20,1),_xlpm.mass,IF(ISNUMBER(SEARCH("paper",_xlpm.mats)),42,_xlpm.dens*_xlpm.ths),E34/1000000*SUM(_xlpm.mass)),"")</f>
        <v>6.1571999999999995E-2</v>
      </c>
      <c r="AS34" s="919">
        <f>IFERROR(IF(D34&gt;31,(5%+250/P34)*AF34,VLOOKUP(D34,HELPER!$BH$3:$BI$5,2,TRUE)*AF34),0)</f>
        <v>0.62524101813730271</v>
      </c>
      <c r="AT34" s="919">
        <v>0.19999999999999701</v>
      </c>
      <c r="AU34" s="919"/>
      <c r="AV34" s="919"/>
      <c r="AW34" s="919"/>
      <c r="AX34" s="919"/>
      <c r="AY34" s="919"/>
      <c r="AZ34" s="919">
        <f t="shared" si="3"/>
        <v>1680</v>
      </c>
    </row>
    <row r="35" spans="1:52">
      <c r="A35" s="73" t="s">
        <v>1456</v>
      </c>
      <c r="B35" s="73">
        <v>428</v>
      </c>
      <c r="C35" s="908" t="s">
        <v>1436</v>
      </c>
      <c r="D35" s="915" cm="1">
        <f t="array" ref="D3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35" s="915">
        <v>450</v>
      </c>
      <c r="F35" s="73" t="s">
        <v>560</v>
      </c>
      <c r="G35" s="916">
        <v>500</v>
      </c>
      <c r="H35" s="916">
        <v>500</v>
      </c>
      <c r="I35" s="916"/>
      <c r="J35" s="916"/>
      <c r="K35" s="73" t="s">
        <v>123</v>
      </c>
      <c r="L35" s="921" t="s">
        <v>591</v>
      </c>
      <c r="M35" s="915">
        <v>2</v>
      </c>
      <c r="N35" s="73" t="s">
        <v>549</v>
      </c>
      <c r="O35" s="73" t="s">
        <v>1366</v>
      </c>
      <c r="P35" s="916" cm="1">
        <f t="array" ref="P35">IFERROR(_xlfn.SWITCH(F35,"By Weight",IF(H35&lt;&gt;"",H35,G35)/AR35,"By Length",G35,"By Imp",G35/MAX(1,ROUNDDOWN(E35/I35,0))*J35/1000,"IMP",G35/MAX(1,ROUNDDOWN(E35/I35,0))*J35/1000,""),"")</f>
        <v>10827.43238268477</v>
      </c>
      <c r="Q35" s="916">
        <f t="shared" si="4"/>
        <v>500</v>
      </c>
      <c r="R35" s="917">
        <f t="shared" si="5"/>
        <v>15401.657088695649</v>
      </c>
      <c r="S35" s="918">
        <f t="shared" si="6"/>
        <v>17865.922222886951</v>
      </c>
      <c r="T35" s="919">
        <f t="shared" si="7"/>
        <v>30.803314177391297</v>
      </c>
      <c r="U35" s="920">
        <f t="shared" si="8"/>
        <v>35.731844445773902</v>
      </c>
      <c r="V35" s="919">
        <f t="shared" si="9"/>
        <v>1.6734897004679443</v>
      </c>
      <c r="W35" s="919">
        <f t="shared" si="10"/>
        <v>36.239193149872115</v>
      </c>
      <c r="X35" s="919" t="str">
        <f t="shared" si="11"/>
        <v/>
      </c>
      <c r="Y35" s="920">
        <f t="shared" si="12"/>
        <v>1.9412480525428153</v>
      </c>
      <c r="Z35" s="920">
        <f t="shared" si="13"/>
        <v>42.03746405385165</v>
      </c>
      <c r="AA35" s="920" t="str">
        <f t="shared" si="14"/>
        <v/>
      </c>
      <c r="AB35" s="917">
        <f t="shared" si="15"/>
        <v>18119.596574936058</v>
      </c>
      <c r="AC35" s="918">
        <f t="shared" si="16"/>
        <v>21018.732026925827</v>
      </c>
      <c r="AD35" s="916">
        <f t="shared" si="17"/>
        <v>10827.43238268477</v>
      </c>
      <c r="AE35" s="916">
        <f t="shared" si="18"/>
        <v>500</v>
      </c>
      <c r="AF35" s="919" cm="1">
        <f t="array" ref="AF35">IFERROR(_xlfn.LET(_xlpm.lam,TEXT(B35,"0"),_xlpm.thick,D35,_xlpm.crit,(TEXT(HELPER!$BZ$2:$BZ$250,"0")=_xlpm.lam)*(HELPER!$CC$2:$CC$250=_xlpm.thick)*(HELPER!$BW$2:$BW$250&lt;&gt;""),_xlpm.mats,TRIM(SUBSTITUTE(_xlfn._xlws.FILTER(HELPER!$BW$2:$BW$250,_xlpm.crit),CHAR(160),"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35" s="919">
        <f>IFERROR(IF(N35="Europe to Canada",IF(Q35&lt;1000,VLOOKUP(1000,HELPER!$AG$4:$AH$8,2,FALSE)/Q35,VLOOKUP(Q35,HELPER!$AG$4:$AH$8,2,TRUE)/Q35),IF(N35="Europe to US",HELPER!$AH$2,IF(N35="Europe to Europe",HELPER!$AH$3,0))),0)</f>
        <v>0.2</v>
      </c>
      <c r="AH35" s="919" cm="1">
        <f t="array" ref="AH35">IFERROR(_xlfn.LET(_xlpm.cap,IF(O35="Quantum",760,1220),_xlpm.wUsed,E35*MAX(1,MIN(MAX(2,INT(900/E35)),INT((_xlpm.cap-50)/E35))),_xlpm.kgmUsed,AR35/E35*_xlpm.wUsed,_xlpm.lam,TEXT(B35,"0"),_xlpm.crit,(TEXT(HELPER!$BZ$2:$BZ$250,"0")=_xlpm.lam)*(HELPER!$CC$2:$CC$250=D35)*(HELPER!$BW$2:$BW$250&lt;&gt;""),_xlpm.mats,_xlfn._xlws.FILTER(HELPER!$BW$2:$BW$250,_xlpm.crit),_xlpm.realLayers,SUM((_xlpm.mats&lt;&gt;"")*ISERROR(SEARCH("EPOTAL",_xlpm.mats&amp;""))*ISERROR(SEARCH("BASONAT",_xlpm.mats&amp;""))*ISERROR(SEARCH("ADH",_xlpm.mats&amp;""))*ISERROR(SEARCH("HARDENER",_xlpm.mats&amp;""))),_xlpm.steps,MAX(0,_xlpm.realLayers-1),_xlpm.tier,IF(P35&lt;3000,1,IF(P35&lt;10000,2,IF(P35&lt;25000,3,IF(P35&lt;50000,4,IF(P35&lt;100000,5,IF(P35&lt;250000,6,7)))))),_xlpm.widthRow,IF(_xlpm.wUsed&lt;900,0,5),_xlpm.supplierRow,IF(O35="Marma",3,IF(OR(O35="Bastin",O35="Quantum"),13,0)),_xlpm.rate,INDEX('Lmntn &amp; Prntng- Marma &amp; Bastin '!$D$1:$K$22,_xlpm.supplierRow+_xlpm.widthRow,_xlpm.tier),_xlpm.rate*_xlpm.steps/_xlpm.kgmUsed),"")</f>
        <v>5.1533814071331125</v>
      </c>
      <c r="AI35" s="919" cm="1">
        <f t="array" ref="AI35">IFERROR(_xlfn.LET(_xlpm.cap,IF(O35="Quantum",760,1220),_xlpm.wUsed,E35*MAX(1,MIN(MAX(2,INT(900/E35)),INT((_xlpm.cap-50)/E35))),_xlpm.kgmUsed,AR35/E35*_xlpm.wUsed,_xlpm.tier,IF(P35&lt;3000,1,IF(P35&lt;10000,2,IF(P35&lt;25000,3,IF(P35&lt;50000,4,IF(P35&lt;100000,5,IF(P35&lt;250000,6,IF(P35&lt;500000,7,8))))))),_xlpm.widthRow,IF(_xlpm.wUsed&lt;900,0,5),_xlpm.slitRow,IF(O35="Marma",7,IF(OR(O35="Bastin",O35="Quantum"),17,0)),_xlpm.slitRate,INDEX('Lmntn &amp; Prntng- Marma &amp; Bastin '!$D$1:$K$22,_xlpm.slitRow+_xlpm.widthRow,_xlpm.tier),_xlpm.numColors,IF(ISNUMBER(L35),L35,IFERROR(--RIGHT(L35,LEN(L35)-FIND("-",L35)),0)),_xlpm.printRate,IF(OR(K35&lt;&gt;"Printed",_xlpm.numColors=0),0,IF(O35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35))),MAX(_xlfn._xlws.FILTER(_xlpm.meters,(_xlpm.widths=_xlpm.qWidth)*(_xlpm.bands=_xlpm.band)))),INDEX(_xlpm.rates,_xlfn.XMATCH(1,(_xlpm.widths=_xlpm.qWidth)*(_xlpm.bands=_xlpm.band)*(_xlpm.meters=_xlpm.targetM),0))/HELPER!$AK$2),_xlfn.LET(_xlpm.colorOffset,IF(_xlpm.numColors&lt;=2,1,IF(_xlpm.numColors&lt;=4,2,3)),_xlpm.supplierRow,IF(O35="Marma",3,IF(O35="Bastin",13,0)),INDEX('Lmntn &amp; Prntng- Marma &amp; Bastin '!$D$1:$K$22,_xlpm.supplierRow+_xlpm.widthRow+_xlpm.colorOffset,_xlpm.tier)))),AH35+_xlpm.slitRate/_xlpm.kgmUsed+_xlpm.printRate/_xlpm.kgmUsed+AJ35),"")</f>
        <v>21.657453223625311</v>
      </c>
      <c r="AJ35" s="919" cm="1">
        <f t="array" ref="AJ35">IF(OR(K35&lt;&gt;"Printed",L35=0,L35="0",L35=""),0,IFERROR(_xlfn.LET(_xlpm.lam,TEXT(B35,"0"),_xlpm.crit,(TEXT(HELPER!$BZ$2:$BZ$250,"0")=_xlpm.lam)*(HELPER!$CC$2:$CC$250=D35)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WHITE"},0)))/ROWS(_xlpm.real),_xlpm.numColors,IF(ISNUMBER(L35),L35,IFERROR(--RIGHT(L35,LEN(L35)-FIND("-",L35)),0)),HELPER!$DB$1*_xlpm.numColors*MAX(1,M35)*1.05*_xlpm.nkRatio/Q35),0))</f>
        <v>0.84</v>
      </c>
      <c r="AK35" s="919">
        <f t="shared" si="19"/>
        <v>2.3992683877676622</v>
      </c>
      <c r="AL35" s="919">
        <f t="shared" si="20"/>
        <v>1673.4897004679444</v>
      </c>
      <c r="AM35" s="73" t="str">
        <f t="shared" si="21"/>
        <v>PASS</v>
      </c>
      <c r="AN35" s="908" t="str">
        <f t="shared" si="0"/>
        <v/>
      </c>
      <c r="AO35" s="919">
        <f t="shared" si="1"/>
        <v>80</v>
      </c>
      <c r="AP35" s="919">
        <f t="shared" si="2"/>
        <v>10827.43238268477</v>
      </c>
      <c r="AQ35" s="919"/>
      <c r="AR35" s="919" cm="1">
        <f t="array" ref="AR35">IFERROR(_xlfn.LET(_xlpm.lam,TEXT(B35,"0"),_xlpm.thick,D35,_xlpm.crit,(TEXT(HELPER!$BZ$2:$BZ$250,"0")=_xlpm.lam)*(HELPER!$CC$2:$CC$250=_xlpm.thick)*(HELPER!$BW$2:$BW$250&lt;&gt;""),_xlpm.mats,TRIM(SUBSTITUTE(_xlfn._xlws.FILTER(HELPER!$BW$2:$BW$250,_xlpm.crit),CHAR(160),"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")),HELPER!$AQ$2:$AQ$20,1),_xlpm.mass,IF(ISNUMBER(SEARCH("paper",_xlpm.mats)),42,_xlpm.dens*_xlpm.ths),E35/1000000*SUM(_xlpm.mass)),"")</f>
        <v>4.6178999999999998E-2</v>
      </c>
      <c r="AS35" s="919">
        <f>IFERROR(IF(D35&gt;31,(5%+250/P35)*AF35,VLOOKUP(D35,HELPER!$BH$3:$BI$5,2,TRUE)*AF35),0)</f>
        <v>0.60931404526861843</v>
      </c>
      <c r="AT35" s="919">
        <v>0.15</v>
      </c>
      <c r="AU35" s="919"/>
      <c r="AV35" s="919"/>
      <c r="AW35" s="919"/>
      <c r="AX35" s="919"/>
      <c r="AY35" s="919"/>
      <c r="AZ35" s="919">
        <f t="shared" si="3"/>
        <v>420</v>
      </c>
    </row>
    <row r="36" spans="1:52">
      <c r="A36" s="73" t="s">
        <v>1457</v>
      </c>
      <c r="B36" s="73">
        <v>608</v>
      </c>
      <c r="C36" s="908" t="s">
        <v>1418</v>
      </c>
      <c r="D36" s="915" cm="1">
        <f t="array" ref="D3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6" s="915">
        <v>120</v>
      </c>
      <c r="F36" s="73" t="s">
        <v>560</v>
      </c>
      <c r="G36" s="916">
        <v>100</v>
      </c>
      <c r="H36" s="916">
        <v>100</v>
      </c>
      <c r="I36" s="916"/>
      <c r="J36" s="916"/>
      <c r="K36" s="73" t="s">
        <v>124</v>
      </c>
      <c r="L36" s="921" t="s">
        <v>221</v>
      </c>
      <c r="M36" s="915">
        <v>1</v>
      </c>
      <c r="N36" s="73" t="s">
        <v>549</v>
      </c>
      <c r="O36" s="73" t="s">
        <v>250</v>
      </c>
      <c r="P36" s="916" cm="1">
        <f t="array" ref="P36">IFERROR(_xlfn.SWITCH(F36,"By Weight",IF(H36&lt;&gt;"",H36,G36)/AR36,"By Length",G36,"By Imp",G36/MAX(1,ROUNDDOWN(E36/I36,0))*J36/1000,"IMP",G36/MAX(1,ROUNDDOWN(E36/I36,0))*J36/1000,""),"")</f>
        <v>6441.4727783360386</v>
      </c>
      <c r="Q36" s="916">
        <f t="shared" si="4"/>
        <v>100</v>
      </c>
      <c r="R36" s="917">
        <f t="shared" si="5"/>
        <v>913.59230388895207</v>
      </c>
      <c r="S36" s="918">
        <f t="shared" si="6"/>
        <v>1059.7670725111843</v>
      </c>
      <c r="T36" s="919">
        <f t="shared" si="7"/>
        <v>9.135923038889521</v>
      </c>
      <c r="U36" s="920">
        <f t="shared" si="8"/>
        <v>10.597670725111843</v>
      </c>
      <c r="V36" s="919">
        <f t="shared" si="9"/>
        <v>0.16685849838227784</v>
      </c>
      <c r="W36" s="919">
        <f t="shared" si="10"/>
        <v>10.748144751634706</v>
      </c>
      <c r="X36" s="919" t="str">
        <f t="shared" si="11"/>
        <v/>
      </c>
      <c r="Y36" s="920">
        <f t="shared" si="12"/>
        <v>0.19355585812344228</v>
      </c>
      <c r="Z36" s="920">
        <f t="shared" si="13"/>
        <v>12.467847911896259</v>
      </c>
      <c r="AA36" s="920" t="str">
        <f t="shared" si="14"/>
        <v/>
      </c>
      <c r="AB36" s="917">
        <f t="shared" si="15"/>
        <v>1074.8144751634707</v>
      </c>
      <c r="AC36" s="918">
        <f t="shared" si="16"/>
        <v>1246.7847911896258</v>
      </c>
      <c r="AD36" s="916">
        <f t="shared" si="17"/>
        <v>48311.045837520287</v>
      </c>
      <c r="AE36" s="916">
        <f t="shared" si="18"/>
        <v>750</v>
      </c>
      <c r="AF36" s="919" cm="1">
        <f t="array" ref="AF36">IFERROR(_xlfn.LET(_xlpm.lam,TEXT(B36,"0"),_xlpm.thick,D36,_xlpm.crit,(TEXT(HELPER!$BZ$2:$BZ$250,"0")=_xlpm.lam)*(HELPER!$CC$2:$CC$250=_xlpm.thick)*(HELPER!$BW$2:$BW$250&lt;&gt;""),_xlpm.mats,TRIM(SUBSTITUTE(_xlfn._xlws.FILTER(HELPER!$BW$2:$BW$250,_xlpm.crit),CHAR(160),"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6" s="919">
        <f>IFERROR(IF(N36="Europe to Canada",IF(Q36&lt;1000,VLOOKUP(1000,HELPER!$AG$4:$AH$8,2,FALSE)/Q36,VLOOKUP(Q36,HELPER!$AG$4:$AH$8,2,TRUE)/Q36),IF(N36="Europe to US",HELPER!$AH$2,IF(N36="Europe to Europe",HELPER!$AH$3,0))),0)</f>
        <v>0.2</v>
      </c>
      <c r="AH36" s="919" cm="1">
        <f t="array" ref="AH36">IFERROR(_xlfn.LET(_xlpm.cap,IF(O36="Quantum",760,1220),_xlpm.wUsed,E36*MAX(1,MIN(MAX(2,INT(900/E36)),INT((_xlpm.cap-50)/E36))),_xlpm.kgmUsed,AR36/E36*_xlpm.wUsed,_xlpm.lam,TEXT(B36,"0"),_xlpm.crit,(TEXT(HELPER!$BZ$2:$BZ$250,"0")=_xlpm.lam)*(HELPER!$CC$2:$CC$250=D36)*(HELPER!$BW$2:$BW$250&lt;&gt;""),_xlpm.mats,_xlfn._xlws.FILTER(HELPER!$BW$2:$BW$250,_xlpm.crit),_xlpm.realLayers,SUM((_xlpm.mats&lt;&gt;"")*ISERROR(SEARCH("EPOTAL",_xlpm.mats&amp;""))*ISERROR(SEARCH("BASONAT",_xlpm.mats&amp;""))*ISERROR(SEARCH("ADH",_xlpm.mats&amp;""))*ISERROR(SEARCH("HARDENER",_xlpm.mats&amp;""))),_xlpm.steps,MAX(0,_xlpm.realLayers-1),_xlpm.tier,IF(P36&lt;3000,1,IF(P36&lt;10000,2,IF(P36&lt;25000,3,IF(P36&lt;50000,4,IF(P36&lt;100000,5,IF(P36&lt;250000,6,7)))))),_xlpm.widthRow,IF(_xlpm.wUsed&lt;900,0,5),_xlpm.supplierRow,IF(O36="Marma",3,IF(OR(O36="Bastin",O36="Quantum"),13,0)),_xlpm.rate,INDEX('Lmntn &amp; Prntng- Marma &amp; Bastin '!$D$1:$K$22,_xlpm.supplierRow+_xlpm.widthRow,_xlpm.tier),_xlpm.rate*_xlpm.steps/_xlpm.kgmUsed),"")</f>
        <v>1.9164301725946618</v>
      </c>
      <c r="AI36" s="919" cm="1">
        <f t="array" ref="AI36">IFERROR(_xlfn.LET(_xlpm.cap,IF(O36="Quantum",760,1220),_xlpm.wUsed,E36*MAX(1,MIN(MAX(2,INT(900/E36)),INT((_xlpm.cap-50)/E36))),_xlpm.kgmUsed,AR36/E36*_xlpm.wUsed,_xlpm.tier,IF(P36&lt;3000,1,IF(P36&lt;10000,2,IF(P36&lt;25000,3,IF(P36&lt;50000,4,IF(P36&lt;100000,5,IF(P36&lt;250000,6,IF(P36&lt;500000,7,8))))))),_xlpm.widthRow,IF(_xlpm.wUsed&lt;900,0,5),_xlpm.slitRow,IF(O36="Marma",7,IF(OR(O36="Bastin",O36="Quantum"),17,0)),_xlpm.slitRate,INDEX('Lmntn &amp; Prntng- Marma &amp; Bastin '!$D$1:$K$22,_xlpm.slitRow+_xlpm.widthRow,_xlpm.tier),_xlpm.numColors,IF(ISNUMBER(L36),L36,IFERROR(--RIGHT(L36,LEN(L36)-FIND("-",L36)),0)),_xlpm.printRate,IF(OR(K36&lt;&gt;"Printed",_xlpm.numColors=0),0,IF(O36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36))),MAX(_xlfn._xlws.FILTER(_xlpm.meters,(_xlpm.widths=_xlpm.qWidth)*(_xlpm.bands=_xlpm.band)))),INDEX(_xlpm.rates,_xlfn.XMATCH(1,(_xlpm.widths=_xlpm.qWidth)*(_xlpm.bands=_xlpm.band)*(_xlpm.meters=_xlpm.targetM),0))/HELPER!$AK$2),_xlfn.LET(_xlpm.colorOffset,IF(_xlpm.numColors&lt;=2,1,IF(_xlpm.numColors&lt;=4,2,3)),_xlpm.supplierRow,IF(O36="Marma",3,IF(O36="Bastin",13,0)),INDEX('Lmntn &amp; Prntng- Marma &amp; Bastin '!$D$1:$K$22,_xlpm.supplierRow+_xlpm.widthRow+_xlpm.colorOffset,_xlpm.tier)))),AH36+_xlpm.slitRate/_xlpm.kgmUsed+_xlpm.printRate/_xlpm.kgmUsed+AJ36),"")</f>
        <v>2.196358175333208</v>
      </c>
      <c r="AJ36" s="919" cm="1">
        <f t="array" ref="AJ36">IF(OR(K36&lt;&gt;"Printed",L36=0,L36="0",L36=""),0,IFERROR(_xlfn.LET(_xlpm.lam,TEXT(B36,"0"),_xlpm.crit,(TEXT(HELPER!$BZ$2:$BZ$250,"0")=_xlpm.lam)*(HELPER!$CC$2:$CC$250=D36)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WHITE"},0)))/ROWS(_xlpm.real),_xlpm.numColors,IF(ISNUMBER(L36),L36,IFERROR(--RIGHT(L36,LEN(L36)-FIND("-",L36)),0)),HELPER!$DB$1*_xlpm.numColors*MAX(1,M36)*1.05*_xlpm.nkRatio/Q36),0))</f>
        <v>0</v>
      </c>
      <c r="AK36" s="919">
        <f t="shared" si="19"/>
        <v>0.89708870097998838</v>
      </c>
      <c r="AL36" s="919">
        <f t="shared" si="20"/>
        <v>166.85849838227784</v>
      </c>
      <c r="AM36" s="73" t="str">
        <f t="shared" si="21"/>
        <v>PASS</v>
      </c>
      <c r="AN36" s="908" t="str">
        <f t="shared" si="0"/>
        <v/>
      </c>
      <c r="AO36" s="919">
        <f t="shared" si="1"/>
        <v>100</v>
      </c>
      <c r="AP36" s="919">
        <f t="shared" si="2"/>
        <v>6441.4727783360386</v>
      </c>
      <c r="AQ36" s="919"/>
      <c r="AR36" s="919" cm="1">
        <f t="array" ref="AR36">IFERROR(_xlfn.LET(_xlpm.lam,TEXT(B36,"0"),_xlpm.thick,D36,_xlpm.crit,(TEXT(HELPER!$BZ$2:$BZ$250,"0")=_xlpm.lam)*(HELPER!$CC$2:$CC$250=_xlpm.thick)*(HELPER!$BW$2:$BW$250&lt;&gt;""),_xlpm.mats,TRIM(SUBSTITUTE(_xlfn._xlws.FILTER(HELPER!$BW$2:$BW$250,_xlpm.crit),CHAR(160),"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")),HELPER!$AQ$2:$AQ$20,1),_xlpm.mass,IF(ISNUMBER(SEARCH("paper",_xlpm.mats)),42,_xlpm.dens*_xlpm.ths),E36/1000000*SUM(_xlpm.mass)),"")</f>
        <v>1.5524400000000001E-2</v>
      </c>
      <c r="AS36" s="919">
        <f>IFERROR(IF(D36&gt;31,(5%+250/P36)*AF36,VLOOKUP(D36,HELPER!$BH$3:$BI$5,2,TRUE)*AF36),0)</f>
        <v>0.54972579731220528</v>
      </c>
      <c r="AT36" s="919">
        <v>0.149999999999998</v>
      </c>
      <c r="AU36" s="919"/>
      <c r="AV36" s="919"/>
      <c r="AW36" s="919"/>
      <c r="AX36" s="919"/>
      <c r="AY36" s="919"/>
      <c r="AZ36" s="919">
        <f t="shared" si="3"/>
        <v>0</v>
      </c>
    </row>
    <row r="37" spans="1:52">
      <c r="A37" s="73" t="s">
        <v>1458</v>
      </c>
      <c r="B37" s="73">
        <v>608</v>
      </c>
      <c r="C37" s="908" t="s">
        <v>1420</v>
      </c>
      <c r="D37" s="915" cm="1">
        <f t="array" ref="D3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7" s="915">
        <v>120</v>
      </c>
      <c r="F37" s="73" t="s">
        <v>1040</v>
      </c>
      <c r="G37" s="916">
        <v>1000</v>
      </c>
      <c r="H37" s="916"/>
      <c r="I37" s="916">
        <v>80</v>
      </c>
      <c r="J37" s="916">
        <v>80</v>
      </c>
      <c r="K37" s="73" t="s">
        <v>123</v>
      </c>
      <c r="L37" s="921" t="s">
        <v>591</v>
      </c>
      <c r="M37" s="915">
        <v>1</v>
      </c>
      <c r="N37" s="73" t="s">
        <v>550</v>
      </c>
      <c r="O37" s="73" t="s">
        <v>240</v>
      </c>
      <c r="P37" s="916" cm="1">
        <f t="array" ref="P37">IFERROR(_xlfn.SWITCH(F37,"By Weight",IF(H37&lt;&gt;"",H37,G37)/AR37,"By Length",G37,"By Imp",G37/MAX(1,ROUNDDOWN(E37/I37,0))*J37/1000,"IMP",G37/MAX(1,ROUNDDOWN(E37/I37,0))*J37/1000,""),"")</f>
        <v>80</v>
      </c>
      <c r="Q37" s="916">
        <f t="shared" si="4"/>
        <v>1.2419519999999999</v>
      </c>
      <c r="R37" s="917">
        <f t="shared" si="5"/>
        <v>256.15668521554284</v>
      </c>
      <c r="S37" s="918">
        <f t="shared" si="6"/>
        <v>297.14175485002966</v>
      </c>
      <c r="T37" s="919">
        <f t="shared" si="7"/>
        <v>206.25328935058911</v>
      </c>
      <c r="U37" s="920">
        <f t="shared" si="8"/>
        <v>239.25381564668336</v>
      </c>
      <c r="V37" s="919">
        <f t="shared" si="9"/>
        <v>4.0024482064928524</v>
      </c>
      <c r="W37" s="919">
        <f t="shared" si="10"/>
        <v>257.81661168823609</v>
      </c>
      <c r="X37" s="919">
        <f t="shared" si="11"/>
        <v>0.32019585651942822</v>
      </c>
      <c r="Y37" s="920">
        <f t="shared" si="12"/>
        <v>4.642839919531708</v>
      </c>
      <c r="Z37" s="920">
        <f t="shared" si="13"/>
        <v>299.06726955835387</v>
      </c>
      <c r="AA37" s="920">
        <f t="shared" si="14"/>
        <v>0.37142719356253673</v>
      </c>
      <c r="AB37" s="917">
        <f t="shared" si="15"/>
        <v>320.19585651942816</v>
      </c>
      <c r="AC37" s="918">
        <f t="shared" si="16"/>
        <v>371.42719356253662</v>
      </c>
      <c r="AD37" s="916">
        <f t="shared" si="17"/>
        <v>48311.045837520287</v>
      </c>
      <c r="AE37" s="916">
        <f t="shared" si="18"/>
        <v>750</v>
      </c>
      <c r="AF37" s="919" cm="1">
        <f t="array" ref="AF37">IFERROR(_xlfn.LET(_xlpm.lam,TEXT(B37,"0"),_xlpm.thick,D37,_xlpm.crit,(TEXT(HELPER!$BZ$2:$BZ$250,"0")=_xlpm.lam)*(HELPER!$CC$2:$CC$250=_xlpm.thick)*(HELPER!$BW$2:$BW$250&lt;&gt;""),_xlpm.mats,TRIM(SUBSTITUTE(_xlfn._xlws.FILTER(HELPER!$BW$2:$BW$250,_xlpm.crit),CHAR(160),"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7" s="919">
        <f>IFERROR(IF(N37="Europe to Canada",IF(Q37&lt;1000,VLOOKUP(1000,HELPER!$AG$4:$AH$8,2,FALSE)/Q37,VLOOKUP(Q37,HELPER!$AG$4:$AH$8,2,TRUE)/Q37),IF(N37="Europe to US",HELPER!$AH$2,IF(N37="Europe to Europe",HELPER!$AH$3,0))),0)</f>
        <v>5.4</v>
      </c>
      <c r="AH37" s="919" cm="1">
        <f t="array" ref="AH37">IFERROR(_xlfn.LET(_xlpm.cap,IF(O37="Quantum",760,1220),_xlpm.wUsed,E37*MAX(1,MIN(MAX(2,INT(900/E37)),INT((_xlpm.cap-50)/E37))),_xlpm.kgmUsed,AR37/E37*_xlpm.wUsed,_xlpm.lam,TEXT(B37,"0"),_xlpm.crit,(TEXT(HELPER!$BZ$2:$BZ$250,"0")=_xlpm.lam)*(HELPER!$CC$2:$CC$250=D37)*(HELPER!$BW$2:$BW$250&lt;&gt;""),_xlpm.mats,_xlfn._xlws.FILTER(HELPER!$BW$2:$BW$250,_xlpm.crit),_xlpm.realLayers,SUM((_xlpm.mats&lt;&gt;"")*ISERROR(SEARCH("EPOTAL",_xlpm.mats&amp;""))*ISERROR(SEARCH("BASONAT",_xlpm.mats&amp;""))*ISERROR(SEARCH("ADH",_xlpm.mats&amp;""))*ISERROR(SEARCH("HARDENER",_xlpm.mats&amp;""))),_xlpm.steps,MAX(0,_xlpm.realLayers-1),_xlpm.tier,IF(P37&lt;3000,1,IF(P37&lt;10000,2,IF(P37&lt;25000,3,IF(P37&lt;50000,4,IF(P37&lt;100000,5,IF(P37&lt;250000,6,7)))))),_xlpm.widthRow,IF(_xlpm.wUsed&lt;900,0,5),_xlpm.supplierRow,IF(O37="Marma",3,IF(OR(O37="Bastin",O37="Quantum"),13,0)),_xlpm.rate,INDEX('Lmntn &amp; Prntng- Marma &amp; Bastin '!$D$1:$K$22,_xlpm.supplierRow+_xlpm.widthRow,_xlpm.tier),_xlpm.rate*_xlpm.steps/_xlpm.kgmUsed),"")</f>
        <v>2.7928201503991867</v>
      </c>
      <c r="AI37" s="919" cm="1">
        <f t="array" ref="AI37">IFERROR(_xlfn.LET(_xlpm.cap,IF(O37="Quantum",760,1220),_xlpm.wUsed,E37*MAX(1,MIN(MAX(2,INT(900/E37)),INT((_xlpm.cap-50)/E37))),_xlpm.kgmUsed,AR37/E37*_xlpm.wUsed,_xlpm.tier,IF(P37&lt;3000,1,IF(P37&lt;10000,2,IF(P37&lt;25000,3,IF(P37&lt;50000,4,IF(P37&lt;100000,5,IF(P37&lt;250000,6,IF(P37&lt;500000,7,8))))))),_xlpm.widthRow,IF(_xlpm.wUsed&lt;900,0,5),_xlpm.slitRow,IF(O37="Marma",7,IF(OR(O37="Bastin",O37="Quantum"),17,0)),_xlpm.slitRate,INDEX('Lmntn &amp; Prntng- Marma &amp; Bastin '!$D$1:$K$22,_xlpm.slitRow+_xlpm.widthRow,_xlpm.tier),_xlpm.numColors,IF(ISNUMBER(L37),L37,IFERROR(--RIGHT(L37,LEN(L37)-FIND("-",L37)),0)),_xlpm.printRate,IF(OR(K37&lt;&gt;"Printed",_xlpm.numColors=0),0,IF(O37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37))),MAX(_xlfn._xlws.FILTER(_xlpm.meters,(_xlpm.widths=_xlpm.qWidth)*(_xlpm.bands=_xlpm.band)))),INDEX(_xlpm.rates,_xlfn.XMATCH(1,(_xlpm.widths=_xlpm.qWidth)*(_xlpm.bands=_xlpm.band)*(_xlpm.meters=_xlpm.targetM),0))/HELPER!$AK$2),_xlfn.LET(_xlpm.colorOffset,IF(_xlpm.numColors&lt;=2,1,IF(_xlpm.numColors&lt;=4,2,3)),_xlpm.supplierRow,IF(O37="Marma",3,IF(O37="Bastin",13,0)),INDEX('Lmntn &amp; Prntng- Marma &amp; Bastin '!$D$1:$K$22,_xlpm.supplierRow+_xlpm.widthRow+_xlpm.colorOffset,_xlpm.tier)))),AH37+_xlpm.slitRate/_xlpm.kgmUsed+_xlpm.printRate/_xlpm.kgmUsed+AJ37),"")</f>
        <v>175.01071124901998</v>
      </c>
      <c r="AJ37" s="919" cm="1">
        <f t="array" ref="AJ37">IF(OR(K37&lt;&gt;"Printed",L37=0,L37="0",L37=""),0,IFERROR(_xlfn.LET(_xlpm.lam,TEXT(B37,"0"),_xlpm.crit,(TEXT(HELPER!$BZ$2:$BZ$250,"0")=_xlpm.lam)*(HELPER!$CC$2:$CC$250=D37)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WHITE"},0)))/ROWS(_xlpm.real),_xlpm.numColors,IF(ISNUMBER(L37),L37,IFERROR(--RIGHT(L37,LEN(L37)-FIND("-",L37)),0)),HELPER!$DB$1*_xlpm.numColors*MAX(1,M37)*1.05*_xlpm.nkRatio/Q37),0))</f>
        <v>169.08866043132102</v>
      </c>
      <c r="AK37" s="919">
        <f t="shared" si="19"/>
        <v>21.518538744585229</v>
      </c>
      <c r="AL37" s="919">
        <f t="shared" si="20"/>
        <v>4002.4482064928525</v>
      </c>
      <c r="AM37" s="73" t="str">
        <f t="shared" si="21"/>
        <v>PASS</v>
      </c>
      <c r="AN37" s="908" t="str">
        <f t="shared" si="0"/>
        <v/>
      </c>
      <c r="AO37" s="919">
        <f t="shared" si="1"/>
        <v>100</v>
      </c>
      <c r="AP37" s="919">
        <f t="shared" si="2"/>
        <v>80</v>
      </c>
      <c r="AQ37" s="919"/>
      <c r="AR37" s="919" cm="1">
        <f t="array" ref="AR37">IFERROR(_xlfn.LET(_xlpm.lam,TEXT(B37,"0"),_xlpm.thick,D37,_xlpm.crit,(TEXT(HELPER!$BZ$2:$BZ$250,"0")=_xlpm.lam)*(HELPER!$CC$2:$CC$250=_xlpm.thick)*(HELPER!$BW$2:$BW$250&lt;&gt;""),_xlpm.mats,TRIM(SUBSTITUTE(_xlfn._xlws.FILTER(HELPER!$BW$2:$BW$250,_xlpm.crit),CHAR(160),"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")),HELPER!$AQ$2:$AQ$20,1),_xlpm.mass,IF(ISNUMBER(SEARCH("paper",_xlpm.mats)),42,_xlpm.dens*_xlpm.ths),E37/1000000*SUM(_xlpm.mass)),"")</f>
        <v>1.5524400000000001E-2</v>
      </c>
      <c r="AS37" s="919">
        <f>IFERROR(IF(D37&gt;31,(5%+250/P37)*AF37,VLOOKUP(D37,HELPER!$BH$3:$BI$5,2,TRUE)*AF37),0)</f>
        <v>19.652739035325038</v>
      </c>
      <c r="AT37" s="919">
        <v>0.19999999999999901</v>
      </c>
      <c r="AU37" s="919"/>
      <c r="AV37" s="919"/>
      <c r="AW37" s="919"/>
      <c r="AX37" s="919"/>
      <c r="AY37" s="919"/>
      <c r="AZ37" s="919">
        <f t="shared" si="3"/>
        <v>210</v>
      </c>
    </row>
    <row r="38" spans="1:52">
      <c r="A38" s="73" t="s">
        <v>1459</v>
      </c>
      <c r="B38" s="73">
        <v>608</v>
      </c>
      <c r="C38" s="908" t="s">
        <v>1422</v>
      </c>
      <c r="D38" s="915" cm="1">
        <f t="array" ref="D3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8" s="915">
        <v>350</v>
      </c>
      <c r="F38" s="73" t="s">
        <v>560</v>
      </c>
      <c r="G38" s="916">
        <v>5000</v>
      </c>
      <c r="H38" s="916">
        <v>5000</v>
      </c>
      <c r="I38" s="916"/>
      <c r="J38" s="916"/>
      <c r="K38" s="73" t="s">
        <v>123</v>
      </c>
      <c r="L38" s="921" t="s">
        <v>122</v>
      </c>
      <c r="M38" s="915">
        <v>4</v>
      </c>
      <c r="N38" s="73" t="s">
        <v>549</v>
      </c>
      <c r="O38" s="73" t="s">
        <v>1366</v>
      </c>
      <c r="P38" s="916" cm="1">
        <f t="array" ref="P38">IFERROR(_xlfn.SWITCH(F38,"By Weight",IF(H38&lt;&gt;"",H38,G38)/AR38,"By Length",G38,"By Imp",G38/MAX(1,ROUNDDOWN(E38/I38,0))*J38/1000,"IMP",G38/MAX(1,ROUNDDOWN(E38/I38,0))*J38/1000,""),"")</f>
        <v>110425.24762861781</v>
      </c>
      <c r="Q38" s="916">
        <f t="shared" si="4"/>
        <v>5000</v>
      </c>
      <c r="R38" s="917">
        <f t="shared" si="5"/>
        <v>89996.19316589876</v>
      </c>
      <c r="S38" s="918">
        <f t="shared" si="6"/>
        <v>104395.58407244255</v>
      </c>
      <c r="T38" s="919">
        <f t="shared" si="7"/>
        <v>17.99923863317975</v>
      </c>
      <c r="U38" s="920">
        <f t="shared" si="8"/>
        <v>20.879116814488508</v>
      </c>
      <c r="V38" s="919">
        <f t="shared" si="9"/>
        <v>0.95881944198948765</v>
      </c>
      <c r="W38" s="919">
        <f t="shared" si="10"/>
        <v>21.175574862564464</v>
      </c>
      <c r="X38" s="919" t="str">
        <f t="shared" si="11"/>
        <v/>
      </c>
      <c r="Y38" s="920">
        <f t="shared" si="12"/>
        <v>1.1122305527078056</v>
      </c>
      <c r="Z38" s="920">
        <f t="shared" si="13"/>
        <v>24.563666840574776</v>
      </c>
      <c r="AA38" s="920" t="str">
        <f t="shared" si="14"/>
        <v/>
      </c>
      <c r="AB38" s="917">
        <f t="shared" si="15"/>
        <v>105877.87431282231</v>
      </c>
      <c r="AC38" s="918">
        <f t="shared" si="16"/>
        <v>122818.33420287387</v>
      </c>
      <c r="AD38" s="916">
        <f t="shared" si="17"/>
        <v>16563.78714429267</v>
      </c>
      <c r="AE38" s="916">
        <f t="shared" si="18"/>
        <v>750</v>
      </c>
      <c r="AF38" s="919" cm="1">
        <f t="array" ref="AF38">IFERROR(_xlfn.LET(_xlpm.lam,TEXT(B38,"0"),_xlpm.thick,D38,_xlpm.crit,(TEXT(HELPER!$BZ$2:$BZ$250,"0")=_xlpm.lam)*(HELPER!$CC$2:$CC$250=_xlpm.thick)*(HELPER!$BW$2:$BW$250&lt;&gt;""),_xlpm.mats,TRIM(SUBSTITUTE(_xlfn._xlws.FILTER(HELPER!$BW$2:$BW$250,_xlpm.crit),CHAR(160),"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8" s="919">
        <f>IFERROR(IF(N38="Europe to Canada",IF(Q38&lt;1000,VLOOKUP(1000,HELPER!$AG$4:$AH$8,2,FALSE)/Q38,VLOOKUP(Q38,HELPER!$AG$4:$AH$8,2,TRUE)/Q38),IF(N38="Europe to US",HELPER!$AH$2,IF(N38="Europe to Europe",HELPER!$AH$3,0))),0)</f>
        <v>0.2</v>
      </c>
      <c r="AH38" s="919" cm="1">
        <f t="array" ref="AH38">IFERROR(_xlfn.LET(_xlpm.cap,IF(O38="Quantum",760,1220),_xlpm.wUsed,E38*MAX(1,MIN(MAX(2,INT(900/E38)),INT((_xlpm.cap-50)/E38))),_xlpm.kgmUsed,AR38/E38*_xlpm.wUsed,_xlpm.lam,TEXT(B38,"0"),_xlpm.crit,(TEXT(HELPER!$BZ$2:$BZ$250,"0")=_xlpm.lam)*(HELPER!$CC$2:$CC$250=D38)*(HELPER!$BW$2:$BW$250&lt;&gt;""),_xlpm.mats,_xlfn._xlws.FILTER(HELPER!$BW$2:$BW$250,_xlpm.crit),_xlpm.realLayers,SUM((_xlpm.mats&lt;&gt;"")*ISERROR(SEARCH("EPOTAL",_xlpm.mats&amp;""))*ISERROR(SEARCH("BASONAT",_xlpm.mats&amp;""))*ISERROR(SEARCH("ADH",_xlpm.mats&amp;""))*ISERROR(SEARCH("HARDENER",_xlpm.mats&amp;""))),_xlpm.steps,MAX(0,_xlpm.realLayers-1),_xlpm.tier,IF(P38&lt;3000,1,IF(P38&lt;10000,2,IF(P38&lt;25000,3,IF(P38&lt;50000,4,IF(P38&lt;100000,5,IF(P38&lt;250000,6,7)))))),_xlpm.widthRow,IF(_xlpm.wUsed&lt;900,0,5),_xlpm.supplierRow,IF(O38="Marma",3,IF(OR(O38="Bastin",O38="Quantum"),13,0)),_xlpm.rate,INDEX('Lmntn &amp; Prntng- Marma &amp; Bastin '!$D$1:$K$22,_xlpm.supplierRow+_xlpm.widthRow,_xlpm.tier),_xlpm.rate*_xlpm.steps/_xlpm.kgmUsed),"")</f>
        <v>2.4108260912775101</v>
      </c>
      <c r="AI38" s="919" cm="1">
        <f t="array" ref="AI38">IFERROR(_xlfn.LET(_xlpm.cap,IF(O38="Quantum",760,1220),_xlpm.wUsed,E38*MAX(1,MIN(MAX(2,INT(900/E38)),INT((_xlpm.cap-50)/E38))),_xlpm.kgmUsed,AR38/E38*_xlpm.wUsed,_xlpm.tier,IF(P38&lt;3000,1,IF(P38&lt;10000,2,IF(P38&lt;25000,3,IF(P38&lt;50000,4,IF(P38&lt;100000,5,IF(P38&lt;250000,6,IF(P38&lt;500000,7,8))))))),_xlpm.widthRow,IF(_xlpm.wUsed&lt;900,0,5),_xlpm.slitRow,IF(O38="Marma",7,IF(OR(O38="Bastin",O38="Quantum"),17,0)),_xlpm.slitRate,INDEX('Lmntn &amp; Prntng- Marma &amp; Bastin '!$D$1:$K$22,_xlpm.slitRow+_xlpm.widthRow,_xlpm.tier),_xlpm.numColors,IF(ISNUMBER(L38),L38,IFERROR(--RIGHT(L38,LEN(L38)-FIND("-",L38)),0)),_xlpm.printRate,IF(OR(K38&lt;&gt;"Printed",_xlpm.numColors=0),0,IF(O38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38))),MAX(_xlfn._xlws.FILTER(_xlpm.meters,(_xlpm.widths=_xlpm.qWidth)*(_xlpm.bands=_xlpm.band)))),INDEX(_xlpm.rates,_xlfn.XMATCH(1,(_xlpm.widths=_xlpm.qWidth)*(_xlpm.bands=_xlpm.band)*(_xlpm.meters=_xlpm.targetM),0))/HELPER!$AK$2),_xlfn.LET(_xlpm.colorOffset,IF(_xlpm.numColors&lt;=2,1,IF(_xlpm.numColors&lt;=4,2,3)),_xlpm.supplierRow,IF(O38="Marma",3,IF(O38="Bastin",13,0)),INDEX('Lmntn &amp; Prntng- Marma &amp; Bastin '!$D$1:$K$22,_xlpm.supplierRow+_xlpm.widthRow+_xlpm.colorOffset,_xlpm.tier)))),AH38+_xlpm.slitRate/_xlpm.kgmUsed+_xlpm.printRate/_xlpm.kgmUsed+AJ38),"")</f>
        <v>11.285893972723441</v>
      </c>
      <c r="AJ38" s="919" cm="1">
        <f t="array" ref="AJ38">IF(OR(K38&lt;&gt;"Printed",L38=0,L38="0",L38=""),0,IFERROR(_xlfn.LET(_xlpm.lam,TEXT(B38,"0"),_xlpm.crit,(TEXT(HELPER!$BZ$2:$BZ$250,"0")=_xlpm.lam)*(HELPER!$CC$2:$CC$250=D38)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WHITE"},0)))/ROWS(_xlpm.real),_xlpm.numColors,IF(ISNUMBER(L38),L38,IFERROR(--RIGHT(L38,LEN(L38)-FIND("-",L38)),0)),HELPER!$DB$1*_xlpm.numColors*MAX(1,M38)*1.05*_xlpm.nkRatio/Q38),0))</f>
        <v>0.33600000000000002</v>
      </c>
      <c r="AK38" s="919">
        <f t="shared" si="19"/>
        <v>1.7674091096580418</v>
      </c>
      <c r="AL38" s="919">
        <f t="shared" si="20"/>
        <v>958.8194419894877</v>
      </c>
      <c r="AM38" s="73" t="str">
        <f t="shared" si="21"/>
        <v>PASS</v>
      </c>
      <c r="AN38" s="908" t="str">
        <f t="shared" si="0"/>
        <v/>
      </c>
      <c r="AO38" s="919">
        <f t="shared" si="1"/>
        <v>100</v>
      </c>
      <c r="AP38" s="919">
        <f t="shared" si="2"/>
        <v>110425.24762861781</v>
      </c>
      <c r="AQ38" s="919"/>
      <c r="AR38" s="919" cm="1">
        <f t="array" ref="AR38">IFERROR(_xlfn.LET(_xlpm.lam,TEXT(B38,"0"),_xlpm.thick,D38,_xlpm.crit,(TEXT(HELPER!$BZ$2:$BZ$250,"0")=_xlpm.lam)*(HELPER!$CC$2:$CC$250=_xlpm.thick)*(HELPER!$BW$2:$BW$250&lt;&gt;""),_xlpm.mats,TRIM(SUBSTITUTE(_xlfn._xlws.FILTER(HELPER!$BW$2:$BW$250,_xlpm.crit),CHAR(160),"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")),HELPER!$AQ$2:$AQ$20,1),_xlpm.mass,IF(ISNUMBER(SEARCH("paper",_xlpm.mats)),42,_xlpm.dens*_xlpm.ths),E38/1000000*SUM(_xlpm.mass)),"")</f>
        <v>4.52795E-2</v>
      </c>
      <c r="AS38" s="919">
        <f>IFERROR(IF(D38&gt;31,(5%+250/P38)*AF38,VLOOKUP(D38,HELPER!$BH$3:$BI$5,2,TRUE)*AF38),0)</f>
        <v>0.32350559421220532</v>
      </c>
      <c r="AT38" s="919">
        <v>0.15000000000000199</v>
      </c>
      <c r="AU38" s="919"/>
      <c r="AV38" s="919"/>
      <c r="AW38" s="919"/>
      <c r="AX38" s="919"/>
      <c r="AY38" s="919"/>
      <c r="AZ38" s="919">
        <f t="shared" si="3"/>
        <v>1680</v>
      </c>
    </row>
    <row r="39" spans="1:52">
      <c r="A39" s="73" t="s">
        <v>1460</v>
      </c>
      <c r="B39" s="73">
        <v>608</v>
      </c>
      <c r="C39" s="908" t="s">
        <v>1424</v>
      </c>
      <c r="D39" s="915" cm="1">
        <f t="array" ref="D3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9" s="915">
        <v>900</v>
      </c>
      <c r="F39" s="73" t="s">
        <v>560</v>
      </c>
      <c r="G39" s="916">
        <v>25000</v>
      </c>
      <c r="H39" s="916">
        <v>25000</v>
      </c>
      <c r="I39" s="916"/>
      <c r="J39" s="916"/>
      <c r="K39" s="73" t="s">
        <v>123</v>
      </c>
      <c r="L39" s="921" t="s">
        <v>592</v>
      </c>
      <c r="M39" s="915">
        <v>8</v>
      </c>
      <c r="N39" s="73" t="s">
        <v>550</v>
      </c>
      <c r="O39" s="73" t="s">
        <v>250</v>
      </c>
      <c r="P39" s="916" cm="1">
        <f t="array" ref="P39">IFERROR(_xlfn.SWITCH(F39,"By Weight",IF(H39&lt;&gt;"",H39,G39)/AR39,"By Length",G39,"By Imp",G39/MAX(1,ROUNDDOWN(E39/I39,0))*J39/1000,"IMP",G39/MAX(1,ROUNDDOWN(E39/I39,0))*J39/1000,""),"")</f>
        <v>214715.75927786797</v>
      </c>
      <c r="Q39" s="916">
        <f t="shared" si="4"/>
        <v>25000</v>
      </c>
      <c r="R39" s="917">
        <f t="shared" si="5"/>
        <v>373006.64729929209</v>
      </c>
      <c r="S39" s="918">
        <f t="shared" si="6"/>
        <v>432687.7108671788</v>
      </c>
      <c r="T39" s="919">
        <f t="shared" si="7"/>
        <v>14.920265891971683</v>
      </c>
      <c r="U39" s="920">
        <f t="shared" si="8"/>
        <v>17.307508434687151</v>
      </c>
      <c r="V39" s="919">
        <f t="shared" si="9"/>
        <v>2.0437780218822716</v>
      </c>
      <c r="W39" s="919">
        <f t="shared" si="10"/>
        <v>17.55325399055484</v>
      </c>
      <c r="X39" s="919" t="str">
        <f t="shared" si="11"/>
        <v/>
      </c>
      <c r="Y39" s="920">
        <f t="shared" si="12"/>
        <v>2.3707825053834348</v>
      </c>
      <c r="Z39" s="920">
        <f t="shared" si="13"/>
        <v>20.361774629043612</v>
      </c>
      <c r="AA39" s="920" t="str">
        <f t="shared" si="14"/>
        <v/>
      </c>
      <c r="AB39" s="917">
        <f t="shared" si="15"/>
        <v>438831.349763871</v>
      </c>
      <c r="AC39" s="918">
        <f t="shared" si="16"/>
        <v>509044.36572609033</v>
      </c>
      <c r="AD39" s="916">
        <f t="shared" si="17"/>
        <v>6441.4727783360395</v>
      </c>
      <c r="AE39" s="916">
        <f t="shared" si="18"/>
        <v>750</v>
      </c>
      <c r="AF39" s="919" cm="1">
        <f t="array" ref="AF39">IFERROR(_xlfn.LET(_xlpm.lam,TEXT(B39,"0"),_xlpm.thick,D39,_xlpm.crit,(TEXT(HELPER!$BZ$2:$BZ$250,"0")=_xlpm.lam)*(HELPER!$CC$2:$CC$250=_xlpm.thick)*(HELPER!$BW$2:$BW$250&lt;&gt;""),_xlpm.mats,TRIM(SUBSTITUTE(_xlfn._xlws.FILTER(HELPER!$BW$2:$BW$250,_xlpm.crit),CHAR(160),"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9" s="919">
        <f>IFERROR(IF(N39="Europe to Canada",IF(Q39&lt;1000,VLOOKUP(1000,HELPER!$AG$4:$AH$8,2,FALSE)/Q39,VLOOKUP(Q39,HELPER!$AG$4:$AH$8,2,TRUE)/Q39),IF(N39="Europe to US",HELPER!$AH$2,IF(N39="Europe to Europe",HELPER!$AH$3,0))),0)</f>
        <v>5.4</v>
      </c>
      <c r="AH39" s="919" cm="1">
        <f t="array" ref="AH39">IFERROR(_xlfn.LET(_xlpm.cap,IF(O39="Quantum",760,1220),_xlpm.wUsed,E39*MAX(1,MIN(MAX(2,INT(900/E39)),INT((_xlpm.cap-50)/E39))),_xlpm.kgmUsed,AR39/E39*_xlpm.wUsed,_xlpm.lam,TEXT(B39,"0"),_xlpm.crit,(TEXT(HELPER!$BZ$2:$BZ$250,"0")=_xlpm.lam)*(HELPER!$CC$2:$CC$250=D39)*(HELPER!$BW$2:$BW$250&lt;&gt;""),_xlpm.mats,_xlfn._xlws.FILTER(HELPER!$BW$2:$BW$250,_xlpm.crit),_xlpm.realLayers,SUM((_xlpm.mats&lt;&gt;"")*ISERROR(SEARCH("EPOTAL",_xlpm.mats&amp;""))*ISERROR(SEARCH("BASONAT",_xlpm.mats&amp;""))*ISERROR(SEARCH("ADH",_xlpm.mats&amp;""))*ISERROR(SEARCH("HARDENER",_xlpm.mats&amp;""))),_xlpm.steps,MAX(0,_xlpm.realLayers-1),_xlpm.tier,IF(P39&lt;3000,1,IF(P39&lt;10000,2,IF(P39&lt;25000,3,IF(P39&lt;50000,4,IF(P39&lt;100000,5,IF(P39&lt;250000,6,7)))))),_xlpm.widthRow,IF(_xlpm.wUsed&lt;900,0,5),_xlpm.supplierRow,IF(O39="Marma",3,IF(OR(O39="Bastin",O39="Quantum"),13,0)),_xlpm.rate,INDEX('Lmntn &amp; Prntng- Marma &amp; Bastin '!$D$1:$K$22,_xlpm.supplierRow+_xlpm.widthRow,_xlpm.tier),_xlpm.rate*_xlpm.steps/_xlpm.kgmUsed),"")</f>
        <v>1.442374584525006</v>
      </c>
      <c r="AI39" s="919" cm="1">
        <f t="array" ref="AI39">IFERROR(_xlfn.LET(_xlpm.cap,IF(O39="Quantum",760,1220),_xlpm.wUsed,E39*MAX(1,MIN(MAX(2,INT(900/E39)),INT((_xlpm.cap-50)/E39))),_xlpm.kgmUsed,AR39/E39*_xlpm.wUsed,_xlpm.tier,IF(P39&lt;3000,1,IF(P39&lt;10000,2,IF(P39&lt;25000,3,IF(P39&lt;50000,4,IF(P39&lt;100000,5,IF(P39&lt;250000,6,IF(P39&lt;500000,7,8))))))),_xlpm.widthRow,IF(_xlpm.wUsed&lt;900,0,5),_xlpm.slitRow,IF(O39="Marma",7,IF(OR(O39="Bastin",O39="Quantum"),17,0)),_xlpm.slitRate,INDEX('Lmntn &amp; Prntng- Marma &amp; Bastin '!$D$1:$K$22,_xlpm.slitRow+_xlpm.widthRow,_xlpm.tier),_xlpm.numColors,IF(ISNUMBER(L39),L39,IFERROR(--RIGHT(L39,LEN(L39)-FIND("-",L39)),0)),_xlpm.printRate,IF(OR(K39&lt;&gt;"Printed",_xlpm.numColors=0),0,IF(O39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39))),MAX(_xlfn._xlws.FILTER(_xlpm.meters,(_xlpm.widths=_xlpm.qWidth)*(_xlpm.bands=_xlpm.band)))),INDEX(_xlpm.rates,_xlfn.XMATCH(1,(_xlpm.widths=_xlpm.qWidth)*(_xlpm.bands=_xlpm.band)*(_xlpm.meters=_xlpm.targetM),0))/HELPER!$AK$2),_xlfn.LET(_xlpm.colorOffset,IF(_xlpm.numColors&lt;=2,1,IF(_xlpm.numColors&lt;=4,2,3)),_xlpm.supplierRow,IF(O39="Marma",3,IF(O39="Bastin",13,0)),INDEX('Lmntn &amp; Prntng- Marma &amp; Bastin '!$D$1:$K$22,_xlpm.supplierRow+_xlpm.widthRow+_xlpm.colorOffset,_xlpm.tier)))),AH39+_xlpm.slitRate/_xlpm.kgmUsed+_xlpm.printRate/_xlpm.kgmUsed+AJ39),"")</f>
        <v>3.0137278570953701</v>
      </c>
      <c r="AJ39" s="919" cm="1">
        <f t="array" ref="AJ39">IF(OR(K39&lt;&gt;"Printed",L39=0,L39="0",L39=""),0,IFERROR(_xlfn.LET(_xlpm.lam,TEXT(B39,"0"),_xlpm.crit,(TEXT(HELPER!$BZ$2:$BZ$250,"0")=_xlpm.lam)*(HELPER!$CC$2:$CC$250=D39)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WHITE"},0)))/ROWS(_xlpm.real),_xlpm.numColors,IF(ISNUMBER(L39),L39,IFERROR(--RIGHT(L39,LEN(L39)-FIND("-",L39)),0)),HELPER!$DB$1*_xlpm.numColors*MAX(1,M39)*1.05*_xlpm.nkRatio/Q39),0))</f>
        <v>0.26879999999999998</v>
      </c>
      <c r="AK39" s="919">
        <f t="shared" si="19"/>
        <v>1.4650738508116643</v>
      </c>
      <c r="AL39" s="919">
        <f t="shared" si="20"/>
        <v>2043.7780218822716</v>
      </c>
      <c r="AM39" s="73" t="str">
        <f t="shared" si="21"/>
        <v>PASS</v>
      </c>
      <c r="AN39" s="908" t="str">
        <f t="shared" si="0"/>
        <v/>
      </c>
      <c r="AO39" s="919">
        <f t="shared" si="1"/>
        <v>100</v>
      </c>
      <c r="AP39" s="919">
        <f t="shared" si="2"/>
        <v>214715.75927786797</v>
      </c>
      <c r="AQ39" s="919"/>
      <c r="AR39" s="919" cm="1">
        <f t="array" ref="AR39">IFERROR(_xlfn.LET(_xlpm.lam,TEXT(B39,"0"),_xlpm.thick,D39,_xlpm.crit,(TEXT(HELPER!$BZ$2:$BZ$250,"0")=_xlpm.lam)*(HELPER!$CC$2:$CC$250=_xlpm.thick)*(HELPER!$BW$2:$BW$250&lt;&gt;""),_xlpm.mats,TRIM(SUBSTITUTE(_xlfn._xlws.FILTER(HELPER!$BW$2:$BW$250,_xlpm.crit),CHAR(160),"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")),HELPER!$AQ$2:$AQ$20,1),_xlpm.mass,IF(ISNUMBER(SEARCH("paper",_xlpm.mats)),42,_xlpm.dens*_xlpm.ths),E39/1000000*SUM(_xlpm.mass)),"")</f>
        <v>0.11643299999999999</v>
      </c>
      <c r="AS39" s="919">
        <f>IFERROR(IF(D39&gt;31,(5%+250/P39)*AF39,VLOOKUP(D39,HELPER!$BH$3:$BI$5,2,TRUE)*AF39),0)</f>
        <v>0.31669896863220531</v>
      </c>
      <c r="AT39" s="919">
        <v>0.149999999999996</v>
      </c>
      <c r="AU39" s="919"/>
      <c r="AV39" s="919"/>
      <c r="AW39" s="919"/>
      <c r="AX39" s="919"/>
      <c r="AY39" s="919"/>
      <c r="AZ39" s="919">
        <f t="shared" si="3"/>
        <v>6720</v>
      </c>
    </row>
    <row r="40" spans="1:52">
      <c r="A40" s="73" t="s">
        <v>1461</v>
      </c>
      <c r="B40" s="73">
        <v>608</v>
      </c>
      <c r="C40" s="908" t="s">
        <v>1426</v>
      </c>
      <c r="D40" s="915" cm="1">
        <f t="array" ref="D4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0" s="915">
        <v>350</v>
      </c>
      <c r="F40" s="73" t="s">
        <v>561</v>
      </c>
      <c r="G40" s="916">
        <v>2000</v>
      </c>
      <c r="H40" s="916"/>
      <c r="I40" s="916"/>
      <c r="J40" s="916"/>
      <c r="K40" s="73" t="s">
        <v>124</v>
      </c>
      <c r="L40" s="921" t="s">
        <v>221</v>
      </c>
      <c r="M40" s="915">
        <v>1</v>
      </c>
      <c r="N40" s="73" t="s">
        <v>549</v>
      </c>
      <c r="O40" s="73" t="s">
        <v>240</v>
      </c>
      <c r="P40" s="916" cm="1">
        <f t="array" ref="P40">IFERROR(_xlfn.SWITCH(F40,"By Weight",IF(H40&lt;&gt;"",H40,G40)/AR40,"By Length",G40,"By Imp",G40/MAX(1,ROUNDDOWN(E40/I40,0))*J40/1000,"IMP",G40/MAX(1,ROUNDDOWN(E40/I40,0))*J40/1000,""),"")</f>
        <v>2000</v>
      </c>
      <c r="Q40" s="916">
        <f t="shared" si="4"/>
        <v>90.558999999999997</v>
      </c>
      <c r="R40" s="917">
        <f t="shared" si="5"/>
        <v>1025.6469222999999</v>
      </c>
      <c r="S40" s="918">
        <f t="shared" si="6"/>
        <v>1189.7504298679999</v>
      </c>
      <c r="T40" s="919">
        <f t="shared" si="7"/>
        <v>11.325731537450723</v>
      </c>
      <c r="U40" s="920">
        <f t="shared" si="8"/>
        <v>13.137848583442839</v>
      </c>
      <c r="V40" s="919">
        <f t="shared" si="9"/>
        <v>0.64102932643750088</v>
      </c>
      <c r="W40" s="919">
        <f t="shared" si="10"/>
        <v>14.157164421813423</v>
      </c>
      <c r="X40" s="919" t="str">
        <f t="shared" si="11"/>
        <v/>
      </c>
      <c r="Y40" s="920">
        <f t="shared" si="12"/>
        <v>0.74359401866750097</v>
      </c>
      <c r="Z40" s="920">
        <f t="shared" si="13"/>
        <v>16.422310729303568</v>
      </c>
      <c r="AA40" s="920" t="str">
        <f t="shared" si="14"/>
        <v/>
      </c>
      <c r="AB40" s="917">
        <f t="shared" si="15"/>
        <v>1282.0586528750018</v>
      </c>
      <c r="AC40" s="918">
        <f t="shared" si="16"/>
        <v>1487.188037335002</v>
      </c>
      <c r="AD40" s="916">
        <f t="shared" si="17"/>
        <v>16563.78714429267</v>
      </c>
      <c r="AE40" s="916">
        <f t="shared" si="18"/>
        <v>750</v>
      </c>
      <c r="AF40" s="919" cm="1">
        <f t="array" ref="AF40">IFERROR(_xlfn.LET(_xlpm.lam,TEXT(B40,"0"),_xlpm.thick,D40,_xlpm.crit,(TEXT(HELPER!$BZ$2:$BZ$250,"0")=_xlpm.lam)*(HELPER!$CC$2:$CC$250=_xlpm.thick)*(HELPER!$BW$2:$BW$250&lt;&gt;""),_xlpm.mats,TRIM(SUBSTITUTE(_xlfn._xlws.FILTER(HELPER!$BW$2:$BW$250,_xlpm.crit),CHAR(160),"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0" s="919">
        <f>IFERROR(IF(N40="Europe to Canada",IF(Q40&lt;1000,VLOOKUP(1000,HELPER!$AG$4:$AH$8,2,FALSE)/Q40,VLOOKUP(Q40,HELPER!$AG$4:$AH$8,2,TRUE)/Q40),IF(N40="Europe to US",HELPER!$AH$2,IF(N40="Europe to Europe",HELPER!$AH$3,0))),0)</f>
        <v>0.2</v>
      </c>
      <c r="AH40" s="919" cm="1">
        <f t="array" ref="AH40">IFERROR(_xlfn.LET(_xlpm.cap,IF(O40="Quantum",760,1220),_xlpm.wUsed,E40*MAX(1,MIN(MAX(2,INT(900/E40)),INT((_xlpm.cap-50)/E40))),_xlpm.kgmUsed,AR40/E40*_xlpm.wUsed,_xlpm.lam,TEXT(B40,"0"),_xlpm.crit,(TEXT(HELPER!$BZ$2:$BZ$250,"0")=_xlpm.lam)*(HELPER!$CC$2:$CC$250=D40)*(HELPER!$BW$2:$BW$250&lt;&gt;""),_xlpm.mats,_xlfn._xlws.FILTER(HELPER!$BW$2:$BW$250,_xlpm.crit),_xlpm.realLayers,SUM((_xlpm.mats&lt;&gt;"")*ISERROR(SEARCH("EPOTAL",_xlpm.mats&amp;""))*ISERROR(SEARCH("BASONAT",_xlpm.mats&amp;""))*ISERROR(SEARCH("ADH",_xlpm.mats&amp;""))*ISERROR(SEARCH("HARDENER",_xlpm.mats&amp;""))),_xlpm.steps,MAX(0,_xlpm.realLayers-1),_xlpm.tier,IF(P40&lt;3000,1,IF(P40&lt;10000,2,IF(P40&lt;25000,3,IF(P40&lt;50000,4,IF(P40&lt;100000,5,IF(P40&lt;250000,6,7)))))),_xlpm.widthRow,IF(_xlpm.wUsed&lt;900,0,5),_xlpm.supplierRow,IF(O40="Marma",3,IF(OR(O40="Bastin",O40="Quantum"),13,0)),_xlpm.rate,INDEX('Lmntn &amp; Prntng- Marma &amp; Bastin '!$D$1:$K$22,_xlpm.supplierRow+_xlpm.widthRow,_xlpm.tier),_xlpm.rate*_xlpm.steps/_xlpm.kgmUsed),"")</f>
        <v>3.351384180479025</v>
      </c>
      <c r="AI40" s="919" cm="1">
        <f t="array" ref="AI40">IFERROR(_xlfn.LET(_xlpm.cap,IF(O40="Quantum",760,1220),_xlpm.wUsed,E40*MAX(1,MIN(MAX(2,INT(900/E40)),INT((_xlpm.cap-50)/E40))),_xlpm.kgmUsed,AR40/E40*_xlpm.wUsed,_xlpm.tier,IF(P40&lt;3000,1,IF(P40&lt;10000,2,IF(P40&lt;25000,3,IF(P40&lt;50000,4,IF(P40&lt;100000,5,IF(P40&lt;250000,6,IF(P40&lt;500000,7,8))))))),_xlpm.widthRow,IF(_xlpm.wUsed&lt;900,0,5),_xlpm.slitRow,IF(O40="Marma",7,IF(OR(O40="Bastin",O40="Quantum"),17,0)),_xlpm.slitRate,INDEX('Lmntn &amp; Prntng- Marma &amp; Bastin '!$D$1:$K$22,_xlpm.slitRow+_xlpm.widthRow,_xlpm.tier),_xlpm.numColors,IF(ISNUMBER(L40),L40,IFERROR(--RIGHT(L40,LEN(L40)-FIND("-",L40)),0)),_xlpm.printRate,IF(OR(K40&lt;&gt;"Printed",_xlpm.numColors=0),0,IF(O40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40))),MAX(_xlfn._xlws.FILTER(_xlpm.meters,(_xlpm.widths=_xlpm.qWidth)*(_xlpm.bands=_xlpm.band)))),INDEX(_xlpm.rates,_xlfn.XMATCH(1,(_xlpm.widths=_xlpm.qWidth)*(_xlpm.bands=_xlpm.band)*(_xlpm.meters=_xlpm.targetM),0))/HELPER!$AK$2),_xlfn.LET(_xlpm.colorOffset,IF(_xlpm.numColors&lt;=2,1,IF(_xlpm.numColors&lt;=4,2,3)),_xlpm.supplierRow,IF(O40="Marma",3,IF(O40="Bastin",13,0)),INDEX('Lmntn &amp; Prntng- Marma &amp; Bastin '!$D$1:$K$22,_xlpm.supplierRow+_xlpm.widthRow+_xlpm.colorOffset,_xlpm.tier)))),AH40+_xlpm.slitRate/_xlpm.kgmUsed+_xlpm.printRate/_xlpm.kgmUsed+AJ40),"")</f>
        <v>3.8526706346138986</v>
      </c>
      <c r="AJ40" s="919" cm="1">
        <f t="array" ref="AJ40">IF(OR(K40&lt;&gt;"Printed",L40=0,L40="0",L40=""),0,IFERROR(_xlfn.LET(_xlpm.lam,TEXT(B40,"0"),_xlpm.crit,(TEXT(HELPER!$BZ$2:$BZ$250,"0")=_xlpm.lam)*(HELPER!$CC$2:$CC$250=D40)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WHITE"},0)))/ROWS(_xlpm.real),_xlpm.numColors,IF(ISNUMBER(L40),L40,IFERROR(--RIGHT(L40,LEN(L40)-FIND("-",L40)),0)),HELPER!$DB$1*_xlpm.numColors*MAX(1,M40)*1.05*_xlpm.nkRatio/Q40),0))</f>
        <v>0</v>
      </c>
      <c r="AK40" s="919">
        <f t="shared" si="19"/>
        <v>1.1816208782258082</v>
      </c>
      <c r="AL40" s="919">
        <f t="shared" si="20"/>
        <v>641.02932643750091</v>
      </c>
      <c r="AM40" s="73" t="str">
        <f t="shared" si="21"/>
        <v>PASS</v>
      </c>
      <c r="AN40" s="908" t="str">
        <f t="shared" si="0"/>
        <v/>
      </c>
      <c r="AO40" s="919">
        <f t="shared" si="1"/>
        <v>100</v>
      </c>
      <c r="AP40" s="919">
        <f t="shared" si="2"/>
        <v>2000</v>
      </c>
      <c r="AQ40" s="919"/>
      <c r="AR40" s="919" cm="1">
        <f t="array" ref="AR40">IFERROR(_xlfn.LET(_xlpm.lam,TEXT(B40,"0"),_xlpm.thick,D40,_xlpm.crit,(TEXT(HELPER!$BZ$2:$BZ$250,"0")=_xlpm.lam)*(HELPER!$CC$2:$CC$250=_xlpm.thick)*(HELPER!$BW$2:$BW$250&lt;&gt;""),_xlpm.mats,TRIM(SUBSTITUTE(_xlfn._xlws.FILTER(HELPER!$BW$2:$BW$250,_xlpm.crit),CHAR(160),"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")),HELPER!$AQ$2:$AQ$20,1),_xlpm.mass,IF(ISNUMBER(SEARCH("paper",_xlpm.mats)),42,_xlpm.dens*_xlpm.ths),E40/1000000*SUM(_xlpm.mass)),"")</f>
        <v>4.52795E-2</v>
      </c>
      <c r="AS40" s="919">
        <f>IFERROR(IF(D40&gt;31,(5%+250/P40)*AF40,VLOOKUP(D40,HELPER!$BH$3:$BI$5,2,TRUE)*AF40),0)</f>
        <v>1.0832218365927184</v>
      </c>
      <c r="AT40" s="919">
        <v>0.20000000000000101</v>
      </c>
      <c r="AU40" s="919"/>
      <c r="AV40" s="919"/>
      <c r="AW40" s="919"/>
      <c r="AX40" s="919"/>
      <c r="AY40" s="919"/>
      <c r="AZ40" s="919">
        <f t="shared" si="3"/>
        <v>0</v>
      </c>
    </row>
    <row r="41" spans="1:52">
      <c r="A41" s="73" t="s">
        <v>1462</v>
      </c>
      <c r="B41" s="73">
        <v>608</v>
      </c>
      <c r="C41" s="908" t="s">
        <v>1428</v>
      </c>
      <c r="D41" s="915" cm="1">
        <f t="array" ref="D4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1" s="915">
        <v>600</v>
      </c>
      <c r="F41" s="73" t="s">
        <v>561</v>
      </c>
      <c r="G41" s="916">
        <v>250000</v>
      </c>
      <c r="H41" s="916"/>
      <c r="I41" s="916"/>
      <c r="J41" s="916"/>
      <c r="K41" s="73" t="s">
        <v>123</v>
      </c>
      <c r="L41" s="921" t="s">
        <v>122</v>
      </c>
      <c r="M41" s="915">
        <v>4</v>
      </c>
      <c r="N41" s="73" t="s">
        <v>550</v>
      </c>
      <c r="O41" s="73" t="s">
        <v>1366</v>
      </c>
      <c r="P41" s="916" cm="1">
        <f t="array" ref="P41">IFERROR(_xlfn.SWITCH(F41,"By Weight",IF(H41&lt;&gt;"",H41,G41)/AR41,"By Length",G41,"By Imp",G41/MAX(1,ROUNDDOWN(E41/I41,0))*J41/1000,"IMP",G41/MAX(1,ROUNDDOWN(E41/I41,0))*J41/1000,""),"")</f>
        <v>250000</v>
      </c>
      <c r="Q41" s="916">
        <f t="shared" si="4"/>
        <v>19405.5</v>
      </c>
      <c r="R41" s="917">
        <f t="shared" si="5"/>
        <v>480225.44709096546</v>
      </c>
      <c r="S41" s="918">
        <f t="shared" si="6"/>
        <v>557061.51862551994</v>
      </c>
      <c r="T41" s="919">
        <f t="shared" si="7"/>
        <v>24.746873159205663</v>
      </c>
      <c r="U41" s="920">
        <f t="shared" si="8"/>
        <v>28.706372864678567</v>
      </c>
      <c r="V41" s="919">
        <f t="shared" si="9"/>
        <v>2.2598844568986638</v>
      </c>
      <c r="W41" s="919">
        <f t="shared" si="10"/>
        <v>29.113968422594933</v>
      </c>
      <c r="X41" s="919" t="str">
        <f t="shared" si="11"/>
        <v/>
      </c>
      <c r="Y41" s="920">
        <f t="shared" si="12"/>
        <v>2.6214659700024496</v>
      </c>
      <c r="Z41" s="920">
        <f t="shared" si="13"/>
        <v>33.772203370210121</v>
      </c>
      <c r="AA41" s="920" t="str">
        <f t="shared" si="14"/>
        <v/>
      </c>
      <c r="AB41" s="917">
        <f t="shared" si="15"/>
        <v>564971.11422466603</v>
      </c>
      <c r="AC41" s="918">
        <f t="shared" si="16"/>
        <v>655366.49250061251</v>
      </c>
      <c r="AD41" s="916">
        <f t="shared" si="17"/>
        <v>9662.2091675040592</v>
      </c>
      <c r="AE41" s="916">
        <f t="shared" si="18"/>
        <v>750</v>
      </c>
      <c r="AF41" s="919" cm="1">
        <f t="array" ref="AF41">IFERROR(_xlfn.LET(_xlpm.lam,TEXT(B41,"0"),_xlpm.thick,D41,_xlpm.crit,(TEXT(HELPER!$BZ$2:$BZ$250,"0")=_xlpm.lam)*(HELPER!$CC$2:$CC$250=_xlpm.thick)*(HELPER!$BW$2:$BW$250&lt;&gt;""),_xlpm.mats,TRIM(SUBSTITUTE(_xlfn._xlws.FILTER(HELPER!$BW$2:$BW$250,_xlpm.crit),CHAR(160),"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1" s="919">
        <f>IFERROR(IF(N41="Europe to Canada",IF(Q41&lt;1000,VLOOKUP(1000,HELPER!$AG$4:$AH$8,2,FALSE)/Q41,VLOOKUP(Q41,HELPER!$AG$4:$AH$8,2,TRUE)/Q41),IF(N41="Europe to US",HELPER!$AH$2,IF(N41="Europe to Europe",HELPER!$AH$3,0))),0)</f>
        <v>5.4</v>
      </c>
      <c r="AH41" s="919" cm="1">
        <f t="array" ref="AH41">IFERROR(_xlfn.LET(_xlpm.cap,IF(O41="Quantum",760,1220),_xlpm.wUsed,E41*MAX(1,MIN(MAX(2,INT(900/E41)),INT((_xlpm.cap-50)/E41))),_xlpm.kgmUsed,AR41/E41*_xlpm.wUsed,_xlpm.lam,TEXT(B41,"0"),_xlpm.crit,(TEXT(HELPER!$BZ$2:$BZ$250,"0")=_xlpm.lam)*(HELPER!$CC$2:$CC$250=D41)*(HELPER!$BW$2:$BW$250&lt;&gt;""),_xlpm.mats,_xlfn._xlws.FILTER(HELPER!$BW$2:$BW$250,_xlpm.crit),_xlpm.realLayers,SUM((_xlpm.mats&lt;&gt;"")*ISERROR(SEARCH("EPOTAL",_xlpm.mats&amp;""))*ISERROR(SEARCH("BASONAT",_xlpm.mats&amp;""))*ISERROR(SEARCH("ADH",_xlpm.mats&amp;""))*ISERROR(SEARCH("HARDENER",_xlpm.mats&amp;""))),_xlpm.steps,MAX(0,_xlpm.realLayers-1),_xlpm.tier,IF(P41&lt;3000,1,IF(P41&lt;10000,2,IF(P41&lt;25000,3,IF(P41&lt;50000,4,IF(P41&lt;100000,5,IF(P41&lt;250000,6,7)))))),_xlpm.widthRow,IF(_xlpm.wUsed&lt;900,0,5),_xlpm.supplierRow,IF(O41="Marma",3,IF(OR(O41="Bastin",O41="Quantum"),13,0)),_xlpm.rate,INDEX('Lmntn &amp; Prntng- Marma &amp; Bastin '!$D$1:$K$22,_xlpm.supplierRow+_xlpm.widthRow,_xlpm.tier),_xlpm.rate*_xlpm.steps/_xlpm.kgmUsed),"")</f>
        <v>2.7955476540156141</v>
      </c>
      <c r="AI41" s="919" cm="1">
        <f t="array" ref="AI41">IFERROR(_xlfn.LET(_xlpm.cap,IF(O41="Quantum",760,1220),_xlpm.wUsed,E41*MAX(1,MIN(MAX(2,INT(900/E41)),INT((_xlpm.cap-50)/E41))),_xlpm.kgmUsed,AR41/E41*_xlpm.wUsed,_xlpm.tier,IF(P41&lt;3000,1,IF(P41&lt;10000,2,IF(P41&lt;25000,3,IF(P41&lt;50000,4,IF(P41&lt;100000,5,IF(P41&lt;250000,6,IF(P41&lt;500000,7,8))))))),_xlpm.widthRow,IF(_xlpm.wUsed&lt;900,0,5),_xlpm.slitRow,IF(O41="Marma",7,IF(OR(O41="Bastin",O41="Quantum"),17,0)),_xlpm.slitRate,INDEX('Lmntn &amp; Prntng- Marma &amp; Bastin '!$D$1:$K$22,_xlpm.slitRow+_xlpm.widthRow,_xlpm.tier),_xlpm.numColors,IF(ISNUMBER(L41),L41,IFERROR(--RIGHT(L41,LEN(L41)-FIND("-",L41)),0)),_xlpm.printRate,IF(OR(K41&lt;&gt;"Printed",_xlpm.numColors=0),0,IF(O41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41))),MAX(_xlfn._xlws.FILTER(_xlpm.meters,(_xlpm.widths=_xlpm.qWidth)*(_xlpm.bands=_xlpm.band)))),INDEX(_xlpm.rates,_xlfn.XMATCH(1,(_xlpm.widths=_xlpm.qWidth)*(_xlpm.bands=_xlpm.band)*(_xlpm.meters=_xlpm.targetM),0))/HELPER!$AK$2),_xlfn.LET(_xlpm.colorOffset,IF(_xlpm.numColors&lt;=2,1,IF(_xlpm.numColors&lt;=4,2,3)),_xlpm.supplierRow,IF(O41="Marma",3,IF(O41="Bastin",13,0)),INDEX('Lmntn &amp; Prntng- Marma &amp; Bastin '!$D$1:$K$22,_xlpm.supplierRow+_xlpm.widthRow+_xlpm.colorOffset,_xlpm.tier)))),AH41+_xlpm.slitRate/_xlpm.kgmUsed+_xlpm.printRate/_xlpm.kgmUsed+AJ41),"")</f>
        <v>12.841352300583109</v>
      </c>
      <c r="AJ41" s="919" cm="1">
        <f t="array" ref="AJ41">IF(OR(K41&lt;&gt;"Printed",L41=0,L41="0",L41=""),0,IFERROR(_xlfn.LET(_xlpm.lam,TEXT(B41,"0"),_xlpm.crit,(TEXT(HELPER!$BZ$2:$BZ$250,"0")=_xlpm.lam)*(HELPER!$CC$2:$CC$250=D41)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WHITE"},0)))/ROWS(_xlpm.real),_xlpm.numColors,IF(ISNUMBER(L41),L41,IFERROR(--RIGHT(L41,LEN(L41)-FIND("-",L41)),0)),HELPER!$DB$1*_xlpm.numColors*MAX(1,M41)*1.05*_xlpm.nkRatio/Q41),0))</f>
        <v>8.6573394140836354E-2</v>
      </c>
      <c r="AK41" s="919">
        <f t="shared" si="19"/>
        <v>2.4299832869878109</v>
      </c>
      <c r="AL41" s="919">
        <f t="shared" si="20"/>
        <v>2259.8844568986638</v>
      </c>
      <c r="AM41" s="73" t="str">
        <f t="shared" si="21"/>
        <v>PASS</v>
      </c>
      <c r="AN41" s="908" t="str">
        <f t="shared" si="0"/>
        <v/>
      </c>
      <c r="AO41" s="919">
        <f t="shared" si="1"/>
        <v>100</v>
      </c>
      <c r="AP41" s="919">
        <f t="shared" si="2"/>
        <v>250000</v>
      </c>
      <c r="AQ41" s="919"/>
      <c r="AR41" s="919" cm="1">
        <f t="array" ref="AR41">IFERROR(_xlfn.LET(_xlpm.lam,TEXT(B41,"0"),_xlpm.thick,D41,_xlpm.crit,(TEXT(HELPER!$BZ$2:$BZ$250,"0")=_xlpm.lam)*(HELPER!$CC$2:$CC$250=_xlpm.thick)*(HELPER!$BW$2:$BW$250&lt;&gt;""),_xlpm.mats,TRIM(SUBSTITUTE(_xlfn._xlws.FILTER(HELPER!$BW$2:$BW$250,_xlpm.crit),CHAR(160),"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")),HELPER!$AQ$2:$AQ$20,1),_xlpm.mass,IF(ISNUMBER(SEARCH("paper",_xlpm.mats)),42,_xlpm.dens*_xlpm.ths),E41/1000000*SUM(_xlpm.mass)),"")</f>
        <v>7.7621999999999997E-2</v>
      </c>
      <c r="AS41" s="919">
        <f>IFERROR(IF(D41&gt;31,(5%+250/P41)*AF41,VLOOKUP(D41,HELPER!$BH$3:$BI$5,2,TRUE)*AF41),0)</f>
        <v>0.31568179237844946</v>
      </c>
      <c r="AT41" s="919">
        <v>0.15000000000000099</v>
      </c>
      <c r="AU41" s="919"/>
      <c r="AV41" s="919"/>
      <c r="AW41" s="919"/>
      <c r="AX41" s="919"/>
      <c r="AY41" s="919"/>
      <c r="AZ41" s="919">
        <f t="shared" si="3"/>
        <v>1679.9999999999998</v>
      </c>
    </row>
    <row r="42" spans="1:52">
      <c r="A42" s="73" t="s">
        <v>1463</v>
      </c>
      <c r="B42" s="73">
        <v>608</v>
      </c>
      <c r="C42" s="908" t="s">
        <v>1430</v>
      </c>
      <c r="D42" s="915" cm="1">
        <f t="array" ref="D4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2" s="915">
        <v>900</v>
      </c>
      <c r="F42" s="73" t="s">
        <v>1040</v>
      </c>
      <c r="G42" s="916">
        <v>1600000</v>
      </c>
      <c r="H42" s="916"/>
      <c r="I42" s="916">
        <v>140</v>
      </c>
      <c r="J42" s="916">
        <v>80</v>
      </c>
      <c r="K42" s="73" t="s">
        <v>123</v>
      </c>
      <c r="L42" s="921" t="s">
        <v>592</v>
      </c>
      <c r="M42" s="915">
        <v>8</v>
      </c>
      <c r="N42" s="73" t="s">
        <v>549</v>
      </c>
      <c r="O42" s="73" t="s">
        <v>250</v>
      </c>
      <c r="P42" s="916" cm="1">
        <f t="array" ref="P42">IFERROR(_xlfn.SWITCH(F42,"By Weight",IF(H42&lt;&gt;"",H42,G42)/AR42,"By Length",G42,"By Imp",G42/MAX(1,ROUNDDOWN(E42/I42,0))*J42/1000,"IMP",G42/MAX(1,ROUNDDOWN(E42/I42,0))*J42/1000,""),"")</f>
        <v>21333.333333333336</v>
      </c>
      <c r="Q42" s="916">
        <f t="shared" si="4"/>
        <v>2483.904</v>
      </c>
      <c r="R42" s="917">
        <f t="shared" si="5"/>
        <v>31597.207783750619</v>
      </c>
      <c r="S42" s="918">
        <f t="shared" si="6"/>
        <v>36652.761029150715</v>
      </c>
      <c r="T42" s="919">
        <f t="shared" si="7"/>
        <v>12.720784613153576</v>
      </c>
      <c r="U42" s="920">
        <f t="shared" si="8"/>
        <v>14.756110151258147</v>
      </c>
      <c r="V42" s="919">
        <f t="shared" si="9"/>
        <v>1.7424930763097748</v>
      </c>
      <c r="W42" s="919">
        <f t="shared" si="10"/>
        <v>14.965628956651249</v>
      </c>
      <c r="X42" s="919">
        <f t="shared" si="11"/>
        <v>2.3233241017463668E-2</v>
      </c>
      <c r="Y42" s="920">
        <f t="shared" si="12"/>
        <v>2.0212919685193387</v>
      </c>
      <c r="Z42" s="920">
        <f t="shared" si="13"/>
        <v>17.360129589715449</v>
      </c>
      <c r="AA42" s="920">
        <f t="shared" si="14"/>
        <v>2.6950559580257851E-2</v>
      </c>
      <c r="AB42" s="917">
        <f t="shared" si="15"/>
        <v>37173.185627941864</v>
      </c>
      <c r="AC42" s="918">
        <f t="shared" si="16"/>
        <v>43120.89532841256</v>
      </c>
      <c r="AD42" s="916">
        <f t="shared" si="17"/>
        <v>6441.4727783360395</v>
      </c>
      <c r="AE42" s="916">
        <f t="shared" si="18"/>
        <v>750</v>
      </c>
      <c r="AF42" s="919" cm="1">
        <f t="array" ref="AF42">IFERROR(_xlfn.LET(_xlpm.lam,TEXT(B42,"0"),_xlpm.thick,D42,_xlpm.crit,(TEXT(HELPER!$BZ$2:$BZ$250,"0")=_xlpm.lam)*(HELPER!$CC$2:$CC$250=_xlpm.thick)*(HELPER!$BW$2:$BW$250&lt;&gt;""),_xlpm.mats,TRIM(SUBSTITUTE(_xlfn._xlws.FILTER(HELPER!$BW$2:$BW$250,_xlpm.crit),CHAR(160),"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2" s="919">
        <f>IFERROR(IF(N42="Europe to Canada",IF(Q42&lt;1000,VLOOKUP(1000,HELPER!$AG$4:$AH$8,2,FALSE)/Q42,VLOOKUP(Q42,HELPER!$AG$4:$AH$8,2,TRUE)/Q42),IF(N42="Europe to US",HELPER!$AH$2,IF(N42="Europe to Europe",HELPER!$AH$3,0))),0)</f>
        <v>0.2</v>
      </c>
      <c r="AH42" s="919" cm="1">
        <f t="array" ref="AH42">IFERROR(_xlfn.LET(_xlpm.cap,IF(O42="Quantum",760,1220),_xlpm.wUsed,E42*MAX(1,MIN(MAX(2,INT(900/E42)),INT((_xlpm.cap-50)/E42))),_xlpm.kgmUsed,AR42/E42*_xlpm.wUsed,_xlpm.lam,TEXT(B42,"0"),_xlpm.crit,(TEXT(HELPER!$BZ$2:$BZ$250,"0")=_xlpm.lam)*(HELPER!$CC$2:$CC$250=D42)*(HELPER!$BW$2:$BW$250&lt;&gt;""),_xlpm.mats,_xlfn._xlws.FILTER(HELPER!$BW$2:$BW$250,_xlpm.crit),_xlpm.realLayers,SUM((_xlpm.mats&lt;&gt;"")*ISERROR(SEARCH("EPOTAL",_xlpm.mats&amp;""))*ISERROR(SEARCH("BASONAT",_xlpm.mats&amp;""))*ISERROR(SEARCH("ADH",_xlpm.mats&amp;""))*ISERROR(SEARCH("HARDENER",_xlpm.mats&amp;""))),_xlpm.steps,MAX(0,_xlpm.realLayers-1),_xlpm.tier,IF(P42&lt;3000,1,IF(P42&lt;10000,2,IF(P42&lt;25000,3,IF(P42&lt;50000,4,IF(P42&lt;100000,5,IF(P42&lt;250000,6,7)))))),_xlpm.widthRow,IF(_xlpm.wUsed&lt;900,0,5),_xlpm.supplierRow,IF(O42="Marma",3,IF(OR(O42="Bastin",O42="Quantum"),13,0)),_xlpm.rate,INDEX('Lmntn &amp; Prntng- Marma &amp; Bastin '!$D$1:$K$22,_xlpm.supplierRow+_xlpm.widthRow,_xlpm.tier),_xlpm.rate*_xlpm.steps/_xlpm.kgmUsed),"")</f>
        <v>1.5722346757362604</v>
      </c>
      <c r="AI42" s="919" cm="1">
        <f t="array" ref="AI42">IFERROR(_xlfn.LET(_xlpm.cap,IF(O42="Quantum",760,1220),_xlpm.wUsed,E42*MAX(1,MIN(MAX(2,INT(900/E42)),INT((_xlpm.cap-50)/E42))),_xlpm.kgmUsed,AR42/E42*_xlpm.wUsed,_xlpm.tier,IF(P42&lt;3000,1,IF(P42&lt;10000,2,IF(P42&lt;25000,3,IF(P42&lt;50000,4,IF(P42&lt;100000,5,IF(P42&lt;250000,6,IF(P42&lt;500000,7,8))))))),_xlpm.widthRow,IF(_xlpm.wUsed&lt;900,0,5),_xlpm.slitRow,IF(O42="Marma",7,IF(OR(O42="Bastin",O42="Quantum"),17,0)),_xlpm.slitRate,INDEX('Lmntn &amp; Prntng- Marma &amp; Bastin '!$D$1:$K$22,_xlpm.slitRow+_xlpm.widthRow,_xlpm.tier),_xlpm.numColors,IF(ISNUMBER(L42),L42,IFERROR(--RIGHT(L42,LEN(L42)-FIND("-",L42)),0)),_xlpm.printRate,IF(OR(K42&lt;&gt;"Printed",_xlpm.numColors=0),0,IF(O42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42))),MAX(_xlfn._xlws.FILTER(_xlpm.meters,(_xlpm.widths=_xlpm.qWidth)*(_xlpm.bands=_xlpm.band)))),INDEX(_xlpm.rates,_xlfn.XMATCH(1,(_xlpm.widths=_xlpm.qWidth)*(_xlpm.bands=_xlpm.band)*(_xlpm.meters=_xlpm.targetM),0))/HELPER!$AK$2),_xlfn.LET(_xlpm.colorOffset,IF(_xlpm.numColors&lt;=2,1,IF(_xlpm.numColors&lt;=4,2,3)),_xlpm.supplierRow,IF(O42="Marma",3,IF(O42="Bastin",13,0)),INDEX('Lmntn &amp; Prntng- Marma &amp; Bastin '!$D$1:$K$22,_xlpm.supplierRow+_xlpm.widthRow+_xlpm.colorOffset,_xlpm.tier)))),AH42+_xlpm.slitRate/_xlpm.kgmUsed+_xlpm.printRate/_xlpm.kgmUsed+AJ42),"")</f>
        <v>5.9489164170397153</v>
      </c>
      <c r="AJ42" s="919" cm="1">
        <f t="array" ref="AJ42">IF(OR(K42&lt;&gt;"Printed",L42=0,L42="0",L42=""),0,IFERROR(_xlfn.LET(_xlpm.lam,TEXT(B42,"0"),_xlpm.crit,(TEXT(HELPER!$BZ$2:$BZ$250,"0")=_xlpm.lam)*(HELPER!$CC$2:$CC$250=D42)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WHITE"},0)))/ROWS(_xlpm.real),_xlpm.numColors,IF(ISNUMBER(L42),L42,IFERROR(--RIGHT(L42,LEN(L42)-FIND("-",L42)),0)),HELPER!$DB$1*_xlpm.numColors*MAX(1,M42)*1.05*_xlpm.nkRatio/Q42),0))</f>
        <v>2.7054185669011361</v>
      </c>
      <c r="AK42" s="919">
        <f t="shared" si="19"/>
        <v>1.2490989794335303</v>
      </c>
      <c r="AL42" s="919">
        <f t="shared" si="20"/>
        <v>1742.4930763097748</v>
      </c>
      <c r="AM42" s="73" t="str">
        <f t="shared" si="21"/>
        <v>PASS</v>
      </c>
      <c r="AN42" s="908" t="str">
        <f t="shared" si="0"/>
        <v/>
      </c>
      <c r="AO42" s="919">
        <f t="shared" si="1"/>
        <v>100</v>
      </c>
      <c r="AP42" s="919">
        <f t="shared" si="2"/>
        <v>21333.333333333336</v>
      </c>
      <c r="AQ42" s="919"/>
      <c r="AR42" s="919" cm="1">
        <f t="array" ref="AR42">IFERROR(_xlfn.LET(_xlpm.lam,TEXT(B42,"0"),_xlpm.thick,D42,_xlpm.crit,(TEXT(HELPER!$BZ$2:$BZ$250,"0")=_xlpm.lam)*(HELPER!$CC$2:$CC$250=_xlpm.thick)*(HELPER!$BW$2:$BW$250&lt;&gt;""),_xlpm.mats,TRIM(SUBSTITUTE(_xlfn._xlws.FILTER(HELPER!$BW$2:$BW$250,_xlpm.crit),CHAR(160),"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")),HELPER!$AQ$2:$AQ$20,1),_xlpm.mass,IF(ISNUMBER(SEARCH("paper",_xlpm.mats)),42,_xlpm.dens*_xlpm.ths),E42/1000000*SUM(_xlpm.mass)),"")</f>
        <v>0.11643299999999999</v>
      </c>
      <c r="AS42" s="919">
        <f>IFERROR(IF(D42&gt;31,(5%+250/P42)*AF42,VLOOKUP(D42,HELPER!$BH$3:$BI$5,2,TRUE)*AF42),0)</f>
        <v>0.38202912986975346</v>
      </c>
      <c r="AT42" s="919">
        <v>0.149999999999999</v>
      </c>
      <c r="AU42" s="919"/>
      <c r="AV42" s="919"/>
      <c r="AW42" s="919"/>
      <c r="AX42" s="919"/>
      <c r="AY42" s="919"/>
      <c r="AZ42" s="919">
        <f t="shared" si="3"/>
        <v>6720</v>
      </c>
    </row>
    <row r="43" spans="1:52">
      <c r="A43" s="73" t="s">
        <v>1464</v>
      </c>
      <c r="B43" s="73">
        <v>608</v>
      </c>
      <c r="C43" s="908" t="s">
        <v>1432</v>
      </c>
      <c r="D43" s="915" cm="1">
        <f t="array" ref="D4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3" s="915">
        <v>250</v>
      </c>
      <c r="F43" s="73" t="s">
        <v>560</v>
      </c>
      <c r="G43" s="916">
        <v>500</v>
      </c>
      <c r="H43" s="916">
        <v>500</v>
      </c>
      <c r="I43" s="916"/>
      <c r="J43" s="916"/>
      <c r="K43" s="73" t="s">
        <v>124</v>
      </c>
      <c r="L43" s="921" t="s">
        <v>221</v>
      </c>
      <c r="M43" s="915">
        <v>1</v>
      </c>
      <c r="N43" s="73" t="s">
        <v>550</v>
      </c>
      <c r="O43" s="73" t="s">
        <v>240</v>
      </c>
      <c r="P43" s="916" cm="1">
        <f t="array" ref="P43">IFERROR(_xlfn.SWITCH(F43,"By Weight",IF(H43&lt;&gt;"",H43,G43)/AR43,"By Length",G43,"By Imp",G43/MAX(1,ROUNDDOWN(E43/I43,0))*J43/1000,"IMP",G43/MAX(1,ROUNDDOWN(E43/I43,0))*J43/1000,""),"")</f>
        <v>15459.534668006492</v>
      </c>
      <c r="Q43" s="916">
        <f t="shared" si="4"/>
        <v>500</v>
      </c>
      <c r="R43" s="917">
        <f t="shared" si="5"/>
        <v>7399.6987677434881</v>
      </c>
      <c r="S43" s="918">
        <f t="shared" si="6"/>
        <v>8583.6505705824457</v>
      </c>
      <c r="T43" s="919">
        <f t="shared" si="7"/>
        <v>14.799397535486976</v>
      </c>
      <c r="U43" s="920">
        <f t="shared" si="8"/>
        <v>17.167301141164891</v>
      </c>
      <c r="V43" s="919">
        <f t="shared" si="9"/>
        <v>0.59831189348935787</v>
      </c>
      <c r="W43" s="919">
        <f t="shared" si="10"/>
        <v>18.499246919358672</v>
      </c>
      <c r="X43" s="919" t="str">
        <f t="shared" si="11"/>
        <v/>
      </c>
      <c r="Y43" s="920">
        <f t="shared" si="12"/>
        <v>0.69404179644765507</v>
      </c>
      <c r="Z43" s="920">
        <f t="shared" si="13"/>
        <v>21.459126426456059</v>
      </c>
      <c r="AA43" s="920" t="str">
        <f t="shared" si="14"/>
        <v/>
      </c>
      <c r="AB43" s="917">
        <f t="shared" si="15"/>
        <v>9249.6234596793365</v>
      </c>
      <c r="AC43" s="918">
        <f t="shared" si="16"/>
        <v>10729.56321322803</v>
      </c>
      <c r="AD43" s="916">
        <f t="shared" si="17"/>
        <v>23189.302002009736</v>
      </c>
      <c r="AE43" s="916">
        <f t="shared" si="18"/>
        <v>750</v>
      </c>
      <c r="AF43" s="919" cm="1">
        <f t="array" ref="AF43">IFERROR(_xlfn.LET(_xlpm.lam,TEXT(B43,"0"),_xlpm.thick,D43,_xlpm.crit,(TEXT(HELPER!$BZ$2:$BZ$250,"0")=_xlpm.lam)*(HELPER!$CC$2:$CC$250=_xlpm.thick)*(HELPER!$BW$2:$BW$250&lt;&gt;""),_xlpm.mats,TRIM(SUBSTITUTE(_xlfn._xlws.FILTER(HELPER!$BW$2:$BW$250,_xlpm.crit),CHAR(160),"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3" s="919">
        <f>IFERROR(IF(N43="Europe to Canada",IF(Q43&lt;1000,VLOOKUP(1000,HELPER!$AG$4:$AH$8,2,FALSE)/Q43,VLOOKUP(Q43,HELPER!$AG$4:$AH$8,2,TRUE)/Q43),IF(N43="Europe to US",HELPER!$AH$2,IF(N43="Europe to Europe",HELPER!$AH$3,0))),0)</f>
        <v>5.4</v>
      </c>
      <c r="AH43" s="919" cm="1">
        <f t="array" ref="AH43">IFERROR(_xlfn.LET(_xlpm.cap,IF(O43="Quantum",760,1220),_xlpm.wUsed,E43*MAX(1,MIN(MAX(2,INT(900/E43)),INT((_xlpm.cap-50)/E43))),_xlpm.kgmUsed,AR43/E43*_xlpm.wUsed,_xlpm.lam,TEXT(B43,"0"),_xlpm.crit,(TEXT(HELPER!$BZ$2:$BZ$250,"0")=_xlpm.lam)*(HELPER!$CC$2:$CC$250=D43)*(HELPER!$BW$2:$BW$250&lt;&gt;""),_xlpm.mats,_xlfn._xlws.FILTER(HELPER!$BW$2:$BW$250,_xlpm.crit),_xlpm.realLayers,SUM((_xlpm.mats&lt;&gt;"")*ISERROR(SEARCH("EPOTAL",_xlpm.mats&amp;""))*ISERROR(SEARCH("BASONAT",_xlpm.mats&amp;""))*ISERROR(SEARCH("ADH",_xlpm.mats&amp;""))*ISERROR(SEARCH("HARDENER",_xlpm.mats&amp;""))),_xlpm.steps,MAX(0,_xlpm.realLayers-1),_xlpm.tier,IF(P43&lt;3000,1,IF(P43&lt;10000,2,IF(P43&lt;25000,3,IF(P43&lt;50000,4,IF(P43&lt;100000,5,IF(P43&lt;250000,6,7)))))),_xlpm.widthRow,IF(_xlpm.wUsed&lt;900,0,5),_xlpm.supplierRow,IF(O43="Marma",3,IF(OR(O43="Bastin",O43="Quantum"),13,0)),_xlpm.rate,INDEX('Lmntn &amp; Prntng- Marma &amp; Bastin '!$D$1:$K$22,_xlpm.supplierRow+_xlpm.widthRow,_xlpm.tier),_xlpm.rate*_xlpm.steps/_xlpm.kgmUsed),"")</f>
        <v>2.4526860941485658</v>
      </c>
      <c r="AI43" s="919" cm="1">
        <f t="array" ref="AI43">IFERROR(_xlfn.LET(_xlpm.cap,IF(O43="Quantum",760,1220),_xlpm.wUsed,E43*MAX(1,MIN(MAX(2,INT(900/E43)),INT((_xlpm.cap-50)/E43))),_xlpm.kgmUsed,AR43/E43*_xlpm.wUsed,_xlpm.tier,IF(P43&lt;3000,1,IF(P43&lt;10000,2,IF(P43&lt;25000,3,IF(P43&lt;50000,4,IF(P43&lt;100000,5,IF(P43&lt;250000,6,IF(P43&lt;500000,7,8))))))),_xlpm.widthRow,IF(_xlpm.wUsed&lt;900,0,5),_xlpm.slitRow,IF(O43="Marma",7,IF(OR(O43="Bastin",O43="Quantum"),17,0)),_xlpm.slitRate,INDEX('Lmntn &amp; Prntng- Marma &amp; Bastin '!$D$1:$K$22,_xlpm.slitRow+_xlpm.widthRow,_xlpm.tier),_xlpm.numColors,IF(ISNUMBER(L43),L43,IFERROR(--RIGHT(L43,LEN(L43)-FIND("-",L43)),0)),_xlpm.printRate,IF(OR(K43&lt;&gt;"Printed",_xlpm.numColors=0),0,IF(O43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43))),MAX(_xlfn._xlws.FILTER(_xlpm.meters,(_xlpm.widths=_xlpm.qWidth)*(_xlpm.bands=_xlpm.band)))),INDEX(_xlpm.rates,_xlfn.XMATCH(1,(_xlpm.widths=_xlpm.qWidth)*(_xlpm.bands=_xlpm.band)*(_xlpm.meters=_xlpm.targetM),0))/HELPER!$AK$2),_xlfn.LET(_xlpm.colorOffset,IF(_xlpm.numColors&lt;=2,1,IF(_xlpm.numColors&lt;=4,2,3)),_xlpm.supplierRow,IF(O43="Marma",3,IF(O43="Bastin",13,0)),INDEX('Lmntn &amp; Prntng- Marma &amp; Bastin '!$D$1:$K$22,_xlpm.supplierRow+_xlpm.widthRow+_xlpm.colorOffset,_xlpm.tier)))),AH43+_xlpm.slitRate/_xlpm.kgmUsed+_xlpm.printRate/_xlpm.kgmUsed+AJ43),"")</f>
        <v>2.7999690809306634</v>
      </c>
      <c r="AJ43" s="919" cm="1">
        <f t="array" ref="AJ43">IF(OR(K43&lt;&gt;"Printed",L43=0,L43="0",L43=""),0,IFERROR(_xlfn.LET(_xlpm.lam,TEXT(B43,"0"),_xlpm.crit,(TEXT(HELPER!$BZ$2:$BZ$250,"0")=_xlpm.lam)*(HELPER!$CC$2:$CC$250=D43)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WHITE"},0)))/ROWS(_xlpm.real),_xlpm.numColors,IF(ISNUMBER(L43),L43,IFERROR(--RIGHT(L43,LEN(L43)-FIND("-",L43)),0)),HELPER!$DB$1*_xlpm.numColors*MAX(1,M43)*1.05*_xlpm.nkRatio/Q43),0))</f>
        <v>0</v>
      </c>
      <c r="AK43" s="919">
        <f t="shared" si="19"/>
        <v>1.5440306928757621</v>
      </c>
      <c r="AL43" s="919">
        <f t="shared" si="20"/>
        <v>598.31189348935789</v>
      </c>
      <c r="AM43" s="73" t="str">
        <f t="shared" si="21"/>
        <v>PASS</v>
      </c>
      <c r="AN43" s="908" t="str">
        <f t="shared" si="0"/>
        <v/>
      </c>
      <c r="AO43" s="919">
        <f t="shared" si="1"/>
        <v>100</v>
      </c>
      <c r="AP43" s="919">
        <f t="shared" si="2"/>
        <v>15459.534668006492</v>
      </c>
      <c r="AQ43" s="919"/>
      <c r="AR43" s="919" cm="1">
        <f t="array" ref="AR43">IFERROR(_xlfn.LET(_xlpm.lam,TEXT(B43,"0"),_xlpm.thick,D43,_xlpm.crit,(TEXT(HELPER!$BZ$2:$BZ$250,"0")=_xlpm.lam)*(HELPER!$CC$2:$CC$250=_xlpm.thick)*(HELPER!$BW$2:$BW$250&lt;&gt;""),_xlpm.mats,TRIM(SUBSTITUTE(_xlfn._xlws.FILTER(HELPER!$BW$2:$BW$250,_xlpm.crit),CHAR(160),"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")),HELPER!$AQ$2:$AQ$20,1),_xlpm.mass,IF(ISNUMBER(SEARCH("paper",_xlpm.mats)),42,_xlpm.dens*_xlpm.ths),E43/1000000*SUM(_xlpm.mass)),"")</f>
        <v>3.2342500000000003E-2</v>
      </c>
      <c r="AS43" s="919">
        <f>IFERROR(IF(D43&gt;31,(5%+250/P43)*AF43,VLOOKUP(D43,HELPER!$BH$3:$BI$5,2,TRUE)*AF43),0)</f>
        <v>0.40958938831220532</v>
      </c>
      <c r="AT43" s="919">
        <v>0.19999999999999801</v>
      </c>
      <c r="AU43" s="919"/>
      <c r="AV43" s="919"/>
      <c r="AW43" s="919"/>
      <c r="AX43" s="919"/>
      <c r="AY43" s="919"/>
      <c r="AZ43" s="919">
        <f t="shared" si="3"/>
        <v>0</v>
      </c>
    </row>
    <row r="44" spans="1:52">
      <c r="A44" s="73" t="s">
        <v>1465</v>
      </c>
      <c r="B44" s="73">
        <v>608</v>
      </c>
      <c r="C44" s="908" t="s">
        <v>1434</v>
      </c>
      <c r="D44" s="915" cm="1">
        <f t="array" ref="D4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4" s="915">
        <v>600</v>
      </c>
      <c r="F44" s="73" t="s">
        <v>1040</v>
      </c>
      <c r="G44" s="916">
        <v>100000</v>
      </c>
      <c r="H44" s="916"/>
      <c r="I44" s="916">
        <v>300</v>
      </c>
      <c r="J44" s="916">
        <v>200</v>
      </c>
      <c r="K44" s="73" t="s">
        <v>123</v>
      </c>
      <c r="L44" s="921" t="s">
        <v>122</v>
      </c>
      <c r="M44" s="915">
        <v>4</v>
      </c>
      <c r="N44" s="73" t="s">
        <v>549</v>
      </c>
      <c r="O44" s="73" t="s">
        <v>1366</v>
      </c>
      <c r="P44" s="916" cm="1">
        <f t="array" ref="P44">IFERROR(_xlfn.SWITCH(F44,"By Weight",IF(H44&lt;&gt;"",H44,G44)/AR44,"By Length",G44,"By Imp",G44/MAX(1,ROUNDDOWN(E44/I44,0))*J44/1000,"IMP",G44/MAX(1,ROUNDDOWN(E44/I44,0))*J44/1000,""),"")</f>
        <v>10000</v>
      </c>
      <c r="Q44" s="916">
        <f t="shared" si="4"/>
        <v>776.21999999999991</v>
      </c>
      <c r="R44" s="917">
        <f t="shared" si="5"/>
        <v>19113.56337013793</v>
      </c>
      <c r="S44" s="918">
        <f t="shared" si="6"/>
        <v>22171.733509359998</v>
      </c>
      <c r="T44" s="919">
        <f t="shared" si="7"/>
        <v>24.623899629148866</v>
      </c>
      <c r="U44" s="920">
        <f t="shared" si="8"/>
        <v>28.563723569812684</v>
      </c>
      <c r="V44" s="919">
        <f t="shared" si="9"/>
        <v>2.2486545141338796</v>
      </c>
      <c r="W44" s="919">
        <f t="shared" si="10"/>
        <v>28.969293681351676</v>
      </c>
      <c r="X44" s="919">
        <f t="shared" si="11"/>
        <v>0.22486545141338798</v>
      </c>
      <c r="Y44" s="920">
        <f t="shared" si="12"/>
        <v>2.6084392363953004</v>
      </c>
      <c r="Z44" s="920">
        <f t="shared" si="13"/>
        <v>33.604380670367945</v>
      </c>
      <c r="AA44" s="920">
        <f t="shared" si="14"/>
        <v>0.26084392363953002</v>
      </c>
      <c r="AB44" s="917">
        <f t="shared" si="15"/>
        <v>22486.545141338796</v>
      </c>
      <c r="AC44" s="918">
        <f t="shared" si="16"/>
        <v>26084.392363953</v>
      </c>
      <c r="AD44" s="916">
        <f t="shared" si="17"/>
        <v>9662.2091675040592</v>
      </c>
      <c r="AE44" s="916">
        <f t="shared" si="18"/>
        <v>750</v>
      </c>
      <c r="AF44" s="919" cm="1">
        <f t="array" ref="AF44">IFERROR(_xlfn.LET(_xlpm.lam,TEXT(B44,"0"),_xlpm.thick,D44,_xlpm.crit,(TEXT(HELPER!$BZ$2:$BZ$250,"0")=_xlpm.lam)*(HELPER!$CC$2:$CC$250=_xlpm.thick)*(HELPER!$BW$2:$BW$250&lt;&gt;""),_xlpm.mats,TRIM(SUBSTITUTE(_xlfn._xlws.FILTER(HELPER!$BW$2:$BW$250,_xlpm.crit),CHAR(160),"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4" s="919">
        <f>IFERROR(IF(N44="Europe to Canada",IF(Q44&lt;1000,VLOOKUP(1000,HELPER!$AG$4:$AH$8,2,FALSE)/Q44,VLOOKUP(Q44,HELPER!$AG$4:$AH$8,2,TRUE)/Q44),IF(N44="Europe to US",HELPER!$AH$2,IF(N44="Europe to Europe",HELPER!$AH$3,0))),0)</f>
        <v>0.2</v>
      </c>
      <c r="AH44" s="919" cm="1">
        <f t="array" ref="AH44">IFERROR(_xlfn.LET(_xlpm.cap,IF(O44="Quantum",760,1220),_xlpm.wUsed,E44*MAX(1,MIN(MAX(2,INT(900/E44)),INT((_xlpm.cap-50)/E44))),_xlpm.kgmUsed,AR44/E44*_xlpm.wUsed,_xlpm.lam,TEXT(B44,"0"),_xlpm.crit,(TEXT(HELPER!$BZ$2:$BZ$250,"0")=_xlpm.lam)*(HELPER!$CC$2:$CC$250=D44)*(HELPER!$BW$2:$BW$250&lt;&gt;""),_xlpm.mats,_xlfn._xlws.FILTER(HELPER!$BW$2:$BW$250,_xlpm.crit),_xlpm.realLayers,SUM((_xlpm.mats&lt;&gt;"")*ISERROR(SEARCH("EPOTAL",_xlpm.mats&amp;""))*ISERROR(SEARCH("BASONAT",_xlpm.mats&amp;""))*ISERROR(SEARCH("ADH",_xlpm.mats&amp;""))*ISERROR(SEARCH("HARDENER",_xlpm.mats&amp;""))),_xlpm.steps,MAX(0,_xlpm.realLayers-1),_xlpm.tier,IF(P44&lt;3000,1,IF(P44&lt;10000,2,IF(P44&lt;25000,3,IF(P44&lt;50000,4,IF(P44&lt;100000,5,IF(P44&lt;250000,6,7)))))),_xlpm.widthRow,IF(_xlpm.wUsed&lt;900,0,5),_xlpm.supplierRow,IF(O44="Marma",3,IF(OR(O44="Bastin",O44="Quantum"),13,0)),_xlpm.rate,INDEX('Lmntn &amp; Prntng- Marma &amp; Bastin '!$D$1:$K$22,_xlpm.supplierRow+_xlpm.widthRow,_xlpm.tier),_xlpm.rate*_xlpm.steps/_xlpm.kgmUsed),"")</f>
        <v>3.0658576176857077</v>
      </c>
      <c r="AI44" s="919" cm="1">
        <f t="array" ref="AI44">IFERROR(_xlfn.LET(_xlpm.cap,IF(O44="Quantum",760,1220),_xlpm.wUsed,E44*MAX(1,MIN(MAX(2,INT(900/E44)),INT((_xlpm.cap-50)/E44))),_xlpm.kgmUsed,AR44/E44*_xlpm.wUsed,_xlpm.tier,IF(P44&lt;3000,1,IF(P44&lt;10000,2,IF(P44&lt;25000,3,IF(P44&lt;50000,4,IF(P44&lt;100000,5,IF(P44&lt;250000,6,IF(P44&lt;500000,7,8))))))),_xlpm.widthRow,IF(_xlpm.wUsed&lt;900,0,5),_xlpm.slitRow,IF(O44="Marma",7,IF(OR(O44="Bastin",O44="Quantum"),17,0)),_xlpm.slitRate,INDEX('Lmntn &amp; Prntng- Marma &amp; Bastin '!$D$1:$K$22,_xlpm.slitRow+_xlpm.widthRow,_xlpm.tier),_xlpm.numColors,IF(ISNUMBER(L44),L44,IFERROR(--RIGHT(L44,LEN(L44)-FIND("-",L44)),0)),_xlpm.printRate,IF(OR(K44&lt;&gt;"Printed",_xlpm.numColors=0),0,IF(O44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44))),MAX(_xlfn._xlws.FILTER(_xlpm.meters,(_xlpm.widths=_xlpm.qWidth)*(_xlpm.bands=_xlpm.band)))),INDEX(_xlpm.rates,_xlfn.XMATCH(1,(_xlpm.widths=_xlpm.qWidth)*(_xlpm.bands=_xlpm.band)*(_xlpm.meters=_xlpm.targetM),0))/HELPER!$AK$2),_xlfn.LET(_xlpm.colorOffset,IF(_xlpm.numColors&lt;=2,1,IF(_xlpm.numColors&lt;=4,2,3)),_xlpm.supplierRow,IF(O44="Marma",3,IF(O44="Bastin",13,0)),INDEX('Lmntn &amp; Prntng- Marma &amp; Bastin '!$D$1:$K$22,_xlpm.supplierRow+_xlpm.widthRow+_xlpm.colorOffset,_xlpm.tier)))),AH44+_xlpm.slitRate/_xlpm.kgmUsed+_xlpm.printRate/_xlpm.kgmUsed+AJ44),"")</f>
        <v>17.769822632936449</v>
      </c>
      <c r="AJ44" s="919" cm="1">
        <f t="array" ref="AJ44">IF(OR(K44&lt;&gt;"Printed",L44=0,L44="0",L44=""),0,IFERROR(_xlfn.LET(_xlpm.lam,TEXT(B44,"0"),_xlpm.crit,(TEXT(HELPER!$BZ$2:$BZ$250,"0")=_xlpm.lam)*(HELPER!$CC$2:$CC$250=D44)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WHITE"},0)))/ROWS(_xlpm.real),_xlpm.numColors,IF(ISNUMBER(L44),L44,IFERROR(--RIGHT(L44,LEN(L44)-FIND("-",L44)),0)),HELPER!$DB$1*_xlpm.numColors*MAX(1,M44)*1.05*_xlpm.nkRatio/Q44),0))</f>
        <v>2.1643348535209093</v>
      </c>
      <c r="AK44" s="919">
        <f t="shared" si="19"/>
        <v>2.417908079713849</v>
      </c>
      <c r="AL44" s="919">
        <f t="shared" si="20"/>
        <v>2248.6545141338797</v>
      </c>
      <c r="AM44" s="73" t="str">
        <f t="shared" si="21"/>
        <v>PASS</v>
      </c>
      <c r="AN44" s="908" t="str">
        <f t="shared" si="0"/>
        <v/>
      </c>
      <c r="AO44" s="919">
        <f t="shared" si="1"/>
        <v>100</v>
      </c>
      <c r="AP44" s="919">
        <f t="shared" si="2"/>
        <v>10000</v>
      </c>
      <c r="AQ44" s="919"/>
      <c r="AR44" s="919" cm="1">
        <f t="array" ref="AR44">IFERROR(_xlfn.LET(_xlpm.lam,TEXT(B44,"0"),_xlpm.thick,D44,_xlpm.crit,(TEXT(HELPER!$BZ$2:$BZ$250,"0")=_xlpm.lam)*(HELPER!$CC$2:$CC$250=_xlpm.thick)*(HELPER!$BW$2:$BW$250&lt;&gt;""),_xlpm.mats,TRIM(SUBSTITUTE(_xlfn._xlws.FILTER(HELPER!$BW$2:$BW$250,_xlpm.crit),CHAR(160),"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")),HELPER!$AQ$2:$AQ$20,1),_xlpm.mass,IF(ISNUMBER(SEARCH("paper",_xlpm.mats)),42,_xlpm.dens*_xlpm.ths),E44/1000000*SUM(_xlpm.mass)),"")</f>
        <v>7.7621999999999997E-2</v>
      </c>
      <c r="AS44" s="919">
        <f>IFERROR(IF(D44&gt;31,(5%+250/P44)*AF44,VLOOKUP(D44,HELPER!$BH$3:$BI$5,2,TRUE)*AF44),0)</f>
        <v>0.46423792996830804</v>
      </c>
      <c r="AT44" s="919">
        <v>0.15000000000000199</v>
      </c>
      <c r="AU44" s="919"/>
      <c r="AV44" s="919"/>
      <c r="AW44" s="919"/>
      <c r="AX44" s="919"/>
      <c r="AY44" s="919"/>
      <c r="AZ44" s="919">
        <f t="shared" si="3"/>
        <v>1680</v>
      </c>
    </row>
    <row r="45" spans="1:52">
      <c r="A45" s="73" t="s">
        <v>1466</v>
      </c>
      <c r="B45" s="73">
        <v>608</v>
      </c>
      <c r="C45" s="908" t="s">
        <v>1436</v>
      </c>
      <c r="D45" s="915" cm="1">
        <f t="array" ref="D4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5" s="915">
        <v>450</v>
      </c>
      <c r="F45" s="73" t="s">
        <v>560</v>
      </c>
      <c r="G45" s="916">
        <v>500</v>
      </c>
      <c r="H45" s="916">
        <v>500</v>
      </c>
      <c r="I45" s="916"/>
      <c r="J45" s="916"/>
      <c r="K45" s="73" t="s">
        <v>123</v>
      </c>
      <c r="L45" s="921" t="s">
        <v>591</v>
      </c>
      <c r="M45" s="915">
        <v>2</v>
      </c>
      <c r="N45" s="73" t="s">
        <v>549</v>
      </c>
      <c r="O45" s="73" t="s">
        <v>1366</v>
      </c>
      <c r="P45" s="916" cm="1">
        <f t="array" ref="P45">IFERROR(_xlfn.SWITCH(F45,"By Weight",IF(H45&lt;&gt;"",H45,G45)/AR45,"By Length",G45,"By Imp",G45/MAX(1,ROUNDDOWN(E45/I45,0))*J45/1000,"IMP",G45/MAX(1,ROUNDDOWN(E45/I45,0))*J45/1000,""),"")</f>
        <v>8588.6303711147193</v>
      </c>
      <c r="Q45" s="916">
        <f t="shared" si="4"/>
        <v>500.00000000000006</v>
      </c>
      <c r="R45" s="917">
        <f t="shared" si="5"/>
        <v>13336.340150646998</v>
      </c>
      <c r="S45" s="918">
        <f t="shared" si="6"/>
        <v>15470.154574750517</v>
      </c>
      <c r="T45" s="919">
        <f t="shared" si="7"/>
        <v>26.672680301293994</v>
      </c>
      <c r="U45" s="920">
        <f t="shared" si="8"/>
        <v>30.940309149501029</v>
      </c>
      <c r="V45" s="919">
        <f t="shared" si="9"/>
        <v>1.8268118738356214</v>
      </c>
      <c r="W45" s="919">
        <f t="shared" si="10"/>
        <v>31.379623883875215</v>
      </c>
      <c r="X45" s="919" t="str">
        <f t="shared" si="11"/>
        <v/>
      </c>
      <c r="Y45" s="920">
        <f t="shared" si="12"/>
        <v>2.1191017736493207</v>
      </c>
      <c r="Z45" s="920">
        <f t="shared" si="13"/>
        <v>36.400363705295248</v>
      </c>
      <c r="AA45" s="920" t="str">
        <f t="shared" si="14"/>
        <v/>
      </c>
      <c r="AB45" s="917">
        <f t="shared" si="15"/>
        <v>15689.811941937609</v>
      </c>
      <c r="AC45" s="918">
        <f t="shared" si="16"/>
        <v>18200.181852647624</v>
      </c>
      <c r="AD45" s="916">
        <f t="shared" si="17"/>
        <v>12882.945556672079</v>
      </c>
      <c r="AE45" s="916">
        <f t="shared" si="18"/>
        <v>750</v>
      </c>
      <c r="AF45" s="919" cm="1">
        <f t="array" ref="AF45">IFERROR(_xlfn.LET(_xlpm.lam,TEXT(B45,"0"),_xlpm.thick,D45,_xlpm.crit,(TEXT(HELPER!$BZ$2:$BZ$250,"0")=_xlpm.lam)*(HELPER!$CC$2:$CC$250=_xlpm.thick)*(HELPER!$BW$2:$BW$250&lt;&gt;""),_xlpm.mats,TRIM(SUBSTITUTE(_xlfn._xlws.FILTER(HELPER!$BW$2:$BW$250,_xlpm.crit),CHAR(160),"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5" s="919">
        <f>IFERROR(IF(N45="Europe to Canada",IF(Q45&lt;1000,VLOOKUP(1000,HELPER!$AG$4:$AH$8,2,FALSE)/Q45,VLOOKUP(Q45,HELPER!$AG$4:$AH$8,2,TRUE)/Q45),IF(N45="Europe to US",HELPER!$AH$2,IF(N45="Europe to Europe",HELPER!$AH$3,0))),0)</f>
        <v>0.2</v>
      </c>
      <c r="AH45" s="919" cm="1">
        <f t="array" ref="AH45">IFERROR(_xlfn.LET(_xlpm.cap,IF(O45="Quantum",760,1220),_xlpm.wUsed,E45*MAX(1,MIN(MAX(2,INT(900/E45)),INT((_xlpm.cap-50)/E45))),_xlpm.kgmUsed,AR45/E45*_xlpm.wUsed,_xlpm.lam,TEXT(B45,"0"),_xlpm.crit,(TEXT(HELPER!$BZ$2:$BZ$250,"0")=_xlpm.lam)*(HELPER!$CC$2:$CC$250=D45)*(HELPER!$BW$2:$BW$250&lt;&gt;""),_xlpm.mats,_xlfn._xlws.FILTER(HELPER!$BW$2:$BW$250,_xlpm.crit),_xlpm.realLayers,SUM((_xlpm.mats&lt;&gt;"")*ISERROR(SEARCH("EPOTAL",_xlpm.mats&amp;""))*ISERROR(SEARCH("BASONAT",_xlpm.mats&amp;""))*ISERROR(SEARCH("ADH",_xlpm.mats&amp;""))*ISERROR(SEARCH("HARDENER",_xlpm.mats&amp;""))),_xlpm.steps,MAX(0,_xlpm.realLayers-1),_xlpm.tier,IF(P45&lt;3000,1,IF(P45&lt;10000,2,IF(P45&lt;25000,3,IF(P45&lt;50000,4,IF(P45&lt;100000,5,IF(P45&lt;250000,6,7)))))),_xlpm.widthRow,IF(_xlpm.wUsed&lt;900,0,5),_xlpm.supplierRow,IF(O45="Marma",3,IF(OR(O45="Bastin",O45="Quantum"),13,0)),_xlpm.rate,INDEX('Lmntn &amp; Prntng- Marma &amp; Bastin '!$D$1:$K$22,_xlpm.supplierRow+_xlpm.widthRow,_xlpm.tier),_xlpm.rate*_xlpm.steps/_xlpm.kgmUsed),"")</f>
        <v>4.6505372188297143</v>
      </c>
      <c r="AI45" s="919" cm="1">
        <f t="array" ref="AI45">IFERROR(_xlfn.LET(_xlpm.cap,IF(O45="Quantum",760,1220),_xlpm.wUsed,E45*MAX(1,MIN(MAX(2,INT(900/E45)),INT((_xlpm.cap-50)/E45))),_xlpm.kgmUsed,AR45/E45*_xlpm.wUsed,_xlpm.tier,IF(P45&lt;3000,1,IF(P45&lt;10000,2,IF(P45&lt;25000,3,IF(P45&lt;50000,4,IF(P45&lt;100000,5,IF(P45&lt;250000,6,IF(P45&lt;500000,7,8))))))),_xlpm.widthRow,IF(_xlpm.wUsed&lt;900,0,5),_xlpm.slitRow,IF(O45="Marma",7,IF(OR(O45="Bastin",O45="Quantum"),17,0)),_xlpm.slitRate,INDEX('Lmntn &amp; Prntng- Marma &amp; Bastin '!$D$1:$K$22,_xlpm.slitRow+_xlpm.widthRow,_xlpm.tier),_xlpm.numColors,IF(ISNUMBER(L45),L45,IFERROR(--RIGHT(L45,LEN(L45)-FIND("-",L45)),0)),_xlpm.printRate,IF(OR(K45&lt;&gt;"Printed",_xlpm.numColors=0),0,IF(O45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45))),MAX(_xlfn._xlws.FILTER(_xlpm.meters,(_xlpm.widths=_xlpm.qWidth)*(_xlpm.bands=_xlpm.band)))),INDEX(_xlpm.rates,_xlfn.XMATCH(1,(_xlpm.widths=_xlpm.qWidth)*(_xlpm.bands=_xlpm.band)*(_xlpm.meters=_xlpm.targetM),0))/HELPER!$AK$2),_xlfn.LET(_xlpm.colorOffset,IF(_xlpm.numColors&lt;=2,1,IF(_xlpm.numColors&lt;=4,2,3)),_xlpm.supplierRow,IF(O45="Marma",3,IF(O45="Bastin",13,0)),INDEX('Lmntn &amp; Prntng- Marma &amp; Bastin '!$D$1:$K$22,_xlpm.supplierRow+_xlpm.widthRow+_xlpm.colorOffset,_xlpm.tier)))),AH45+_xlpm.slitRate/_xlpm.kgmUsed+_xlpm.printRate/_xlpm.kgmUsed+AJ45),"")</f>
        <v>19.793173898737681</v>
      </c>
      <c r="AJ45" s="919" cm="1">
        <f t="array" ref="AJ45">IF(OR(K45&lt;&gt;"Printed",L45=0,L45="0",L45=""),0,IFERROR(_xlfn.LET(_xlpm.lam,TEXT(B45,"0"),_xlpm.crit,(TEXT(HELPER!$BZ$2:$BZ$250,"0")=_xlpm.lam)*(HELPER!$CC$2:$CC$250=D45)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WHITE"},0)))/ROWS(_xlpm.real),_xlpm.numColors,IF(ISNUMBER(L45),L45,IFERROR(--RIGHT(L45,LEN(L45)-FIND("-",L45)),0)),HELPER!$DB$1*_xlpm.numColors*MAX(1,M45)*1.05*_xlpm.nkRatio/Q45),0))</f>
        <v>0.83999999999999986</v>
      </c>
      <c r="AK45" s="919">
        <f t="shared" si="19"/>
        <v>2.6190851237786688</v>
      </c>
      <c r="AL45" s="919">
        <f t="shared" si="20"/>
        <v>1826.8118738356213</v>
      </c>
      <c r="AM45" s="73" t="str">
        <f t="shared" si="21"/>
        <v>PASS</v>
      </c>
      <c r="AN45" s="908" t="str">
        <f t="shared" si="0"/>
        <v/>
      </c>
      <c r="AO45" s="919">
        <f t="shared" si="1"/>
        <v>100</v>
      </c>
      <c r="AP45" s="919">
        <f t="shared" si="2"/>
        <v>8588.6303711147193</v>
      </c>
      <c r="AQ45" s="919"/>
      <c r="AR45" s="919" cm="1">
        <f t="array" ref="AR45">IFERROR(_xlfn.LET(_xlpm.lam,TEXT(B45,"0"),_xlpm.thick,D45,_xlpm.crit,(TEXT(HELPER!$BZ$2:$BZ$250,"0")=_xlpm.lam)*(HELPER!$CC$2:$CC$250=_xlpm.thick)*(HELPER!$BW$2:$BW$250&lt;&gt;""),_xlpm.mats,TRIM(SUBSTITUTE(_xlfn._xlws.FILTER(HELPER!$BW$2:$BW$250,_xlpm.crit),CHAR(160),"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")),HELPER!$AQ$2:$AQ$20,1),_xlpm.mass,IF(ISNUMBER(SEARCH("paper",_xlpm.mats)),42,_xlpm.dens*_xlpm.ths),E45/1000000*SUM(_xlpm.mass)),"")</f>
        <v>5.8216499999999997E-2</v>
      </c>
      <c r="AS45" s="919">
        <f>IFERROR(IF(D45&gt;31,(5%+250/P45)*AF45,VLOOKUP(D45,HELPER!$BH$3:$BI$5,2,TRUE)*AF45),0)</f>
        <v>0.48966733631220527</v>
      </c>
      <c r="AT45" s="919">
        <v>0.149999999999998</v>
      </c>
      <c r="AU45" s="919"/>
      <c r="AV45" s="919"/>
      <c r="AW45" s="919"/>
      <c r="AX45" s="919"/>
      <c r="AY45" s="919"/>
      <c r="AZ45" s="919">
        <f t="shared" si="3"/>
        <v>420</v>
      </c>
    </row>
    <row r="46" spans="1:52">
      <c r="A46" s="73" t="s">
        <v>1467</v>
      </c>
      <c r="B46" s="73" t="s">
        <v>567</v>
      </c>
      <c r="C46" s="908" t="s">
        <v>1418</v>
      </c>
      <c r="D46" s="915" cm="1">
        <f t="array" ref="D4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6" s="915">
        <v>120</v>
      </c>
      <c r="F46" s="73" t="s">
        <v>560</v>
      </c>
      <c r="G46" s="916">
        <v>100</v>
      </c>
      <c r="H46" s="916">
        <v>100</v>
      </c>
      <c r="I46" s="916"/>
      <c r="J46" s="916"/>
      <c r="K46" s="73" t="s">
        <v>124</v>
      </c>
      <c r="L46" s="921" t="s">
        <v>221</v>
      </c>
      <c r="M46" s="915">
        <v>1</v>
      </c>
      <c r="N46" s="73" t="s">
        <v>549</v>
      </c>
      <c r="O46" s="73" t="s">
        <v>250</v>
      </c>
      <c r="P46" s="916" cm="1">
        <f t="array" ref="P46">IFERROR(_xlfn.SWITCH(F46,"By Weight",IF(H46&lt;&gt;"",H46,G46)/AR46,"By Length",G46,"By Imp",G46/MAX(1,ROUNDDOWN(E46/I46,0))*J46/1000,"IMP",G46/MAX(1,ROUNDDOWN(E46/I46,0))*J46/1000,""),"")</f>
        <v>6441.4727783360386</v>
      </c>
      <c r="Q46" s="916">
        <f t="shared" si="4"/>
        <v>100</v>
      </c>
      <c r="R46" s="917">
        <f t="shared" si="5"/>
        <v>1037.9894003883121</v>
      </c>
      <c r="S46" s="918">
        <f t="shared" si="6"/>
        <v>1204.0677044504419</v>
      </c>
      <c r="T46" s="919">
        <f t="shared" si="7"/>
        <v>10.379894003883122</v>
      </c>
      <c r="U46" s="920">
        <f t="shared" si="8"/>
        <v>12.04067704450442</v>
      </c>
      <c r="V46" s="919">
        <f t="shared" si="9"/>
        <v>0.20142703309235443</v>
      </c>
      <c r="W46" s="919">
        <f t="shared" si="10"/>
        <v>12.974867504853934</v>
      </c>
      <c r="X46" s="919" t="str">
        <f t="shared" si="11"/>
        <v/>
      </c>
      <c r="Y46" s="920">
        <f t="shared" si="12"/>
        <v>0.23365535838713114</v>
      </c>
      <c r="Z46" s="920">
        <f t="shared" si="13"/>
        <v>15.050846305630563</v>
      </c>
      <c r="AA46" s="920" t="str">
        <f t="shared" si="14"/>
        <v/>
      </c>
      <c r="AB46" s="917">
        <f t="shared" si="15"/>
        <v>1297.4867504853935</v>
      </c>
      <c r="AC46" s="918">
        <f t="shared" si="16"/>
        <v>1505.0846305630564</v>
      </c>
      <c r="AD46" s="916">
        <f t="shared" si="17"/>
        <v>32207.363891680194</v>
      </c>
      <c r="AE46" s="916">
        <f t="shared" si="18"/>
        <v>500</v>
      </c>
      <c r="AF46" s="919" cm="1">
        <f t="array" ref="AF46">IFERROR(_xlfn.LET(_xlpm.lam,TEXT(B46,"0"),_xlpm.thick,D46,_xlpm.crit,(TEXT(HELPER!$BZ$2:$BZ$250,"0")=_xlpm.lam)*(HELPER!$CC$2:$CC$250=_xlpm.thick)*(HELPER!$BW$2:$BW$250&lt;&gt;""),_xlpm.mats,TRIM(SUBSTITUTE(_xlfn._xlws.FILTER(HELPER!$BW$2:$BW$250,_xlpm.crit),CHAR(160),"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6" s="919">
        <f>IFERROR(IF(N46="Europe to Canada",IF(Q46&lt;1000,VLOOKUP(1000,HELPER!$AG$4:$AH$8,2,FALSE)/Q46,VLOOKUP(Q46,HELPER!$AG$4:$AH$8,2,TRUE)/Q46),IF(N46="Europe to US",HELPER!$AH$2,IF(N46="Europe to Europe",HELPER!$AH$3,0))),0)</f>
        <v>0.2</v>
      </c>
      <c r="AH46" s="919" cm="1">
        <f t="array" ref="AH46">IFERROR(_xlfn.LET(_xlpm.cap,IF(O46="Quantum",760,1220),_xlpm.wUsed,E46*MAX(1,MIN(MAX(2,INT(900/E46)),INT((_xlpm.cap-50)/E46))),_xlpm.kgmUsed,AR46/E46*_xlpm.wUsed,_xlpm.lam,TEXT(B46,"0"),_xlpm.crit,(TEXT(HELPER!$BZ$2:$BZ$250,"0")=_xlpm.lam)*(HELPER!$CC$2:$CC$250=D46)*(HELPER!$BW$2:$BW$250&lt;&gt;""),_xlpm.mats,_xlfn._xlws.FILTER(HELPER!$BW$2:$BW$250,_xlpm.crit),_xlpm.realLayers,SUM((_xlpm.mats&lt;&gt;"")*ISERROR(SEARCH("EPOTAL",_xlpm.mats&amp;""))*ISERROR(SEARCH("BASONAT",_xlpm.mats&amp;""))*ISERROR(SEARCH("ADH",_xlpm.mats&amp;""))*ISERROR(SEARCH("HARDENER",_xlpm.mats&amp;""))),_xlpm.steps,MAX(0,_xlpm.realLayers-1),_xlpm.tier,IF(P46&lt;3000,1,IF(P46&lt;10000,2,IF(P46&lt;25000,3,IF(P46&lt;50000,4,IF(P46&lt;100000,5,IF(P46&lt;250000,6,7)))))),_xlpm.widthRow,IF(_xlpm.wUsed&lt;900,0,5),_xlpm.supplierRow,IF(O46="Marma",3,IF(OR(O46="Bastin",O46="Quantum"),13,0)),_xlpm.rate,INDEX('Lmntn &amp; Prntng- Marma &amp; Bastin '!$D$1:$K$22,_xlpm.supplierRow+_xlpm.widthRow,_xlpm.tier),_xlpm.rate*_xlpm.steps/_xlpm.kgmUsed),"")</f>
        <v>1.9164301725946618</v>
      </c>
      <c r="AI46" s="919" cm="1">
        <f t="array" ref="AI46">IFERROR(_xlfn.LET(_xlpm.cap,IF(O46="Quantum",760,1220),_xlpm.wUsed,E46*MAX(1,MIN(MAX(2,INT(900/E46)),INT((_xlpm.cap-50)/E46))),_xlpm.kgmUsed,AR46/E46*_xlpm.wUsed,_xlpm.tier,IF(P46&lt;3000,1,IF(P46&lt;10000,2,IF(P46&lt;25000,3,IF(P46&lt;50000,4,IF(P46&lt;100000,5,IF(P46&lt;250000,6,IF(P46&lt;500000,7,8))))))),_xlpm.widthRow,IF(_xlpm.wUsed&lt;900,0,5),_xlpm.slitRow,IF(O46="Marma",7,IF(OR(O46="Bastin",O46="Quantum"),17,0)),_xlpm.slitRate,INDEX('Lmntn &amp; Prntng- Marma &amp; Bastin '!$D$1:$K$22,_xlpm.slitRow+_xlpm.widthRow,_xlpm.tier),_xlpm.numColors,IF(ISNUMBER(L46),L46,IFERROR(--RIGHT(L46,LEN(L46)-FIND("-",L46)),0)),_xlpm.printRate,IF(OR(K46&lt;&gt;"Printed",_xlpm.numColors=0),0,IF(O46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46))),MAX(_xlfn._xlws.FILTER(_xlpm.meters,(_xlpm.widths=_xlpm.qWidth)*(_xlpm.bands=_xlpm.band)))),INDEX(_xlpm.rates,_xlfn.XMATCH(1,(_xlpm.widths=_xlpm.qWidth)*(_xlpm.bands=_xlpm.band)*(_xlpm.meters=_xlpm.targetM),0))/HELPER!$AK$2),_xlfn.LET(_xlpm.colorOffset,IF(_xlpm.numColors&lt;=2,1,IF(_xlpm.numColors&lt;=4,2,3)),_xlpm.supplierRow,IF(O46="Marma",3,IF(O46="Bastin",13,0)),INDEX('Lmntn &amp; Prntng- Marma &amp; Bastin '!$D$1:$K$22,_xlpm.supplierRow+_xlpm.widthRow+_xlpm.colorOffset,_xlpm.tier)))),AH46+_xlpm.slitRate/_xlpm.kgmUsed+_xlpm.printRate/_xlpm.kgmUsed+AJ46),"")</f>
        <v>2.196358175333208</v>
      </c>
      <c r="AJ46" s="919" cm="1">
        <f t="array" ref="AJ46">IF(OR(K46&lt;&gt;"Printed",L46=0,L46="0",L46=""),0,IFERROR(_xlfn.LET(_xlpm.lam,TEXT(B46,"0"),_xlpm.crit,(TEXT(HELPER!$BZ$2:$BZ$250,"0")=_xlpm.lam)*(HELPER!$CC$2:$CC$250=D46)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WHITE"},0)))/ROWS(_xlpm.real),_xlpm.numColors,IF(ISNUMBER(L46),L46,IFERROR(--RIGHT(L46,LEN(L46)-FIND("-",L46)),0)),HELPER!$DB$1*_xlpm.numColors*MAX(1,M46)*1.05*_xlpm.nkRatio/Q46),0))</f>
        <v>0</v>
      </c>
      <c r="AK46" s="919">
        <f t="shared" si="19"/>
        <v>1.0829410381309379</v>
      </c>
      <c r="AL46" s="919">
        <f t="shared" si="20"/>
        <v>201.42703309235443</v>
      </c>
      <c r="AM46" s="73" t="str">
        <f t="shared" si="21"/>
        <v>PASS</v>
      </c>
      <c r="AN46" s="908" t="str">
        <f t="shared" si="0"/>
        <v/>
      </c>
      <c r="AO46" s="919">
        <f t="shared" si="1"/>
        <v>100</v>
      </c>
      <c r="AP46" s="919">
        <f t="shared" si="2"/>
        <v>6441.4727783360386</v>
      </c>
      <c r="AQ46" s="919"/>
      <c r="AR46" s="919" cm="1">
        <f t="array" ref="AR46">IFERROR(_xlfn.LET(_xlpm.lam,TEXT(B46,"0"),_xlpm.thick,D46,_xlpm.crit,(TEXT(HELPER!$BZ$2:$BZ$250,"0")=_xlpm.lam)*(HELPER!$CC$2:$CC$250=_xlpm.thick)*(HELPER!$BW$2:$BW$250&lt;&gt;""),_xlpm.mats,TRIM(SUBSTITUTE(_xlfn._xlws.FILTER(HELPER!$BW$2:$BW$250,_xlpm.crit),CHAR(160),"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")),HELPER!$AQ$2:$AQ$20,1),_xlpm.mass,IF(ISNUMBER(SEARCH("paper",_xlpm.mats)),42,_xlpm.dens*_xlpm.ths),E46/1000000*SUM(_xlpm.mass)),"")</f>
        <v>1.5524400000000001E-2</v>
      </c>
      <c r="AS46" s="919">
        <f>IFERROR(IF(D46&gt;31,(5%+250/P46)*AF46,VLOOKUP(D46,HELPER!$BH$3:$BI$5,2,TRUE)*AF46),0)</f>
        <v>0.65119272350237689</v>
      </c>
      <c r="AT46" s="919">
        <v>0.20000000000000201</v>
      </c>
      <c r="AU46" s="919"/>
      <c r="AV46" s="919"/>
      <c r="AW46" s="919"/>
      <c r="AX46" s="919"/>
      <c r="AY46" s="919"/>
      <c r="AZ46" s="919">
        <f t="shared" si="3"/>
        <v>0</v>
      </c>
    </row>
    <row r="47" spans="1:52">
      <c r="A47" s="73" t="s">
        <v>1468</v>
      </c>
      <c r="B47" s="73" t="s">
        <v>567</v>
      </c>
      <c r="C47" s="908" t="s">
        <v>1420</v>
      </c>
      <c r="D47" s="915" cm="1">
        <f t="array" ref="D4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7" s="915">
        <v>120</v>
      </c>
      <c r="F47" s="73" t="s">
        <v>1040</v>
      </c>
      <c r="G47" s="916">
        <v>1000</v>
      </c>
      <c r="H47" s="916"/>
      <c r="I47" s="916">
        <v>80</v>
      </c>
      <c r="J47" s="916">
        <v>80</v>
      </c>
      <c r="K47" s="73" t="s">
        <v>123</v>
      </c>
      <c r="L47" s="921" t="s">
        <v>591</v>
      </c>
      <c r="M47" s="915">
        <v>1</v>
      </c>
      <c r="N47" s="73" t="s">
        <v>550</v>
      </c>
      <c r="O47" s="73" t="s">
        <v>240</v>
      </c>
      <c r="P47" s="916" cm="1">
        <f t="array" ref="P47">IFERROR(_xlfn.SWITCH(F47,"By Weight",IF(H47&lt;&gt;"",H47,G47)/AR47,"By Length",G47,"By Imp",G47/MAX(1,ROUNDDOWN(E47/I47,0))*J47/1000,"IMP",G47/MAX(1,ROUNDDOWN(E47/I47,0))*J47/1000,""),"")</f>
        <v>80</v>
      </c>
      <c r="Q47" s="916">
        <f t="shared" si="4"/>
        <v>1.2419519999999999</v>
      </c>
      <c r="R47" s="917">
        <f t="shared" si="5"/>
        <v>262.08073957534288</v>
      </c>
      <c r="S47" s="918">
        <f t="shared" si="6"/>
        <v>304.01365790739771</v>
      </c>
      <c r="T47" s="919">
        <f t="shared" si="7"/>
        <v>211.02324371259346</v>
      </c>
      <c r="U47" s="920">
        <f t="shared" si="8"/>
        <v>244.78696270660839</v>
      </c>
      <c r="V47" s="919">
        <f t="shared" si="9"/>
        <v>3.8541285231668114</v>
      </c>
      <c r="W47" s="919">
        <f t="shared" si="10"/>
        <v>248.26263966187494</v>
      </c>
      <c r="X47" s="919">
        <f t="shared" si="11"/>
        <v>0.30833028185334493</v>
      </c>
      <c r="Y47" s="920">
        <f t="shared" si="12"/>
        <v>4.4707890868735012</v>
      </c>
      <c r="Z47" s="920">
        <f t="shared" si="13"/>
        <v>287.98466200777489</v>
      </c>
      <c r="AA47" s="920">
        <f t="shared" si="14"/>
        <v>0.35766312694988012</v>
      </c>
      <c r="AB47" s="917">
        <f t="shared" si="15"/>
        <v>308.3302818533449</v>
      </c>
      <c r="AC47" s="918">
        <f t="shared" si="16"/>
        <v>357.66312694988005</v>
      </c>
      <c r="AD47" s="916">
        <f t="shared" si="17"/>
        <v>32207.363891680194</v>
      </c>
      <c r="AE47" s="916">
        <f t="shared" si="18"/>
        <v>500</v>
      </c>
      <c r="AF47" s="919" cm="1">
        <f t="array" ref="AF47">IFERROR(_xlfn.LET(_xlpm.lam,TEXT(B47,"0"),_xlpm.thick,D47,_xlpm.crit,(TEXT(HELPER!$BZ$2:$BZ$250,"0")=_xlpm.lam)*(HELPER!$CC$2:$CC$250=_xlpm.thick)*(HELPER!$BW$2:$BW$250&lt;&gt;""),_xlpm.mats,TRIM(SUBSTITUTE(_xlfn._xlws.FILTER(HELPER!$BW$2:$BW$250,_xlpm.crit),CHAR(160),"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7" s="919">
        <f>IFERROR(IF(N47="Europe to Canada",IF(Q47&lt;1000,VLOOKUP(1000,HELPER!$AG$4:$AH$8,2,FALSE)/Q47,VLOOKUP(Q47,HELPER!$AG$4:$AH$8,2,TRUE)/Q47),IF(N47="Europe to US",HELPER!$AH$2,IF(N47="Europe to Europe",HELPER!$AH$3,0))),0)</f>
        <v>5.4</v>
      </c>
      <c r="AH47" s="919" cm="1">
        <f t="array" ref="AH47">IFERROR(_xlfn.LET(_xlpm.cap,IF(O47="Quantum",760,1220),_xlpm.wUsed,E47*MAX(1,MIN(MAX(2,INT(900/E47)),INT((_xlpm.cap-50)/E47))),_xlpm.kgmUsed,AR47/E47*_xlpm.wUsed,_xlpm.lam,TEXT(B47,"0"),_xlpm.crit,(TEXT(HELPER!$BZ$2:$BZ$250,"0")=_xlpm.lam)*(HELPER!$CC$2:$CC$250=D47)*(HELPER!$BW$2:$BW$250&lt;&gt;""),_xlpm.mats,_xlfn._xlws.FILTER(HELPER!$BW$2:$BW$250,_xlpm.crit),_xlpm.realLayers,SUM((_xlpm.mats&lt;&gt;"")*ISERROR(SEARCH("EPOTAL",_xlpm.mats&amp;""))*ISERROR(SEARCH("BASONAT",_xlpm.mats&amp;""))*ISERROR(SEARCH("ADH",_xlpm.mats&amp;""))*ISERROR(SEARCH("HARDENER",_xlpm.mats&amp;""))),_xlpm.steps,MAX(0,_xlpm.realLayers-1),_xlpm.tier,IF(P47&lt;3000,1,IF(P47&lt;10000,2,IF(P47&lt;25000,3,IF(P47&lt;50000,4,IF(P47&lt;100000,5,IF(P47&lt;250000,6,7)))))),_xlpm.widthRow,IF(_xlpm.wUsed&lt;900,0,5),_xlpm.supplierRow,IF(O47="Marma",3,IF(OR(O47="Bastin",O47="Quantum"),13,0)),_xlpm.rate,INDEX('Lmntn &amp; Prntng- Marma &amp; Bastin '!$D$1:$K$22,_xlpm.supplierRow+_xlpm.widthRow,_xlpm.tier),_xlpm.rate*_xlpm.steps/_xlpm.kgmUsed),"")</f>
        <v>2.7928201503991867</v>
      </c>
      <c r="AI47" s="919" cm="1">
        <f t="array" ref="AI47">IFERROR(_xlfn.LET(_xlpm.cap,IF(O47="Quantum",760,1220),_xlpm.wUsed,E47*MAX(1,MIN(MAX(2,INT(900/E47)),INT((_xlpm.cap-50)/E47))),_xlpm.kgmUsed,AR47/E47*_xlpm.wUsed,_xlpm.tier,IF(P47&lt;3000,1,IF(P47&lt;10000,2,IF(P47&lt;25000,3,IF(P47&lt;50000,4,IF(P47&lt;100000,5,IF(P47&lt;250000,6,IF(P47&lt;500000,7,8))))))),_xlpm.widthRow,IF(_xlpm.wUsed&lt;900,0,5),_xlpm.slitRow,IF(O47="Marma",7,IF(OR(O47="Bastin",O47="Quantum"),17,0)),_xlpm.slitRate,INDEX('Lmntn &amp; Prntng- Marma &amp; Bastin '!$D$1:$K$22,_xlpm.slitRow+_xlpm.widthRow,_xlpm.tier),_xlpm.numColors,IF(ISNUMBER(L47),L47,IFERROR(--RIGHT(L47,LEN(L47)-FIND("-",L47)),0)),_xlpm.printRate,IF(OR(K47&lt;&gt;"Printed",_xlpm.numColors=0),0,IF(O47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47))),MAX(_xlfn._xlws.FILTER(_xlpm.meters,(_xlpm.widths=_xlpm.qWidth)*(_xlpm.bands=_xlpm.band)))),INDEX(_xlpm.rates,_xlfn.XMATCH(1,(_xlpm.widths=_xlpm.qWidth)*(_xlpm.bands=_xlpm.band)*(_xlpm.meters=_xlpm.targetM),0))/HELPER!$AK$2),_xlfn.LET(_xlpm.colorOffset,IF(_xlpm.numColors&lt;=2,1,IF(_xlpm.numColors&lt;=4,2,3)),_xlpm.supplierRow,IF(O47="Marma",3,IF(O47="Bastin",13,0)),INDEX('Lmntn &amp; Prntng- Marma &amp; Bastin '!$D$1:$K$22,_xlpm.supplierRow+_xlpm.widthRow+_xlpm.colorOffset,_xlpm.tier)))),AH47+_xlpm.slitRate/_xlpm.kgmUsed+_xlpm.printRate/_xlpm.kgmUsed+AJ47),"")</f>
        <v>175.01071124901998</v>
      </c>
      <c r="AJ47" s="919" cm="1">
        <f t="array" ref="AJ47">IF(OR(K47&lt;&gt;"Printed",L47=0,L47="0",L47=""),0,IFERROR(_xlfn.LET(_xlpm.lam,TEXT(B47,"0"),_xlpm.crit,(TEXT(HELPER!$BZ$2:$BZ$250,"0")=_xlpm.lam)*(HELPER!$CC$2:$CC$250=D47)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WHITE"},0)))/ROWS(_xlpm.real),_xlpm.numColors,IF(ISNUMBER(L47),L47,IFERROR(--RIGHT(L47,LEN(L47)-FIND("-",L47)),0)),HELPER!$DB$1*_xlpm.numColors*MAX(1,M47)*1.05*_xlpm.nkRatio/Q47),0))</f>
        <v>169.08866043132102</v>
      </c>
      <c r="AK47" s="919">
        <f t="shared" si="19"/>
        <v>20.721121092294684</v>
      </c>
      <c r="AL47" s="919">
        <f t="shared" si="20"/>
        <v>3854.1285231668116</v>
      </c>
      <c r="AM47" s="73" t="str">
        <f t="shared" si="21"/>
        <v>PASS</v>
      </c>
      <c r="AN47" s="908" t="str">
        <f t="shared" si="0"/>
        <v/>
      </c>
      <c r="AO47" s="919">
        <f t="shared" si="1"/>
        <v>100</v>
      </c>
      <c r="AP47" s="919">
        <f t="shared" si="2"/>
        <v>80</v>
      </c>
      <c r="AQ47" s="919"/>
      <c r="AR47" s="919" cm="1">
        <f t="array" ref="AR47">IFERROR(_xlfn.LET(_xlpm.lam,TEXT(B47,"0"),_xlpm.thick,D47,_xlpm.crit,(TEXT(HELPER!$BZ$2:$BZ$250,"0")=_xlpm.lam)*(HELPER!$CC$2:$CC$250=_xlpm.thick)*(HELPER!$BW$2:$BW$250&lt;&gt;""),_xlpm.mats,TRIM(SUBSTITUTE(_xlfn._xlws.FILTER(HELPER!$BW$2:$BW$250,_xlpm.crit),CHAR(160),"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")),HELPER!$AQ$2:$AQ$20,1),_xlpm.mass,IF(ISNUMBER(SEARCH("paper",_xlpm.mats)),42,_xlpm.dens*_xlpm.ths),E47/1000000*SUM(_xlpm.mass)),"")</f>
        <v>1.5524400000000001E-2</v>
      </c>
      <c r="AS47" s="919">
        <f>IFERROR(IF(D47&gt;31,(5%+250/P47)*AF47,VLOOKUP(D47,HELPER!$BH$3:$BI$5,2,TRUE)*AF47),0)</f>
        <v>23.280189358525931</v>
      </c>
      <c r="AT47" s="919">
        <v>0.15000000000000099</v>
      </c>
      <c r="AU47" s="919"/>
      <c r="AV47" s="919"/>
      <c r="AW47" s="919"/>
      <c r="AX47" s="919"/>
      <c r="AY47" s="919"/>
      <c r="AZ47" s="919">
        <f t="shared" si="3"/>
        <v>210</v>
      </c>
    </row>
    <row r="48" spans="1:52">
      <c r="A48" s="73" t="s">
        <v>1469</v>
      </c>
      <c r="B48" s="73" t="s">
        <v>567</v>
      </c>
      <c r="C48" s="908" t="s">
        <v>1422</v>
      </c>
      <c r="D48" s="915" cm="1">
        <f t="array" ref="D4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8" s="915">
        <v>350</v>
      </c>
      <c r="F48" s="73" t="s">
        <v>560</v>
      </c>
      <c r="G48" s="916">
        <v>5000</v>
      </c>
      <c r="H48" s="916">
        <v>5000</v>
      </c>
      <c r="I48" s="916"/>
      <c r="J48" s="916"/>
      <c r="K48" s="73" t="s">
        <v>123</v>
      </c>
      <c r="L48" s="921" t="s">
        <v>122</v>
      </c>
      <c r="M48" s="915">
        <v>4</v>
      </c>
      <c r="N48" s="73" t="s">
        <v>549</v>
      </c>
      <c r="O48" s="73" t="s">
        <v>1366</v>
      </c>
      <c r="P48" s="916" cm="1">
        <f t="array" ref="P48">IFERROR(_xlfn.SWITCH(F48,"By Weight",IF(H48&lt;&gt;"",H48,G48)/AR48,"By Length",G48,"By Imp",G48/MAX(1,ROUNDDOWN(E48/I48,0))*J48/1000,"IMP",G48/MAX(1,ROUNDDOWN(E48/I48,0))*J48/1000,""),"")</f>
        <v>110425.24762861781</v>
      </c>
      <c r="Q48" s="916">
        <f t="shared" si="4"/>
        <v>5000</v>
      </c>
      <c r="R48" s="917">
        <f t="shared" si="5"/>
        <v>96007.272372523046</v>
      </c>
      <c r="S48" s="918">
        <f t="shared" si="6"/>
        <v>111368.43595212673</v>
      </c>
      <c r="T48" s="919">
        <f t="shared" si="7"/>
        <v>19.201454474504608</v>
      </c>
      <c r="U48" s="920">
        <f t="shared" si="8"/>
        <v>22.273687190425346</v>
      </c>
      <c r="V48" s="919">
        <f t="shared" si="9"/>
        <v>1.022861479856858</v>
      </c>
      <c r="W48" s="919">
        <f t="shared" si="10"/>
        <v>22.589946440593604</v>
      </c>
      <c r="X48" s="919" t="str">
        <f t="shared" si="11"/>
        <v/>
      </c>
      <c r="Y48" s="920">
        <f t="shared" si="12"/>
        <v>1.1865193166339552</v>
      </c>
      <c r="Z48" s="920">
        <f t="shared" si="13"/>
        <v>26.20433787108858</v>
      </c>
      <c r="AA48" s="920" t="str">
        <f t="shared" si="14"/>
        <v/>
      </c>
      <c r="AB48" s="917">
        <f t="shared" si="15"/>
        <v>112949.73220296802</v>
      </c>
      <c r="AC48" s="918">
        <f t="shared" si="16"/>
        <v>131021.6893554429</v>
      </c>
      <c r="AD48" s="916">
        <f t="shared" si="17"/>
        <v>11042.52476286178</v>
      </c>
      <c r="AE48" s="916">
        <f t="shared" si="18"/>
        <v>500</v>
      </c>
      <c r="AF48" s="919" cm="1">
        <f t="array" ref="AF48">IFERROR(_xlfn.LET(_xlpm.lam,TEXT(B48,"0"),_xlpm.thick,D48,_xlpm.crit,(TEXT(HELPER!$BZ$2:$BZ$250,"0")=_xlpm.lam)*(HELPER!$CC$2:$CC$250=_xlpm.thick)*(HELPER!$BW$2:$BW$250&lt;&gt;""),_xlpm.mats,TRIM(SUBSTITUTE(_xlfn._xlws.FILTER(HELPER!$BW$2:$BW$250,_xlpm.crit),CHAR(160),"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8" s="919">
        <f>IFERROR(IF(N48="Europe to Canada",IF(Q48&lt;1000,VLOOKUP(1000,HELPER!$AG$4:$AH$8,2,FALSE)/Q48,VLOOKUP(Q48,HELPER!$AG$4:$AH$8,2,TRUE)/Q48),IF(N48="Europe to US",HELPER!$AH$2,IF(N48="Europe to Europe",HELPER!$AH$3,0))),0)</f>
        <v>0.2</v>
      </c>
      <c r="AH48" s="919" cm="1">
        <f t="array" ref="AH48">IFERROR(_xlfn.LET(_xlpm.cap,IF(O48="Quantum",760,1220),_xlpm.wUsed,E48*MAX(1,MIN(MAX(2,INT(900/E48)),INT((_xlpm.cap-50)/E48))),_xlpm.kgmUsed,AR48/E48*_xlpm.wUsed,_xlpm.lam,TEXT(B48,"0"),_xlpm.crit,(TEXT(HELPER!$BZ$2:$BZ$250,"0")=_xlpm.lam)*(HELPER!$CC$2:$CC$250=D48)*(HELPER!$BW$2:$BW$250&lt;&gt;""),_xlpm.mats,_xlfn._xlws.FILTER(HELPER!$BW$2:$BW$250,_xlpm.crit),_xlpm.realLayers,SUM((_xlpm.mats&lt;&gt;"")*ISERROR(SEARCH("EPOTAL",_xlpm.mats&amp;""))*ISERROR(SEARCH("BASONAT",_xlpm.mats&amp;""))*ISERROR(SEARCH("ADH",_xlpm.mats&amp;""))*ISERROR(SEARCH("HARDENER",_xlpm.mats&amp;""))),_xlpm.steps,MAX(0,_xlpm.realLayers-1),_xlpm.tier,IF(P48&lt;3000,1,IF(P48&lt;10000,2,IF(P48&lt;25000,3,IF(P48&lt;50000,4,IF(P48&lt;100000,5,IF(P48&lt;250000,6,7)))))),_xlpm.widthRow,IF(_xlpm.wUsed&lt;900,0,5),_xlpm.supplierRow,IF(O48="Marma",3,IF(OR(O48="Bastin",O48="Quantum"),13,0)),_xlpm.rate,INDEX('Lmntn &amp; Prntng- Marma &amp; Bastin '!$D$1:$K$22,_xlpm.supplierRow+_xlpm.widthRow,_xlpm.tier),_xlpm.rate*_xlpm.steps/_xlpm.kgmUsed),"")</f>
        <v>2.4108260912775101</v>
      </c>
      <c r="AI48" s="919" cm="1">
        <f t="array" ref="AI48">IFERROR(_xlfn.LET(_xlpm.cap,IF(O48="Quantum",760,1220),_xlpm.wUsed,E48*MAX(1,MIN(MAX(2,INT(900/E48)),INT((_xlpm.cap-50)/E48))),_xlpm.kgmUsed,AR48/E48*_xlpm.wUsed,_xlpm.tier,IF(P48&lt;3000,1,IF(P48&lt;10000,2,IF(P48&lt;25000,3,IF(P48&lt;50000,4,IF(P48&lt;100000,5,IF(P48&lt;250000,6,IF(P48&lt;500000,7,8))))))),_xlpm.widthRow,IF(_xlpm.wUsed&lt;900,0,5),_xlpm.slitRow,IF(O48="Marma",7,IF(OR(O48="Bastin",O48="Quantum"),17,0)),_xlpm.slitRate,INDEX('Lmntn &amp; Prntng- Marma &amp; Bastin '!$D$1:$K$22,_xlpm.slitRow+_xlpm.widthRow,_xlpm.tier),_xlpm.numColors,IF(ISNUMBER(L48),L48,IFERROR(--RIGHT(L48,LEN(L48)-FIND("-",L48)),0)),_xlpm.printRate,IF(OR(K48&lt;&gt;"Printed",_xlpm.numColors=0),0,IF(O48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48))),MAX(_xlfn._xlws.FILTER(_xlpm.meters,(_xlpm.widths=_xlpm.qWidth)*(_xlpm.bands=_xlpm.band)))),INDEX(_xlpm.rates,_xlfn.XMATCH(1,(_xlpm.widths=_xlpm.qWidth)*(_xlpm.bands=_xlpm.band)*(_xlpm.meters=_xlpm.targetM),0))/HELPER!$AK$2),_xlfn.LET(_xlpm.colorOffset,IF(_xlpm.numColors&lt;=2,1,IF(_xlpm.numColors&lt;=4,2,3)),_xlpm.supplierRow,IF(O48="Marma",3,IF(O48="Bastin",13,0)),INDEX('Lmntn &amp; Prntng- Marma &amp; Bastin '!$D$1:$K$22,_xlpm.supplierRow+_xlpm.widthRow+_xlpm.colorOffset,_xlpm.tier)))),AH48+_xlpm.slitRate/_xlpm.kgmUsed+_xlpm.printRate/_xlpm.kgmUsed+AJ48),"")</f>
        <v>11.285893972723441</v>
      </c>
      <c r="AJ48" s="919" cm="1">
        <f t="array" ref="AJ48">IF(OR(K48&lt;&gt;"Printed",L48=0,L48="0",L48=""),0,IFERROR(_xlfn.LET(_xlpm.lam,TEXT(B48,"0"),_xlpm.crit,(TEXT(HELPER!$BZ$2:$BZ$250,"0")=_xlpm.lam)*(HELPER!$CC$2:$CC$250=D48)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WHITE"},0)))/ROWS(_xlpm.real),_xlpm.numColors,IF(ISNUMBER(L48),L48,IFERROR(--RIGHT(L48,LEN(L48)-FIND("-",L48)),0)),HELPER!$DB$1*_xlpm.numColors*MAX(1,M48)*1.05*_xlpm.nkRatio/Q48),0))</f>
        <v>0.33600000000000002</v>
      </c>
      <c r="AK48" s="919">
        <f t="shared" si="19"/>
        <v>1.8854589490448996</v>
      </c>
      <c r="AL48" s="919">
        <f t="shared" si="20"/>
        <v>1022.8614798568581</v>
      </c>
      <c r="AM48" s="73" t="str">
        <f t="shared" si="21"/>
        <v>PASS</v>
      </c>
      <c r="AN48" s="908" t="str">
        <f t="shared" si="0"/>
        <v/>
      </c>
      <c r="AO48" s="919">
        <f t="shared" si="1"/>
        <v>100</v>
      </c>
      <c r="AP48" s="919">
        <f t="shared" si="2"/>
        <v>110425.24762861781</v>
      </c>
      <c r="AQ48" s="919"/>
      <c r="AR48" s="919" cm="1">
        <f t="array" ref="AR48">IFERROR(_xlfn.LET(_xlpm.lam,TEXT(B48,"0"),_xlpm.thick,D48,_xlpm.crit,(TEXT(HELPER!$BZ$2:$BZ$250,"0")=_xlpm.lam)*(HELPER!$CC$2:$CC$250=_xlpm.thick)*(HELPER!$BW$2:$BW$250&lt;&gt;""),_xlpm.mats,TRIM(SUBSTITUTE(_xlfn._xlws.FILTER(HELPER!$BW$2:$BW$250,_xlpm.crit),CHAR(160),"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")),HELPER!$AQ$2:$AQ$20,1),_xlpm.mass,IF(ISNUMBER(SEARCH("paper",_xlpm.mats)),42,_xlpm.dens*_xlpm.ths),E48/1000000*SUM(_xlpm.mass)),"")</f>
        <v>4.52795E-2</v>
      </c>
      <c r="AS48" s="919">
        <f>IFERROR(IF(D48&gt;31,(5%+250/P48)*AF48,VLOOKUP(D48,HELPER!$BH$3:$BI$5,2,TRUE)*AF48),0)</f>
        <v>0.38321739673362692</v>
      </c>
      <c r="AT48" s="919">
        <v>0.149999999999998</v>
      </c>
      <c r="AU48" s="919"/>
      <c r="AV48" s="919"/>
      <c r="AW48" s="919"/>
      <c r="AX48" s="919"/>
      <c r="AY48" s="919"/>
      <c r="AZ48" s="919">
        <f t="shared" si="3"/>
        <v>1680</v>
      </c>
    </row>
    <row r="49" spans="1:52">
      <c r="A49" s="73" t="s">
        <v>1470</v>
      </c>
      <c r="B49" s="73" t="s">
        <v>567</v>
      </c>
      <c r="C49" s="908" t="s">
        <v>1424</v>
      </c>
      <c r="D49" s="915" cm="1">
        <f t="array" ref="D4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9" s="915">
        <v>900</v>
      </c>
      <c r="F49" s="73" t="s">
        <v>560</v>
      </c>
      <c r="G49" s="916">
        <v>25000</v>
      </c>
      <c r="H49" s="916">
        <v>25000</v>
      </c>
      <c r="I49" s="916"/>
      <c r="J49" s="916"/>
      <c r="K49" s="73" t="s">
        <v>123</v>
      </c>
      <c r="L49" s="921" t="s">
        <v>592</v>
      </c>
      <c r="M49" s="915">
        <v>8</v>
      </c>
      <c r="N49" s="73" t="s">
        <v>550</v>
      </c>
      <c r="O49" s="73" t="s">
        <v>250</v>
      </c>
      <c r="P49" s="916" cm="1">
        <f t="array" ref="P49">IFERROR(_xlfn.SWITCH(F49,"By Weight",IF(H49&lt;&gt;"",H49,G49)/AR49,"By Length",G49,"By Imp",G49/MAX(1,ROUNDDOWN(E49/I49,0))*J49/1000,"IMP",G49/MAX(1,ROUNDDOWN(E49/I49,0))*J49/1000,""),"")</f>
        <v>214715.75927786797</v>
      </c>
      <c r="Q49" s="916">
        <f t="shared" si="4"/>
        <v>25000</v>
      </c>
      <c r="R49" s="917">
        <f t="shared" si="5"/>
        <v>403030.63461106963</v>
      </c>
      <c r="S49" s="918">
        <f t="shared" si="6"/>
        <v>467515.53614884074</v>
      </c>
      <c r="T49" s="919">
        <f t="shared" si="7"/>
        <v>16.121225384442784</v>
      </c>
      <c r="U49" s="920">
        <f t="shared" si="8"/>
        <v>18.70062144595363</v>
      </c>
      <c r="V49" s="919">
        <f t="shared" si="9"/>
        <v>2.3463032939835333</v>
      </c>
      <c r="W49" s="919">
        <f t="shared" si="10"/>
        <v>20.151531730553479</v>
      </c>
      <c r="X49" s="919" t="str">
        <f t="shared" si="11"/>
        <v/>
      </c>
      <c r="Y49" s="920">
        <f t="shared" si="12"/>
        <v>2.7217118210208984</v>
      </c>
      <c r="Z49" s="920">
        <f t="shared" si="13"/>
        <v>23.375776807442033</v>
      </c>
      <c r="AA49" s="920" t="str">
        <f t="shared" si="14"/>
        <v/>
      </c>
      <c r="AB49" s="917">
        <f t="shared" si="15"/>
        <v>503788.293263837</v>
      </c>
      <c r="AC49" s="918">
        <f t="shared" si="16"/>
        <v>584394.42018605082</v>
      </c>
      <c r="AD49" s="916">
        <f t="shared" si="17"/>
        <v>4294.3151855573597</v>
      </c>
      <c r="AE49" s="916">
        <f t="shared" si="18"/>
        <v>500</v>
      </c>
      <c r="AF49" s="919" cm="1">
        <f t="array" ref="AF49">IFERROR(_xlfn.LET(_xlpm.lam,TEXT(B49,"0"),_xlpm.thick,D49,_xlpm.crit,(TEXT(HELPER!$BZ$2:$BZ$250,"0")=_xlpm.lam)*(HELPER!$CC$2:$CC$250=_xlpm.thick)*(HELPER!$BW$2:$BW$250&lt;&gt;""),_xlpm.mats,TRIM(SUBSTITUTE(_xlfn._xlws.FILTER(HELPER!$BW$2:$BW$250,_xlpm.crit),CHAR(160),"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9" s="919">
        <f>IFERROR(IF(N49="Europe to Canada",IF(Q49&lt;1000,VLOOKUP(1000,HELPER!$AG$4:$AH$8,2,FALSE)/Q49,VLOOKUP(Q49,HELPER!$AG$4:$AH$8,2,TRUE)/Q49),IF(N49="Europe to US",HELPER!$AH$2,IF(N49="Europe to Europe",HELPER!$AH$3,0))),0)</f>
        <v>5.4</v>
      </c>
      <c r="AH49" s="919" cm="1">
        <f t="array" ref="AH49">IFERROR(_xlfn.LET(_xlpm.cap,IF(O49="Quantum",760,1220),_xlpm.wUsed,E49*MAX(1,MIN(MAX(2,INT(900/E49)),INT((_xlpm.cap-50)/E49))),_xlpm.kgmUsed,AR49/E49*_xlpm.wUsed,_xlpm.lam,TEXT(B49,"0"),_xlpm.crit,(TEXT(HELPER!$BZ$2:$BZ$250,"0")=_xlpm.lam)*(HELPER!$CC$2:$CC$250=D49)*(HELPER!$BW$2:$BW$250&lt;&gt;""),_xlpm.mats,_xlfn._xlws.FILTER(HELPER!$BW$2:$BW$250,_xlpm.crit),_xlpm.realLayers,SUM((_xlpm.mats&lt;&gt;"")*ISERROR(SEARCH("EPOTAL",_xlpm.mats&amp;""))*ISERROR(SEARCH("BASONAT",_xlpm.mats&amp;""))*ISERROR(SEARCH("ADH",_xlpm.mats&amp;""))*ISERROR(SEARCH("HARDENER",_xlpm.mats&amp;""))),_xlpm.steps,MAX(0,_xlpm.realLayers-1),_xlpm.tier,IF(P49&lt;3000,1,IF(P49&lt;10000,2,IF(P49&lt;25000,3,IF(P49&lt;50000,4,IF(P49&lt;100000,5,IF(P49&lt;250000,6,7)))))),_xlpm.widthRow,IF(_xlpm.wUsed&lt;900,0,5),_xlpm.supplierRow,IF(O49="Marma",3,IF(OR(O49="Bastin",O49="Quantum"),13,0)),_xlpm.rate,INDEX('Lmntn &amp; Prntng- Marma &amp; Bastin '!$D$1:$K$22,_xlpm.supplierRow+_xlpm.widthRow,_xlpm.tier),_xlpm.rate*_xlpm.steps/_xlpm.kgmUsed),"")</f>
        <v>1.442374584525006</v>
      </c>
      <c r="AI49" s="919" cm="1">
        <f t="array" ref="AI49">IFERROR(_xlfn.LET(_xlpm.cap,IF(O49="Quantum",760,1220),_xlpm.wUsed,E49*MAX(1,MIN(MAX(2,INT(900/E49)),INT((_xlpm.cap-50)/E49))),_xlpm.kgmUsed,AR49/E49*_xlpm.wUsed,_xlpm.tier,IF(P49&lt;3000,1,IF(P49&lt;10000,2,IF(P49&lt;25000,3,IF(P49&lt;50000,4,IF(P49&lt;100000,5,IF(P49&lt;250000,6,IF(P49&lt;500000,7,8))))))),_xlpm.widthRow,IF(_xlpm.wUsed&lt;900,0,5),_xlpm.slitRow,IF(O49="Marma",7,IF(OR(O49="Bastin",O49="Quantum"),17,0)),_xlpm.slitRate,INDEX('Lmntn &amp; Prntng- Marma &amp; Bastin '!$D$1:$K$22,_xlpm.slitRow+_xlpm.widthRow,_xlpm.tier),_xlpm.numColors,IF(ISNUMBER(L49),L49,IFERROR(--RIGHT(L49,LEN(L49)-FIND("-",L49)),0)),_xlpm.printRate,IF(OR(K49&lt;&gt;"Printed",_xlpm.numColors=0),0,IF(O49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49))),MAX(_xlfn._xlws.FILTER(_xlpm.meters,(_xlpm.widths=_xlpm.qWidth)*(_xlpm.bands=_xlpm.band)))),INDEX(_xlpm.rates,_xlfn.XMATCH(1,(_xlpm.widths=_xlpm.qWidth)*(_xlpm.bands=_xlpm.band)*(_xlpm.meters=_xlpm.targetM),0))/HELPER!$AK$2),_xlfn.LET(_xlpm.colorOffset,IF(_xlpm.numColors&lt;=2,1,IF(_xlpm.numColors&lt;=4,2,3)),_xlpm.supplierRow,IF(O49="Marma",3,IF(O49="Bastin",13,0)),INDEX('Lmntn &amp; Prntng- Marma &amp; Bastin '!$D$1:$K$22,_xlpm.supplierRow+_xlpm.widthRow+_xlpm.colorOffset,_xlpm.tier)))),AH49+_xlpm.slitRate/_xlpm.kgmUsed+_xlpm.printRate/_xlpm.kgmUsed+AJ49),"")</f>
        <v>3.0137278570953701</v>
      </c>
      <c r="AJ49" s="919" cm="1">
        <f t="array" ref="AJ49">IF(OR(K49&lt;&gt;"Printed",L49=0,L49="0",L49=""),0,IFERROR(_xlfn.LET(_xlpm.lam,TEXT(B49,"0"),_xlpm.crit,(TEXT(HELPER!$BZ$2:$BZ$250,"0")=_xlpm.lam)*(HELPER!$CC$2:$CC$250=D49)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WHITE"},0)))/ROWS(_xlpm.real),_xlpm.numColors,IF(ISNUMBER(L49),L49,IFERROR(--RIGHT(L49,LEN(L49)-FIND("-",L49)),0)),HELPER!$DB$1*_xlpm.numColors*MAX(1,M49)*1.05*_xlpm.nkRatio/Q49),0))</f>
        <v>0.26879999999999998</v>
      </c>
      <c r="AK49" s="919">
        <f t="shared" si="19"/>
        <v>1.6819378451494862</v>
      </c>
      <c r="AL49" s="919">
        <f t="shared" si="20"/>
        <v>2346.3032939835334</v>
      </c>
      <c r="AM49" s="73" t="str">
        <f t="shared" si="21"/>
        <v>PASS</v>
      </c>
      <c r="AN49" s="908" t="str">
        <f t="shared" si="0"/>
        <v/>
      </c>
      <c r="AO49" s="919">
        <f t="shared" si="1"/>
        <v>100</v>
      </c>
      <c r="AP49" s="919">
        <f t="shared" si="2"/>
        <v>214715.75927786797</v>
      </c>
      <c r="AQ49" s="919"/>
      <c r="AR49" s="919" cm="1">
        <f t="array" ref="AR49">IFERROR(_xlfn.LET(_xlpm.lam,TEXT(B49,"0"),_xlpm.thick,D49,_xlpm.crit,(TEXT(HELPER!$BZ$2:$BZ$250,"0")=_xlpm.lam)*(HELPER!$CC$2:$CC$250=_xlpm.thick)*(HELPER!$BW$2:$BW$250&lt;&gt;""),_xlpm.mats,TRIM(SUBSTITUTE(_xlfn._xlws.FILTER(HELPER!$BW$2:$BW$250,_xlpm.crit),CHAR(160),"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")),HELPER!$AQ$2:$AQ$20,1),_xlpm.mass,IF(ISNUMBER(SEARCH("paper",_xlpm.mats)),42,_xlpm.dens*_xlpm.ths),E49/1000000*SUM(_xlpm.mass)),"")</f>
        <v>0.11643299999999999</v>
      </c>
      <c r="AS49" s="919">
        <f>IFERROR(IF(D49&gt;31,(5%+250/P49)*AF49,VLOOKUP(D49,HELPER!$BH$3:$BI$5,2,TRUE)*AF49),0)</f>
        <v>0.37515442229987689</v>
      </c>
      <c r="AT49" s="919">
        <v>0.2</v>
      </c>
      <c r="AU49" s="919"/>
      <c r="AV49" s="919"/>
      <c r="AW49" s="919"/>
      <c r="AX49" s="919"/>
      <c r="AY49" s="919"/>
      <c r="AZ49" s="919">
        <f t="shared" si="3"/>
        <v>6720</v>
      </c>
    </row>
    <row r="50" spans="1:52">
      <c r="A50" s="73" t="s">
        <v>1471</v>
      </c>
      <c r="B50" s="73" t="s">
        <v>567</v>
      </c>
      <c r="C50" s="908" t="s">
        <v>1426</v>
      </c>
      <c r="D50" s="915" cm="1">
        <f t="array" ref="D5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0" s="915">
        <v>350</v>
      </c>
      <c r="F50" s="73" t="s">
        <v>561</v>
      </c>
      <c r="G50" s="916">
        <v>2000</v>
      </c>
      <c r="H50" s="916"/>
      <c r="I50" s="916"/>
      <c r="J50" s="916"/>
      <c r="K50" s="73" t="s">
        <v>124</v>
      </c>
      <c r="L50" s="921" t="s">
        <v>221</v>
      </c>
      <c r="M50" s="915">
        <v>1</v>
      </c>
      <c r="N50" s="73" t="s">
        <v>549</v>
      </c>
      <c r="O50" s="73" t="s">
        <v>240</v>
      </c>
      <c r="P50" s="916" cm="1">
        <f t="array" ref="P50">IFERROR(_xlfn.SWITCH(F50,"By Weight",IF(H50&lt;&gt;"",H50,G50)/AR50,"By Length",G50,"By Imp",G50/MAX(1,ROUNDDOWN(E50/I50,0))*J50/1000,"IMP",G50/MAX(1,ROUNDDOWN(E50/I50,0))*J50/1000,""),"")</f>
        <v>2000</v>
      </c>
      <c r="Q50" s="916">
        <f t="shared" si="4"/>
        <v>90.558999999999997</v>
      </c>
      <c r="R50" s="917">
        <f t="shared" si="5"/>
        <v>1147.21714961875</v>
      </c>
      <c r="S50" s="918">
        <f t="shared" si="6"/>
        <v>1330.77189355775</v>
      </c>
      <c r="T50" s="919">
        <f t="shared" si="7"/>
        <v>12.668173783044756</v>
      </c>
      <c r="U50" s="920">
        <f t="shared" si="8"/>
        <v>14.695081588331915</v>
      </c>
      <c r="V50" s="919">
        <f t="shared" si="9"/>
        <v>0.6748336174227918</v>
      </c>
      <c r="W50" s="919">
        <f t="shared" si="10"/>
        <v>14.903733862405543</v>
      </c>
      <c r="X50" s="919" t="str">
        <f t="shared" si="11"/>
        <v/>
      </c>
      <c r="Y50" s="920">
        <f t="shared" si="12"/>
        <v>0.78280699621043848</v>
      </c>
      <c r="Z50" s="920">
        <f t="shared" si="13"/>
        <v>17.28833128039043</v>
      </c>
      <c r="AA50" s="920" t="str">
        <f t="shared" si="14"/>
        <v/>
      </c>
      <c r="AB50" s="917">
        <f t="shared" si="15"/>
        <v>1349.6672348455836</v>
      </c>
      <c r="AC50" s="918">
        <f t="shared" si="16"/>
        <v>1565.6139924208769</v>
      </c>
      <c r="AD50" s="916">
        <f t="shared" si="17"/>
        <v>11042.52476286178</v>
      </c>
      <c r="AE50" s="916">
        <f t="shared" si="18"/>
        <v>500</v>
      </c>
      <c r="AF50" s="919" cm="1">
        <f t="array" ref="AF50">IFERROR(_xlfn.LET(_xlpm.lam,TEXT(B50,"0"),_xlpm.thick,D50,_xlpm.crit,(TEXT(HELPER!$BZ$2:$BZ$250,"0")=_xlpm.lam)*(HELPER!$CC$2:$CC$250=_xlpm.thick)*(HELPER!$BW$2:$BW$250&lt;&gt;""),_xlpm.mats,TRIM(SUBSTITUTE(_xlfn._xlws.FILTER(HELPER!$BW$2:$BW$250,_xlpm.crit),CHAR(160),"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0" s="919">
        <f>IFERROR(IF(N50="Europe to Canada",IF(Q50&lt;1000,VLOOKUP(1000,HELPER!$AG$4:$AH$8,2,FALSE)/Q50,VLOOKUP(Q50,HELPER!$AG$4:$AH$8,2,TRUE)/Q50),IF(N50="Europe to US",HELPER!$AH$2,IF(N50="Europe to Europe",HELPER!$AH$3,0))),0)</f>
        <v>0.2</v>
      </c>
      <c r="AH50" s="919" cm="1">
        <f t="array" ref="AH50">IFERROR(_xlfn.LET(_xlpm.cap,IF(O50="Quantum",760,1220),_xlpm.wUsed,E50*MAX(1,MIN(MAX(2,INT(900/E50)),INT((_xlpm.cap-50)/E50))),_xlpm.kgmUsed,AR50/E50*_xlpm.wUsed,_xlpm.lam,TEXT(B50,"0"),_xlpm.crit,(TEXT(HELPER!$BZ$2:$BZ$250,"0")=_xlpm.lam)*(HELPER!$CC$2:$CC$250=D50)*(HELPER!$BW$2:$BW$250&lt;&gt;""),_xlpm.mats,_xlfn._xlws.FILTER(HELPER!$BW$2:$BW$250,_xlpm.crit),_xlpm.realLayers,SUM((_xlpm.mats&lt;&gt;"")*ISERROR(SEARCH("EPOTAL",_xlpm.mats&amp;""))*ISERROR(SEARCH("BASONAT",_xlpm.mats&amp;""))*ISERROR(SEARCH("ADH",_xlpm.mats&amp;""))*ISERROR(SEARCH("HARDENER",_xlpm.mats&amp;""))),_xlpm.steps,MAX(0,_xlpm.realLayers-1),_xlpm.tier,IF(P50&lt;3000,1,IF(P50&lt;10000,2,IF(P50&lt;25000,3,IF(P50&lt;50000,4,IF(P50&lt;100000,5,IF(P50&lt;250000,6,7)))))),_xlpm.widthRow,IF(_xlpm.wUsed&lt;900,0,5),_xlpm.supplierRow,IF(O50="Marma",3,IF(OR(O50="Bastin",O50="Quantum"),13,0)),_xlpm.rate,INDEX('Lmntn &amp; Prntng- Marma &amp; Bastin '!$D$1:$K$22,_xlpm.supplierRow+_xlpm.widthRow,_xlpm.tier),_xlpm.rate*_xlpm.steps/_xlpm.kgmUsed),"")</f>
        <v>3.351384180479025</v>
      </c>
      <c r="AI50" s="919" cm="1">
        <f t="array" ref="AI50">IFERROR(_xlfn.LET(_xlpm.cap,IF(O50="Quantum",760,1220),_xlpm.wUsed,E50*MAX(1,MIN(MAX(2,INT(900/E50)),INT((_xlpm.cap-50)/E50))),_xlpm.kgmUsed,AR50/E50*_xlpm.wUsed,_xlpm.tier,IF(P50&lt;3000,1,IF(P50&lt;10000,2,IF(P50&lt;25000,3,IF(P50&lt;50000,4,IF(P50&lt;100000,5,IF(P50&lt;250000,6,IF(P50&lt;500000,7,8))))))),_xlpm.widthRow,IF(_xlpm.wUsed&lt;900,0,5),_xlpm.slitRow,IF(O50="Marma",7,IF(OR(O50="Bastin",O50="Quantum"),17,0)),_xlpm.slitRate,INDEX('Lmntn &amp; Prntng- Marma &amp; Bastin '!$D$1:$K$22,_xlpm.slitRow+_xlpm.widthRow,_xlpm.tier),_xlpm.numColors,IF(ISNUMBER(L50),L50,IFERROR(--RIGHT(L50,LEN(L50)-FIND("-",L50)),0)),_xlpm.printRate,IF(OR(K50&lt;&gt;"Printed",_xlpm.numColors=0),0,IF(O50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50))),MAX(_xlfn._xlws.FILTER(_xlpm.meters,(_xlpm.widths=_xlpm.qWidth)*(_xlpm.bands=_xlpm.band)))),INDEX(_xlpm.rates,_xlfn.XMATCH(1,(_xlpm.widths=_xlpm.qWidth)*(_xlpm.bands=_xlpm.band)*(_xlpm.meters=_xlpm.targetM),0))/HELPER!$AK$2),_xlfn.LET(_xlpm.colorOffset,IF(_xlpm.numColors&lt;=2,1,IF(_xlpm.numColors&lt;=4,2,3)),_xlpm.supplierRow,IF(O50="Marma",3,IF(O50="Bastin",13,0)),INDEX('Lmntn &amp; Prntng- Marma &amp; Bastin '!$D$1:$K$22,_xlpm.supplierRow+_xlpm.widthRow+_xlpm.colorOffset,_xlpm.tier)))),AH50+_xlpm.slitRate/_xlpm.kgmUsed+_xlpm.printRate/_xlpm.kgmUsed+AJ50),"")</f>
        <v>3.8526706346138986</v>
      </c>
      <c r="AJ50" s="919" cm="1">
        <f t="array" ref="AJ50">IF(OR(K50&lt;&gt;"Printed",L50=0,L50="0",L50=""),0,IFERROR(_xlfn.LET(_xlpm.lam,TEXT(B50,"0"),_xlpm.crit,(TEXT(HELPER!$BZ$2:$BZ$250,"0")=_xlpm.lam)*(HELPER!$CC$2:$CC$250=D50)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WHITE"},0)))/ROWS(_xlpm.real),_xlpm.numColors,IF(ISNUMBER(L50),L50,IFERROR(--RIGHT(L50,LEN(L50)-FIND("-",L50)),0)),HELPER!$DB$1*_xlpm.numColors*MAX(1,M50)*1.05*_xlpm.nkRatio/Q50),0))</f>
        <v>0</v>
      </c>
      <c r="AK50" s="919">
        <f t="shared" si="19"/>
        <v>1.2439329353415518</v>
      </c>
      <c r="AL50" s="919">
        <f t="shared" si="20"/>
        <v>674.8336174227918</v>
      </c>
      <c r="AM50" s="73" t="str">
        <f t="shared" si="21"/>
        <v>PASS</v>
      </c>
      <c r="AN50" s="908" t="str">
        <f t="shared" si="0"/>
        <v/>
      </c>
      <c r="AO50" s="919">
        <f t="shared" si="1"/>
        <v>100</v>
      </c>
      <c r="AP50" s="919">
        <f t="shared" si="2"/>
        <v>2000</v>
      </c>
      <c r="AQ50" s="919"/>
      <c r="AR50" s="919" cm="1">
        <f t="array" ref="AR50">IFERROR(_xlfn.LET(_xlpm.lam,TEXT(B50,"0"),_xlpm.thick,D50,_xlpm.crit,(TEXT(HELPER!$BZ$2:$BZ$250,"0")=_xlpm.lam)*(HELPER!$CC$2:$CC$250=_xlpm.thick)*(HELPER!$BW$2:$BW$250&lt;&gt;""),_xlpm.mats,TRIM(SUBSTITUTE(_xlfn._xlws.FILTER(HELPER!$BW$2:$BW$250,_xlpm.crit),CHAR(160),"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")),HELPER!$AQ$2:$AQ$20,1),_xlpm.mass,IF(ISNUMBER(SEARCH("paper",_xlpm.mats)),42,_xlpm.dens*_xlpm.ths),E50/1000000*SUM(_xlpm.mass)),"")</f>
        <v>4.52795E-2</v>
      </c>
      <c r="AS50" s="919">
        <f>IFERROR(IF(D50&gt;31,(5%+250/P50)*AF50,VLOOKUP(D50,HELPER!$BH$3:$BI$5,2,TRUE)*AF50),0)</f>
        <v>1.283160043383319</v>
      </c>
      <c r="AT50" s="919">
        <v>0.149999999999997</v>
      </c>
      <c r="AU50" s="919"/>
      <c r="AV50" s="919"/>
      <c r="AW50" s="919"/>
      <c r="AX50" s="919"/>
      <c r="AY50" s="919"/>
      <c r="AZ50" s="919">
        <f t="shared" si="3"/>
        <v>0</v>
      </c>
    </row>
    <row r="51" spans="1:52">
      <c r="A51" s="73" t="s">
        <v>1472</v>
      </c>
      <c r="B51" s="73" t="s">
        <v>567</v>
      </c>
      <c r="C51" s="908" t="s">
        <v>1428</v>
      </c>
      <c r="D51" s="915" cm="1">
        <f t="array" ref="D5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1" s="915">
        <v>600</v>
      </c>
      <c r="F51" s="73" t="s">
        <v>561</v>
      </c>
      <c r="G51" s="916">
        <v>250000</v>
      </c>
      <c r="H51" s="916"/>
      <c r="I51" s="916"/>
      <c r="J51" s="916"/>
      <c r="K51" s="73" t="s">
        <v>123</v>
      </c>
      <c r="L51" s="921" t="s">
        <v>122</v>
      </c>
      <c r="M51" s="915">
        <v>4</v>
      </c>
      <c r="N51" s="73" t="s">
        <v>550</v>
      </c>
      <c r="O51" s="73" t="s">
        <v>1366</v>
      </c>
      <c r="P51" s="916" cm="1">
        <f t="array" ref="P51">IFERROR(_xlfn.SWITCH(F51,"By Weight",IF(H51&lt;&gt;"",H51,G51)/AR51,"By Length",G51,"By Imp",G51/MAX(1,ROUNDDOWN(E51/I51,0))*J51/1000,"IMP",G51/MAX(1,ROUNDDOWN(E51/I51,0))*J51/1000,""),"")</f>
        <v>250000</v>
      </c>
      <c r="Q51" s="916">
        <f t="shared" si="4"/>
        <v>19405.5</v>
      </c>
      <c r="R51" s="917">
        <f t="shared" si="5"/>
        <v>503527.02318434051</v>
      </c>
      <c r="S51" s="918">
        <f t="shared" si="6"/>
        <v>584091.346893835</v>
      </c>
      <c r="T51" s="919">
        <f t="shared" si="7"/>
        <v>25.947644903988071</v>
      </c>
      <c r="U51" s="920">
        <f t="shared" si="8"/>
        <v>30.099268088626161</v>
      </c>
      <c r="V51" s="919">
        <f t="shared" si="9"/>
        <v>2.3695389326321878</v>
      </c>
      <c r="W51" s="919">
        <f t="shared" si="10"/>
        <v>30.526641063515342</v>
      </c>
      <c r="X51" s="919" t="str">
        <f t="shared" si="11"/>
        <v/>
      </c>
      <c r="Y51" s="920">
        <f t="shared" si="12"/>
        <v>2.7486651618533378</v>
      </c>
      <c r="Z51" s="920">
        <f t="shared" si="13"/>
        <v>35.410903633677798</v>
      </c>
      <c r="AA51" s="920" t="str">
        <f t="shared" si="14"/>
        <v/>
      </c>
      <c r="AB51" s="917">
        <f t="shared" si="15"/>
        <v>592384.73315804696</v>
      </c>
      <c r="AC51" s="918">
        <f t="shared" si="16"/>
        <v>687166.29046333442</v>
      </c>
      <c r="AD51" s="916">
        <f t="shared" si="17"/>
        <v>6441.4727783360395</v>
      </c>
      <c r="AE51" s="916">
        <f t="shared" si="18"/>
        <v>500</v>
      </c>
      <c r="AF51" s="919" cm="1">
        <f t="array" ref="AF51">IFERROR(_xlfn.LET(_xlpm.lam,TEXT(B51,"0"),_xlpm.thick,D51,_xlpm.crit,(TEXT(HELPER!$BZ$2:$BZ$250,"0")=_xlpm.lam)*(HELPER!$CC$2:$CC$250=_xlpm.thick)*(HELPER!$BW$2:$BW$250&lt;&gt;""),_xlpm.mats,TRIM(SUBSTITUTE(_xlfn._xlws.FILTER(HELPER!$BW$2:$BW$250,_xlpm.crit),CHAR(160),"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1" s="919">
        <f>IFERROR(IF(N51="Europe to Canada",IF(Q51&lt;1000,VLOOKUP(1000,HELPER!$AG$4:$AH$8,2,FALSE)/Q51,VLOOKUP(Q51,HELPER!$AG$4:$AH$8,2,TRUE)/Q51),IF(N51="Europe to US",HELPER!$AH$2,IF(N51="Europe to Europe",HELPER!$AH$3,0))),0)</f>
        <v>5.4</v>
      </c>
      <c r="AH51" s="919" cm="1">
        <f t="array" ref="AH51">IFERROR(_xlfn.LET(_xlpm.cap,IF(O51="Quantum",760,1220),_xlpm.wUsed,E51*MAX(1,MIN(MAX(2,INT(900/E51)),INT((_xlpm.cap-50)/E51))),_xlpm.kgmUsed,AR51/E51*_xlpm.wUsed,_xlpm.lam,TEXT(B51,"0"),_xlpm.crit,(TEXT(HELPER!$BZ$2:$BZ$250,"0")=_xlpm.lam)*(HELPER!$CC$2:$CC$250=D51)*(HELPER!$BW$2:$BW$250&lt;&gt;""),_xlpm.mats,_xlfn._xlws.FILTER(HELPER!$BW$2:$BW$250,_xlpm.crit),_xlpm.realLayers,SUM((_xlpm.mats&lt;&gt;"")*ISERROR(SEARCH("EPOTAL",_xlpm.mats&amp;""))*ISERROR(SEARCH("BASONAT",_xlpm.mats&amp;""))*ISERROR(SEARCH("ADH",_xlpm.mats&amp;""))*ISERROR(SEARCH("HARDENER",_xlpm.mats&amp;""))),_xlpm.steps,MAX(0,_xlpm.realLayers-1),_xlpm.tier,IF(P51&lt;3000,1,IF(P51&lt;10000,2,IF(P51&lt;25000,3,IF(P51&lt;50000,4,IF(P51&lt;100000,5,IF(P51&lt;250000,6,7)))))),_xlpm.widthRow,IF(_xlpm.wUsed&lt;900,0,5),_xlpm.supplierRow,IF(O51="Marma",3,IF(OR(O51="Bastin",O51="Quantum"),13,0)),_xlpm.rate,INDEX('Lmntn &amp; Prntng- Marma &amp; Bastin '!$D$1:$K$22,_xlpm.supplierRow+_xlpm.widthRow,_xlpm.tier),_xlpm.rate*_xlpm.steps/_xlpm.kgmUsed),"")</f>
        <v>2.7955476540156141</v>
      </c>
      <c r="AI51" s="919" cm="1">
        <f t="array" ref="AI51">IFERROR(_xlfn.LET(_xlpm.cap,IF(O51="Quantum",760,1220),_xlpm.wUsed,E51*MAX(1,MIN(MAX(2,INT(900/E51)),INT((_xlpm.cap-50)/E51))),_xlpm.kgmUsed,AR51/E51*_xlpm.wUsed,_xlpm.tier,IF(P51&lt;3000,1,IF(P51&lt;10000,2,IF(P51&lt;25000,3,IF(P51&lt;50000,4,IF(P51&lt;100000,5,IF(P51&lt;250000,6,IF(P51&lt;500000,7,8))))))),_xlpm.widthRow,IF(_xlpm.wUsed&lt;900,0,5),_xlpm.slitRow,IF(O51="Marma",7,IF(OR(O51="Bastin",O51="Quantum"),17,0)),_xlpm.slitRate,INDEX('Lmntn &amp; Prntng- Marma &amp; Bastin '!$D$1:$K$22,_xlpm.slitRow+_xlpm.widthRow,_xlpm.tier),_xlpm.numColors,IF(ISNUMBER(L51),L51,IFERROR(--RIGHT(L51,LEN(L51)-FIND("-",L51)),0)),_xlpm.printRate,IF(OR(K51&lt;&gt;"Printed",_xlpm.numColors=0),0,IF(O51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51))),MAX(_xlfn._xlws.FILTER(_xlpm.meters,(_xlpm.widths=_xlpm.qWidth)*(_xlpm.bands=_xlpm.band)))),INDEX(_xlpm.rates,_xlfn.XMATCH(1,(_xlpm.widths=_xlpm.qWidth)*(_xlpm.bands=_xlpm.band)*(_xlpm.meters=_xlpm.targetM),0))/HELPER!$AK$2),_xlfn.LET(_xlpm.colorOffset,IF(_xlpm.numColors&lt;=2,1,IF(_xlpm.numColors&lt;=4,2,3)),_xlpm.supplierRow,IF(O51="Marma",3,IF(O51="Bastin",13,0)),INDEX('Lmntn &amp; Prntng- Marma &amp; Bastin '!$D$1:$K$22,_xlpm.supplierRow+_xlpm.widthRow+_xlpm.colorOffset,_xlpm.tier)))),AH51+_xlpm.slitRate/_xlpm.kgmUsed+_xlpm.printRate/_xlpm.kgmUsed+AJ51),"")</f>
        <v>12.841352300583109</v>
      </c>
      <c r="AJ51" s="919" cm="1">
        <f t="array" ref="AJ51">IF(OR(K51&lt;&gt;"Printed",L51=0,L51="0",L51=""),0,IFERROR(_xlfn.LET(_xlpm.lam,TEXT(B51,"0"),_xlpm.crit,(TEXT(HELPER!$BZ$2:$BZ$250,"0")=_xlpm.lam)*(HELPER!$CC$2:$CC$250=D51)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WHITE"},0)))/ROWS(_xlpm.real),_xlpm.numColors,IF(ISNUMBER(L51),L51,IFERROR(--RIGHT(L51,LEN(L51)-FIND("-",L51)),0)),HELPER!$DB$1*_xlpm.numColors*MAX(1,M51)*1.05*_xlpm.nkRatio/Q51),0))</f>
        <v>8.6573394140836354E-2</v>
      </c>
      <c r="AK51" s="919">
        <f t="shared" si="19"/>
        <v>2.547891325410955</v>
      </c>
      <c r="AL51" s="919">
        <f t="shared" si="20"/>
        <v>2369.5389326321879</v>
      </c>
      <c r="AM51" s="73" t="str">
        <f t="shared" si="21"/>
        <v>PASS</v>
      </c>
      <c r="AN51" s="908" t="str">
        <f t="shared" si="0"/>
        <v/>
      </c>
      <c r="AO51" s="919">
        <f t="shared" si="1"/>
        <v>100</v>
      </c>
      <c r="AP51" s="919">
        <f t="shared" si="2"/>
        <v>250000</v>
      </c>
      <c r="AQ51" s="919"/>
      <c r="AR51" s="919" cm="1">
        <f t="array" ref="AR51">IFERROR(_xlfn.LET(_xlpm.lam,TEXT(B51,"0"),_xlpm.thick,D51,_xlpm.crit,(TEXT(HELPER!$BZ$2:$BZ$250,"0")=_xlpm.lam)*(HELPER!$CC$2:$CC$250=_xlpm.thick)*(HELPER!$BW$2:$BW$250&lt;&gt;""),_xlpm.mats,TRIM(SUBSTITUTE(_xlfn._xlws.FILTER(HELPER!$BW$2:$BW$250,_xlpm.crit),CHAR(160),"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")),HELPER!$AQ$2:$AQ$20,1),_xlpm.mass,IF(ISNUMBER(SEARCH("paper",_xlpm.mats)),42,_xlpm.dens*_xlpm.ths),E51/1000000*SUM(_xlpm.mass)),"")</f>
        <v>7.7621999999999997E-2</v>
      </c>
      <c r="AS51" s="919">
        <f>IFERROR(IF(D51&gt;31,(5%+250/P51)*AF51,VLOOKUP(D51,HELPER!$BH$3:$BI$5,2,TRUE)*AF51),0)</f>
        <v>0.37394949835742447</v>
      </c>
      <c r="AT51" s="919">
        <v>0.149999999999999</v>
      </c>
      <c r="AU51" s="919"/>
      <c r="AV51" s="919"/>
      <c r="AW51" s="919"/>
      <c r="AX51" s="919"/>
      <c r="AY51" s="919"/>
      <c r="AZ51" s="919">
        <f t="shared" si="3"/>
        <v>1679.9999999999998</v>
      </c>
    </row>
    <row r="52" spans="1:52">
      <c r="A52" s="73" t="s">
        <v>1473</v>
      </c>
      <c r="B52" s="73" t="s">
        <v>567</v>
      </c>
      <c r="C52" s="908" t="s">
        <v>1430</v>
      </c>
      <c r="D52" s="915" cm="1">
        <f t="array" ref="D5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2" s="915">
        <v>900</v>
      </c>
      <c r="F52" s="73" t="s">
        <v>1040</v>
      </c>
      <c r="G52" s="916">
        <v>1600000</v>
      </c>
      <c r="H52" s="916"/>
      <c r="I52" s="916">
        <v>140</v>
      </c>
      <c r="J52" s="916">
        <v>80</v>
      </c>
      <c r="K52" s="73" t="s">
        <v>123</v>
      </c>
      <c r="L52" s="921" t="s">
        <v>592</v>
      </c>
      <c r="M52" s="915">
        <v>8</v>
      </c>
      <c r="N52" s="73" t="s">
        <v>549</v>
      </c>
      <c r="O52" s="73" t="s">
        <v>250</v>
      </c>
      <c r="P52" s="916" cm="1">
        <f t="array" ref="P52">IFERROR(_xlfn.SWITCH(F52,"By Weight",IF(H52&lt;&gt;"",H52,G52)/AR52,"By Length",G52,"By Imp",G52/MAX(1,ROUNDDOWN(E52/I52,0))*J52/1000,"IMP",G52/MAX(1,ROUNDDOWN(E52/I52,0))*J52/1000,""),"")</f>
        <v>21333.333333333336</v>
      </c>
      <c r="Q52" s="916">
        <f t="shared" si="4"/>
        <v>2483.904</v>
      </c>
      <c r="R52" s="917">
        <f t="shared" si="5"/>
        <v>34610.227946538114</v>
      </c>
      <c r="S52" s="918">
        <f t="shared" si="6"/>
        <v>40147.864417984209</v>
      </c>
      <c r="T52" s="919">
        <f t="shared" si="7"/>
        <v>13.933802573101906</v>
      </c>
      <c r="U52" s="920">
        <f t="shared" si="8"/>
        <v>16.163210984798209</v>
      </c>
      <c r="V52" s="919">
        <f t="shared" si="9"/>
        <v>2.0279430437424728</v>
      </c>
      <c r="W52" s="919">
        <f t="shared" si="10"/>
        <v>17.417253216377425</v>
      </c>
      <c r="X52" s="919">
        <f t="shared" si="11"/>
        <v>2.7039240583232971E-2</v>
      </c>
      <c r="Y52" s="920">
        <f t="shared" si="12"/>
        <v>2.3524139307412684</v>
      </c>
      <c r="Z52" s="920">
        <f t="shared" si="13"/>
        <v>20.204013730997811</v>
      </c>
      <c r="AA52" s="920">
        <f t="shared" si="14"/>
        <v>3.1365519076550247E-2</v>
      </c>
      <c r="AB52" s="917">
        <f t="shared" si="15"/>
        <v>43262.784933172748</v>
      </c>
      <c r="AC52" s="918">
        <f t="shared" si="16"/>
        <v>50184.830522480384</v>
      </c>
      <c r="AD52" s="916">
        <f t="shared" si="17"/>
        <v>4294.3151855573597</v>
      </c>
      <c r="AE52" s="916">
        <f t="shared" si="18"/>
        <v>500</v>
      </c>
      <c r="AF52" s="919" cm="1">
        <f t="array" ref="AF52">IFERROR(_xlfn.LET(_xlpm.lam,TEXT(B52,"0"),_xlpm.thick,D52,_xlpm.crit,(TEXT(HELPER!$BZ$2:$BZ$250,"0")=_xlpm.lam)*(HELPER!$CC$2:$CC$250=_xlpm.thick)*(HELPER!$BW$2:$BW$250&lt;&gt;""),_xlpm.mats,TRIM(SUBSTITUTE(_xlfn._xlws.FILTER(HELPER!$BW$2:$BW$250,_xlpm.crit),CHAR(160),"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2" s="919">
        <f>IFERROR(IF(N52="Europe to Canada",IF(Q52&lt;1000,VLOOKUP(1000,HELPER!$AG$4:$AH$8,2,FALSE)/Q52,VLOOKUP(Q52,HELPER!$AG$4:$AH$8,2,TRUE)/Q52),IF(N52="Europe to US",HELPER!$AH$2,IF(N52="Europe to Europe",HELPER!$AH$3,0))),0)</f>
        <v>0.2</v>
      </c>
      <c r="AH52" s="919" cm="1">
        <f t="array" ref="AH52">IFERROR(_xlfn.LET(_xlpm.cap,IF(O52="Quantum",760,1220),_xlpm.wUsed,E52*MAX(1,MIN(MAX(2,INT(900/E52)),INT((_xlpm.cap-50)/E52))),_xlpm.kgmUsed,AR52/E52*_xlpm.wUsed,_xlpm.lam,TEXT(B52,"0"),_xlpm.crit,(TEXT(HELPER!$BZ$2:$BZ$250,"0")=_xlpm.lam)*(HELPER!$CC$2:$CC$250=D52)*(HELPER!$BW$2:$BW$250&lt;&gt;""),_xlpm.mats,_xlfn._xlws.FILTER(HELPER!$BW$2:$BW$250,_xlpm.crit),_xlpm.realLayers,SUM((_xlpm.mats&lt;&gt;"")*ISERROR(SEARCH("EPOTAL",_xlpm.mats&amp;""))*ISERROR(SEARCH("BASONAT",_xlpm.mats&amp;""))*ISERROR(SEARCH("ADH",_xlpm.mats&amp;""))*ISERROR(SEARCH("HARDENER",_xlpm.mats&amp;""))),_xlpm.steps,MAX(0,_xlpm.realLayers-1),_xlpm.tier,IF(P52&lt;3000,1,IF(P52&lt;10000,2,IF(P52&lt;25000,3,IF(P52&lt;50000,4,IF(P52&lt;100000,5,IF(P52&lt;250000,6,7)))))),_xlpm.widthRow,IF(_xlpm.wUsed&lt;900,0,5),_xlpm.supplierRow,IF(O52="Marma",3,IF(OR(O52="Bastin",O52="Quantum"),13,0)),_xlpm.rate,INDEX('Lmntn &amp; Prntng- Marma &amp; Bastin '!$D$1:$K$22,_xlpm.supplierRow+_xlpm.widthRow,_xlpm.tier),_xlpm.rate*_xlpm.steps/_xlpm.kgmUsed),"")</f>
        <v>1.5722346757362604</v>
      </c>
      <c r="AI52" s="919" cm="1">
        <f t="array" ref="AI52">IFERROR(_xlfn.LET(_xlpm.cap,IF(O52="Quantum",760,1220),_xlpm.wUsed,E52*MAX(1,MIN(MAX(2,INT(900/E52)),INT((_xlpm.cap-50)/E52))),_xlpm.kgmUsed,AR52/E52*_xlpm.wUsed,_xlpm.tier,IF(P52&lt;3000,1,IF(P52&lt;10000,2,IF(P52&lt;25000,3,IF(P52&lt;50000,4,IF(P52&lt;100000,5,IF(P52&lt;250000,6,IF(P52&lt;500000,7,8))))))),_xlpm.widthRow,IF(_xlpm.wUsed&lt;900,0,5),_xlpm.slitRow,IF(O52="Marma",7,IF(OR(O52="Bastin",O52="Quantum"),17,0)),_xlpm.slitRate,INDEX('Lmntn &amp; Prntng- Marma &amp; Bastin '!$D$1:$K$22,_xlpm.slitRow+_xlpm.widthRow,_xlpm.tier),_xlpm.numColors,IF(ISNUMBER(L52),L52,IFERROR(--RIGHT(L52,LEN(L52)-FIND("-",L52)),0)),_xlpm.printRate,IF(OR(K52&lt;&gt;"Printed",_xlpm.numColors=0),0,IF(O52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52))),MAX(_xlfn._xlws.FILTER(_xlpm.meters,(_xlpm.widths=_xlpm.qWidth)*(_xlpm.bands=_xlpm.band)))),INDEX(_xlpm.rates,_xlfn.XMATCH(1,(_xlpm.widths=_xlpm.qWidth)*(_xlpm.bands=_xlpm.band)*(_xlpm.meters=_xlpm.targetM),0))/HELPER!$AK$2),_xlfn.LET(_xlpm.colorOffset,IF(_xlpm.numColors&lt;=2,1,IF(_xlpm.numColors&lt;=4,2,3)),_xlpm.supplierRow,IF(O52="Marma",3,IF(O52="Bastin",13,0)),INDEX('Lmntn &amp; Prntng- Marma &amp; Bastin '!$D$1:$K$22,_xlpm.supplierRow+_xlpm.widthRow+_xlpm.colorOffset,_xlpm.tier)))),AH52+_xlpm.slitRate/_xlpm.kgmUsed+_xlpm.printRate/_xlpm.kgmUsed+AJ52),"")</f>
        <v>5.9489164170397153</v>
      </c>
      <c r="AJ52" s="919" cm="1">
        <f t="array" ref="AJ52">IF(OR(K52&lt;&gt;"Printed",L52=0,L52="0",L52=""),0,IFERROR(_xlfn.LET(_xlpm.lam,TEXT(B52,"0"),_xlpm.crit,(TEXT(HELPER!$BZ$2:$BZ$250,"0")=_xlpm.lam)*(HELPER!$CC$2:$CC$250=D52)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WHITE"},0)))/ROWS(_xlpm.real),_xlpm.numColors,IF(ISNUMBER(L52),L52,IFERROR(--RIGHT(L52,LEN(L52)-FIND("-",L52)),0)),HELPER!$DB$1*_xlpm.numColors*MAX(1,M52)*1.05*_xlpm.nkRatio/Q52),0))</f>
        <v>2.7054185669011361</v>
      </c>
      <c r="AK52" s="919">
        <f t="shared" si="19"/>
        <v>1.4537226120017726</v>
      </c>
      <c r="AL52" s="919">
        <f t="shared" si="20"/>
        <v>2027.9430437424728</v>
      </c>
      <c r="AM52" s="73" t="str">
        <f t="shared" si="21"/>
        <v>PASS</v>
      </c>
      <c r="AN52" s="908" t="str">
        <f t="shared" si="0"/>
        <v/>
      </c>
      <c r="AO52" s="919">
        <f t="shared" si="1"/>
        <v>100</v>
      </c>
      <c r="AP52" s="919">
        <f t="shared" si="2"/>
        <v>21333.333333333336</v>
      </c>
      <c r="AQ52" s="919"/>
      <c r="AR52" s="919" cm="1">
        <f t="array" ref="AR52">IFERROR(_xlfn.LET(_xlpm.lam,TEXT(B52,"0"),_xlpm.thick,D52,_xlpm.crit,(TEXT(HELPER!$BZ$2:$BZ$250,"0")=_xlpm.lam)*(HELPER!$CC$2:$CC$250=_xlpm.thick)*(HELPER!$BW$2:$BW$250&lt;&gt;""),_xlpm.mats,TRIM(SUBSTITUTE(_xlfn._xlws.FILTER(HELPER!$BW$2:$BW$250,_xlpm.crit),CHAR(160),"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")),HELPER!$AQ$2:$AQ$20,1),_xlpm.mass,IF(ISNUMBER(SEARCH("paper",_xlpm.mats)),42,_xlpm.dens*_xlpm.ths),E52/1000000*SUM(_xlpm.mass)),"")</f>
        <v>0.11643299999999999</v>
      </c>
      <c r="AS52" s="919">
        <f>IFERROR(IF(D52&gt;31,(5%+250/P52)*AF52,VLOOKUP(D52,HELPER!$BH$3:$BI$5,2,TRUE)*AF52),0)</f>
        <v>0.45254305101465275</v>
      </c>
      <c r="AT52" s="919">
        <v>0.20000000000000201</v>
      </c>
      <c r="AU52" s="919"/>
      <c r="AV52" s="919"/>
      <c r="AW52" s="919"/>
      <c r="AX52" s="919"/>
      <c r="AY52" s="919"/>
      <c r="AZ52" s="919">
        <f t="shared" si="3"/>
        <v>6720</v>
      </c>
    </row>
    <row r="53" spans="1:52">
      <c r="A53" s="73" t="s">
        <v>1474</v>
      </c>
      <c r="B53" s="73" t="s">
        <v>567</v>
      </c>
      <c r="C53" s="908" t="s">
        <v>1432</v>
      </c>
      <c r="D53" s="915" cm="1">
        <f t="array" ref="D5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3" s="915">
        <v>250</v>
      </c>
      <c r="F53" s="73" t="s">
        <v>560</v>
      </c>
      <c r="G53" s="916">
        <v>500</v>
      </c>
      <c r="H53" s="916">
        <v>500</v>
      </c>
      <c r="I53" s="916"/>
      <c r="J53" s="916"/>
      <c r="K53" s="73" t="s">
        <v>124</v>
      </c>
      <c r="L53" s="921" t="s">
        <v>221</v>
      </c>
      <c r="M53" s="915">
        <v>1</v>
      </c>
      <c r="N53" s="73" t="s">
        <v>550</v>
      </c>
      <c r="O53" s="73" t="s">
        <v>240</v>
      </c>
      <c r="P53" s="916" cm="1">
        <f t="array" ref="P53">IFERROR(_xlfn.SWITCH(F53,"By Weight",IF(H53&lt;&gt;"",H53,G53)/AR53,"By Length",G53,"By Imp",G53/MAX(1,ROUNDDOWN(E53/I53,0))*J53/1000,"IMP",G53/MAX(1,ROUNDDOWN(E53/I53,0))*J53/1000,""),"")</f>
        <v>15459.534668006492</v>
      </c>
      <c r="Q53" s="916">
        <f t="shared" si="4"/>
        <v>500</v>
      </c>
      <c r="R53" s="917">
        <f t="shared" si="5"/>
        <v>8008.7512473340394</v>
      </c>
      <c r="S53" s="918">
        <f t="shared" si="6"/>
        <v>9290.1514469074846</v>
      </c>
      <c r="T53" s="919">
        <f t="shared" si="7"/>
        <v>16.017502494668079</v>
      </c>
      <c r="U53" s="920">
        <f t="shared" si="8"/>
        <v>18.58030289381497</v>
      </c>
      <c r="V53" s="919">
        <f t="shared" si="9"/>
        <v>0.60946596992211977</v>
      </c>
      <c r="W53" s="919">
        <f t="shared" si="10"/>
        <v>18.844120581962425</v>
      </c>
      <c r="X53" s="919" t="str">
        <f t="shared" si="11"/>
        <v/>
      </c>
      <c r="Y53" s="920">
        <f t="shared" si="12"/>
        <v>0.70698052510965892</v>
      </c>
      <c r="Z53" s="920">
        <f t="shared" si="13"/>
        <v>21.859179875076411</v>
      </c>
      <c r="AA53" s="920" t="str">
        <f t="shared" si="14"/>
        <v/>
      </c>
      <c r="AB53" s="917">
        <f t="shared" si="15"/>
        <v>9422.0602909812133</v>
      </c>
      <c r="AC53" s="918">
        <f t="shared" si="16"/>
        <v>10929.589937538207</v>
      </c>
      <c r="AD53" s="916">
        <f t="shared" si="17"/>
        <v>15459.534668006492</v>
      </c>
      <c r="AE53" s="916">
        <f t="shared" si="18"/>
        <v>500</v>
      </c>
      <c r="AF53" s="919" cm="1">
        <f t="array" ref="AF53">IFERROR(_xlfn.LET(_xlpm.lam,TEXT(B53,"0"),_xlpm.thick,D53,_xlpm.crit,(TEXT(HELPER!$BZ$2:$BZ$250,"0")=_xlpm.lam)*(HELPER!$CC$2:$CC$250=_xlpm.thick)*(HELPER!$BW$2:$BW$250&lt;&gt;""),_xlpm.mats,TRIM(SUBSTITUTE(_xlfn._xlws.FILTER(HELPER!$BW$2:$BW$250,_xlpm.crit),CHAR(160),"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3" s="919">
        <f>IFERROR(IF(N53="Europe to Canada",IF(Q53&lt;1000,VLOOKUP(1000,HELPER!$AG$4:$AH$8,2,FALSE)/Q53,VLOOKUP(Q53,HELPER!$AG$4:$AH$8,2,TRUE)/Q53),IF(N53="Europe to US",HELPER!$AH$2,IF(N53="Europe to Europe",HELPER!$AH$3,0))),0)</f>
        <v>5.4</v>
      </c>
      <c r="AH53" s="919" cm="1">
        <f t="array" ref="AH53">IFERROR(_xlfn.LET(_xlpm.cap,IF(O53="Quantum",760,1220),_xlpm.wUsed,E53*MAX(1,MIN(MAX(2,INT(900/E53)),INT((_xlpm.cap-50)/E53))),_xlpm.kgmUsed,AR53/E53*_xlpm.wUsed,_xlpm.lam,TEXT(B53,"0"),_xlpm.crit,(TEXT(HELPER!$BZ$2:$BZ$250,"0")=_xlpm.lam)*(HELPER!$CC$2:$CC$250=D53)*(HELPER!$BW$2:$BW$250&lt;&gt;""),_xlpm.mats,_xlfn._xlws.FILTER(HELPER!$BW$2:$BW$250,_xlpm.crit),_xlpm.realLayers,SUM((_xlpm.mats&lt;&gt;"")*ISERROR(SEARCH("EPOTAL",_xlpm.mats&amp;""))*ISERROR(SEARCH("BASONAT",_xlpm.mats&amp;""))*ISERROR(SEARCH("ADH",_xlpm.mats&amp;""))*ISERROR(SEARCH("HARDENER",_xlpm.mats&amp;""))),_xlpm.steps,MAX(0,_xlpm.realLayers-1),_xlpm.tier,IF(P53&lt;3000,1,IF(P53&lt;10000,2,IF(P53&lt;25000,3,IF(P53&lt;50000,4,IF(P53&lt;100000,5,IF(P53&lt;250000,6,7)))))),_xlpm.widthRow,IF(_xlpm.wUsed&lt;900,0,5),_xlpm.supplierRow,IF(O53="Marma",3,IF(OR(O53="Bastin",O53="Quantum"),13,0)),_xlpm.rate,INDEX('Lmntn &amp; Prntng- Marma &amp; Bastin '!$D$1:$K$22,_xlpm.supplierRow+_xlpm.widthRow,_xlpm.tier),_xlpm.rate*_xlpm.steps/_xlpm.kgmUsed),"")</f>
        <v>2.4526860941485658</v>
      </c>
      <c r="AI53" s="919" cm="1">
        <f t="array" ref="AI53">IFERROR(_xlfn.LET(_xlpm.cap,IF(O53="Quantum",760,1220),_xlpm.wUsed,E53*MAX(1,MIN(MAX(2,INT(900/E53)),INT((_xlpm.cap-50)/E53))),_xlpm.kgmUsed,AR53/E53*_xlpm.wUsed,_xlpm.tier,IF(P53&lt;3000,1,IF(P53&lt;10000,2,IF(P53&lt;25000,3,IF(P53&lt;50000,4,IF(P53&lt;100000,5,IF(P53&lt;250000,6,IF(P53&lt;500000,7,8))))))),_xlpm.widthRow,IF(_xlpm.wUsed&lt;900,0,5),_xlpm.slitRow,IF(O53="Marma",7,IF(OR(O53="Bastin",O53="Quantum"),17,0)),_xlpm.slitRate,INDEX('Lmntn &amp; Prntng- Marma &amp; Bastin '!$D$1:$K$22,_xlpm.slitRow+_xlpm.widthRow,_xlpm.tier),_xlpm.numColors,IF(ISNUMBER(L53),L53,IFERROR(--RIGHT(L53,LEN(L53)-FIND("-",L53)),0)),_xlpm.printRate,IF(OR(K53&lt;&gt;"Printed",_xlpm.numColors=0),0,IF(O53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53))),MAX(_xlfn._xlws.FILTER(_xlpm.meters,(_xlpm.widths=_xlpm.qWidth)*(_xlpm.bands=_xlpm.band)))),INDEX(_xlpm.rates,_xlfn.XMATCH(1,(_xlpm.widths=_xlpm.qWidth)*(_xlpm.bands=_xlpm.band)*(_xlpm.meters=_xlpm.targetM),0))/HELPER!$AK$2),_xlfn.LET(_xlpm.colorOffset,IF(_xlpm.numColors&lt;=2,1,IF(_xlpm.numColors&lt;=4,2,3)),_xlpm.supplierRow,IF(O53="Marma",3,IF(O53="Bastin",13,0)),INDEX('Lmntn &amp; Prntng- Marma &amp; Bastin '!$D$1:$K$22,_xlpm.supplierRow+_xlpm.widthRow+_xlpm.colorOffset,_xlpm.tier)))),AH53+_xlpm.slitRate/_xlpm.kgmUsed+_xlpm.printRate/_xlpm.kgmUsed+AJ53),"")</f>
        <v>2.7999690809306634</v>
      </c>
      <c r="AJ53" s="919" cm="1">
        <f t="array" ref="AJ53">IF(OR(K53&lt;&gt;"Printed",L53=0,L53="0",L53=""),0,IFERROR(_xlfn.LET(_xlpm.lam,TEXT(B53,"0"),_xlpm.crit,(TEXT(HELPER!$BZ$2:$BZ$250,"0")=_xlpm.lam)*(HELPER!$CC$2:$CC$250=D53)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WHITE"},0)))/ROWS(_xlpm.real),_xlpm.numColors,IF(ISNUMBER(L53),L53,IFERROR(--RIGHT(L53,LEN(L53)-FIND("-",L53)),0)),HELPER!$DB$1*_xlpm.numColors*MAX(1,M53)*1.05*_xlpm.nkRatio/Q53),0))</f>
        <v>0</v>
      </c>
      <c r="AK53" s="919">
        <f t="shared" si="19"/>
        <v>1.5728154062506317</v>
      </c>
      <c r="AL53" s="919">
        <f t="shared" si="20"/>
        <v>609.46596992211971</v>
      </c>
      <c r="AM53" s="73" t="str">
        <f t="shared" si="21"/>
        <v>PASS</v>
      </c>
      <c r="AN53" s="908" t="str">
        <f t="shared" si="0"/>
        <v/>
      </c>
      <c r="AO53" s="919">
        <f t="shared" si="1"/>
        <v>100</v>
      </c>
      <c r="AP53" s="919">
        <f t="shared" si="2"/>
        <v>15459.534668006492</v>
      </c>
      <c r="AQ53" s="919"/>
      <c r="AR53" s="919" cm="1">
        <f t="array" ref="AR53">IFERROR(_xlfn.LET(_xlpm.lam,TEXT(B53,"0"),_xlpm.thick,D53,_xlpm.crit,(TEXT(HELPER!$BZ$2:$BZ$250,"0")=_xlpm.lam)*(HELPER!$CC$2:$CC$250=_xlpm.thick)*(HELPER!$BW$2:$BW$250&lt;&gt;""),_xlpm.mats,TRIM(SUBSTITUTE(_xlfn._xlws.FILTER(HELPER!$BW$2:$BW$250,_xlpm.crit),CHAR(160),"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")),HELPER!$AQ$2:$AQ$20,1),_xlpm.mass,IF(ISNUMBER(SEARCH("paper",_xlpm.mats)),42,_xlpm.dens*_xlpm.ths),E53/1000000*SUM(_xlpm.mass)),"")</f>
        <v>3.2342500000000003E-2</v>
      </c>
      <c r="AS53" s="919">
        <f>IFERROR(IF(D53&gt;31,(5%+250/P53)*AF53,VLOOKUP(D53,HELPER!$BH$3:$BI$5,2,TRUE)*AF53),0)</f>
        <v>0.48519030868987689</v>
      </c>
      <c r="AT53" s="919">
        <v>0.149999999999999</v>
      </c>
      <c r="AU53" s="919"/>
      <c r="AV53" s="919"/>
      <c r="AW53" s="919"/>
      <c r="AX53" s="919"/>
      <c r="AY53" s="919"/>
      <c r="AZ53" s="919">
        <f t="shared" si="3"/>
        <v>0</v>
      </c>
    </row>
    <row r="54" spans="1:52">
      <c r="A54" s="73" t="s">
        <v>1475</v>
      </c>
      <c r="B54" s="73" t="s">
        <v>567</v>
      </c>
      <c r="C54" s="908" t="s">
        <v>1434</v>
      </c>
      <c r="D54" s="915" cm="1">
        <f t="array" ref="D5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4" s="915">
        <v>600</v>
      </c>
      <c r="F54" s="73" t="s">
        <v>1040</v>
      </c>
      <c r="G54" s="916">
        <v>100000</v>
      </c>
      <c r="H54" s="916"/>
      <c r="I54" s="916">
        <v>300</v>
      </c>
      <c r="J54" s="916">
        <v>200</v>
      </c>
      <c r="K54" s="73" t="s">
        <v>123</v>
      </c>
      <c r="L54" s="921" t="s">
        <v>122</v>
      </c>
      <c r="M54" s="915">
        <v>4</v>
      </c>
      <c r="N54" s="73" t="s">
        <v>549</v>
      </c>
      <c r="O54" s="73" t="s">
        <v>250</v>
      </c>
      <c r="P54" s="916" cm="1">
        <f t="array" ref="P54">IFERROR(_xlfn.SWITCH(F54,"By Weight",IF(H54&lt;&gt;"",H54,G54)/AR54,"By Length",G54,"By Imp",G54/MAX(1,ROUNDDOWN(E54/I54,0))*J54/1000,"IMP",G54/MAX(1,ROUNDDOWN(E54/I54,0))*J54/1000,""),"")</f>
        <v>10000</v>
      </c>
      <c r="Q54" s="916">
        <f t="shared" si="4"/>
        <v>776.21999999999991</v>
      </c>
      <c r="R54" s="917">
        <f t="shared" si="5"/>
        <v>11309.618717374997</v>
      </c>
      <c r="S54" s="918">
        <f t="shared" si="6"/>
        <v>13119.157712154996</v>
      </c>
      <c r="T54" s="919">
        <f t="shared" si="7"/>
        <v>14.57012022026616</v>
      </c>
      <c r="U54" s="920">
        <f t="shared" si="8"/>
        <v>16.901339455508744</v>
      </c>
      <c r="V54" s="919">
        <f t="shared" si="9"/>
        <v>1.3305433785147043</v>
      </c>
      <c r="W54" s="919">
        <f t="shared" si="10"/>
        <v>17.141317906195464</v>
      </c>
      <c r="X54" s="919">
        <f t="shared" si="11"/>
        <v>0.13305433785147044</v>
      </c>
      <c r="Y54" s="920">
        <f t="shared" si="12"/>
        <v>1.5434303190770569</v>
      </c>
      <c r="Z54" s="920">
        <f t="shared" si="13"/>
        <v>19.883928771186739</v>
      </c>
      <c r="AA54" s="920">
        <f t="shared" si="14"/>
        <v>0.15434303190770571</v>
      </c>
      <c r="AB54" s="917">
        <f t="shared" si="15"/>
        <v>13305.433785147043</v>
      </c>
      <c r="AC54" s="918">
        <f t="shared" si="16"/>
        <v>15434.303190770568</v>
      </c>
      <c r="AD54" s="916">
        <f t="shared" si="17"/>
        <v>6441.4727783360395</v>
      </c>
      <c r="AE54" s="916">
        <f t="shared" si="18"/>
        <v>500</v>
      </c>
      <c r="AF54" s="919" cm="1">
        <f t="array" ref="AF54">IFERROR(_xlfn.LET(_xlpm.lam,TEXT(B54,"0"),_xlpm.thick,D54,_xlpm.crit,(TEXT(HELPER!$BZ$2:$BZ$250,"0")=_xlpm.lam)*(HELPER!$CC$2:$CC$250=_xlpm.thick)*(HELPER!$BW$2:$BW$250&lt;&gt;""),_xlpm.mats,TRIM(SUBSTITUTE(_xlfn._xlws.FILTER(HELPER!$BW$2:$BW$250,_xlpm.crit),CHAR(160),"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4" s="919">
        <f>IFERROR(IF(N54="Europe to Canada",IF(Q54&lt;1000,VLOOKUP(1000,HELPER!$AG$4:$AH$8,2,FALSE)/Q54,VLOOKUP(Q54,HELPER!$AG$4:$AH$8,2,TRUE)/Q54),IF(N54="Europe to US",HELPER!$AH$2,IF(N54="Europe to Europe",HELPER!$AH$3,0))),0)</f>
        <v>0.2</v>
      </c>
      <c r="AH54" s="919" cm="1">
        <f t="array" ref="AH54">IFERROR(_xlfn.LET(_xlpm.cap,IF(O54="Quantum",760,1220),_xlpm.wUsed,E54*MAX(1,MIN(MAX(2,INT(900/E54)),INT((_xlpm.cap-50)/E54))),_xlpm.kgmUsed,AR54/E54*_xlpm.wUsed,_xlpm.lam,TEXT(B54,"0"),_xlpm.crit,(TEXT(HELPER!$BZ$2:$BZ$250,"0")=_xlpm.lam)*(HELPER!$CC$2:$CC$250=D54)*(HELPER!$BW$2:$BW$250&lt;&gt;""),_xlpm.mats,_xlfn._xlws.FILTER(HELPER!$BW$2:$BW$250,_xlpm.crit),_xlpm.realLayers,SUM((_xlpm.mats&lt;&gt;"")*ISERROR(SEARCH("EPOTAL",_xlpm.mats&amp;""))*ISERROR(SEARCH("BASONAT",_xlpm.mats&amp;""))*ISERROR(SEARCH("ADH",_xlpm.mats&amp;""))*ISERROR(SEARCH("HARDENER",_xlpm.mats&amp;""))),_xlpm.steps,MAX(0,_xlpm.realLayers-1),_xlpm.tier,IF(P54&lt;3000,1,IF(P54&lt;10000,2,IF(P54&lt;25000,3,IF(P54&lt;50000,4,IF(P54&lt;100000,5,IF(P54&lt;250000,6,7)))))),_xlpm.widthRow,IF(_xlpm.wUsed&lt;900,0,5),_xlpm.supplierRow,IF(O54="Marma",3,IF(OR(O54="Bastin",O54="Quantum"),13,0)),_xlpm.rate,INDEX('Lmntn &amp; Prntng- Marma &amp; Bastin '!$D$1:$K$22,_xlpm.supplierRow+_xlpm.widthRow,_xlpm.tier),_xlpm.rate*_xlpm.steps/_xlpm.kgmUsed),"")</f>
        <v>2.3583520136043905</v>
      </c>
      <c r="AI54" s="919" cm="1">
        <f t="array" ref="AI54">IFERROR(_xlfn.LET(_xlpm.cap,IF(O54="Quantum",760,1220),_xlpm.wUsed,E54*MAX(1,MIN(MAX(2,INT(900/E54)),INT((_xlpm.cap-50)/E54))),_xlpm.kgmUsed,AR54/E54*_xlpm.wUsed,_xlpm.tier,IF(P54&lt;3000,1,IF(P54&lt;10000,2,IF(P54&lt;25000,3,IF(P54&lt;50000,4,IF(P54&lt;100000,5,IF(P54&lt;250000,6,IF(P54&lt;500000,7,8))))))),_xlpm.widthRow,IF(_xlpm.wUsed&lt;900,0,5),_xlpm.slitRow,IF(O54="Marma",7,IF(OR(O54="Bastin",O54="Quantum"),17,0)),_xlpm.slitRate,INDEX('Lmntn &amp; Prntng- Marma &amp; Bastin '!$D$1:$K$22,_xlpm.slitRow+_xlpm.widthRow,_xlpm.tier),_xlpm.numColors,IF(ISNUMBER(L54),L54,IFERROR(--RIGHT(L54,LEN(L54)-FIND("-",L54)),0)),_xlpm.printRate,IF(OR(K54&lt;&gt;"Printed",_xlpm.numColors=0),0,IF(O54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54))),MAX(_xlfn._xlws.FILTER(_xlpm.meters,(_xlpm.widths=_xlpm.qWidth)*(_xlpm.bands=_xlpm.band)))),INDEX(_xlpm.rates,_xlfn.XMATCH(1,(_xlpm.widths=_xlpm.qWidth)*(_xlpm.bands=_xlpm.band)*(_xlpm.meters=_xlpm.targetM),0))/HELPER!$AK$2),_xlfn.LET(_xlpm.colorOffset,IF(_xlpm.numColors&lt;=2,1,IF(_xlpm.numColors&lt;=4,2,3)),_xlpm.supplierRow,IF(O54="Marma",3,IF(O54="Bastin",13,0)),INDEX('Lmntn &amp; Prntng- Marma &amp; Bastin '!$D$1:$K$22,_xlpm.supplierRow+_xlpm.widthRow+_xlpm.colorOffset,_xlpm.tier)))),AH54+_xlpm.slitRate/_xlpm.kgmUsed+_xlpm.printRate/_xlpm.kgmUsed+AJ54),"")</f>
        <v>6.4878513823400583</v>
      </c>
      <c r="AJ54" s="919" cm="1">
        <f t="array" ref="AJ54">IF(OR(K54&lt;&gt;"Printed",L54=0,L54="0",L54=""),0,IFERROR(_xlfn.LET(_xlpm.lam,TEXT(B54,"0"),_xlpm.crit,(TEXT(HELPER!$BZ$2:$BZ$250,"0")=_xlpm.lam)*(HELPER!$CC$2:$CC$250=D54)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WHITE"},0)))/ROWS(_xlpm.real),_xlpm.numColors,IF(ISNUMBER(L54),L54,IFERROR(--RIGHT(L54,LEN(L54)-FIND("-",L54)),0)),HELPER!$DB$1*_xlpm.numColors*MAX(1,M54)*1.05*_xlpm.nkRatio/Q54),0))</f>
        <v>2.1643348535209093</v>
      </c>
      <c r="AK54" s="919">
        <f t="shared" si="19"/>
        <v>1.4306918048545207</v>
      </c>
      <c r="AL54" s="919">
        <f t="shared" si="20"/>
        <v>1330.5433785147043</v>
      </c>
      <c r="AM54" s="73" t="str">
        <f t="shared" si="21"/>
        <v>PASS</v>
      </c>
      <c r="AN54" s="908" t="str">
        <f t="shared" si="0"/>
        <v/>
      </c>
      <c r="AO54" s="919">
        <f t="shared" si="1"/>
        <v>100</v>
      </c>
      <c r="AP54" s="919">
        <f t="shared" si="2"/>
        <v>10000</v>
      </c>
      <c r="AQ54" s="919"/>
      <c r="AR54" s="919" cm="1">
        <f t="array" ref="AR54">IFERROR(_xlfn.LET(_xlpm.lam,TEXT(B54,"0"),_xlpm.thick,D54,_xlpm.crit,(TEXT(HELPER!$BZ$2:$BZ$250,"0")=_xlpm.lam)*(HELPER!$CC$2:$CC$250=_xlpm.thick)*(HELPER!$BW$2:$BW$250&lt;&gt;""),_xlpm.mats,TRIM(SUBSTITUTE(_xlfn._xlws.FILTER(HELPER!$BW$2:$BW$250,_xlpm.crit),CHAR(160),"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")),HELPER!$AQ$2:$AQ$20,1),_xlpm.mass,IF(ISNUMBER(SEARCH("paper",_xlpm.mats)),42,_xlpm.dens*_xlpm.ths),E54/1000000*SUM(_xlpm.mass)),"")</f>
        <v>7.7621999999999997E-2</v>
      </c>
      <c r="AS54" s="919">
        <f>IFERROR(IF(D54&gt;31,(5%+250/P54)*AF54,VLOOKUP(D54,HELPER!$BH$3:$BI$5,2,TRUE)*AF54),0)</f>
        <v>0.54992573287856539</v>
      </c>
      <c r="AT54" s="919">
        <v>0.149999999999999</v>
      </c>
      <c r="AU54" s="919"/>
      <c r="AV54" s="919"/>
      <c r="AW54" s="919"/>
      <c r="AX54" s="919"/>
      <c r="AY54" s="919"/>
      <c r="AZ54" s="919">
        <f t="shared" si="3"/>
        <v>1680</v>
      </c>
    </row>
    <row r="55" spans="1:52">
      <c r="A55" s="73" t="s">
        <v>1476</v>
      </c>
      <c r="B55" s="73" t="s">
        <v>567</v>
      </c>
      <c r="C55" s="908" t="s">
        <v>1436</v>
      </c>
      <c r="D55" s="915" cm="1">
        <f t="array" ref="D5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5" s="915">
        <v>450</v>
      </c>
      <c r="F55" s="73" t="s">
        <v>560</v>
      </c>
      <c r="G55" s="916">
        <v>500</v>
      </c>
      <c r="H55" s="916">
        <v>500</v>
      </c>
      <c r="I55" s="916"/>
      <c r="J55" s="916"/>
      <c r="K55" s="73" t="s">
        <v>123</v>
      </c>
      <c r="L55" s="921" t="s">
        <v>591</v>
      </c>
      <c r="M55" s="915">
        <v>2</v>
      </c>
      <c r="N55" s="73" t="s">
        <v>549</v>
      </c>
      <c r="O55" s="73" t="s">
        <v>1366</v>
      </c>
      <c r="P55" s="916" cm="1">
        <f t="array" ref="P55">IFERROR(_xlfn.SWITCH(F55,"By Weight",IF(H55&lt;&gt;"",H55,G55)/AR55,"By Length",G55,"By Imp",G55/MAX(1,ROUNDDOWN(E55/I55,0))*J55/1000,"IMP",G55/MAX(1,ROUNDDOWN(E55/I55,0))*J55/1000,""),"")</f>
        <v>8588.6303711147193</v>
      </c>
      <c r="Q55" s="916">
        <f t="shared" si="4"/>
        <v>500.00000000000006</v>
      </c>
      <c r="R55" s="917">
        <f t="shared" si="5"/>
        <v>13952.782917612551</v>
      </c>
      <c r="S55" s="918">
        <f t="shared" si="6"/>
        <v>16185.228184430558</v>
      </c>
      <c r="T55" s="919">
        <f t="shared" si="7"/>
        <v>27.905565835225097</v>
      </c>
      <c r="U55" s="920">
        <f t="shared" si="8"/>
        <v>32.370456368861113</v>
      </c>
      <c r="V55" s="919">
        <f t="shared" si="9"/>
        <v>2.03070546680798</v>
      </c>
      <c r="W55" s="919">
        <f t="shared" si="10"/>
        <v>34.881957294031416</v>
      </c>
      <c r="X55" s="919" t="str">
        <f t="shared" si="11"/>
        <v/>
      </c>
      <c r="Y55" s="920">
        <f t="shared" si="12"/>
        <v>2.3556183414972565</v>
      </c>
      <c r="Z55" s="920">
        <f t="shared" si="13"/>
        <v>40.463070461076441</v>
      </c>
      <c r="AA55" s="920" t="str">
        <f t="shared" si="14"/>
        <v/>
      </c>
      <c r="AB55" s="917">
        <f t="shared" si="15"/>
        <v>17440.978647015709</v>
      </c>
      <c r="AC55" s="918">
        <f t="shared" si="16"/>
        <v>20231.535230538222</v>
      </c>
      <c r="AD55" s="916">
        <f t="shared" si="17"/>
        <v>8588.6303711147193</v>
      </c>
      <c r="AE55" s="916">
        <f t="shared" si="18"/>
        <v>500</v>
      </c>
      <c r="AF55" s="919" cm="1">
        <f t="array" ref="AF55">IFERROR(_xlfn.LET(_xlpm.lam,TEXT(B55,"0"),_xlpm.thick,D55,_xlpm.crit,(TEXT(HELPER!$BZ$2:$BZ$250,"0")=_xlpm.lam)*(HELPER!$CC$2:$CC$250=_xlpm.thick)*(HELPER!$BW$2:$BW$250&lt;&gt;""),_xlpm.mats,TRIM(SUBSTITUTE(_xlfn._xlws.FILTER(HELPER!$BW$2:$BW$250,_xlpm.crit),CHAR(160),"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5" s="919">
        <f>IFERROR(IF(N55="Europe to Canada",IF(Q55&lt;1000,VLOOKUP(1000,HELPER!$AG$4:$AH$8,2,FALSE)/Q55,VLOOKUP(Q55,HELPER!$AG$4:$AH$8,2,TRUE)/Q55),IF(N55="Europe to US",HELPER!$AH$2,IF(N55="Europe to Europe",HELPER!$AH$3,0))),0)</f>
        <v>0.2</v>
      </c>
      <c r="AH55" s="919" cm="1">
        <f t="array" ref="AH55">IFERROR(_xlfn.LET(_xlpm.cap,IF(O55="Quantum",760,1220),_xlpm.wUsed,E55*MAX(1,MIN(MAX(2,INT(900/E55)),INT((_xlpm.cap-50)/E55))),_xlpm.kgmUsed,AR55/E55*_xlpm.wUsed,_xlpm.lam,TEXT(B55,"0"),_xlpm.crit,(TEXT(HELPER!$BZ$2:$BZ$250,"0")=_xlpm.lam)*(HELPER!$CC$2:$CC$250=D55)*(HELPER!$BW$2:$BW$250&lt;&gt;""),_xlpm.mats,_xlfn._xlws.FILTER(HELPER!$BW$2:$BW$250,_xlpm.crit),_xlpm.realLayers,SUM((_xlpm.mats&lt;&gt;"")*ISERROR(SEARCH("EPOTAL",_xlpm.mats&amp;""))*ISERROR(SEARCH("BASONAT",_xlpm.mats&amp;""))*ISERROR(SEARCH("ADH",_xlpm.mats&amp;""))*ISERROR(SEARCH("HARDENER",_xlpm.mats&amp;""))),_xlpm.steps,MAX(0,_xlpm.realLayers-1),_xlpm.tier,IF(P55&lt;3000,1,IF(P55&lt;10000,2,IF(P55&lt;25000,3,IF(P55&lt;50000,4,IF(P55&lt;100000,5,IF(P55&lt;250000,6,7)))))),_xlpm.widthRow,IF(_xlpm.wUsed&lt;900,0,5),_xlpm.supplierRow,IF(O55="Marma",3,IF(OR(O55="Bastin",O55="Quantum"),13,0)),_xlpm.rate,INDEX('Lmntn &amp; Prntng- Marma &amp; Bastin '!$D$1:$K$22,_xlpm.supplierRow+_xlpm.widthRow,_xlpm.tier),_xlpm.rate*_xlpm.steps/_xlpm.kgmUsed),"")</f>
        <v>4.6505372188297143</v>
      </c>
      <c r="AI55" s="919" cm="1">
        <f t="array" ref="AI55">IFERROR(_xlfn.LET(_xlpm.cap,IF(O55="Quantum",760,1220),_xlpm.wUsed,E55*MAX(1,MIN(MAX(2,INT(900/E55)),INT((_xlpm.cap-50)/E55))),_xlpm.kgmUsed,AR55/E55*_xlpm.wUsed,_xlpm.tier,IF(P55&lt;3000,1,IF(P55&lt;10000,2,IF(P55&lt;25000,3,IF(P55&lt;50000,4,IF(P55&lt;100000,5,IF(P55&lt;250000,6,IF(P55&lt;500000,7,8))))))),_xlpm.widthRow,IF(_xlpm.wUsed&lt;900,0,5),_xlpm.slitRow,IF(O55="Marma",7,IF(OR(O55="Bastin",O55="Quantum"),17,0)),_xlpm.slitRate,INDEX('Lmntn &amp; Prntng- Marma &amp; Bastin '!$D$1:$K$22,_xlpm.slitRow+_xlpm.widthRow,_xlpm.tier),_xlpm.numColors,IF(ISNUMBER(L55),L55,IFERROR(--RIGHT(L55,LEN(L55)-FIND("-",L55)),0)),_xlpm.printRate,IF(OR(K55&lt;&gt;"Printed",_xlpm.numColors=0),0,IF(O55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55))),MAX(_xlfn._xlws.FILTER(_xlpm.meters,(_xlpm.widths=_xlpm.qWidth)*(_xlpm.bands=_xlpm.band)))),INDEX(_xlpm.rates,_xlfn.XMATCH(1,(_xlpm.widths=_xlpm.qWidth)*(_xlpm.bands=_xlpm.band)*(_xlpm.meters=_xlpm.targetM),0))/HELPER!$AK$2),_xlfn.LET(_xlpm.colorOffset,IF(_xlpm.numColors&lt;=2,1,IF(_xlpm.numColors&lt;=4,2,3)),_xlpm.supplierRow,IF(O55="Marma",3,IF(O55="Bastin",13,0)),INDEX('Lmntn &amp; Prntng- Marma &amp; Bastin '!$D$1:$K$22,_xlpm.supplierRow+_xlpm.widthRow+_xlpm.colorOffset,_xlpm.tier)))),AH55+_xlpm.slitRate/_xlpm.kgmUsed+_xlpm.printRate/_xlpm.kgmUsed+AJ55),"")</f>
        <v>19.793173898737681</v>
      </c>
      <c r="AJ55" s="919" cm="1">
        <f t="array" ref="AJ55">IF(OR(K55&lt;&gt;"Printed",L55=0,L55="0",L55=""),0,IFERROR(_xlfn.LET(_xlpm.lam,TEXT(B55,"0"),_xlpm.crit,(TEXT(HELPER!$BZ$2:$BZ$250,"0")=_xlpm.lam)*(HELPER!$CC$2:$CC$250=D55)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WHITE"},0)))/ROWS(_xlpm.real),_xlpm.numColors,IF(ISNUMBER(L55),L55,IFERROR(--RIGHT(L55,LEN(L55)-FIND("-",L55)),0)),HELPER!$DB$1*_xlpm.numColors*MAX(1,M55)*1.05*_xlpm.nkRatio/Q55),0))</f>
        <v>0.83999999999999986</v>
      </c>
      <c r="AK55" s="919">
        <f t="shared" si="19"/>
        <v>2.9114056871798994</v>
      </c>
      <c r="AL55" s="919">
        <f t="shared" si="20"/>
        <v>2030.70546680798</v>
      </c>
      <c r="AM55" s="73" t="str">
        <f t="shared" si="21"/>
        <v>PASS</v>
      </c>
      <c r="AN55" s="908" t="str">
        <f t="shared" si="0"/>
        <v/>
      </c>
      <c r="AO55" s="919">
        <f t="shared" si="1"/>
        <v>100</v>
      </c>
      <c r="AP55" s="919">
        <f t="shared" si="2"/>
        <v>8588.6303711147193</v>
      </c>
      <c r="AQ55" s="919"/>
      <c r="AR55" s="919" cm="1">
        <f t="array" ref="AR55">IFERROR(_xlfn.LET(_xlpm.lam,TEXT(B55,"0"),_xlpm.thick,D55,_xlpm.crit,(TEXT(HELPER!$BZ$2:$BZ$250,"0")=_xlpm.lam)*(HELPER!$CC$2:$CC$250=_xlpm.thick)*(HELPER!$BW$2:$BW$250&lt;&gt;""),_xlpm.mats,TRIM(SUBSTITUTE(_xlfn._xlws.FILTER(HELPER!$BW$2:$BW$250,_xlpm.crit),CHAR(160),"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")),HELPER!$AQ$2:$AQ$20,1),_xlpm.mass,IF(ISNUMBER(SEARCH("paper",_xlpm.mats)),42,_xlpm.dens*_xlpm.ths),E55/1000000*SUM(_xlpm.mass)),"")</f>
        <v>5.8216499999999997E-2</v>
      </c>
      <c r="AS55" s="919">
        <f>IFERROR(IF(D55&gt;31,(5%+250/P55)*AF55,VLOOKUP(D55,HELPER!$BH$3:$BI$5,2,TRUE)*AF55),0)</f>
        <v>0.58004883143987684</v>
      </c>
      <c r="AT55" s="919">
        <v>0.20000000000000101</v>
      </c>
      <c r="AU55" s="919"/>
      <c r="AV55" s="919"/>
      <c r="AW55" s="919"/>
      <c r="AX55" s="919"/>
      <c r="AY55" s="919"/>
      <c r="AZ55" s="919">
        <f t="shared" si="3"/>
        <v>420</v>
      </c>
    </row>
    <row r="56" spans="1:52">
      <c r="A56" s="73" t="s">
        <v>1477</v>
      </c>
      <c r="B56" s="73">
        <v>618</v>
      </c>
      <c r="C56" s="908" t="s">
        <v>1418</v>
      </c>
      <c r="D56" s="915" cm="1">
        <f t="array" ref="D5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56" s="915">
        <v>120</v>
      </c>
      <c r="F56" s="73" t="s">
        <v>560</v>
      </c>
      <c r="G56" s="916">
        <v>100</v>
      </c>
      <c r="H56" s="916">
        <v>100</v>
      </c>
      <c r="I56" s="916"/>
      <c r="J56" s="916"/>
      <c r="K56" s="73" t="s">
        <v>124</v>
      </c>
      <c r="L56" s="921" t="s">
        <v>221</v>
      </c>
      <c r="M56" s="915">
        <v>1</v>
      </c>
      <c r="N56" s="73" t="s">
        <v>549</v>
      </c>
      <c r="O56" s="73" t="s">
        <v>250</v>
      </c>
      <c r="P56" s="916" cm="1">
        <f t="array" ref="P56">IFERROR(_xlfn.SWITCH(F56,"By Weight",IF(H56&lt;&gt;"",H56,G56)/AR56,"By Length",G56,"By Imp",G56/MAX(1,ROUNDDOWN(E56/I56,0))*J56/1000,"IMP",G56/MAX(1,ROUNDDOWN(E56/I56,0))*J56/1000,""),"")</f>
        <v>12369.50175646925</v>
      </c>
      <c r="Q56" s="916">
        <f t="shared" si="4"/>
        <v>100</v>
      </c>
      <c r="R56" s="917">
        <f t="shared" si="5"/>
        <v>998.27252630733801</v>
      </c>
      <c r="S56" s="918">
        <f t="shared" si="6"/>
        <v>1157.996130516512</v>
      </c>
      <c r="T56" s="919">
        <f t="shared" si="7"/>
        <v>9.9827252630733803</v>
      </c>
      <c r="U56" s="920">
        <f t="shared" si="8"/>
        <v>11.579961305165121</v>
      </c>
      <c r="V56" s="919">
        <f t="shared" si="9"/>
        <v>9.4946287196224263E-2</v>
      </c>
      <c r="W56" s="919">
        <f t="shared" si="10"/>
        <v>11.744382662439298</v>
      </c>
      <c r="X56" s="919" t="str">
        <f t="shared" si="11"/>
        <v/>
      </c>
      <c r="Y56" s="920">
        <f t="shared" si="12"/>
        <v>0.11013769314762013</v>
      </c>
      <c r="Z56" s="920">
        <f t="shared" si="13"/>
        <v>13.623483888429584</v>
      </c>
      <c r="AA56" s="920" t="str">
        <f t="shared" si="14"/>
        <v/>
      </c>
      <c r="AB56" s="917">
        <f t="shared" si="15"/>
        <v>1174.4382662439298</v>
      </c>
      <c r="AC56" s="918">
        <f t="shared" si="16"/>
        <v>1362.3483888429585</v>
      </c>
      <c r="AD56" s="916">
        <f t="shared" si="17"/>
        <v>61847.508782346245</v>
      </c>
      <c r="AE56" s="916">
        <f t="shared" si="18"/>
        <v>500</v>
      </c>
      <c r="AF56" s="919" cm="1">
        <f t="array" ref="AF56">IFERROR(_xlfn.LET(_xlpm.lam,TEXT(B56,"0"),_xlpm.thick,D56,_xlpm.crit,(TEXT(HELPER!$BZ$2:$BZ$250,"0")=_xlpm.lam)*(HELPER!$CC$2:$CC$250=_xlpm.thick)*(HELPER!$BW$2:$BW$250&lt;&gt;""),_xlpm.mats,TRIM(SUBSTITUTE(_xlfn._xlws.FILTER(HELPER!$BW$2:$BW$250,_xlpm.crit),CHAR(160),"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56" s="919">
        <f>IFERROR(IF(N56="Europe to Canada",IF(Q56&lt;1000,VLOOKUP(1000,HELPER!$AG$4:$AH$8,2,FALSE)/Q56,VLOOKUP(Q56,HELPER!$AG$4:$AH$8,2,TRUE)/Q56),IF(N56="Europe to US",HELPER!$AH$2,IF(N56="Europe to Europe",HELPER!$AH$3,0))),0)</f>
        <v>0.2</v>
      </c>
      <c r="AH56" s="919" cm="1">
        <f t="array" ref="AH56">IFERROR(_xlfn.LET(_xlpm.cap,IF(O56="Quantum",760,1220),_xlpm.wUsed,E56*MAX(1,MIN(MAX(2,INT(900/E56)),INT((_xlpm.cap-50)/E56))),_xlpm.kgmUsed,AR56/E56*_xlpm.wUsed,_xlpm.lam,TEXT(B56,"0"),_xlpm.crit,(TEXT(HELPER!$BZ$2:$BZ$250,"0")=_xlpm.lam)*(HELPER!$CC$2:$CC$250=D56)*(HELPER!$BW$2:$BW$250&lt;&gt;""),_xlpm.mats,_xlfn._xlws.FILTER(HELPER!$BW$2:$BW$250,_xlpm.crit),_xlpm.realLayers,SUM((_xlpm.mats&lt;&gt;"")*ISERROR(SEARCH("EPOTAL",_xlpm.mats&amp;""))*ISERROR(SEARCH("BASONAT",_xlpm.mats&amp;""))*ISERROR(SEARCH("ADH",_xlpm.mats&amp;""))*ISERROR(SEARCH("HARDENER",_xlpm.mats&amp;""))),_xlpm.steps,MAX(0,_xlpm.realLayers-1),_xlpm.tier,IF(P56&lt;3000,1,IF(P56&lt;10000,2,IF(P56&lt;25000,3,IF(P56&lt;50000,4,IF(P56&lt;100000,5,IF(P56&lt;250000,6,7)))))),_xlpm.widthRow,IF(_xlpm.wUsed&lt;900,0,5),_xlpm.supplierRow,IF(O56="Marma",3,IF(OR(O56="Bastin",O56="Quantum"),13,0)),_xlpm.rate,INDEX('Lmntn &amp; Prntng- Marma &amp; Bastin '!$D$1:$K$22,_xlpm.supplierRow+_xlpm.widthRow,_xlpm.tier),_xlpm.rate*_xlpm.steps/_xlpm.kgmUsed),"")</f>
        <v>1.617400708242329</v>
      </c>
      <c r="AI56" s="919" cm="1">
        <f t="array" ref="AI56">IFERROR(_xlfn.LET(_xlpm.cap,IF(O56="Quantum",760,1220),_xlpm.wUsed,E56*MAX(1,MIN(MAX(2,INT(900/E56)),INT((_xlpm.cap-50)/E56))),_xlpm.kgmUsed,AR56/E56*_xlpm.wUsed,_xlpm.tier,IF(P56&lt;3000,1,IF(P56&lt;10000,2,IF(P56&lt;25000,3,IF(P56&lt;50000,4,IF(P56&lt;100000,5,IF(P56&lt;250000,6,IF(P56&lt;500000,7,8))))))),_xlpm.widthRow,IF(_xlpm.wUsed&lt;900,0,5),_xlpm.slitRow,IF(O56="Marma",7,IF(OR(O56="Bastin",O56="Quantum"),17,0)),_xlpm.slitRate,INDEX('Lmntn &amp; Prntng- Marma &amp; Bastin '!$D$1:$K$22,_xlpm.slitRow+_xlpm.widthRow,_xlpm.tier),_xlpm.numColors,IF(ISNUMBER(L56),L56,IFERROR(--RIGHT(L56,LEN(L56)-FIND("-",L56)),0)),_xlpm.printRate,IF(OR(K56&lt;&gt;"Printed",_xlpm.numColors=0),0,IF(O56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56))),MAX(_xlfn._xlws.FILTER(_xlpm.meters,(_xlpm.widths=_xlpm.qWidth)*(_xlpm.bands=_xlpm.band)))),INDEX(_xlpm.rates,_xlfn.XMATCH(1,(_xlpm.widths=_xlpm.qWidth)*(_xlpm.bands=_xlpm.band)*(_xlpm.meters=_xlpm.targetM),0))/HELPER!$AK$2),_xlfn.LET(_xlpm.colorOffset,IF(_xlpm.numColors&lt;=2,1,IF(_xlpm.numColors&lt;=4,2,3)),_xlpm.supplierRow,IF(O56="Marma",3,IF(O56="Bastin",13,0)),INDEX('Lmntn &amp; Prntng- Marma &amp; Bastin '!$D$1:$K$22,_xlpm.supplierRow+_xlpm.widthRow+_xlpm.colorOffset,_xlpm.tier)))),AH56+_xlpm.slitRate/_xlpm.kgmUsed+_xlpm.printRate/_xlpm.kgmUsed+AJ56),"")</f>
        <v>2.0754256875675905</v>
      </c>
      <c r="AJ56" s="919" cm="1">
        <f t="array" ref="AJ56">IF(OR(K56&lt;&gt;"Printed",L56=0,L56="0",L56=""),0,IFERROR(_xlfn.LET(_xlpm.lam,TEXT(B56,"0"),_xlpm.crit,(TEXT(HELPER!$BZ$2:$BZ$250,"0")=_xlpm.lam)*(HELPER!$CC$2:$CC$250=D56)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WHITE"},0)))/ROWS(_xlpm.real),_xlpm.numColors,IF(ISNUMBER(L56),L56,IFERROR(--RIGHT(L56,LEN(L56)-FIND("-",L56)),0)),HELPER!$DB$1*_xlpm.numColors*MAX(1,M56)*1.05*_xlpm.nkRatio/Q56),0))</f>
        <v>0</v>
      </c>
      <c r="AK56" s="919">
        <f t="shared" si="19"/>
        <v>0.51046390965711974</v>
      </c>
      <c r="AL56" s="919">
        <f t="shared" si="20"/>
        <v>94.946287196224262</v>
      </c>
      <c r="AM56" s="73" t="str">
        <f t="shared" si="21"/>
        <v>PASS</v>
      </c>
      <c r="AN56" s="908" t="str">
        <f t="shared" si="0"/>
        <v/>
      </c>
      <c r="AO56" s="919">
        <f t="shared" si="1"/>
        <v>51</v>
      </c>
      <c r="AP56" s="919">
        <f t="shared" si="2"/>
        <v>12369.50175646925</v>
      </c>
      <c r="AQ56" s="919"/>
      <c r="AR56" s="919" cm="1">
        <f t="array" ref="AR56">IFERROR(_xlfn.LET(_xlpm.lam,TEXT(B56,"0"),_xlpm.thick,D56,_xlpm.crit,(TEXT(HELPER!$BZ$2:$BZ$250,"0")=_xlpm.lam)*(HELPER!$CC$2:$CC$250=_xlpm.thick)*(HELPER!$BW$2:$BW$250&lt;&gt;""),_xlpm.mats,TRIM(SUBSTITUTE(_xlfn._xlws.FILTER(HELPER!$BW$2:$BW$250,_xlpm.crit),CHAR(160),"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")),HELPER!$AQ$2:$AQ$20,1),_xlpm.mass,IF(ISNUMBER(SEARCH("paper",_xlpm.mats)),42,_xlpm.dens*_xlpm.ths),E56/1000000*SUM(_xlpm.mass)),"")</f>
        <v>8.0844000000000003E-3</v>
      </c>
      <c r="AS56" s="919">
        <f>IFERROR(IF(D56&gt;31,(5%+250/P56)*AF56,VLOOKUP(D56,HELPER!$BH$3:$BI$5,2,TRUE)*AF56),0)</f>
        <v>0.50563600121456131</v>
      </c>
      <c r="AT56" s="919">
        <v>0.15000000000000199</v>
      </c>
      <c r="AU56" s="919"/>
      <c r="AV56" s="919"/>
      <c r="AW56" s="919"/>
      <c r="AX56" s="919"/>
      <c r="AY56" s="919"/>
      <c r="AZ56" s="919">
        <f t="shared" si="3"/>
        <v>0</v>
      </c>
    </row>
    <row r="57" spans="1:52">
      <c r="A57" s="73" t="s">
        <v>1478</v>
      </c>
      <c r="B57" s="73">
        <v>618</v>
      </c>
      <c r="C57" s="908" t="s">
        <v>1420</v>
      </c>
      <c r="D57" s="915" cm="1">
        <f t="array" ref="D5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57" s="915">
        <v>120</v>
      </c>
      <c r="F57" s="73" t="s">
        <v>1040</v>
      </c>
      <c r="G57" s="916">
        <v>1000</v>
      </c>
      <c r="H57" s="916"/>
      <c r="I57" s="916">
        <v>80</v>
      </c>
      <c r="J57" s="916">
        <v>80</v>
      </c>
      <c r="K57" s="73" t="s">
        <v>123</v>
      </c>
      <c r="L57" s="921" t="s">
        <v>591</v>
      </c>
      <c r="M57" s="915">
        <v>1</v>
      </c>
      <c r="N57" s="73" t="s">
        <v>550</v>
      </c>
      <c r="O57" s="73" t="s">
        <v>240</v>
      </c>
      <c r="P57" s="916" cm="1">
        <f t="array" ref="P57">IFERROR(_xlfn.SWITCH(F57,"By Weight",IF(H57&lt;&gt;"",H57,G57)/AR57,"By Length",G57,"By Imp",G57/MAX(1,ROUNDDOWN(E57/I57,0))*J57/1000,"IMP",G57/MAX(1,ROUNDDOWN(E57/I57,0))*J57/1000,""),"")</f>
        <v>80</v>
      </c>
      <c r="Q57" s="916">
        <f t="shared" si="4"/>
        <v>0.64675199999999999</v>
      </c>
      <c r="R57" s="917">
        <f t="shared" si="5"/>
        <v>343.55894645742859</v>
      </c>
      <c r="S57" s="918">
        <f t="shared" si="6"/>
        <v>398.52837789061715</v>
      </c>
      <c r="T57" s="919">
        <f t="shared" si="7"/>
        <v>531.20662395698594</v>
      </c>
      <c r="U57" s="920">
        <f t="shared" si="8"/>
        <v>616.19968379010368</v>
      </c>
      <c r="V57" s="919">
        <f t="shared" si="9"/>
        <v>5.0523374479033736</v>
      </c>
      <c r="W57" s="919">
        <f t="shared" si="10"/>
        <v>624.9489693611614</v>
      </c>
      <c r="X57" s="919">
        <f t="shared" si="11"/>
        <v>0.40418699583226991</v>
      </c>
      <c r="Y57" s="920">
        <f t="shared" si="12"/>
        <v>5.860711439567913</v>
      </c>
      <c r="Z57" s="920">
        <f t="shared" si="13"/>
        <v>724.94080445894713</v>
      </c>
      <c r="AA57" s="920">
        <f t="shared" si="14"/>
        <v>0.46885691516543304</v>
      </c>
      <c r="AB57" s="917">
        <f t="shared" si="15"/>
        <v>404.18699583226987</v>
      </c>
      <c r="AC57" s="918">
        <f t="shared" si="16"/>
        <v>468.85691516543301</v>
      </c>
      <c r="AD57" s="916">
        <f t="shared" si="17"/>
        <v>61847.508782346245</v>
      </c>
      <c r="AE57" s="916">
        <f t="shared" si="18"/>
        <v>500</v>
      </c>
      <c r="AF57" s="919" cm="1">
        <f t="array" ref="AF57">IFERROR(_xlfn.LET(_xlpm.lam,TEXT(B57,"0"),_xlpm.thick,D57,_xlpm.crit,(TEXT(HELPER!$BZ$2:$BZ$250,"0")=_xlpm.lam)*(HELPER!$CC$2:$CC$250=_xlpm.thick)*(HELPER!$BW$2:$BW$250&lt;&gt;""),_xlpm.mats,TRIM(SUBSTITUTE(_xlfn._xlws.FILTER(HELPER!$BW$2:$BW$250,_xlpm.crit),CHAR(160),"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57" s="919">
        <f>IFERROR(IF(N57="Europe to Canada",IF(Q57&lt;1000,VLOOKUP(1000,HELPER!$AG$4:$AH$8,2,FALSE)/Q57,VLOOKUP(Q57,HELPER!$AG$4:$AH$8,2,TRUE)/Q57),IF(N57="Europe to US",HELPER!$AH$2,IF(N57="Europe to Europe",HELPER!$AH$3,0))),0)</f>
        <v>5.4</v>
      </c>
      <c r="AH57" s="919" cm="1">
        <f t="array" ref="AH57">IFERROR(_xlfn.LET(_xlpm.cap,IF(O57="Quantum",760,1220),_xlpm.wUsed,E57*MAX(1,MIN(MAX(2,INT(900/E57)),INT((_xlpm.cap-50)/E57))),_xlpm.kgmUsed,AR57/E57*_xlpm.wUsed,_xlpm.lam,TEXT(B57,"0"),_xlpm.crit,(TEXT(HELPER!$BZ$2:$BZ$250,"0")=_xlpm.lam)*(HELPER!$CC$2:$CC$250=D57)*(HELPER!$BW$2:$BW$250&lt;&gt;""),_xlpm.mats,_xlfn._xlws.FILTER(HELPER!$BW$2:$BW$250,_xlpm.crit),_xlpm.realLayers,SUM((_xlpm.mats&lt;&gt;"")*ISERROR(SEARCH("EPOTAL",_xlpm.mats&amp;""))*ISERROR(SEARCH("BASONAT",_xlpm.mats&amp;""))*ISERROR(SEARCH("ADH",_xlpm.mats&amp;""))*ISERROR(SEARCH("HARDENER",_xlpm.mats&amp;""))),_xlpm.steps,MAX(0,_xlpm.realLayers-1),_xlpm.tier,IF(P57&lt;3000,1,IF(P57&lt;10000,2,IF(P57&lt;25000,3,IF(P57&lt;50000,4,IF(P57&lt;100000,5,IF(P57&lt;250000,6,7)))))),_xlpm.widthRow,IF(_xlpm.wUsed&lt;900,0,5),_xlpm.supplierRow,IF(O57="Marma",3,IF(OR(O57="Bastin",O57="Quantum"),13,0)),_xlpm.rate,INDEX('Lmntn &amp; Prntng- Marma &amp; Bastin '!$D$1:$K$22,_xlpm.supplierRow+_xlpm.widthRow,_xlpm.tier),_xlpm.rate*_xlpm.steps/_xlpm.kgmUsed),"")</f>
        <v>2.6815136029177884</v>
      </c>
      <c r="AI57" s="919" cm="1">
        <f t="array" ref="AI57">IFERROR(_xlfn.LET(_xlpm.cap,IF(O57="Quantum",760,1220),_xlpm.wUsed,E57*MAX(1,MIN(MAX(2,INT(900/E57)),INT((_xlpm.cap-50)/E57))),_xlpm.kgmUsed,AR57/E57*_xlpm.wUsed,_xlpm.tier,IF(P57&lt;3000,1,IF(P57&lt;10000,2,IF(P57&lt;25000,3,IF(P57&lt;50000,4,IF(P57&lt;100000,5,IF(P57&lt;250000,6,IF(P57&lt;500000,7,8))))))),_xlpm.widthRow,IF(_xlpm.wUsed&lt;900,0,5),_xlpm.slitRow,IF(O57="Marma",7,IF(OR(O57="Bastin",O57="Quantum"),17,0)),_xlpm.slitRate,INDEX('Lmntn &amp; Prntng- Marma &amp; Bastin '!$D$1:$K$22,_xlpm.slitRow+_xlpm.widthRow,_xlpm.tier),_xlpm.numColors,IF(ISNUMBER(L57),L57,IFERROR(--RIGHT(L57,LEN(L57)-FIND("-",L57)),0)),_xlpm.printRate,IF(OR(K57&lt;&gt;"Printed",_xlpm.numColors=0),0,IF(O57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57))),MAX(_xlfn._xlws.FILTER(_xlpm.meters,(_xlpm.widths=_xlpm.qWidth)*(_xlpm.bands=_xlpm.band)))),INDEX(_xlpm.rates,_xlfn.XMATCH(1,(_xlpm.widths=_xlpm.qWidth)*(_xlpm.bands=_xlpm.band)*(_xlpm.meters=_xlpm.targetM),0))/HELPER!$AK$2),_xlfn.LET(_xlpm.colorOffset,IF(_xlpm.numColors&lt;=2,1,IF(_xlpm.numColors&lt;=4,2,3)),_xlpm.supplierRow,IF(O57="Marma",3,IF(O57="Bastin",13,0)),INDEX('Lmntn &amp; Prntng- Marma &amp; Bastin '!$D$1:$K$22,_xlpm.supplierRow+_xlpm.widthRow+_xlpm.colorOffset,_xlpm.tier)))),AH57+_xlpm.slitRate/_xlpm.kgmUsed+_xlpm.printRate/_xlpm.kgmUsed+AJ57),"")</f>
        <v>495.73967853432003</v>
      </c>
      <c r="AJ57" s="919" cm="1">
        <f t="array" ref="AJ57">IF(OR(K57&lt;&gt;"Printed",L57=0,L57="0",L57=""),0,IFERROR(_xlfn.LET(_xlpm.lam,TEXT(B57,"0"),_xlpm.crit,(TEXT(HELPER!$BZ$2:$BZ$250,"0")=_xlpm.lam)*(HELPER!$CC$2:$CC$250=D57)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WHITE"},0)))/ROWS(_xlpm.real),_xlpm.numColors,IF(ISNUMBER(L57),L57,IFERROR(--RIGHT(L57,LEN(L57)-FIND("-",L57)),0)),HELPER!$DB$1*_xlpm.numColors*MAX(1,M57)*1.05*_xlpm.nkRatio/Q57),0))</f>
        <v>487.04913166097668</v>
      </c>
      <c r="AK57" s="919">
        <f t="shared" si="19"/>
        <v>27.163104558620287</v>
      </c>
      <c r="AL57" s="919">
        <f t="shared" si="20"/>
        <v>5052.3374479033737</v>
      </c>
      <c r="AM57" s="73" t="str">
        <f t="shared" si="21"/>
        <v>PASS</v>
      </c>
      <c r="AN57" s="908" t="str">
        <f t="shared" si="0"/>
        <v/>
      </c>
      <c r="AO57" s="919">
        <f t="shared" si="1"/>
        <v>51</v>
      </c>
      <c r="AP57" s="919">
        <f t="shared" si="2"/>
        <v>80</v>
      </c>
      <c r="AQ57" s="919"/>
      <c r="AR57" s="919" cm="1">
        <f t="array" ref="AR57">IFERROR(_xlfn.LET(_xlpm.lam,TEXT(B57,"0"),_xlpm.thick,D57,_xlpm.crit,(TEXT(HELPER!$BZ$2:$BZ$250,"0")=_xlpm.lam)*(HELPER!$CC$2:$CC$250=_xlpm.thick)*(HELPER!$BW$2:$BW$250&lt;&gt;""),_xlpm.mats,TRIM(SUBSTITUTE(_xlfn._xlws.FILTER(HELPER!$BW$2:$BW$250,_xlpm.crit),CHAR(160),"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")),HELPER!$AQ$2:$AQ$20,1),_xlpm.mass,IF(ISNUMBER(SEARCH("paper",_xlpm.mats)),42,_xlpm.dens*_xlpm.ths),E57/1000000*SUM(_xlpm.mass)),"")</f>
        <v>8.0844000000000003E-3</v>
      </c>
      <c r="AS57" s="919">
        <f>IFERROR(IF(D57&gt;31,(5%+250/P57)*AF57,VLOOKUP(D57,HELPER!$BH$3:$BI$5,2,TRUE)*AF57),0)</f>
        <v>22.865281848374643</v>
      </c>
      <c r="AT57" s="919">
        <v>0.15000000000000199</v>
      </c>
      <c r="AU57" s="919"/>
      <c r="AV57" s="919"/>
      <c r="AW57" s="919"/>
      <c r="AX57" s="919"/>
      <c r="AY57" s="919"/>
      <c r="AZ57" s="919">
        <f t="shared" si="3"/>
        <v>315</v>
      </c>
    </row>
    <row r="58" spans="1:52">
      <c r="A58" s="73" t="s">
        <v>1479</v>
      </c>
      <c r="B58" s="73">
        <v>618</v>
      </c>
      <c r="C58" s="908" t="s">
        <v>1422</v>
      </c>
      <c r="D58" s="915" cm="1">
        <f t="array" ref="D5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58" s="915">
        <v>350</v>
      </c>
      <c r="F58" s="73" t="s">
        <v>560</v>
      </c>
      <c r="G58" s="916">
        <v>5000</v>
      </c>
      <c r="H58" s="916">
        <v>5000</v>
      </c>
      <c r="I58" s="916"/>
      <c r="J58" s="916"/>
      <c r="K58" s="73" t="s">
        <v>123</v>
      </c>
      <c r="L58" s="921" t="s">
        <v>122</v>
      </c>
      <c r="M58" s="915">
        <v>4</v>
      </c>
      <c r="N58" s="73" t="s">
        <v>549</v>
      </c>
      <c r="O58" s="73" t="s">
        <v>1366</v>
      </c>
      <c r="P58" s="916" cm="1">
        <f t="array" ref="P58">IFERROR(_xlfn.SWITCH(F58,"By Weight",IF(H58&lt;&gt;"",H58,G58)/AR58,"By Length",G58,"By Imp",G58/MAX(1,ROUNDDOWN(E58/I58,0))*J58/1000,"IMP",G58/MAX(1,ROUNDDOWN(E58/I58,0))*J58/1000,""),"")</f>
        <v>165881.49426050027</v>
      </c>
      <c r="Q58" s="916">
        <f t="shared" si="4"/>
        <v>5000</v>
      </c>
      <c r="R58" s="917">
        <f t="shared" si="5"/>
        <v>113946.64352154653</v>
      </c>
      <c r="S58" s="918">
        <f t="shared" si="6"/>
        <v>132178.10648499397</v>
      </c>
      <c r="T58" s="919">
        <f t="shared" si="7"/>
        <v>22.789328704309305</v>
      </c>
      <c r="U58" s="920">
        <f t="shared" si="8"/>
        <v>26.435621296998793</v>
      </c>
      <c r="V58" s="919">
        <f t="shared" si="9"/>
        <v>0.8586449322566172</v>
      </c>
      <c r="W58" s="919">
        <f t="shared" si="10"/>
        <v>28.48666088038674</v>
      </c>
      <c r="X58" s="919" t="str">
        <f t="shared" si="11"/>
        <v/>
      </c>
      <c r="Y58" s="920">
        <f t="shared" si="12"/>
        <v>0.99602812141767594</v>
      </c>
      <c r="Z58" s="920">
        <f t="shared" si="13"/>
        <v>33.044526621248615</v>
      </c>
      <c r="AA58" s="920" t="str">
        <f t="shared" si="14"/>
        <v/>
      </c>
      <c r="AB58" s="917">
        <f t="shared" si="15"/>
        <v>142433.30440193371</v>
      </c>
      <c r="AC58" s="918">
        <f t="shared" si="16"/>
        <v>165222.6331062431</v>
      </c>
      <c r="AD58" s="916">
        <f t="shared" si="17"/>
        <v>16588.149426050029</v>
      </c>
      <c r="AE58" s="916">
        <f t="shared" si="18"/>
        <v>500</v>
      </c>
      <c r="AF58" s="919" cm="1">
        <f t="array" ref="AF58">IFERROR(_xlfn.LET(_xlpm.lam,TEXT(B58,"0"),_xlpm.thick,D58,_xlpm.crit,(TEXT(HELPER!$BZ$2:$BZ$250,"0")=_xlpm.lam)*(HELPER!$CC$2:$CC$250=_xlpm.thick)*(HELPER!$BW$2:$BW$250&lt;&gt;""),_xlpm.mats,TRIM(SUBSTITUTE(_xlfn._xlws.FILTER(HELPER!$BW$2:$BW$250,_xlpm.crit),CHAR(160),"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7.0823190896423585</v>
      </c>
      <c r="AG58" s="919">
        <f>IFERROR(IF(N58="Europe to Canada",IF(Q58&lt;1000,VLOOKUP(1000,HELPER!$AG$4:$AH$8,2,FALSE)/Q58,VLOOKUP(Q58,HELPER!$AG$4:$AH$8,2,TRUE)/Q58),IF(N58="Europe to US",HELPER!$AH$2,IF(N58="Europe to Europe",HELPER!$AH$3,0))),0)</f>
        <v>0.2</v>
      </c>
      <c r="AH58" s="919" cm="1">
        <f t="array" ref="AH58">IFERROR(_xlfn.LET(_xlpm.cap,IF(O58="Quantum",760,1220),_xlpm.wUsed,E58*MAX(1,MIN(MAX(2,INT(900/E58)),INT((_xlpm.cap-50)/E58))),_xlpm.kgmUsed,AR58/E58*_xlpm.wUsed,_xlpm.lam,TEXT(B58,"0"),_xlpm.crit,(TEXT(HELPER!$BZ$2:$BZ$250,"0")=_xlpm.lam)*(HELPER!$CC$2:$CC$250=D58)*(HELPER!$BW$2:$BW$250&lt;&gt;""),_xlpm.mats,_xlfn._xlws.FILTER(HELPER!$BW$2:$BW$250,_xlpm.crit),_xlpm.realLayers,SUM((_xlpm.mats&lt;&gt;"")*ISERROR(SEARCH("EPOTAL",_xlpm.mats&amp;""))*ISERROR(SEARCH("BASONAT",_xlpm.mats&amp;""))*ISERROR(SEARCH("ADH",_xlpm.mats&amp;""))*ISERROR(SEARCH("HARDENER",_xlpm.mats&amp;""))),_xlpm.steps,MAX(0,_xlpm.realLayers-1),_xlpm.tier,IF(P58&lt;3000,1,IF(P58&lt;10000,2,IF(P58&lt;25000,3,IF(P58&lt;50000,4,IF(P58&lt;100000,5,IF(P58&lt;250000,6,7)))))),_xlpm.widthRow,IF(_xlpm.wUsed&lt;900,0,5),_xlpm.supplierRow,IF(O58="Marma",3,IF(OR(O58="Bastin",O58="Quantum"),13,0)),_xlpm.rate,INDEX('Lmntn &amp; Prntng- Marma &amp; Bastin '!$D$1:$K$22,_xlpm.supplierRow+_xlpm.widthRow,_xlpm.tier),_xlpm.rate*_xlpm.steps/_xlpm.kgmUsed),"")</f>
        <v>1.8107789794970472</v>
      </c>
      <c r="AI58" s="919" cm="1">
        <f t="array" ref="AI58">IFERROR(_xlfn.LET(_xlpm.cap,IF(O58="Quantum",760,1220),_xlpm.wUsed,E58*MAX(1,MIN(MAX(2,INT(900/E58)),INT((_xlpm.cap-50)/E58))),_xlpm.kgmUsed,AR58/E58*_xlpm.wUsed,_xlpm.tier,IF(P58&lt;3000,1,IF(P58&lt;10000,2,IF(P58&lt;25000,3,IF(P58&lt;50000,4,IF(P58&lt;100000,5,IF(P58&lt;250000,6,IF(P58&lt;500000,7,8))))))),_xlpm.widthRow,IF(_xlpm.wUsed&lt;900,0,5),_xlpm.slitRow,IF(O58="Marma",7,IF(OR(O58="Bastin",O58="Quantum"),17,0)),_xlpm.slitRate,INDEX('Lmntn &amp; Prntng- Marma &amp; Bastin '!$D$1:$K$22,_xlpm.slitRow+_xlpm.widthRow,_xlpm.tier),_xlpm.numColors,IF(ISNUMBER(L58),L58,IFERROR(--RIGHT(L58,LEN(L58)-FIND("-",L58)),0)),_xlpm.printRate,IF(OR(K58&lt;&gt;"Printed",_xlpm.numColors=0),0,IF(O58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58))),MAX(_xlfn._xlws.FILTER(_xlpm.meters,(_xlpm.widths=_xlpm.qWidth)*(_xlpm.bands=_xlpm.band)))),INDEX(_xlpm.rates,_xlfn.XMATCH(1,(_xlpm.widths=_xlpm.qWidth)*(_xlpm.bands=_xlpm.band)*(_xlpm.meters=_xlpm.targetM),0))/HELPER!$AK$2),_xlfn.LET(_xlpm.colorOffset,IF(_xlpm.numColors&lt;=2,1,IF(_xlpm.numColors&lt;=4,2,3)),_xlpm.supplierRow,IF(O58="Marma",3,IF(O58="Bastin",13,0)),INDEX('Lmntn &amp; Prntng- Marma &amp; Bastin '!$D$1:$K$22,_xlpm.supplierRow+_xlpm.widthRow+_xlpm.colorOffset,_xlpm.tier)))),AH58+_xlpm.slitRate/_xlpm.kgmUsed+_xlpm.printRate/_xlpm.kgmUsed+AJ58),"")</f>
        <v>15.14221989708483</v>
      </c>
      <c r="AJ58" s="919" cm="1">
        <f t="array" ref="AJ58">IF(OR(K58&lt;&gt;"Printed",L58=0,L58="0",L58=""),0,IFERROR(_xlfn.LET(_xlpm.lam,TEXT(B58,"0"),_xlpm.crit,(TEXT(HELPER!$BZ$2:$BZ$250,"0")=_xlpm.lam)*(HELPER!$CC$2:$CC$250=D58)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WHITE"},0)))/ROWS(_xlpm.real),_xlpm.numColors,IF(ISNUMBER(L58),L58,IFERROR(--RIGHT(L58,LEN(L58)-FIND("-",L58)),0)),HELPER!$DB$1*_xlpm.numColors*MAX(1,M58)*1.05*_xlpm.nkRatio/Q58),0))</f>
        <v>0.504</v>
      </c>
      <c r="AK58" s="919">
        <f t="shared" si="19"/>
        <v>1.5827556354960686</v>
      </c>
      <c r="AL58" s="919">
        <f t="shared" si="20"/>
        <v>858.64493225661715</v>
      </c>
      <c r="AM58" s="73" t="str">
        <f t="shared" si="21"/>
        <v>PASS</v>
      </c>
      <c r="AN58" s="908" t="str">
        <f t="shared" si="0"/>
        <v/>
      </c>
      <c r="AO58" s="919">
        <f t="shared" si="1"/>
        <v>66</v>
      </c>
      <c r="AP58" s="919">
        <f t="shared" si="2"/>
        <v>165881.49426050027</v>
      </c>
      <c r="AQ58" s="919"/>
      <c r="AR58" s="919" cm="1">
        <f t="array" ref="AR58">IFERROR(_xlfn.LET(_xlpm.lam,TEXT(B58,"0"),_xlpm.thick,D58,_xlpm.crit,(TEXT(HELPER!$BZ$2:$BZ$250,"0")=_xlpm.lam)*(HELPER!$CC$2:$CC$250=_xlpm.thick)*(HELPER!$BW$2:$BW$250&lt;&gt;""),_xlpm.mats,TRIM(SUBSTITUTE(_xlfn._xlws.FILTER(HELPER!$BW$2:$BW$250,_xlpm.crit),CHAR(160),"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")),HELPER!$AQ$2:$AQ$20,1),_xlpm.mass,IF(ISNUMBER(SEARCH("paper",_xlpm.mats)),42,_xlpm.dens*_xlpm.ths),E58/1000000*SUM(_xlpm.mass)),"")</f>
        <v>3.0142000000000002E-2</v>
      </c>
      <c r="AS58" s="919">
        <f>IFERROR(IF(D58&gt;31,(5%+250/P58)*AF58,VLOOKUP(D58,HELPER!$BH$3:$BI$5,2,TRUE)*AF58),0)</f>
        <v>0.36478971758211792</v>
      </c>
      <c r="AT58" s="919">
        <v>0.20000000000000301</v>
      </c>
      <c r="AU58" s="919"/>
      <c r="AV58" s="919"/>
      <c r="AW58" s="919"/>
      <c r="AX58" s="919"/>
      <c r="AY58" s="919"/>
      <c r="AZ58" s="919">
        <f t="shared" si="3"/>
        <v>2520</v>
      </c>
    </row>
    <row r="59" spans="1:52">
      <c r="A59" s="73" t="s">
        <v>1480</v>
      </c>
      <c r="B59" s="73">
        <v>618</v>
      </c>
      <c r="C59" s="908" t="s">
        <v>1424</v>
      </c>
      <c r="D59" s="915" cm="1">
        <f t="array" ref="D5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9" s="915">
        <v>900</v>
      </c>
      <c r="F59" s="73" t="s">
        <v>560</v>
      </c>
      <c r="G59" s="916">
        <v>25000</v>
      </c>
      <c r="H59" s="916">
        <v>25000</v>
      </c>
      <c r="I59" s="916"/>
      <c r="J59" s="916"/>
      <c r="K59" s="73" t="s">
        <v>123</v>
      </c>
      <c r="L59" s="921" t="s">
        <v>592</v>
      </c>
      <c r="M59" s="915">
        <v>8</v>
      </c>
      <c r="N59" s="73" t="s">
        <v>550</v>
      </c>
      <c r="O59" s="73" t="s">
        <v>250</v>
      </c>
      <c r="P59" s="916" cm="1">
        <f t="array" ref="P59">IFERROR(_xlfn.SWITCH(F59,"By Weight",IF(H59&lt;&gt;"",H59,G59)/AR59,"By Length",G59,"By Imp",G59/MAX(1,ROUNDDOWN(E59/I59,0))*J59/1000,"IMP",G59/MAX(1,ROUNDDOWN(E59/I59,0))*J59/1000,""),"")</f>
        <v>216388.39119558915</v>
      </c>
      <c r="Q59" s="916">
        <f t="shared" si="4"/>
        <v>25000</v>
      </c>
      <c r="R59" s="917">
        <f t="shared" si="5"/>
        <v>378064.09467060142</v>
      </c>
      <c r="S59" s="918">
        <f t="shared" si="6"/>
        <v>438554.3498178976</v>
      </c>
      <c r="T59" s="919">
        <f t="shared" si="7"/>
        <v>15.122563786824058</v>
      </c>
      <c r="U59" s="920">
        <f t="shared" si="8"/>
        <v>17.542173992715906</v>
      </c>
      <c r="V59" s="919">
        <f t="shared" si="9"/>
        <v>2.0554766611566229</v>
      </c>
      <c r="W59" s="919">
        <f t="shared" si="10"/>
        <v>17.79125151391051</v>
      </c>
      <c r="X59" s="919" t="str">
        <f t="shared" si="11"/>
        <v/>
      </c>
      <c r="Y59" s="920">
        <f t="shared" si="12"/>
        <v>2.3843529269416823</v>
      </c>
      <c r="Z59" s="920">
        <f t="shared" si="13"/>
        <v>20.63785175613619</v>
      </c>
      <c r="AA59" s="920" t="str">
        <f t="shared" si="14"/>
        <v/>
      </c>
      <c r="AB59" s="917">
        <f t="shared" si="15"/>
        <v>444781.28784776275</v>
      </c>
      <c r="AC59" s="918">
        <f t="shared" si="16"/>
        <v>515946.29390340473</v>
      </c>
      <c r="AD59" s="916">
        <f t="shared" si="17"/>
        <v>4327.7678239117831</v>
      </c>
      <c r="AE59" s="916">
        <f t="shared" si="18"/>
        <v>500</v>
      </c>
      <c r="AF59" s="919" cm="1">
        <f t="array" ref="AF59">IFERROR(_xlfn.LET(_xlpm.lam,TEXT(B59,"0"),_xlpm.thick,D59,_xlpm.crit,(TEXT(HELPER!$BZ$2:$BZ$250,"0")=_xlpm.lam)*(HELPER!$CC$2:$CC$250=_xlpm.thick)*(HELPER!$BW$2:$BW$250&lt;&gt;""),_xlpm.mats,TRIM(SUBSTITUTE(_xlfn._xlws.FILTER(HELPER!$BW$2:$BW$250,_xlpm.crit),CHAR(160),"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6.9255780867804004</v>
      </c>
      <c r="AG59" s="919">
        <f>IFERROR(IF(N59="Europe to Canada",IF(Q59&lt;1000,VLOOKUP(1000,HELPER!$AG$4:$AH$8,2,FALSE)/Q59,VLOOKUP(Q59,HELPER!$AG$4:$AH$8,2,TRUE)/Q59),IF(N59="Europe to US",HELPER!$AH$2,IF(N59="Europe to Europe",HELPER!$AH$3,0))),0)</f>
        <v>5.4</v>
      </c>
      <c r="AH59" s="919" cm="1">
        <f t="array" ref="AH59">IFERROR(_xlfn.LET(_xlpm.cap,IF(O59="Quantum",760,1220),_xlpm.wUsed,E59*MAX(1,MIN(MAX(2,INT(900/E59)),INT((_xlpm.cap-50)/E59))),_xlpm.kgmUsed,AR59/E59*_xlpm.wUsed,_xlpm.lam,TEXT(B59,"0"),_xlpm.crit,(TEXT(HELPER!$BZ$2:$BZ$250,"0")=_xlpm.lam)*(HELPER!$CC$2:$CC$250=D59)*(HELPER!$BW$2:$BW$250&lt;&gt;""),_xlpm.mats,_xlfn._xlws.FILTER(HELPER!$BW$2:$BW$250,_xlpm.crit),_xlpm.realLayers,SUM((_xlpm.mats&lt;&gt;"")*ISERROR(SEARCH("EPOTAL",_xlpm.mats&amp;""))*ISERROR(SEARCH("BASONAT",_xlpm.mats&amp;""))*ISERROR(SEARCH("ADH",_xlpm.mats&amp;""))*ISERROR(SEARCH("HARDENER",_xlpm.mats&amp;""))),_xlpm.steps,MAX(0,_xlpm.realLayers-1),_xlpm.tier,IF(P59&lt;3000,1,IF(P59&lt;10000,2,IF(P59&lt;25000,3,IF(P59&lt;50000,4,IF(P59&lt;100000,5,IF(P59&lt;250000,6,7)))))),_xlpm.widthRow,IF(_xlpm.wUsed&lt;900,0,5),_xlpm.supplierRow,IF(O59="Marma",3,IF(OR(O59="Bastin",O59="Quantum"),13,0)),_xlpm.rate,INDEX('Lmntn &amp; Prntng- Marma &amp; Bastin '!$D$1:$K$22,_xlpm.supplierRow+_xlpm.widthRow,_xlpm.tier),_xlpm.rate*_xlpm.steps/_xlpm.kgmUsed),"")</f>
        <v>0.72680532834774481</v>
      </c>
      <c r="AI59" s="919" cm="1">
        <f t="array" ref="AI59">IFERROR(_xlfn.LET(_xlpm.cap,IF(O59="Quantum",760,1220),_xlpm.wUsed,E59*MAX(1,MIN(MAX(2,INT(900/E59)),INT((_xlpm.cap-50)/E59))),_xlpm.kgmUsed,AR59/E59*_xlpm.wUsed,_xlpm.tier,IF(P59&lt;3000,1,IF(P59&lt;10000,2,IF(P59&lt;25000,3,IF(P59&lt;50000,4,IF(P59&lt;100000,5,IF(P59&lt;250000,6,IF(P59&lt;500000,7,8))))))),_xlpm.widthRow,IF(_xlpm.wUsed&lt;900,0,5),_xlpm.slitRow,IF(O59="Marma",7,IF(OR(O59="Bastin",O59="Quantum"),17,0)),_xlpm.slitRate,INDEX('Lmntn &amp; Prntng- Marma &amp; Bastin '!$D$1:$K$22,_xlpm.slitRow+_xlpm.widthRow,_xlpm.tier),_xlpm.numColors,IF(ISNUMBER(L59),L59,IFERROR(--RIGHT(L59,LEN(L59)-FIND("-",L59)),0)),_xlpm.printRate,IF(OR(K59&lt;&gt;"Printed",_xlpm.numColors=0),0,IF(O59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59))),MAX(_xlfn._xlws.FILTER(_xlpm.meters,(_xlpm.widths=_xlpm.qWidth)*(_xlpm.bands=_xlpm.band)))),INDEX(_xlpm.rates,_xlfn.XMATCH(1,(_xlpm.widths=_xlpm.qWidth)*(_xlpm.bands=_xlpm.band)*(_xlpm.meters=_xlpm.targetM),0))/HELPER!$AK$2),_xlfn.LET(_xlpm.colorOffset,IF(_xlpm.numColors&lt;=2,1,IF(_xlpm.numColors&lt;=4,2,3)),_xlpm.supplierRow,IF(O59="Marma",3,IF(O59="Bastin",13,0)),INDEX('Lmntn &amp; Prntng- Marma &amp; Bastin '!$D$1:$K$22,_xlpm.supplierRow+_xlpm.widthRow+_xlpm.colorOffset,_xlpm.tier)))),AH59+_xlpm.slitRate/_xlpm.kgmUsed+_xlpm.printRate/_xlpm.kgmUsed+AJ59),"")</f>
        <v>2.4427054675736386</v>
      </c>
      <c r="AJ59" s="919" cm="1">
        <f t="array" ref="AJ59">IF(OR(K59&lt;&gt;"Printed",L59=0,L59="0",L59=""),0,IFERROR(_xlfn.LET(_xlpm.lam,TEXT(B59,"0"),_xlpm.crit,(TEXT(HELPER!$BZ$2:$BZ$250,"0")=_xlpm.lam)*(HELPER!$CC$2:$CC$250=D59)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WHITE"},0)))/ROWS(_xlpm.real),_xlpm.numColors,IF(ISNUMBER(L59),L59,IFERROR(--RIGHT(L59,LEN(L59)-FIND("-",L59)),0)),HELPER!$DB$1*_xlpm.numColors*MAX(1,M59)*1.05*_xlpm.nkRatio/Q59),0))</f>
        <v>0.4032</v>
      </c>
      <c r="AK59" s="919">
        <f t="shared" si="19"/>
        <v>1.4734599721552852</v>
      </c>
      <c r="AL59" s="919">
        <f t="shared" si="20"/>
        <v>2055.4766611566229</v>
      </c>
      <c r="AM59" s="73" t="str">
        <f t="shared" si="21"/>
        <v>PASS</v>
      </c>
      <c r="AN59" s="908" t="str">
        <f t="shared" si="0"/>
        <v/>
      </c>
      <c r="AO59" s="919">
        <f t="shared" si="1"/>
        <v>100</v>
      </c>
      <c r="AP59" s="919">
        <f t="shared" si="2"/>
        <v>216388.39119558915</v>
      </c>
      <c r="AQ59" s="919"/>
      <c r="AR59" s="919" cm="1">
        <f t="array" ref="AR59">IFERROR(_xlfn.LET(_xlpm.lam,TEXT(B59,"0"),_xlpm.thick,D59,_xlpm.crit,(TEXT(HELPER!$BZ$2:$BZ$250,"0")=_xlpm.lam)*(HELPER!$CC$2:$CC$250=_xlpm.thick)*(HELPER!$BW$2:$BW$250&lt;&gt;""),_xlpm.mats,TRIM(SUBSTITUTE(_xlfn._xlws.FILTER(HELPER!$BW$2:$BW$250,_xlpm.crit),CHAR(160),"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")),HELPER!$AQ$2:$AQ$20,1),_xlpm.mass,IF(ISNUMBER(SEARCH("paper",_xlpm.mats)),42,_xlpm.dens*_xlpm.ths),E59/1000000*SUM(_xlpm.mass)),"")</f>
        <v>0.115533</v>
      </c>
      <c r="AS59" s="919">
        <f>IFERROR(IF(D59&gt;31,(5%+250/P59)*AF59,VLOOKUP(D59,HELPER!$BH$3:$BI$5,2,TRUE)*AF59),0)</f>
        <v>0.35428023247002005</v>
      </c>
      <c r="AT59" s="919">
        <v>0.149999999999993</v>
      </c>
      <c r="AU59" s="919"/>
      <c r="AV59" s="919"/>
      <c r="AW59" s="919"/>
      <c r="AX59" s="919"/>
      <c r="AY59" s="919"/>
      <c r="AZ59" s="919">
        <f t="shared" si="3"/>
        <v>10080</v>
      </c>
    </row>
    <row r="60" spans="1:52">
      <c r="A60" s="73" t="s">
        <v>1481</v>
      </c>
      <c r="B60" s="73">
        <v>618</v>
      </c>
      <c r="C60" s="908" t="s">
        <v>1426</v>
      </c>
      <c r="D60" s="915" cm="1">
        <f t="array" ref="D6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60" s="915">
        <v>350</v>
      </c>
      <c r="F60" s="73" t="s">
        <v>561</v>
      </c>
      <c r="G60" s="916">
        <v>2000</v>
      </c>
      <c r="H60" s="916"/>
      <c r="I60" s="916"/>
      <c r="J60" s="916"/>
      <c r="K60" s="73" t="s">
        <v>124</v>
      </c>
      <c r="L60" s="921" t="s">
        <v>221</v>
      </c>
      <c r="M60" s="915">
        <v>1</v>
      </c>
      <c r="N60" s="73" t="s">
        <v>549</v>
      </c>
      <c r="O60" s="73" t="s">
        <v>240</v>
      </c>
      <c r="P60" s="916" cm="1">
        <f t="array" ref="P60">IFERROR(_xlfn.SWITCH(F60,"By Weight",IF(H60&lt;&gt;"",H60,G60)/AR60,"By Length",G60,"By Imp",G60/MAX(1,ROUNDDOWN(E60/I60,0))*J60/1000,"IMP",G60/MAX(1,ROUNDDOWN(E60/I60,0))*J60/1000,""),"")</f>
        <v>2000</v>
      </c>
      <c r="Q60" s="916">
        <f t="shared" si="4"/>
        <v>60.284000000000006</v>
      </c>
      <c r="R60" s="917">
        <f t="shared" si="5"/>
        <v>710.86866569999995</v>
      </c>
      <c r="S60" s="918">
        <f t="shared" si="6"/>
        <v>824.60765221199983</v>
      </c>
      <c r="T60" s="919">
        <f t="shared" si="7"/>
        <v>11.791995648928404</v>
      </c>
      <c r="U60" s="920">
        <f t="shared" si="8"/>
        <v>13.678714952756948</v>
      </c>
      <c r="V60" s="919">
        <f t="shared" si="9"/>
        <v>0.41815803864706125</v>
      </c>
      <c r="W60" s="919">
        <f t="shared" si="10"/>
        <v>13.87293605756291</v>
      </c>
      <c r="X60" s="919" t="str">
        <f t="shared" si="11"/>
        <v/>
      </c>
      <c r="Y60" s="920">
        <f t="shared" si="12"/>
        <v>0.485063324830591</v>
      </c>
      <c r="Z60" s="920">
        <f t="shared" si="13"/>
        <v>16.092605826772974</v>
      </c>
      <c r="AA60" s="920" t="str">
        <f t="shared" si="14"/>
        <v/>
      </c>
      <c r="AB60" s="917">
        <f t="shared" si="15"/>
        <v>836.31607729412258</v>
      </c>
      <c r="AC60" s="918">
        <f t="shared" si="16"/>
        <v>970.12664966118211</v>
      </c>
      <c r="AD60" s="916">
        <f t="shared" si="17"/>
        <v>16588.149426050029</v>
      </c>
      <c r="AE60" s="916">
        <f t="shared" si="18"/>
        <v>500</v>
      </c>
      <c r="AF60" s="919" cm="1">
        <f t="array" ref="AF60">IFERROR(_xlfn.LET(_xlpm.lam,TEXT(B60,"0"),_xlpm.thick,D60,_xlpm.crit,(TEXT(HELPER!$BZ$2:$BZ$250,"0")=_xlpm.lam)*(HELPER!$CC$2:$CC$250=_xlpm.thick)*(HELPER!$BW$2:$BW$250&lt;&gt;""),_xlpm.mats,TRIM(SUBSTITUTE(_xlfn._xlws.FILTER(HELPER!$BW$2:$BW$250,_xlpm.crit),CHAR(160),"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7.0823190896423585</v>
      </c>
      <c r="AG60" s="919">
        <f>IFERROR(IF(N60="Europe to Canada",IF(Q60&lt;1000,VLOOKUP(1000,HELPER!$AG$4:$AH$8,2,FALSE)/Q60,VLOOKUP(Q60,HELPER!$AG$4:$AH$8,2,TRUE)/Q60),IF(N60="Europe to US",HELPER!$AH$2,IF(N60="Europe to Europe",HELPER!$AH$3,0))),0)</f>
        <v>0.2</v>
      </c>
      <c r="AH60" s="919" cm="1">
        <f t="array" ref="AH60">IFERROR(_xlfn.LET(_xlpm.cap,IF(O60="Quantum",760,1220),_xlpm.wUsed,E60*MAX(1,MIN(MAX(2,INT(900/E60)),INT((_xlpm.cap-50)/E60))),_xlpm.kgmUsed,AR60/E60*_xlpm.wUsed,_xlpm.lam,TEXT(B60,"0"),_xlpm.crit,(TEXT(HELPER!$BZ$2:$BZ$250,"0")=_xlpm.lam)*(HELPER!$CC$2:$CC$250=D60)*(HELPER!$BW$2:$BW$250&lt;&gt;""),_xlpm.mats,_xlfn._xlws.FILTER(HELPER!$BW$2:$BW$250,_xlpm.crit),_xlpm.realLayers,SUM((_xlpm.mats&lt;&gt;"")*ISERROR(SEARCH("EPOTAL",_xlpm.mats&amp;""))*ISERROR(SEARCH("BASONAT",_xlpm.mats&amp;""))*ISERROR(SEARCH("ADH",_xlpm.mats&amp;""))*ISERROR(SEARCH("HARDENER",_xlpm.mats&amp;""))),_xlpm.steps,MAX(0,_xlpm.realLayers-1),_xlpm.tier,IF(P60&lt;3000,1,IF(P60&lt;10000,2,IF(P60&lt;25000,3,IF(P60&lt;50000,4,IF(P60&lt;100000,5,IF(P60&lt;250000,6,7)))))),_xlpm.widthRow,IF(_xlpm.wUsed&lt;900,0,5),_xlpm.supplierRow,IF(O60="Marma",3,IF(OR(O60="Bastin",O60="Quantum"),13,0)),_xlpm.rate,INDEX('Lmntn &amp; Prntng- Marma &amp; Bastin '!$D$1:$K$22,_xlpm.supplierRow+_xlpm.widthRow,_xlpm.tier),_xlpm.rate*_xlpm.steps/_xlpm.kgmUsed),"")</f>
        <v>2.5172350872536655</v>
      </c>
      <c r="AI60" s="919" cm="1">
        <f t="array" ref="AI60">IFERROR(_xlfn.LET(_xlpm.cap,IF(O60="Quantum",760,1220),_xlpm.wUsed,E60*MAX(1,MIN(MAX(2,INT(900/E60)),INT((_xlpm.cap-50)/E60))),_xlpm.kgmUsed,AR60/E60*_xlpm.wUsed,_xlpm.tier,IF(P60&lt;3000,1,IF(P60&lt;10000,2,IF(P60&lt;25000,3,IF(P60&lt;50000,4,IF(P60&lt;100000,5,IF(P60&lt;250000,6,IF(P60&lt;500000,7,8))))))),_xlpm.widthRow,IF(_xlpm.wUsed&lt;900,0,5),_xlpm.slitRow,IF(O60="Marma",7,IF(OR(O60="Bastin",O60="Quantum"),17,0)),_xlpm.slitRate,INDEX('Lmntn &amp; Prntng- Marma &amp; Bastin '!$D$1:$K$22,_xlpm.slitRow+_xlpm.widthRow,_xlpm.tier),_xlpm.numColors,IF(ISNUMBER(L60),L60,IFERROR(--RIGHT(L60,LEN(L60)-FIND("-",L60)),0)),_xlpm.printRate,IF(OR(K60&lt;&gt;"Printed",_xlpm.numColors=0),0,IF(O60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60))),MAX(_xlfn._xlws.FILTER(_xlpm.meters,(_xlpm.widths=_xlpm.qWidth)*(_xlpm.bands=_xlpm.band)))),INDEX(_xlpm.rates,_xlfn.XMATCH(1,(_xlpm.widths=_xlpm.qWidth)*(_xlpm.bands=_xlpm.band)*(_xlpm.meters=_xlpm.targetM),0))/HELPER!$AK$2),_xlfn.LET(_xlpm.colorOffset,IF(_xlpm.numColors&lt;=2,1,IF(_xlpm.numColors&lt;=4,2,3)),_xlpm.supplierRow,IF(O60="Marma",3,IF(O60="Bastin",13,0)),INDEX('Lmntn &amp; Prntng- Marma &amp; Bastin '!$D$1:$K$22,_xlpm.supplierRow+_xlpm.widthRow+_xlpm.colorOffset,_xlpm.tier)))),AH60+_xlpm.slitRate/_xlpm.kgmUsed+_xlpm.printRate/_xlpm.kgmUsed+AJ60),"")</f>
        <v>3.2702707185986326</v>
      </c>
      <c r="AJ60" s="919" cm="1">
        <f t="array" ref="AJ60">IF(OR(K60&lt;&gt;"Printed",L60=0,L60="0",L60=""),0,IFERROR(_xlfn.LET(_xlpm.lam,TEXT(B60,"0"),_xlpm.crit,(TEXT(HELPER!$BZ$2:$BZ$250,"0")=_xlpm.lam)*(HELPER!$CC$2:$CC$250=D60)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WHITE"},0)))/ROWS(_xlpm.real),_xlpm.numColors,IF(ISNUMBER(L60),L60,IFERROR(--RIGHT(L60,LEN(L60)-FIND("-",L60)),0)),HELPER!$DB$1*_xlpm.numColors*MAX(1,M60)*1.05*_xlpm.nkRatio/Q60),0))</f>
        <v>0</v>
      </c>
      <c r="AK60" s="919">
        <f t="shared" si="19"/>
        <v>0.77079822792085029</v>
      </c>
      <c r="AL60" s="919">
        <f t="shared" si="20"/>
        <v>418.15803864706123</v>
      </c>
      <c r="AM60" s="73" t="str">
        <f t="shared" si="21"/>
        <v>PASS</v>
      </c>
      <c r="AN60" s="908" t="str">
        <f t="shared" si="0"/>
        <v/>
      </c>
      <c r="AO60" s="919">
        <f t="shared" si="1"/>
        <v>66</v>
      </c>
      <c r="AP60" s="919">
        <f t="shared" si="2"/>
        <v>2000</v>
      </c>
      <c r="AQ60" s="919"/>
      <c r="AR60" s="919" cm="1">
        <f t="array" ref="AR60">IFERROR(_xlfn.LET(_xlpm.lam,TEXT(B60,"0"),_xlpm.thick,D60,_xlpm.crit,(TEXT(HELPER!$BZ$2:$BZ$250,"0")=_xlpm.lam)*(HELPER!$CC$2:$CC$250=_xlpm.thick)*(HELPER!$BW$2:$BW$250&lt;&gt;""),_xlpm.mats,TRIM(SUBSTITUTE(_xlfn._xlws.FILTER(HELPER!$BW$2:$BW$250,_xlpm.crit),CHAR(160),"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")),HELPER!$AQ$2:$AQ$20,1),_xlpm.mass,IF(ISNUMBER(SEARCH("paper",_xlpm.mats)),42,_xlpm.dens*_xlpm.ths),E60/1000000*SUM(_xlpm.mass)),"")</f>
        <v>3.0142000000000002E-2</v>
      </c>
      <c r="AS60" s="919">
        <f>IFERROR(IF(D60&gt;31,(5%+250/P60)*AF60,VLOOKUP(D60,HELPER!$BH$3:$BI$5,2,TRUE)*AF60),0)</f>
        <v>1.2394058406874127</v>
      </c>
      <c r="AT60" s="919">
        <v>0.15000000000000499</v>
      </c>
      <c r="AU60" s="919"/>
      <c r="AV60" s="919"/>
      <c r="AW60" s="919"/>
      <c r="AX60" s="919"/>
      <c r="AY60" s="919"/>
      <c r="AZ60" s="919">
        <f t="shared" si="3"/>
        <v>0</v>
      </c>
    </row>
    <row r="61" spans="1:52">
      <c r="A61" s="73" t="s">
        <v>1482</v>
      </c>
      <c r="B61" s="73">
        <v>618</v>
      </c>
      <c r="C61" s="908" t="s">
        <v>1428</v>
      </c>
      <c r="D61" s="915" cm="1">
        <f t="array" ref="D6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61" s="915">
        <v>600</v>
      </c>
      <c r="F61" s="73" t="s">
        <v>561</v>
      </c>
      <c r="G61" s="916">
        <v>250000</v>
      </c>
      <c r="H61" s="916"/>
      <c r="I61" s="916"/>
      <c r="J61" s="916"/>
      <c r="K61" s="73" t="s">
        <v>123</v>
      </c>
      <c r="L61" s="921" t="s">
        <v>122</v>
      </c>
      <c r="M61" s="915">
        <v>4</v>
      </c>
      <c r="N61" s="73" t="s">
        <v>550</v>
      </c>
      <c r="O61" s="73" t="s">
        <v>1366</v>
      </c>
      <c r="P61" s="916" cm="1">
        <f t="array" ref="P61">IFERROR(_xlfn.SWITCH(F61,"By Weight",IF(H61&lt;&gt;"",H61,G61)/AR61,"By Length",G61,"By Imp",G61/MAX(1,ROUNDDOWN(E61/I61,0))*J61/1000,"IMP",G61/MAX(1,ROUNDDOWN(E61/I61,0))*J61/1000,""),"")</f>
        <v>250000</v>
      </c>
      <c r="Q61" s="916">
        <f t="shared" si="4"/>
        <v>19255.5</v>
      </c>
      <c r="R61" s="917">
        <f t="shared" si="5"/>
        <v>467044.6598303155</v>
      </c>
      <c r="S61" s="918">
        <f t="shared" si="6"/>
        <v>541771.80540316598</v>
      </c>
      <c r="T61" s="919">
        <f t="shared" si="7"/>
        <v>24.255130213721561</v>
      </c>
      <c r="U61" s="920">
        <f t="shared" si="8"/>
        <v>28.135951047917008</v>
      </c>
      <c r="V61" s="919">
        <f t="shared" si="9"/>
        <v>2.3352232991515831</v>
      </c>
      <c r="W61" s="919">
        <f t="shared" si="10"/>
        <v>30.318912767152025</v>
      </c>
      <c r="X61" s="919" t="str">
        <f t="shared" si="11"/>
        <v/>
      </c>
      <c r="Y61" s="920">
        <f t="shared" si="12"/>
        <v>2.7088590270158361</v>
      </c>
      <c r="Z61" s="920">
        <f t="shared" si="13"/>
        <v>35.169938809896344</v>
      </c>
      <c r="AA61" s="920" t="str">
        <f t="shared" si="14"/>
        <v/>
      </c>
      <c r="AB61" s="917">
        <f t="shared" si="15"/>
        <v>583805.82478789578</v>
      </c>
      <c r="AC61" s="918">
        <f t="shared" si="16"/>
        <v>677214.75675395911</v>
      </c>
      <c r="AD61" s="916">
        <f t="shared" si="17"/>
        <v>6491.6517358676747</v>
      </c>
      <c r="AE61" s="916">
        <f t="shared" si="18"/>
        <v>500</v>
      </c>
      <c r="AF61" s="919" cm="1">
        <f t="array" ref="AF61">IFERROR(_xlfn.LET(_xlpm.lam,TEXT(B61,"0"),_xlpm.thick,D61,_xlpm.crit,(TEXT(HELPER!$BZ$2:$BZ$250,"0")=_xlpm.lam)*(HELPER!$CC$2:$CC$250=_xlpm.thick)*(HELPER!$BW$2:$BW$250&lt;&gt;""),_xlpm.mats,TRIM(SUBSTITUTE(_xlfn._xlws.FILTER(HELPER!$BW$2:$BW$250,_xlpm.crit),CHAR(160),"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6.9255780867804004</v>
      </c>
      <c r="AG61" s="919">
        <f>IFERROR(IF(N61="Europe to Canada",IF(Q61&lt;1000,VLOOKUP(1000,HELPER!$AG$4:$AH$8,2,FALSE)/Q61,VLOOKUP(Q61,HELPER!$AG$4:$AH$8,2,TRUE)/Q61),IF(N61="Europe to US",HELPER!$AH$2,IF(N61="Europe to Europe",HELPER!$AH$3,0))),0)</f>
        <v>5.4</v>
      </c>
      <c r="AH61" s="919" cm="1">
        <f t="array" ref="AH61">IFERROR(_xlfn.LET(_xlpm.cap,IF(O61="Quantum",760,1220),_xlpm.wUsed,E61*MAX(1,MIN(MAX(2,INT(900/E61)),INT((_xlpm.cap-50)/E61))),_xlpm.kgmUsed,AR61/E61*_xlpm.wUsed,_xlpm.lam,TEXT(B61,"0"),_xlpm.crit,(TEXT(HELPER!$BZ$2:$BZ$250,"0")=_xlpm.lam)*(HELPER!$CC$2:$CC$250=D61)*(HELPER!$BW$2:$BW$250&lt;&gt;""),_xlpm.mats,_xlfn._xlws.FILTER(HELPER!$BW$2:$BW$250,_xlpm.crit),_xlpm.realLayers,SUM((_xlpm.mats&lt;&gt;"")*ISERROR(SEARCH("EPOTAL",_xlpm.mats&amp;""))*ISERROR(SEARCH("BASONAT",_xlpm.mats&amp;""))*ISERROR(SEARCH("ADH",_xlpm.mats&amp;""))*ISERROR(SEARCH("HARDENER",_xlpm.mats&amp;""))),_xlpm.steps,MAX(0,_xlpm.realLayers-1),_xlpm.tier,IF(P61&lt;3000,1,IF(P61&lt;10000,2,IF(P61&lt;25000,3,IF(P61&lt;50000,4,IF(P61&lt;100000,5,IF(P61&lt;250000,6,7)))))),_xlpm.widthRow,IF(_xlpm.wUsed&lt;900,0,5),_xlpm.supplierRow,IF(O61="Marma",3,IF(OR(O61="Bastin",O61="Quantum"),13,0)),_xlpm.rate,INDEX('Lmntn &amp; Prntng- Marma &amp; Bastin '!$D$1:$K$22,_xlpm.supplierRow+_xlpm.widthRow,_xlpm.tier),_xlpm.rate*_xlpm.steps/_xlpm.kgmUsed),"")</f>
        <v>1.408662460076342</v>
      </c>
      <c r="AI61" s="919" cm="1">
        <f t="array" ref="AI61">IFERROR(_xlfn.LET(_xlpm.cap,IF(O61="Quantum",760,1220),_xlpm.wUsed,E61*MAX(1,MIN(MAX(2,INT(900/E61)),INT((_xlpm.cap-50)/E61))),_xlpm.kgmUsed,AR61/E61*_xlpm.wUsed,_xlpm.tier,IF(P61&lt;3000,1,IF(P61&lt;10000,2,IF(P61&lt;25000,3,IF(P61&lt;50000,4,IF(P61&lt;100000,5,IF(P61&lt;250000,6,IF(P61&lt;500000,7,8))))))),_xlpm.widthRow,IF(_xlpm.wUsed&lt;900,0,5),_xlpm.slitRow,IF(O61="Marma",7,IF(OR(O61="Bastin",O61="Quantum"),17,0)),_xlpm.slitRate,INDEX('Lmntn &amp; Prntng- Marma &amp; Bastin '!$D$1:$K$22,_xlpm.slitRow+_xlpm.widthRow,_xlpm.tier),_xlpm.numColors,IF(ISNUMBER(L61),L61,IFERROR(--RIGHT(L61,LEN(L61)-FIND("-",L61)),0)),_xlpm.printRate,IF(OR(K61&lt;&gt;"Printed",_xlpm.numColors=0),0,IF(O61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61))),MAX(_xlfn._xlws.FILTER(_xlpm.meters,(_xlpm.widths=_xlpm.qWidth)*(_xlpm.bands=_xlpm.band)))),INDEX(_xlpm.rates,_xlfn.XMATCH(1,(_xlpm.widths=_xlpm.qWidth)*(_xlpm.bands=_xlpm.band)*(_xlpm.meters=_xlpm.targetM),0))/HELPER!$AK$2),_xlfn.LET(_xlpm.colorOffset,IF(_xlpm.numColors&lt;=2,1,IF(_xlpm.numColors&lt;=4,2,3)),_xlpm.supplierRow,IF(O61="Marma",3,IF(O61="Bastin",13,0)),INDEX('Lmntn &amp; Prntng- Marma &amp; Bastin '!$D$1:$K$22,_xlpm.supplierRow+_xlpm.widthRow+_xlpm.colorOffset,_xlpm.tier)))),AH61+_xlpm.slitRate/_xlpm.kgmUsed+_xlpm.printRate/_xlpm.kgmUsed+AJ61),"")</f>
        <v>11.576347644515362</v>
      </c>
      <c r="AJ61" s="919" cm="1">
        <f t="array" ref="AJ61">IF(OR(K61&lt;&gt;"Printed",L61=0,L61="0",L61=""),0,IFERROR(_xlfn.LET(_xlpm.lam,TEXT(B61,"0"),_xlpm.crit,(TEXT(HELPER!$BZ$2:$BZ$250,"0")=_xlpm.lam)*(HELPER!$CC$2:$CC$250=D61)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WHITE"},0)))/ROWS(_xlpm.real),_xlpm.numColors,IF(ISNUMBER(L61),L61,IFERROR(--RIGHT(L61,LEN(L61)-FIND("-",L61)),0)),HELPER!$DB$1*_xlpm.numColors*MAX(1,M61)*1.05*_xlpm.nkRatio/Q61),0))</f>
        <v>0.13087169899509232</v>
      </c>
      <c r="AK61" s="919">
        <f t="shared" si="19"/>
        <v>2.5109927947866488</v>
      </c>
      <c r="AL61" s="919">
        <f t="shared" si="20"/>
        <v>2335.223299151583</v>
      </c>
      <c r="AM61" s="73" t="str">
        <f t="shared" si="21"/>
        <v>PASS</v>
      </c>
      <c r="AN61" s="908" t="str">
        <f t="shared" si="0"/>
        <v/>
      </c>
      <c r="AO61" s="919">
        <f t="shared" si="1"/>
        <v>100</v>
      </c>
      <c r="AP61" s="919">
        <f t="shared" si="2"/>
        <v>250000</v>
      </c>
      <c r="AQ61" s="919"/>
      <c r="AR61" s="919" cm="1">
        <f t="array" ref="AR61">IFERROR(_xlfn.LET(_xlpm.lam,TEXT(B61,"0"),_xlpm.thick,D61,_xlpm.crit,(TEXT(HELPER!$BZ$2:$BZ$250,"0")=_xlpm.lam)*(HELPER!$CC$2:$CC$250=_xlpm.thick)*(HELPER!$BW$2:$BW$250&lt;&gt;""),_xlpm.mats,TRIM(SUBSTITUTE(_xlfn._xlws.FILTER(HELPER!$BW$2:$BW$250,_xlpm.crit),CHAR(160),"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")),HELPER!$AQ$2:$AQ$20,1),_xlpm.mass,IF(ISNUMBER(SEARCH("paper",_xlpm.mats)),42,_xlpm.dens*_xlpm.ths),E61/1000000*SUM(_xlpm.mass)),"")</f>
        <v>7.7021999999999993E-2</v>
      </c>
      <c r="AS61" s="919">
        <f>IFERROR(IF(D61&gt;31,(5%+250/P61)*AF61,VLOOKUP(D61,HELPER!$BH$3:$BI$5,2,TRUE)*AF61),0)</f>
        <v>0.35320448242580044</v>
      </c>
      <c r="AT61" s="919">
        <v>0.20000000000000201</v>
      </c>
      <c r="AU61" s="919"/>
      <c r="AV61" s="919"/>
      <c r="AW61" s="919"/>
      <c r="AX61" s="919"/>
      <c r="AY61" s="919"/>
      <c r="AZ61" s="919">
        <f t="shared" si="3"/>
        <v>2520</v>
      </c>
    </row>
    <row r="62" spans="1:52">
      <c r="A62" s="73" t="s">
        <v>1483</v>
      </c>
      <c r="B62" s="73">
        <v>618</v>
      </c>
      <c r="C62" s="908" t="s">
        <v>1430</v>
      </c>
      <c r="D62" s="915" cm="1">
        <f t="array" ref="D6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2" s="915">
        <v>900</v>
      </c>
      <c r="F62" s="73" t="s">
        <v>1040</v>
      </c>
      <c r="G62" s="916">
        <v>1600000</v>
      </c>
      <c r="H62" s="916"/>
      <c r="I62" s="916">
        <v>140</v>
      </c>
      <c r="J62" s="916">
        <v>80</v>
      </c>
      <c r="K62" s="73" t="s">
        <v>123</v>
      </c>
      <c r="L62" s="921" t="s">
        <v>592</v>
      </c>
      <c r="M62" s="915">
        <v>8</v>
      </c>
      <c r="N62" s="73" t="s">
        <v>549</v>
      </c>
      <c r="O62" s="73" t="s">
        <v>250</v>
      </c>
      <c r="P62" s="916" cm="1">
        <f t="array" ref="P62">IFERROR(_xlfn.SWITCH(F62,"By Weight",IF(H62&lt;&gt;"",H62,G62)/AR62,"By Length",G62,"By Imp",G62/MAX(1,ROUNDDOWN(E62/I62,0))*J62/1000,"IMP",G62/MAX(1,ROUNDDOWN(E62/I62,0))*J62/1000,""),"")</f>
        <v>21333.333333333336</v>
      </c>
      <c r="Q62" s="916">
        <f t="shared" si="4"/>
        <v>1293.5040000000001</v>
      </c>
      <c r="R62" s="917">
        <f t="shared" si="5"/>
        <v>26332.912372825613</v>
      </c>
      <c r="S62" s="918">
        <f t="shared" si="6"/>
        <v>30546.178352477709</v>
      </c>
      <c r="T62" s="919">
        <f t="shared" si="7"/>
        <v>20.357812865538577</v>
      </c>
      <c r="U62" s="920">
        <f t="shared" si="8"/>
        <v>23.615062924024748</v>
      </c>
      <c r="V62" s="919">
        <f t="shared" si="9"/>
        <v>1.4521826676190612</v>
      </c>
      <c r="W62" s="919">
        <f t="shared" si="10"/>
        <v>23.950368077104237</v>
      </c>
      <c r="X62" s="919">
        <f t="shared" si="11"/>
        <v>1.9362435568254149E-2</v>
      </c>
      <c r="Y62" s="920">
        <f t="shared" si="12"/>
        <v>1.6845318944381109</v>
      </c>
      <c r="Z62" s="920">
        <f t="shared" si="13"/>
        <v>27.782426969440913</v>
      </c>
      <c r="AA62" s="920">
        <f t="shared" si="14"/>
        <v>2.2460425259174813E-2</v>
      </c>
      <c r="AB62" s="917">
        <f t="shared" si="15"/>
        <v>30979.896909206644</v>
      </c>
      <c r="AC62" s="918">
        <f t="shared" si="16"/>
        <v>35936.680414679708</v>
      </c>
      <c r="AD62" s="916">
        <f t="shared" si="17"/>
        <v>8246.3345043128338</v>
      </c>
      <c r="AE62" s="916">
        <f t="shared" si="18"/>
        <v>500</v>
      </c>
      <c r="AF62" s="919" cm="1">
        <f t="array" ref="AF62">IFERROR(_xlfn.LET(_xlpm.lam,TEXT(B62,"0"),_xlpm.thick,D62,_xlpm.crit,(TEXT(HELPER!$BZ$2:$BZ$250,"0")=_xlpm.lam)*(HELPER!$CC$2:$CC$250=_xlpm.thick)*(HELPER!$BW$2:$BW$250&lt;&gt;""),_xlpm.mats,TRIM(SUBSTITUTE(_xlfn._xlws.FILTER(HELPER!$BW$2:$BW$250,_xlpm.crit),CHAR(160),"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62" s="919">
        <f>IFERROR(IF(N62="Europe to Canada",IF(Q62&lt;1000,VLOOKUP(1000,HELPER!$AG$4:$AH$8,2,FALSE)/Q62,VLOOKUP(Q62,HELPER!$AG$4:$AH$8,2,TRUE)/Q62),IF(N62="Europe to US",HELPER!$AH$2,IF(N62="Europe to Europe",HELPER!$AH$3,0))),0)</f>
        <v>0.2</v>
      </c>
      <c r="AH62" s="919" cm="1">
        <f t="array" ref="AH62">IFERROR(_xlfn.LET(_xlpm.cap,IF(O62="Quantum",760,1220),_xlpm.wUsed,E62*MAX(1,MIN(MAX(2,INT(900/E62)),INT((_xlpm.cap-50)/E62))),_xlpm.kgmUsed,AR62/E62*_xlpm.wUsed,_xlpm.lam,TEXT(B62,"0"),_xlpm.crit,(TEXT(HELPER!$BZ$2:$BZ$250,"0")=_xlpm.lam)*(HELPER!$CC$2:$CC$250=D62)*(HELPER!$BW$2:$BW$250&lt;&gt;""),_xlpm.mats,_xlfn._xlws.FILTER(HELPER!$BW$2:$BW$250,_xlpm.crit),_xlpm.realLayers,SUM((_xlpm.mats&lt;&gt;"")*ISERROR(SEARCH("EPOTAL",_xlpm.mats&amp;""))*ISERROR(SEARCH("BASONAT",_xlpm.mats&amp;""))*ISERROR(SEARCH("ADH",_xlpm.mats&amp;""))*ISERROR(SEARCH("HARDENER",_xlpm.mats&amp;""))),_xlpm.steps,MAX(0,_xlpm.realLayers-1),_xlpm.tier,IF(P62&lt;3000,1,IF(P62&lt;10000,2,IF(P62&lt;25000,3,IF(P62&lt;50000,4,IF(P62&lt;100000,5,IF(P62&lt;250000,6,7)))))),_xlpm.widthRow,IF(_xlpm.wUsed&lt;900,0,5),_xlpm.supplierRow,IF(O62="Marma",3,IF(OR(O62="Bastin",O62="Quantum"),13,0)),_xlpm.rate,INDEX('Lmntn &amp; Prntng- Marma &amp; Bastin '!$D$1:$K$22,_xlpm.supplierRow+_xlpm.widthRow,_xlpm.tier),_xlpm.rate*_xlpm.steps/_xlpm.kgmUsed),"")</f>
        <v>1.5095739943595072</v>
      </c>
      <c r="AI62" s="919" cm="1">
        <f t="array" ref="AI62">IFERROR(_xlfn.LET(_xlpm.cap,IF(O62="Quantum",760,1220),_xlpm.wUsed,E62*MAX(1,MIN(MAX(2,INT(900/E62)),INT((_xlpm.cap-50)/E62))),_xlpm.kgmUsed,AR62/E62*_xlpm.wUsed,_xlpm.tier,IF(P62&lt;3000,1,IF(P62&lt;10000,2,IF(P62&lt;25000,3,IF(P62&lt;50000,4,IF(P62&lt;100000,5,IF(P62&lt;250000,6,IF(P62&lt;500000,7,8))))))),_xlpm.widthRow,IF(_xlpm.wUsed&lt;900,0,5),_xlpm.slitRow,IF(O62="Marma",7,IF(OR(O62="Bastin",O62="Quantum"),17,0)),_xlpm.slitRate,INDEX('Lmntn &amp; Prntng- Marma &amp; Bastin '!$D$1:$K$22,_xlpm.slitRow+_xlpm.widthRow,_xlpm.tier),_xlpm.numColors,IF(ISNUMBER(L62),L62,IFERROR(--RIGHT(L62,LEN(L62)-FIND("-",L62)),0)),_xlpm.printRate,IF(OR(K62&lt;&gt;"Printed",_xlpm.numColors=0),0,IF(O62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62))),MAX(_xlfn._xlws.FILTER(_xlpm.meters,(_xlpm.widths=_xlpm.qWidth)*(_xlpm.bands=_xlpm.band)))),INDEX(_xlpm.rates,_xlfn.XMATCH(1,(_xlpm.widths=_xlpm.qWidth)*(_xlpm.bands=_xlpm.band)*(_xlpm.meters=_xlpm.targetM),0))/HELPER!$AK$2),_xlfn.LET(_xlpm.colorOffset,IF(_xlpm.numColors&lt;=2,1,IF(_xlpm.numColors&lt;=4,2,3)),_xlpm.supplierRow,IF(O62="Marma",3,IF(O62="Bastin",13,0)),INDEX('Lmntn &amp; Prntng- Marma &amp; Bastin '!$D$1:$K$22,_xlpm.supplierRow+_xlpm.widthRow+_xlpm.colorOffset,_xlpm.tier)))),AH62+_xlpm.slitRate/_xlpm.kgmUsed+_xlpm.printRate/_xlpm.kgmUsed+AJ62),"")</f>
        <v>12.511671617521566</v>
      </c>
      <c r="AJ62" s="919" cm="1">
        <f t="array" ref="AJ62">IF(OR(K62&lt;&gt;"Printed",L62=0,L62="0",L62=""),0,IFERROR(_xlfn.LET(_xlpm.lam,TEXT(B62,"0"),_xlpm.crit,(TEXT(HELPER!$BZ$2:$BZ$250,"0")=_xlpm.lam)*(HELPER!$CC$2:$CC$250=D62)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WHITE"},0)))/ROWS(_xlpm.real),_xlpm.numColors,IF(ISNUMBER(L62),L62,IFERROR(--RIGHT(L62,LEN(L62)-FIND("-",L62)),0)),HELPER!$DB$1*_xlpm.numColors*MAX(1,M62)*1.05*_xlpm.nkRatio/Q62),0))</f>
        <v>7.7927861065756261</v>
      </c>
      <c r="AK62" s="919">
        <f t="shared" si="19"/>
        <v>1.0409911595835564</v>
      </c>
      <c r="AL62" s="919">
        <f t="shared" si="20"/>
        <v>1452.1826676190612</v>
      </c>
      <c r="AM62" s="73" t="str">
        <f t="shared" si="21"/>
        <v>PASS</v>
      </c>
      <c r="AN62" s="908" t="str">
        <f t="shared" si="0"/>
        <v/>
      </c>
      <c r="AO62" s="919">
        <f t="shared" si="1"/>
        <v>51</v>
      </c>
      <c r="AP62" s="919">
        <f t="shared" si="2"/>
        <v>21333.333333333336</v>
      </c>
      <c r="AQ62" s="919"/>
      <c r="AR62" s="919" cm="1">
        <f t="array" ref="AR62">IFERROR(_xlfn.LET(_xlpm.lam,TEXT(B62,"0"),_xlpm.thick,D62,_xlpm.crit,(TEXT(HELPER!$BZ$2:$BZ$250,"0")=_xlpm.lam)*(HELPER!$CC$2:$CC$250=_xlpm.thick)*(HELPER!$BW$2:$BW$250&lt;&gt;""),_xlpm.mats,TRIM(SUBSTITUTE(_xlfn._xlws.FILTER(HELPER!$BW$2:$BW$250,_xlpm.crit),CHAR(160),"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")),HELPER!$AQ$2:$AQ$20,1),_xlpm.mass,IF(ISNUMBER(SEARCH("paper",_xlpm.mats)),42,_xlpm.dens*_xlpm.ths),E62/1000000*SUM(_xlpm.mass)),"")</f>
        <v>6.0632999999999999E-2</v>
      </c>
      <c r="AS62" s="919">
        <f>IFERROR(IF(D62&gt;31,(5%+250/P62)*AF62,VLOOKUP(D62,HELPER!$BH$3:$BI$5,2,TRUE)*AF62),0)</f>
        <v>0.44447767372578667</v>
      </c>
      <c r="AT62" s="919">
        <v>0.15000000000000099</v>
      </c>
      <c r="AU62" s="919"/>
      <c r="AV62" s="919"/>
      <c r="AW62" s="919"/>
      <c r="AX62" s="919"/>
      <c r="AY62" s="919"/>
      <c r="AZ62" s="919">
        <f t="shared" si="3"/>
        <v>10080</v>
      </c>
    </row>
    <row r="63" spans="1:52">
      <c r="A63" s="73" t="s">
        <v>1484</v>
      </c>
      <c r="B63" s="73">
        <v>618</v>
      </c>
      <c r="C63" s="908" t="s">
        <v>1432</v>
      </c>
      <c r="D63" s="915" cm="1">
        <f t="array" ref="D6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63" s="915">
        <v>250</v>
      </c>
      <c r="F63" s="73" t="s">
        <v>560</v>
      </c>
      <c r="G63" s="916">
        <v>500</v>
      </c>
      <c r="H63" s="916">
        <v>500</v>
      </c>
      <c r="I63" s="916"/>
      <c r="J63" s="916"/>
      <c r="K63" s="73" t="s">
        <v>124</v>
      </c>
      <c r="L63" s="921" t="s">
        <v>221</v>
      </c>
      <c r="M63" s="915">
        <v>1</v>
      </c>
      <c r="N63" s="73" t="s">
        <v>550</v>
      </c>
      <c r="O63" s="73" t="s">
        <v>240</v>
      </c>
      <c r="P63" s="916" cm="1">
        <f t="array" ref="P63">IFERROR(_xlfn.SWITCH(F63,"By Weight",IF(H63&lt;&gt;"",H63,G63)/AR63,"By Length",G63,"By Imp",G63/MAX(1,ROUNDDOWN(E63/I63,0))*J63/1000,"IMP",G63/MAX(1,ROUNDDOWN(E63/I63,0))*J63/1000,""),"")</f>
        <v>15579.964166082416</v>
      </c>
      <c r="Q63" s="916">
        <f t="shared" si="4"/>
        <v>500</v>
      </c>
      <c r="R63" s="917">
        <f t="shared" si="5"/>
        <v>7184.4355504799751</v>
      </c>
      <c r="S63" s="918">
        <f t="shared" si="6"/>
        <v>8333.9452385567711</v>
      </c>
      <c r="T63" s="919">
        <f t="shared" si="7"/>
        <v>14.36887110095995</v>
      </c>
      <c r="U63" s="920">
        <f t="shared" si="8"/>
        <v>16.667890477113541</v>
      </c>
      <c r="V63" s="919">
        <f t="shared" si="9"/>
        <v>0.54250940683242221</v>
      </c>
      <c r="W63" s="919">
        <f t="shared" si="10"/>
        <v>16.904554236423532</v>
      </c>
      <c r="X63" s="919" t="str">
        <f t="shared" si="11"/>
        <v/>
      </c>
      <c r="Y63" s="920">
        <f t="shared" si="12"/>
        <v>0.62931091192560973</v>
      </c>
      <c r="Z63" s="920">
        <f t="shared" si="13"/>
        <v>19.609282914251295</v>
      </c>
      <c r="AA63" s="920" t="str">
        <f t="shared" si="14"/>
        <v/>
      </c>
      <c r="AB63" s="917">
        <f t="shared" si="15"/>
        <v>8452.2771182117667</v>
      </c>
      <c r="AC63" s="918">
        <f t="shared" si="16"/>
        <v>9804.6414571256482</v>
      </c>
      <c r="AD63" s="916">
        <f t="shared" si="17"/>
        <v>15579.964166082416</v>
      </c>
      <c r="AE63" s="916">
        <f t="shared" si="18"/>
        <v>500</v>
      </c>
      <c r="AF63" s="919" cm="1">
        <f t="array" ref="AF63">IFERROR(_xlfn.LET(_xlpm.lam,TEXT(B63,"0"),_xlpm.thick,D63,_xlpm.crit,(TEXT(HELPER!$BZ$2:$BZ$250,"0")=_xlpm.lam)*(HELPER!$CC$2:$CC$250=_xlpm.thick)*(HELPER!$BW$2:$BW$250&lt;&gt;""),_xlpm.mats,TRIM(SUBSTITUTE(_xlfn._xlws.FILTER(HELPER!$BW$2:$BW$250,_xlpm.crit),CHAR(160),"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6.9255780867804004</v>
      </c>
      <c r="AG63" s="919">
        <f>IFERROR(IF(N63="Europe to Canada",IF(Q63&lt;1000,VLOOKUP(1000,HELPER!$AG$4:$AH$8,2,FALSE)/Q63,VLOOKUP(Q63,HELPER!$AG$4:$AH$8,2,TRUE)/Q63),IF(N63="Europe to US",HELPER!$AH$2,IF(N63="Europe to Europe",HELPER!$AH$3,0))),0)</f>
        <v>5.4</v>
      </c>
      <c r="AH63" s="919" cm="1">
        <f t="array" ref="AH63">IFERROR(_xlfn.LET(_xlpm.cap,IF(O63="Quantum",760,1220),_xlpm.wUsed,E63*MAX(1,MIN(MAX(2,INT(900/E63)),INT((_xlpm.cap-50)/E63))),_xlpm.kgmUsed,AR63/E63*_xlpm.wUsed,_xlpm.lam,TEXT(B63,"0"),_xlpm.crit,(TEXT(HELPER!$BZ$2:$BZ$250,"0")=_xlpm.lam)*(HELPER!$CC$2:$CC$250=D63)*(HELPER!$BW$2:$BW$250&lt;&gt;""),_xlpm.mats,_xlfn._xlws.FILTER(HELPER!$BW$2:$BW$250,_xlpm.crit),_xlpm.realLayers,SUM((_xlpm.mats&lt;&gt;"")*ISERROR(SEARCH("EPOTAL",_xlpm.mats&amp;""))*ISERROR(SEARCH("BASONAT",_xlpm.mats&amp;""))*ISERROR(SEARCH("ADH",_xlpm.mats&amp;""))*ISERROR(SEARCH("HARDENER",_xlpm.mats&amp;""))),_xlpm.steps,MAX(0,_xlpm.realLayers-1),_xlpm.tier,IF(P63&lt;3000,1,IF(P63&lt;10000,2,IF(P63&lt;25000,3,IF(P63&lt;50000,4,IF(P63&lt;100000,5,IF(P63&lt;250000,6,7)))))),_xlpm.widthRow,IF(_xlpm.wUsed&lt;900,0,5),_xlpm.supplierRow,IF(O63="Marma",3,IF(OR(O63="Bastin",O63="Quantum"),13,0)),_xlpm.rate,INDEX('Lmntn &amp; Prntng- Marma &amp; Bastin '!$D$1:$K$22,_xlpm.supplierRow+_xlpm.widthRow,_xlpm.tier),_xlpm.rate*_xlpm.steps/_xlpm.kgmUsed),"")</f>
        <v>1.2358962374386537</v>
      </c>
      <c r="AI63" s="919" cm="1">
        <f t="array" ref="AI63">IFERROR(_xlfn.LET(_xlpm.cap,IF(O63="Quantum",760,1220),_xlpm.wUsed,E63*MAX(1,MIN(MAX(2,INT(900/E63)),INT((_xlpm.cap-50)/E63))),_xlpm.kgmUsed,AR63/E63*_xlpm.wUsed,_xlpm.tier,IF(P63&lt;3000,1,IF(P63&lt;10000,2,IF(P63&lt;25000,3,IF(P63&lt;50000,4,IF(P63&lt;100000,5,IF(P63&lt;250000,6,IF(P63&lt;500000,7,8))))))),_xlpm.widthRow,IF(_xlpm.wUsed&lt;900,0,5),_xlpm.slitRow,IF(O63="Marma",7,IF(OR(O63="Bastin",O63="Quantum"),17,0)),_xlpm.slitRate,INDEX('Lmntn &amp; Prntng- Marma &amp; Bastin '!$D$1:$K$22,_xlpm.slitRow+_xlpm.widthRow,_xlpm.tier),_xlpm.numColors,IF(ISNUMBER(L63),L63,IFERROR(--RIGHT(L63,LEN(L63)-FIND("-",L63)),0)),_xlpm.printRate,IF(OR(K63&lt;&gt;"Printed",_xlpm.numColors=0),0,IF(O63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63))),MAX(_xlfn._xlws.FILTER(_xlpm.meters,(_xlpm.widths=_xlpm.qWidth)*(_xlpm.bands=_xlpm.band)))),INDEX(_xlpm.rates,_xlfn.XMATCH(1,(_xlpm.widths=_xlpm.qWidth)*(_xlpm.bands=_xlpm.band)*(_xlpm.meters=_xlpm.targetM),0))/HELPER!$AK$2),_xlfn.LET(_xlpm.colorOffset,IF(_xlpm.numColors&lt;=2,1,IF(_xlpm.numColors&lt;=4,2,3)),_xlpm.supplierRow,IF(O63="Marma",3,IF(O63="Bastin",13,0)),INDEX('Lmntn &amp; Prntng- Marma &amp; Bastin '!$D$1:$K$22,_xlpm.supplierRow+_xlpm.widthRow+_xlpm.colorOffset,_xlpm.tier)))),AH63+_xlpm.slitRate/_xlpm.kgmUsed+_xlpm.printRate/_xlpm.kgmUsed+AJ63),"")</f>
        <v>1.5858845524655292</v>
      </c>
      <c r="AJ63" s="919" cm="1">
        <f t="array" ref="AJ63">IF(OR(K63&lt;&gt;"Printed",L63=0,L63="0",L63=""),0,IFERROR(_xlfn.LET(_xlpm.lam,TEXT(B63,"0"),_xlpm.crit,(TEXT(HELPER!$BZ$2:$BZ$250,"0")=_xlpm.lam)*(HELPER!$CC$2:$CC$250=D63)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WHITE"},0)))/ROWS(_xlpm.real),_xlpm.numColors,IF(ISNUMBER(L63),L63,IFERROR(--RIGHT(L63,LEN(L63)-FIND("-",L63)),0)),HELPER!$DB$1*_xlpm.numColors*MAX(1,M63)*1.05*_xlpm.nkRatio/Q63),0))</f>
        <v>0</v>
      </c>
      <c r="AK63" s="919">
        <f t="shared" si="19"/>
        <v>1.4000242756965735</v>
      </c>
      <c r="AL63" s="919">
        <f t="shared" si="20"/>
        <v>542.5094068324222</v>
      </c>
      <c r="AM63" s="73" t="str">
        <f t="shared" si="21"/>
        <v>PASS</v>
      </c>
      <c r="AN63" s="908" t="str">
        <f t="shared" si="0"/>
        <v/>
      </c>
      <c r="AO63" s="919">
        <f t="shared" si="1"/>
        <v>100</v>
      </c>
      <c r="AP63" s="919">
        <f t="shared" si="2"/>
        <v>15579.964166082416</v>
      </c>
      <c r="AQ63" s="919"/>
      <c r="AR63" s="919" cm="1">
        <f t="array" ref="AR63">IFERROR(_xlfn.LET(_xlpm.lam,TEXT(B63,"0"),_xlpm.thick,D63,_xlpm.crit,(TEXT(HELPER!$BZ$2:$BZ$250,"0")=_xlpm.lam)*(HELPER!$CC$2:$CC$250=_xlpm.thick)*(HELPER!$BW$2:$BW$250&lt;&gt;""),_xlpm.mats,TRIM(SUBSTITUTE(_xlfn._xlws.FILTER(HELPER!$BW$2:$BW$250,_xlpm.crit),CHAR(160),"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")),HELPER!$AQ$2:$AQ$20,1),_xlpm.mass,IF(ISNUMBER(SEARCH("paper",_xlpm.mats)),42,_xlpm.dens*_xlpm.ths),E63/1000000*SUM(_xlpm.mass)),"")</f>
        <v>3.2092500000000003E-2</v>
      </c>
      <c r="AS63" s="919">
        <f>IFERROR(IF(D63&gt;31,(5%+250/P63)*AF63,VLOOKUP(D63,HELPER!$BH$3:$BI$5,2,TRUE)*AF63),0)</f>
        <v>0.45740846171402005</v>
      </c>
      <c r="AT63" s="919">
        <v>0.15000000000000299</v>
      </c>
      <c r="AU63" s="919"/>
      <c r="AV63" s="919"/>
      <c r="AW63" s="919"/>
      <c r="AX63" s="919"/>
      <c r="AY63" s="919"/>
      <c r="AZ63" s="919">
        <f t="shared" si="3"/>
        <v>0</v>
      </c>
    </row>
    <row r="64" spans="1:52">
      <c r="A64" s="73" t="s">
        <v>1485</v>
      </c>
      <c r="B64" s="73">
        <v>618</v>
      </c>
      <c r="C64" s="908" t="s">
        <v>1434</v>
      </c>
      <c r="D64" s="915" cm="1">
        <f t="array" ref="D6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64" s="915">
        <v>600</v>
      </c>
      <c r="F64" s="73" t="s">
        <v>1040</v>
      </c>
      <c r="G64" s="916">
        <v>100000</v>
      </c>
      <c r="H64" s="916"/>
      <c r="I64" s="916">
        <v>300</v>
      </c>
      <c r="J64" s="916">
        <v>200</v>
      </c>
      <c r="K64" s="73" t="s">
        <v>123</v>
      </c>
      <c r="L64" s="921" t="s">
        <v>122</v>
      </c>
      <c r="M64" s="915">
        <v>4</v>
      </c>
      <c r="N64" s="73" t="s">
        <v>549</v>
      </c>
      <c r="O64" s="73" t="s">
        <v>250</v>
      </c>
      <c r="P64" s="916" cm="1">
        <f t="array" ref="P64">IFERROR(_xlfn.SWITCH(F64,"By Weight",IF(H64&lt;&gt;"",H64,G64)/AR64,"By Length",G64,"By Imp",G64/MAX(1,ROUNDDOWN(E64/I64,0))*J64/1000,"IMP",G64/MAX(1,ROUNDDOWN(E64/I64,0))*J64/1000,""),"")</f>
        <v>10000</v>
      </c>
      <c r="Q64" s="916">
        <f t="shared" si="4"/>
        <v>516.71999999999991</v>
      </c>
      <c r="R64" s="917">
        <f t="shared" si="5"/>
        <v>8998.0881139999983</v>
      </c>
      <c r="S64" s="918">
        <f t="shared" si="6"/>
        <v>10437.782212239998</v>
      </c>
      <c r="T64" s="919">
        <f t="shared" si="7"/>
        <v>17.413856854776281</v>
      </c>
      <c r="U64" s="920">
        <f t="shared" si="8"/>
        <v>20.200073951540485</v>
      </c>
      <c r="V64" s="919">
        <f t="shared" si="9"/>
        <v>1.1247610142499957</v>
      </c>
      <c r="W64" s="919">
        <f t="shared" si="10"/>
        <v>21.76732106847027</v>
      </c>
      <c r="X64" s="919">
        <f t="shared" si="11"/>
        <v>0.11247610142499959</v>
      </c>
      <c r="Y64" s="920">
        <f t="shared" si="12"/>
        <v>1.3047227765299949</v>
      </c>
      <c r="Z64" s="920">
        <f t="shared" si="13"/>
        <v>25.250092439425512</v>
      </c>
      <c r="AA64" s="920">
        <f t="shared" si="14"/>
        <v>0.13047227765299951</v>
      </c>
      <c r="AB64" s="917">
        <f t="shared" si="15"/>
        <v>11247.610142499956</v>
      </c>
      <c r="AC64" s="918">
        <f t="shared" si="16"/>
        <v>13047.227765299947</v>
      </c>
      <c r="AD64" s="916">
        <f t="shared" si="17"/>
        <v>9676.4204985291854</v>
      </c>
      <c r="AE64" s="916">
        <f t="shared" si="18"/>
        <v>500</v>
      </c>
      <c r="AF64" s="919" cm="1">
        <f t="array" ref="AF64">IFERROR(_xlfn.LET(_xlpm.lam,TEXT(B64,"0"),_xlpm.thick,D64,_xlpm.crit,(TEXT(HELPER!$BZ$2:$BZ$250,"0")=_xlpm.lam)*(HELPER!$CC$2:$CC$250=_xlpm.thick)*(HELPER!$BW$2:$BW$250&lt;&gt;""),_xlpm.mats,TRIM(SUBSTITUTE(_xlfn._xlws.FILTER(HELPER!$BW$2:$BW$250,_xlpm.crit),CHAR(160),"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7.0823190896423585</v>
      </c>
      <c r="AG64" s="919">
        <f>IFERROR(IF(N64="Europe to Canada",IF(Q64&lt;1000,VLOOKUP(1000,HELPER!$AG$4:$AH$8,2,FALSE)/Q64,VLOOKUP(Q64,HELPER!$AG$4:$AH$8,2,TRUE)/Q64),IF(N64="Europe to US",HELPER!$AH$2,IF(N64="Europe to Europe",HELPER!$AH$3,0))),0)</f>
        <v>0.2</v>
      </c>
      <c r="AH64" s="919" cm="1">
        <f t="array" ref="AH64">IFERROR(_xlfn.LET(_xlpm.cap,IF(O64="Quantum",760,1220),_xlpm.wUsed,E64*MAX(1,MIN(MAX(2,INT(900/E64)),INT((_xlpm.cap-50)/E64))),_xlpm.kgmUsed,AR64/E64*_xlpm.wUsed,_xlpm.lam,TEXT(B64,"0"),_xlpm.crit,(TEXT(HELPER!$BZ$2:$BZ$250,"0")=_xlpm.lam)*(HELPER!$CC$2:$CC$250=D64)*(HELPER!$BW$2:$BW$250&lt;&gt;""),_xlpm.mats,_xlfn._xlws.FILTER(HELPER!$BW$2:$BW$250,_xlpm.crit),_xlpm.realLayers,SUM((_xlpm.mats&lt;&gt;"")*ISERROR(SEARCH("EPOTAL",_xlpm.mats&amp;""))*ISERROR(SEARCH("BASONAT",_xlpm.mats&amp;""))*ISERROR(SEARCH("ADH",_xlpm.mats&amp;""))*ISERROR(SEARCH("HARDENER",_xlpm.mats&amp;""))),_xlpm.steps,MAX(0,_xlpm.realLayers-1),_xlpm.tier,IF(P64&lt;3000,1,IF(P64&lt;10000,2,IF(P64&lt;25000,3,IF(P64&lt;50000,4,IF(P64&lt;100000,5,IF(P64&lt;250000,6,7)))))),_xlpm.widthRow,IF(_xlpm.wUsed&lt;900,0,5),_xlpm.supplierRow,IF(O64="Marma",3,IF(OR(O64="Bastin",O64="Quantum"),13,0)),_xlpm.rate,INDEX('Lmntn &amp; Prntng- Marma &amp; Bastin '!$D$1:$K$22,_xlpm.supplierRow+_xlpm.widthRow,_xlpm.tier),_xlpm.rate*_xlpm.steps/_xlpm.kgmUsed),"")</f>
        <v>1.7713655364607526</v>
      </c>
      <c r="AI64" s="919" cm="1">
        <f t="array" ref="AI64">IFERROR(_xlfn.LET(_xlpm.cap,IF(O64="Quantum",760,1220),_xlpm.wUsed,E64*MAX(1,MIN(MAX(2,INT(900/E64)),INT((_xlpm.cap-50)/E64))),_xlpm.kgmUsed,AR64/E64*_xlpm.wUsed,_xlpm.tier,IF(P64&lt;3000,1,IF(P64&lt;10000,2,IF(P64&lt;25000,3,IF(P64&lt;50000,4,IF(P64&lt;100000,5,IF(P64&lt;250000,6,IF(P64&lt;500000,7,8))))))),_xlpm.widthRow,IF(_xlpm.wUsed&lt;900,0,5),_xlpm.slitRow,IF(O64="Marma",7,IF(OR(O64="Bastin",O64="Quantum"),17,0)),_xlpm.slitRate,INDEX('Lmntn &amp; Prntng- Marma &amp; Bastin '!$D$1:$K$22,_xlpm.slitRow+_xlpm.widthRow,_xlpm.tier),_xlpm.numColors,IF(ISNUMBER(L64),L64,IFERROR(--RIGHT(L64,LEN(L64)-FIND("-",L64)),0)),_xlpm.printRate,IF(OR(K64&lt;&gt;"Printed",_xlpm.numColors=0),0,IF(O64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64))),MAX(_xlfn._xlws.FILTER(_xlpm.meters,(_xlpm.widths=_xlpm.qWidth)*(_xlpm.bands=_xlpm.band)))),INDEX(_xlpm.rates,_xlfn.XMATCH(1,(_xlpm.widths=_xlpm.qWidth)*(_xlpm.bands=_xlpm.band)*(_xlpm.meters=_xlpm.targetM),0))/HELPER!$AK$2),_xlfn.LET(_xlpm.colorOffset,IF(_xlpm.numColors&lt;=2,1,IF(_xlpm.numColors&lt;=4,2,3)),_xlpm.supplierRow,IF(O64="Marma",3,IF(O64="Bastin",13,0)),INDEX('Lmntn &amp; Prntng- Marma &amp; Bastin '!$D$1:$K$22,_xlpm.supplierRow+_xlpm.widthRow+_xlpm.colorOffset,_xlpm.tier)))),AH64+_xlpm.slitRate/_xlpm.kgmUsed+_xlpm.printRate/_xlpm.kgmUsed+AJ64),"")</f>
        <v>9.6003638334107464</v>
      </c>
      <c r="AJ64" s="919" cm="1">
        <f t="array" ref="AJ64">IF(OR(K64&lt;&gt;"Printed",L64=0,L64="0",L64=""),0,IFERROR(_xlfn.LET(_xlpm.lam,TEXT(B64,"0"),_xlpm.crit,(TEXT(HELPER!$BZ$2:$BZ$250,"0")=_xlpm.lam)*(HELPER!$CC$2:$CC$250=D64)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WHITE"},0)))/ROWS(_xlpm.real),_xlpm.numColors,IF(ISNUMBER(L64),L64,IFERROR(--RIGHT(L64,LEN(L64)-FIND("-",L64)),0)),HELPER!$DB$1*_xlpm.numColors*MAX(1,M64)*1.05*_xlpm.nkRatio/Q64),0))</f>
        <v>4.8769159312587096</v>
      </c>
      <c r="AK64" s="919">
        <f t="shared" si="19"/>
        <v>1.209420445430103</v>
      </c>
      <c r="AL64" s="919">
        <f t="shared" si="20"/>
        <v>1124.7610142499957</v>
      </c>
      <c r="AM64" s="73" t="str">
        <f t="shared" si="21"/>
        <v>PASS</v>
      </c>
      <c r="AN64" s="908" t="str">
        <f t="shared" si="0"/>
        <v/>
      </c>
      <c r="AO64" s="919">
        <f t="shared" si="1"/>
        <v>66</v>
      </c>
      <c r="AP64" s="919">
        <f t="shared" si="2"/>
        <v>10000</v>
      </c>
      <c r="AQ64" s="919"/>
      <c r="AR64" s="919" cm="1">
        <f t="array" ref="AR64">IFERROR(_xlfn.LET(_xlpm.lam,TEXT(B64,"0"),_xlpm.thick,D64,_xlpm.crit,(TEXT(HELPER!$BZ$2:$BZ$250,"0")=_xlpm.lam)*(HELPER!$CC$2:$CC$250=_xlpm.thick)*(HELPER!$BW$2:$BW$250&lt;&gt;""),_xlpm.mats,TRIM(SUBSTITUTE(_xlfn._xlws.FILTER(HELPER!$BW$2:$BW$250,_xlpm.crit),CHAR(160),"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")),HELPER!$AQ$2:$AQ$20,1),_xlpm.mass,IF(ISNUMBER(SEARCH("paper",_xlpm.mats)),42,_xlpm.dens*_xlpm.ths),E64/1000000*SUM(_xlpm.mass)),"")</f>
        <v>5.1671999999999996E-2</v>
      </c>
      <c r="AS64" s="919">
        <f>IFERROR(IF(D64&gt;31,(5%+250/P64)*AF64,VLOOKUP(D64,HELPER!$BH$3:$BI$5,2,TRUE)*AF64),0)</f>
        <v>0.53117393172317695</v>
      </c>
      <c r="AT64" s="919">
        <v>0.19999999999999701</v>
      </c>
      <c r="AU64" s="919"/>
      <c r="AV64" s="919"/>
      <c r="AW64" s="919"/>
      <c r="AX64" s="919"/>
      <c r="AY64" s="919"/>
      <c r="AZ64" s="919">
        <f t="shared" si="3"/>
        <v>2520</v>
      </c>
    </row>
    <row r="65" spans="1:52">
      <c r="A65" s="73" t="s">
        <v>1486</v>
      </c>
      <c r="B65" s="73">
        <v>618</v>
      </c>
      <c r="C65" s="908" t="s">
        <v>1436</v>
      </c>
      <c r="D65" s="915" cm="1">
        <f t="array" ref="D6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5" s="915">
        <v>450</v>
      </c>
      <c r="F65" s="73" t="s">
        <v>560</v>
      </c>
      <c r="G65" s="916">
        <v>500</v>
      </c>
      <c r="H65" s="916">
        <v>500</v>
      </c>
      <c r="I65" s="916"/>
      <c r="J65" s="916"/>
      <c r="K65" s="73" t="s">
        <v>123</v>
      </c>
      <c r="L65" s="921" t="s">
        <v>591</v>
      </c>
      <c r="M65" s="915">
        <v>2</v>
      </c>
      <c r="N65" s="73" t="s">
        <v>549</v>
      </c>
      <c r="O65" s="73" t="s">
        <v>1366</v>
      </c>
      <c r="P65" s="916" cm="1">
        <f t="array" ref="P65">IFERROR(_xlfn.SWITCH(F65,"By Weight",IF(H65&lt;&gt;"",H65,G65)/AR65,"By Length",G65,"By Imp",G65/MAX(1,ROUNDDOWN(E65/I65,0))*J65/1000,"IMP",G65/MAX(1,ROUNDDOWN(E65/I65,0))*J65/1000,""),"")</f>
        <v>16492.669008625668</v>
      </c>
      <c r="Q65" s="916">
        <f t="shared" si="4"/>
        <v>500.00000000000006</v>
      </c>
      <c r="R65" s="917">
        <f t="shared" si="5"/>
        <v>18457.893341229763</v>
      </c>
      <c r="S65" s="918">
        <f t="shared" si="6"/>
        <v>21411.156275826525</v>
      </c>
      <c r="T65" s="919">
        <f t="shared" si="7"/>
        <v>36.915786682459519</v>
      </c>
      <c r="U65" s="920">
        <f t="shared" si="8"/>
        <v>42.822312551653042</v>
      </c>
      <c r="V65" s="919">
        <f t="shared" si="9"/>
        <v>1.3166558199515106</v>
      </c>
      <c r="W65" s="919">
        <f t="shared" si="10"/>
        <v>43.43033727348179</v>
      </c>
      <c r="X65" s="919" t="str">
        <f t="shared" si="11"/>
        <v/>
      </c>
      <c r="Y65" s="920">
        <f t="shared" si="12"/>
        <v>1.5273207511437521</v>
      </c>
      <c r="Z65" s="920">
        <f t="shared" si="13"/>
        <v>50.379191237238871</v>
      </c>
      <c r="AA65" s="920" t="str">
        <f t="shared" si="14"/>
        <v/>
      </c>
      <c r="AB65" s="917">
        <f t="shared" si="15"/>
        <v>21715.168636740898</v>
      </c>
      <c r="AC65" s="918">
        <f t="shared" si="16"/>
        <v>25189.595618619442</v>
      </c>
      <c r="AD65" s="916">
        <f t="shared" si="17"/>
        <v>16492.669008625668</v>
      </c>
      <c r="AE65" s="916">
        <f t="shared" si="18"/>
        <v>500</v>
      </c>
      <c r="AF65" s="919" cm="1">
        <f t="array" ref="AF65">IFERROR(_xlfn.LET(_xlpm.lam,TEXT(B65,"0"),_xlpm.thick,D65,_xlpm.crit,(TEXT(HELPER!$BZ$2:$BZ$250,"0")=_xlpm.lam)*(HELPER!$CC$2:$CC$250=_xlpm.thick)*(HELPER!$BW$2:$BW$250&lt;&gt;""),_xlpm.mats,TRIM(SUBSTITUTE(_xlfn._xlws.FILTER(HELPER!$BW$2:$BW$250,_xlpm.crit),CHAR(160),"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65" s="919">
        <f>IFERROR(IF(N65="Europe to Canada",IF(Q65&lt;1000,VLOOKUP(1000,HELPER!$AG$4:$AH$8,2,FALSE)/Q65,VLOOKUP(Q65,HELPER!$AG$4:$AH$8,2,TRUE)/Q65),IF(N65="Europe to US",HELPER!$AH$2,IF(N65="Europe to Europe",HELPER!$AH$3,0))),0)</f>
        <v>0.2</v>
      </c>
      <c r="AH65" s="919" cm="1">
        <f t="array" ref="AH65">IFERROR(_xlfn.LET(_xlpm.cap,IF(O65="Quantum",760,1220),_xlpm.wUsed,E65*MAX(1,MIN(MAX(2,INT(900/E65)),INT((_xlpm.cap-50)/E65))),_xlpm.kgmUsed,AR65/E65*_xlpm.wUsed,_xlpm.lam,TEXT(B65,"0"),_xlpm.crit,(TEXT(HELPER!$BZ$2:$BZ$250,"0")=_xlpm.lam)*(HELPER!$CC$2:$CC$250=D65)*(HELPER!$BW$2:$BW$250&lt;&gt;""),_xlpm.mats,_xlfn._xlws.FILTER(HELPER!$BW$2:$BW$250,_xlpm.crit),_xlpm.realLayers,SUM((_xlpm.mats&lt;&gt;"")*ISERROR(SEARCH("EPOTAL",_xlpm.mats&amp;""))*ISERROR(SEARCH("BASONAT",_xlpm.mats&amp;""))*ISERROR(SEARCH("ADH",_xlpm.mats&amp;""))*ISERROR(SEARCH("HARDENER",_xlpm.mats&amp;""))),_xlpm.steps,MAX(0,_xlpm.realLayers-1),_xlpm.tier,IF(P65&lt;3000,1,IF(P65&lt;10000,2,IF(P65&lt;25000,3,IF(P65&lt;50000,4,IF(P65&lt;100000,5,IF(P65&lt;250000,6,7)))))),_xlpm.widthRow,IF(_xlpm.wUsed&lt;900,0,5),_xlpm.supplierRow,IF(O65="Marma",3,IF(OR(O65="Bastin",O65="Quantum"),13,0)),_xlpm.rate,INDEX('Lmntn &amp; Prntng- Marma &amp; Bastin '!$D$1:$K$22,_xlpm.supplierRow+_xlpm.widthRow,_xlpm.tier),_xlpm.rate*_xlpm.steps/_xlpm.kgmUsed),"")</f>
        <v>3.9248923853347186</v>
      </c>
      <c r="AI65" s="919" cm="1">
        <f t="array" ref="AI65">IFERROR(_xlfn.LET(_xlpm.cap,IF(O65="Quantum",760,1220),_xlpm.wUsed,E65*MAX(1,MIN(MAX(2,INT(900/E65)),INT((_xlpm.cap-50)/E65))),_xlpm.kgmUsed,AR65/E65*_xlpm.wUsed,_xlpm.tier,IF(P65&lt;3000,1,IF(P65&lt;10000,2,IF(P65&lt;25000,3,IF(P65&lt;50000,4,IF(P65&lt;100000,5,IF(P65&lt;250000,6,IF(P65&lt;500000,7,8))))))),_xlpm.widthRow,IF(_xlpm.wUsed&lt;900,0,5),_xlpm.slitRow,IF(O65="Marma",7,IF(OR(O65="Bastin",O65="Quantum"),17,0)),_xlpm.slitRate,INDEX('Lmntn &amp; Prntng- Marma &amp; Bastin '!$D$1:$K$22,_xlpm.slitRow+_xlpm.widthRow,_xlpm.tier),_xlpm.numColors,IF(ISNUMBER(L65),L65,IFERROR(--RIGHT(L65,LEN(L65)-FIND("-",L65)),0)),_xlpm.printRate,IF(OR(K65&lt;&gt;"Printed",_xlpm.numColors=0),0,IF(O65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65))),MAX(_xlfn._xlws.FILTER(_xlpm.meters,(_xlpm.widths=_xlpm.qWidth)*(_xlpm.bands=_xlpm.band)))),INDEX(_xlpm.rates,_xlfn.XMATCH(1,(_xlpm.widths=_xlpm.qWidth)*(_xlpm.bands=_xlpm.band)*(_xlpm.meters=_xlpm.targetM),0))/HELPER!$AK$2),_xlfn.LET(_xlpm.colorOffset,IF(_xlpm.numColors&lt;=2,1,IF(_xlpm.numColors&lt;=4,2,3)),_xlpm.supplierRow,IF(O65="Marma",3,IF(O65="Bastin",13,0)),INDEX('Lmntn &amp; Prntng- Marma &amp; Bastin '!$D$1:$K$22,_xlpm.supplierRow+_xlpm.widthRow+_xlpm.colorOffset,_xlpm.tier)))),AH65+_xlpm.slitRate/_xlpm.kgmUsed+_xlpm.printRate/_xlpm.kgmUsed+AJ65),"")</f>
        <v>29.044875312578732</v>
      </c>
      <c r="AJ65" s="919" cm="1">
        <f t="array" ref="AJ65">IF(OR(K65&lt;&gt;"Printed",L65=0,L65="0",L65=""),0,IFERROR(_xlfn.LET(_xlpm.lam,TEXT(B65,"0"),_xlpm.crit,(TEXT(HELPER!$BZ$2:$BZ$250,"0")=_xlpm.lam)*(HELPER!$CC$2:$CC$250=D65)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WHITE"},0)))/ROWS(_xlpm.real),_xlpm.numColors,IF(ISNUMBER(L65),L65,IFERROR(--RIGHT(L65,LEN(L65)-FIND("-",L65)),0)),HELPER!$DB$1*_xlpm.numColors*MAX(1,M65)*1.05*_xlpm.nkRatio/Q65),0))</f>
        <v>1.2599999999999998</v>
      </c>
      <c r="AK65" s="919">
        <f t="shared" si="19"/>
        <v>1.8876785949125601</v>
      </c>
      <c r="AL65" s="919">
        <f t="shared" si="20"/>
        <v>1316.6558199515107</v>
      </c>
      <c r="AM65" s="73" t="str">
        <f t="shared" si="21"/>
        <v>PASS</v>
      </c>
      <c r="AN65" s="908" t="str">
        <f t="shared" si="0"/>
        <v/>
      </c>
      <c r="AO65" s="919">
        <f t="shared" si="1"/>
        <v>51</v>
      </c>
      <c r="AP65" s="919">
        <f t="shared" si="2"/>
        <v>16492.669008625668</v>
      </c>
      <c r="AQ65" s="919"/>
      <c r="AR65" s="919" cm="1">
        <f t="array" ref="AR65">IFERROR(_xlfn.LET(_xlpm.lam,TEXT(B65,"0"),_xlpm.thick,D65,_xlpm.crit,(TEXT(HELPER!$BZ$2:$BZ$250,"0")=_xlpm.lam)*(HELPER!$CC$2:$CC$250=_xlpm.thick)*(HELPER!$BW$2:$BW$250&lt;&gt;""),_xlpm.mats,TRIM(SUBSTITUTE(_xlfn._xlws.FILTER(HELPER!$BW$2:$BW$250,_xlpm.crit),CHAR(160),"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")),HELPER!$AQ$2:$AQ$20,1),_xlpm.mass,IF(ISNUMBER(SEARCH("paper",_xlpm.mats)),42,_xlpm.dens*_xlpm.ths),E65/1000000*SUM(_xlpm.mass)),"")</f>
        <v>3.03165E-2</v>
      </c>
      <c r="AS65" s="919">
        <f>IFERROR(IF(D65&gt;31,(5%+250/P65)*AF65,VLOOKUP(D65,HELPER!$BH$3:$BI$5,2,TRUE)*AF65),0)</f>
        <v>0.46924779558956137</v>
      </c>
      <c r="AT65" s="919">
        <v>0.15</v>
      </c>
      <c r="AU65" s="919"/>
      <c r="AV65" s="919"/>
      <c r="AW65" s="919"/>
      <c r="AX65" s="919"/>
      <c r="AY65" s="919"/>
      <c r="AZ65" s="919">
        <f t="shared" si="3"/>
        <v>630</v>
      </c>
    </row>
    <row r="66" spans="1:52">
      <c r="A66" s="73" t="s">
        <v>1487</v>
      </c>
      <c r="B66" s="73" t="s">
        <v>566</v>
      </c>
      <c r="C66" s="908" t="s">
        <v>1418</v>
      </c>
      <c r="D66" s="915" cm="1">
        <f t="array" ref="D6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6" s="915">
        <v>120</v>
      </c>
      <c r="F66" s="73" t="s">
        <v>560</v>
      </c>
      <c r="G66" s="916">
        <v>100</v>
      </c>
      <c r="H66" s="916">
        <v>100</v>
      </c>
      <c r="I66" s="916"/>
      <c r="J66" s="916"/>
      <c r="K66" s="73" t="s">
        <v>124</v>
      </c>
      <c r="L66" s="921" t="s">
        <v>221</v>
      </c>
      <c r="M66" s="915">
        <v>1</v>
      </c>
      <c r="N66" s="73" t="s">
        <v>549</v>
      </c>
      <c r="O66" s="73" t="s">
        <v>250</v>
      </c>
      <c r="P66" s="916" cm="1">
        <f t="array" ref="P66">IFERROR(_xlfn.SWITCH(F66,"By Weight",IF(H66&lt;&gt;"",H66,G66)/AR66,"By Length",G66,"By Imp",G66/MAX(1,ROUNDDOWN(E66/I66,0))*J66/1000,"IMP",G66/MAX(1,ROUNDDOWN(E66/I66,0))*J66/1000,""),"")</f>
        <v>12369.50175646925</v>
      </c>
      <c r="Q66" s="916">
        <f t="shared" si="4"/>
        <v>100</v>
      </c>
      <c r="R66" s="917">
        <f t="shared" si="5"/>
        <v>1096.1049794502567</v>
      </c>
      <c r="S66" s="918">
        <f t="shared" si="6"/>
        <v>1271.4817761622976</v>
      </c>
      <c r="T66" s="919">
        <f t="shared" si="7"/>
        <v>10.961049794502566</v>
      </c>
      <c r="U66" s="920">
        <f t="shared" si="8"/>
        <v>12.714817761622976</v>
      </c>
      <c r="V66" s="919">
        <f t="shared" si="9"/>
        <v>0.10425118936314863</v>
      </c>
      <c r="W66" s="919">
        <f t="shared" si="10"/>
        <v>12.895352699414753</v>
      </c>
      <c r="X66" s="919" t="str">
        <f t="shared" si="11"/>
        <v/>
      </c>
      <c r="Y66" s="920">
        <f t="shared" si="12"/>
        <v>0.12093137966125241</v>
      </c>
      <c r="Z66" s="920">
        <f t="shared" si="13"/>
        <v>14.958609131321111</v>
      </c>
      <c r="AA66" s="920" t="str">
        <f t="shared" si="14"/>
        <v/>
      </c>
      <c r="AB66" s="917">
        <f t="shared" si="15"/>
        <v>1289.5352699414752</v>
      </c>
      <c r="AC66" s="918">
        <f t="shared" si="16"/>
        <v>1495.8609131321111</v>
      </c>
      <c r="AD66" s="916">
        <f t="shared" si="17"/>
        <v>61847.508782346245</v>
      </c>
      <c r="AE66" s="916">
        <f t="shared" si="18"/>
        <v>500</v>
      </c>
      <c r="AF66" s="919" cm="1">
        <f t="array" ref="AF66">IFERROR(_xlfn.LET(_xlpm.lam,TEXT(B66,"0"),_xlpm.thick,D66,_xlpm.crit,(TEXT(HELPER!$BZ$2:$BZ$250,"0")=_xlpm.lam)*(HELPER!$CC$2:$CC$250=_xlpm.thick)*(HELPER!$BW$2:$BW$250&lt;&gt;""),_xlpm.mats,TRIM(SUBSTITUTE(_xlfn._xlws.FILTER(HELPER!$BW$2:$BW$250,_xlpm.crit),CHAR(160),"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66" s="919">
        <f>IFERROR(IF(N66="Europe to Canada",IF(Q66&lt;1000,VLOOKUP(1000,HELPER!$AG$4:$AH$8,2,FALSE)/Q66,VLOOKUP(Q66,HELPER!$AG$4:$AH$8,2,TRUE)/Q66),IF(N66="Europe to US",HELPER!$AH$2,IF(N66="Europe to Europe",HELPER!$AH$3,0))),0)</f>
        <v>0.2</v>
      </c>
      <c r="AH66" s="919" cm="1">
        <f t="array" ref="AH66">IFERROR(_xlfn.LET(_xlpm.cap,IF(O66="Quantum",760,1220),_xlpm.wUsed,E66*MAX(1,MIN(MAX(2,INT(900/E66)),INT((_xlpm.cap-50)/E66))),_xlpm.kgmUsed,AR66/E66*_xlpm.wUsed,_xlpm.lam,TEXT(B66,"0"),_xlpm.crit,(TEXT(HELPER!$BZ$2:$BZ$250,"0")=_xlpm.lam)*(HELPER!$CC$2:$CC$250=D66)*(HELPER!$BW$2:$BW$250&lt;&gt;""),_xlpm.mats,_xlfn._xlws.FILTER(HELPER!$BW$2:$BW$250,_xlpm.crit),_xlpm.realLayers,SUM((_xlpm.mats&lt;&gt;"")*ISERROR(SEARCH("EPOTAL",_xlpm.mats&amp;""))*ISERROR(SEARCH("BASONAT",_xlpm.mats&amp;""))*ISERROR(SEARCH("ADH",_xlpm.mats&amp;""))*ISERROR(SEARCH("HARDENER",_xlpm.mats&amp;""))),_xlpm.steps,MAX(0,_xlpm.realLayers-1),_xlpm.tier,IF(P66&lt;3000,1,IF(P66&lt;10000,2,IF(P66&lt;25000,3,IF(P66&lt;50000,4,IF(P66&lt;100000,5,IF(P66&lt;250000,6,7)))))),_xlpm.widthRow,IF(_xlpm.wUsed&lt;900,0,5),_xlpm.supplierRow,IF(O66="Marma",3,IF(OR(O66="Bastin",O66="Quantum"),13,0)),_xlpm.rate,INDEX('Lmntn &amp; Prntng- Marma &amp; Bastin '!$D$1:$K$22,_xlpm.supplierRow+_xlpm.widthRow,_xlpm.tier),_xlpm.rate*_xlpm.steps/_xlpm.kgmUsed),"")</f>
        <v>1.617400708242329</v>
      </c>
      <c r="AI66" s="919" cm="1">
        <f t="array" ref="AI66">IFERROR(_xlfn.LET(_xlpm.cap,IF(O66="Quantum",760,1220),_xlpm.wUsed,E66*MAX(1,MIN(MAX(2,INT(900/E66)),INT((_xlpm.cap-50)/E66))),_xlpm.kgmUsed,AR66/E66*_xlpm.wUsed,_xlpm.tier,IF(P66&lt;3000,1,IF(P66&lt;10000,2,IF(P66&lt;25000,3,IF(P66&lt;50000,4,IF(P66&lt;100000,5,IF(P66&lt;250000,6,IF(P66&lt;500000,7,8))))))),_xlpm.widthRow,IF(_xlpm.wUsed&lt;900,0,5),_xlpm.slitRow,IF(O66="Marma",7,IF(OR(O66="Bastin",O66="Quantum"),17,0)),_xlpm.slitRate,INDEX('Lmntn &amp; Prntng- Marma &amp; Bastin '!$D$1:$K$22,_xlpm.slitRow+_xlpm.widthRow,_xlpm.tier),_xlpm.numColors,IF(ISNUMBER(L66),L66,IFERROR(--RIGHT(L66,LEN(L66)-FIND("-",L66)),0)),_xlpm.printRate,IF(OR(K66&lt;&gt;"Printed",_xlpm.numColors=0),0,IF(O66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66))),MAX(_xlfn._xlws.FILTER(_xlpm.meters,(_xlpm.widths=_xlpm.qWidth)*(_xlpm.bands=_xlpm.band)))),INDEX(_xlpm.rates,_xlfn.XMATCH(1,(_xlpm.widths=_xlpm.qWidth)*(_xlpm.bands=_xlpm.band)*(_xlpm.meters=_xlpm.targetM),0))/HELPER!$AK$2),_xlfn.LET(_xlpm.colorOffset,IF(_xlpm.numColors&lt;=2,1,IF(_xlpm.numColors&lt;=4,2,3)),_xlpm.supplierRow,IF(O66="Marma",3,IF(O66="Bastin",13,0)),INDEX('Lmntn &amp; Prntng- Marma &amp; Bastin '!$D$1:$K$22,_xlpm.supplierRow+_xlpm.widthRow+_xlpm.colorOffset,_xlpm.tier)))),AH66+_xlpm.slitRate/_xlpm.kgmUsed+_xlpm.printRate/_xlpm.kgmUsed+AJ66),"")</f>
        <v>2.0754256875675905</v>
      </c>
      <c r="AJ66" s="919" cm="1">
        <f t="array" ref="AJ66">IF(OR(K66&lt;&gt;"Printed",L66=0,L66="0",L66=""),0,IFERROR(_xlfn.LET(_xlpm.lam,TEXT(B66,"0"),_xlpm.crit,(TEXT(HELPER!$BZ$2:$BZ$250,"0")=_xlpm.lam)*(HELPER!$CC$2:$CC$250=D66)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WHITE"},0)))/ROWS(_xlpm.real),_xlpm.numColors,IF(ISNUMBER(L66),L66,IFERROR(--RIGHT(L66,LEN(L66)-FIND("-",L66)),0)),HELPER!$DB$1*_xlpm.numColors*MAX(1,M66)*1.05*_xlpm.nkRatio/Q66),0))</f>
        <v>0</v>
      </c>
      <c r="AK66" s="919">
        <f t="shared" si="19"/>
        <v>0.56049026539327218</v>
      </c>
      <c r="AL66" s="919">
        <f t="shared" si="20"/>
        <v>104.25118936314863</v>
      </c>
      <c r="AM66" s="73" t="str">
        <f t="shared" si="21"/>
        <v>PASS</v>
      </c>
      <c r="AN66" s="908" t="str">
        <f t="shared" si="0"/>
        <v/>
      </c>
      <c r="AO66" s="919">
        <f t="shared" si="1"/>
        <v>51</v>
      </c>
      <c r="AP66" s="919">
        <f t="shared" si="2"/>
        <v>12369.50175646925</v>
      </c>
      <c r="AQ66" s="919"/>
      <c r="AR66" s="919" cm="1">
        <f t="array" ref="AR66">IFERROR(_xlfn.LET(_xlpm.lam,TEXT(B66,"0"),_xlpm.thick,D66,_xlpm.crit,(TEXT(HELPER!$BZ$2:$BZ$250,"0")=_xlpm.lam)*(HELPER!$CC$2:$CC$250=_xlpm.thick)*(HELPER!$BW$2:$BW$250&lt;&gt;""),_xlpm.mats,TRIM(SUBSTITUTE(_xlfn._xlws.FILTER(HELPER!$BW$2:$BW$250,_xlpm.crit),CHAR(160),"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")),HELPER!$AQ$2:$AQ$20,1),_xlpm.mass,IF(ISNUMBER(SEARCH("paper",_xlpm.mats)),42,_xlpm.dens*_xlpm.ths),E66/1000000*SUM(_xlpm.mass)),"")</f>
        <v>8.0844000000000003E-3</v>
      </c>
      <c r="AS66" s="919">
        <f>IFERROR(IF(D66&gt;31,(5%+250/P66)*AF66,VLOOKUP(D66,HELPER!$BH$3:$BI$5,2,TRUE)*AF66),0)</f>
        <v>0.5698188059849989</v>
      </c>
      <c r="AT66" s="919">
        <v>0.149999999999998</v>
      </c>
      <c r="AU66" s="919"/>
      <c r="AV66" s="919"/>
      <c r="AW66" s="919"/>
      <c r="AX66" s="919"/>
      <c r="AY66" s="919"/>
      <c r="AZ66" s="919">
        <f t="shared" si="3"/>
        <v>0</v>
      </c>
    </row>
    <row r="67" spans="1:52">
      <c r="A67" s="73" t="s">
        <v>1488</v>
      </c>
      <c r="B67" s="73" t="s">
        <v>566</v>
      </c>
      <c r="C67" s="908" t="s">
        <v>1420</v>
      </c>
      <c r="D67" s="915" cm="1">
        <f t="array" ref="D6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7" s="915">
        <v>120</v>
      </c>
      <c r="F67" s="73" t="s">
        <v>1040</v>
      </c>
      <c r="G67" s="916">
        <v>1000</v>
      </c>
      <c r="H67" s="916"/>
      <c r="I67" s="916">
        <v>80</v>
      </c>
      <c r="J67" s="916">
        <v>80</v>
      </c>
      <c r="K67" s="73" t="s">
        <v>123</v>
      </c>
      <c r="L67" s="921" t="s">
        <v>591</v>
      </c>
      <c r="M67" s="915">
        <v>1</v>
      </c>
      <c r="N67" s="73" t="s">
        <v>550</v>
      </c>
      <c r="O67" s="73" t="s">
        <v>240</v>
      </c>
      <c r="P67" s="916" cm="1">
        <f t="array" ref="P67">IFERROR(_xlfn.SWITCH(F67,"By Weight",IF(H67&lt;&gt;"",H67,G67)/AR67,"By Length",G67,"By Imp",G67/MAX(1,ROUNDDOWN(E67/I67,0))*J67/1000,"IMP",G67/MAX(1,ROUNDDOWN(E67/I67,0))*J67/1000,""),"")</f>
        <v>80</v>
      </c>
      <c r="Q67" s="916">
        <f t="shared" si="4"/>
        <v>0.64675199999999999</v>
      </c>
      <c r="R67" s="917">
        <f t="shared" si="5"/>
        <v>346.02730244067857</v>
      </c>
      <c r="S67" s="918">
        <f t="shared" si="6"/>
        <v>401.39167083118713</v>
      </c>
      <c r="T67" s="919">
        <f t="shared" si="7"/>
        <v>535.02316566578622</v>
      </c>
      <c r="U67" s="920">
        <f t="shared" si="8"/>
        <v>620.62687217231201</v>
      </c>
      <c r="V67" s="919">
        <f t="shared" si="9"/>
        <v>5.4066766006356168</v>
      </c>
      <c r="W67" s="919">
        <f t="shared" si="10"/>
        <v>668.77895708223446</v>
      </c>
      <c r="X67" s="919">
        <f t="shared" si="11"/>
        <v>0.43253412805084934</v>
      </c>
      <c r="Y67" s="920">
        <f t="shared" si="12"/>
        <v>6.2717448567373149</v>
      </c>
      <c r="Z67" s="920">
        <f t="shared" si="13"/>
        <v>775.78359021539188</v>
      </c>
      <c r="AA67" s="920">
        <f t="shared" si="14"/>
        <v>0.50173958853898515</v>
      </c>
      <c r="AB67" s="917">
        <f t="shared" si="15"/>
        <v>432.53412805084929</v>
      </c>
      <c r="AC67" s="918">
        <f t="shared" si="16"/>
        <v>501.73958853898512</v>
      </c>
      <c r="AD67" s="916">
        <f t="shared" si="17"/>
        <v>61847.508782346245</v>
      </c>
      <c r="AE67" s="916">
        <f t="shared" si="18"/>
        <v>500</v>
      </c>
      <c r="AF67" s="919" cm="1">
        <f t="array" ref="AF67">IFERROR(_xlfn.LET(_xlpm.lam,TEXT(B67,"0"),_xlpm.thick,D67,_xlpm.crit,(TEXT(HELPER!$BZ$2:$BZ$250,"0")=_xlpm.lam)*(HELPER!$CC$2:$CC$250=_xlpm.thick)*(HELPER!$BW$2:$BW$250&lt;&gt;""),_xlpm.mats,TRIM(SUBSTITUTE(_xlfn._xlws.FILTER(HELPER!$BW$2:$BW$250,_xlpm.crit),CHAR(160),"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67" s="919">
        <f>IFERROR(IF(N67="Europe to Canada",IF(Q67&lt;1000,VLOOKUP(1000,HELPER!$AG$4:$AH$8,2,FALSE)/Q67,VLOOKUP(Q67,HELPER!$AG$4:$AH$8,2,TRUE)/Q67),IF(N67="Europe to US",HELPER!$AH$2,IF(N67="Europe to Europe",HELPER!$AH$3,0))),0)</f>
        <v>5.4</v>
      </c>
      <c r="AH67" s="919" cm="1">
        <f t="array" ref="AH67">IFERROR(_xlfn.LET(_xlpm.cap,IF(O67="Quantum",760,1220),_xlpm.wUsed,E67*MAX(1,MIN(MAX(2,INT(900/E67)),INT((_xlpm.cap-50)/E67))),_xlpm.kgmUsed,AR67/E67*_xlpm.wUsed,_xlpm.lam,TEXT(B67,"0"),_xlpm.crit,(TEXT(HELPER!$BZ$2:$BZ$250,"0")=_xlpm.lam)*(HELPER!$CC$2:$CC$250=D67)*(HELPER!$BW$2:$BW$250&lt;&gt;""),_xlpm.mats,_xlfn._xlws.FILTER(HELPER!$BW$2:$BW$250,_xlpm.crit),_xlpm.realLayers,SUM((_xlpm.mats&lt;&gt;"")*ISERROR(SEARCH("EPOTAL",_xlpm.mats&amp;""))*ISERROR(SEARCH("BASONAT",_xlpm.mats&amp;""))*ISERROR(SEARCH("ADH",_xlpm.mats&amp;""))*ISERROR(SEARCH("HARDENER",_xlpm.mats&amp;""))),_xlpm.steps,MAX(0,_xlpm.realLayers-1),_xlpm.tier,IF(P67&lt;3000,1,IF(P67&lt;10000,2,IF(P67&lt;25000,3,IF(P67&lt;50000,4,IF(P67&lt;100000,5,IF(P67&lt;250000,6,7)))))),_xlpm.widthRow,IF(_xlpm.wUsed&lt;900,0,5),_xlpm.supplierRow,IF(O67="Marma",3,IF(OR(O67="Bastin",O67="Quantum"),13,0)),_xlpm.rate,INDEX('Lmntn &amp; Prntng- Marma &amp; Bastin '!$D$1:$K$22,_xlpm.supplierRow+_xlpm.widthRow,_xlpm.tier),_xlpm.rate*_xlpm.steps/_xlpm.kgmUsed),"")</f>
        <v>2.6815136029177884</v>
      </c>
      <c r="AI67" s="919" cm="1">
        <f t="array" ref="AI67">IFERROR(_xlfn.LET(_xlpm.cap,IF(O67="Quantum",760,1220),_xlpm.wUsed,E67*MAX(1,MIN(MAX(2,INT(900/E67)),INT((_xlpm.cap-50)/E67))),_xlpm.kgmUsed,AR67/E67*_xlpm.wUsed,_xlpm.tier,IF(P67&lt;3000,1,IF(P67&lt;10000,2,IF(P67&lt;25000,3,IF(P67&lt;50000,4,IF(P67&lt;100000,5,IF(P67&lt;250000,6,IF(P67&lt;500000,7,8))))))),_xlpm.widthRow,IF(_xlpm.wUsed&lt;900,0,5),_xlpm.slitRow,IF(O67="Marma",7,IF(OR(O67="Bastin",O67="Quantum"),17,0)),_xlpm.slitRate,INDEX('Lmntn &amp; Prntng- Marma &amp; Bastin '!$D$1:$K$22,_xlpm.slitRow+_xlpm.widthRow,_xlpm.tier),_xlpm.numColors,IF(ISNUMBER(L67),L67,IFERROR(--RIGHT(L67,LEN(L67)-FIND("-",L67)),0)),_xlpm.printRate,IF(OR(K67&lt;&gt;"Printed",_xlpm.numColors=0),0,IF(O67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67))),MAX(_xlfn._xlws.FILTER(_xlpm.meters,(_xlpm.widths=_xlpm.qWidth)*(_xlpm.bands=_xlpm.band)))),INDEX(_xlpm.rates,_xlfn.XMATCH(1,(_xlpm.widths=_xlpm.qWidth)*(_xlpm.bands=_xlpm.band)*(_xlpm.meters=_xlpm.targetM),0))/HELPER!$AK$2),_xlfn.LET(_xlpm.colorOffset,IF(_xlpm.numColors&lt;=2,1,IF(_xlpm.numColors&lt;=4,2,3)),_xlpm.supplierRow,IF(O67="Marma",3,IF(O67="Bastin",13,0)),INDEX('Lmntn &amp; Prntng- Marma &amp; Bastin '!$D$1:$K$22,_xlpm.supplierRow+_xlpm.widthRow+_xlpm.colorOffset,_xlpm.tier)))),AH67+_xlpm.slitRate/_xlpm.kgmUsed+_xlpm.printRate/_xlpm.kgmUsed+AJ67),"")</f>
        <v>495.73967853432003</v>
      </c>
      <c r="AJ67" s="919" cm="1">
        <f t="array" ref="AJ67">IF(OR(K67&lt;&gt;"Printed",L67=0,L67="0",L67=""),0,IFERROR(_xlfn.LET(_xlpm.lam,TEXT(B67,"0"),_xlpm.crit,(TEXT(HELPER!$BZ$2:$BZ$250,"0")=_xlpm.lam)*(HELPER!$CC$2:$CC$250=D67)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WHITE"},0)))/ROWS(_xlpm.real),_xlpm.numColors,IF(ISNUMBER(L67),L67,IFERROR(--RIGHT(L67,LEN(L67)-FIND("-",L67)),0)),HELPER!$DB$1*_xlpm.numColors*MAX(1,M67)*1.05*_xlpm.nkRatio/Q67),0))</f>
        <v>487.04913166097668</v>
      </c>
      <c r="AK67" s="919">
        <f t="shared" si="19"/>
        <v>29.068153766858156</v>
      </c>
      <c r="AL67" s="919">
        <f t="shared" si="20"/>
        <v>5406.6766006356165</v>
      </c>
      <c r="AM67" s="73" t="str">
        <f t="shared" si="21"/>
        <v>PASS</v>
      </c>
      <c r="AN67" s="908" t="str">
        <f t="shared" si="0"/>
        <v/>
      </c>
      <c r="AO67" s="919">
        <f t="shared" si="1"/>
        <v>51</v>
      </c>
      <c r="AP67" s="919">
        <f t="shared" si="2"/>
        <v>80</v>
      </c>
      <c r="AQ67" s="919"/>
      <c r="AR67" s="919" cm="1">
        <f t="array" ref="AR67">IFERROR(_xlfn.LET(_xlpm.lam,TEXT(B67,"0"),_xlpm.thick,D67,_xlpm.crit,(TEXT(HELPER!$BZ$2:$BZ$250,"0")=_xlpm.lam)*(HELPER!$CC$2:$CC$250=_xlpm.thick)*(HELPER!$BW$2:$BW$250&lt;&gt;""),_xlpm.mats,TRIM(SUBSTITUTE(_xlfn._xlws.FILTER(HELPER!$BW$2:$BW$250,_xlpm.crit),CHAR(160),"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")),HELPER!$AQ$2:$AQ$20,1),_xlpm.mass,IF(ISNUMBER(SEARCH("paper",_xlpm.mats)),42,_xlpm.dens*_xlpm.ths),E67/1000000*SUM(_xlpm.mass)),"")</f>
        <v>8.0844000000000003E-3</v>
      </c>
      <c r="AS67" s="919">
        <f>IFERROR(IF(D67&gt;31,(5%+250/P67)*AF67,VLOOKUP(D67,HELPER!$BH$3:$BI$5,2,TRUE)*AF67),0)</f>
        <v>25.767681830516178</v>
      </c>
      <c r="AT67" s="919">
        <v>0.20000000000000201</v>
      </c>
      <c r="AU67" s="919"/>
      <c r="AV67" s="919"/>
      <c r="AW67" s="919"/>
      <c r="AX67" s="919"/>
      <c r="AY67" s="919"/>
      <c r="AZ67" s="919">
        <f t="shared" si="3"/>
        <v>315</v>
      </c>
    </row>
    <row r="68" spans="1:52">
      <c r="A68" s="73" t="s">
        <v>1489</v>
      </c>
      <c r="B68" s="73" t="s">
        <v>566</v>
      </c>
      <c r="C68" s="908" t="s">
        <v>1422</v>
      </c>
      <c r="D68" s="915" cm="1">
        <f t="array" ref="D6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68" s="915">
        <v>350</v>
      </c>
      <c r="F68" s="73" t="s">
        <v>560</v>
      </c>
      <c r="G68" s="916">
        <v>5000</v>
      </c>
      <c r="H68" s="916">
        <v>5000</v>
      </c>
      <c r="I68" s="916"/>
      <c r="J68" s="916"/>
      <c r="K68" s="73" t="s">
        <v>123</v>
      </c>
      <c r="L68" s="921" t="s">
        <v>122</v>
      </c>
      <c r="M68" s="915">
        <v>4</v>
      </c>
      <c r="N68" s="73" t="s">
        <v>549</v>
      </c>
      <c r="O68" s="73" t="s">
        <v>1366</v>
      </c>
      <c r="P68" s="916" cm="1">
        <f t="array" ref="P68">IFERROR(_xlfn.SWITCH(F68,"By Weight",IF(H68&lt;&gt;"",H68,G68)/AR68,"By Length",G68,"By Imp",G68/MAX(1,ROUNDDOWN(E68/I68,0))*J68/1000,"IMP",G68/MAX(1,ROUNDDOWN(E68/I68,0))*J68/1000,""),"")</f>
        <v>165881.49426050027</v>
      </c>
      <c r="Q68" s="916">
        <f t="shared" si="4"/>
        <v>5000</v>
      </c>
      <c r="R68" s="917">
        <f t="shared" si="5"/>
        <v>119962.23389610364</v>
      </c>
      <c r="S68" s="918">
        <f t="shared" si="6"/>
        <v>139156.19131948022</v>
      </c>
      <c r="T68" s="919">
        <f t="shared" si="7"/>
        <v>23.992446779220728</v>
      </c>
      <c r="U68" s="920">
        <f t="shared" si="8"/>
        <v>27.831238263896044</v>
      </c>
      <c r="V68" s="919">
        <f t="shared" si="9"/>
        <v>0.85080038919914258</v>
      </c>
      <c r="W68" s="919">
        <f t="shared" si="10"/>
        <v>28.226407975553798</v>
      </c>
      <c r="X68" s="919" t="str">
        <f t="shared" si="11"/>
        <v/>
      </c>
      <c r="Y68" s="920">
        <f t="shared" si="12"/>
        <v>0.98692845147100527</v>
      </c>
      <c r="Z68" s="920">
        <f t="shared" si="13"/>
        <v>32.742633251642403</v>
      </c>
      <c r="AA68" s="920" t="str">
        <f t="shared" si="14"/>
        <v/>
      </c>
      <c r="AB68" s="917">
        <f t="shared" si="15"/>
        <v>141132.03987776898</v>
      </c>
      <c r="AC68" s="918">
        <f t="shared" si="16"/>
        <v>163713.166258212</v>
      </c>
      <c r="AD68" s="916">
        <f t="shared" si="17"/>
        <v>16588.149426050029</v>
      </c>
      <c r="AE68" s="916">
        <f t="shared" si="18"/>
        <v>500</v>
      </c>
      <c r="AF68" s="919" cm="1">
        <f t="array" ref="AF68">IFERROR(_xlfn.LET(_xlpm.lam,TEXT(B68,"0"),_xlpm.thick,D68,_xlpm.crit,(TEXT(HELPER!$BZ$2:$BZ$250,"0")=_xlpm.lam)*(HELPER!$CC$2:$CC$250=_xlpm.thick)*(HELPER!$BW$2:$BW$250&lt;&gt;""),_xlpm.mats,TRIM(SUBSTITUTE(_xlfn._xlws.FILTER(HELPER!$BW$2:$BW$250,_xlpm.crit),CHAR(160),"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8.2265035415699028</v>
      </c>
      <c r="AG68" s="919">
        <f>IFERROR(IF(N68="Europe to Canada",IF(Q68&lt;1000,VLOOKUP(1000,HELPER!$AG$4:$AH$8,2,FALSE)/Q68,VLOOKUP(Q68,HELPER!$AG$4:$AH$8,2,TRUE)/Q68),IF(N68="Europe to US",HELPER!$AH$2,IF(N68="Europe to Europe",HELPER!$AH$3,0))),0)</f>
        <v>0.2</v>
      </c>
      <c r="AH68" s="919" cm="1">
        <f t="array" ref="AH68">IFERROR(_xlfn.LET(_xlpm.cap,IF(O68="Quantum",760,1220),_xlpm.wUsed,E68*MAX(1,MIN(MAX(2,INT(900/E68)),INT((_xlpm.cap-50)/E68))),_xlpm.kgmUsed,AR68/E68*_xlpm.wUsed,_xlpm.lam,TEXT(B68,"0"),_xlpm.crit,(TEXT(HELPER!$BZ$2:$BZ$250,"0")=_xlpm.lam)*(HELPER!$CC$2:$CC$250=D68)*(HELPER!$BW$2:$BW$250&lt;&gt;""),_xlpm.mats,_xlfn._xlws.FILTER(HELPER!$BW$2:$BW$250,_xlpm.crit),_xlpm.realLayers,SUM((_xlpm.mats&lt;&gt;"")*ISERROR(SEARCH("EPOTAL",_xlpm.mats&amp;""))*ISERROR(SEARCH("BASONAT",_xlpm.mats&amp;""))*ISERROR(SEARCH("ADH",_xlpm.mats&amp;""))*ISERROR(SEARCH("HARDENER",_xlpm.mats&amp;""))),_xlpm.steps,MAX(0,_xlpm.realLayers-1),_xlpm.tier,IF(P68&lt;3000,1,IF(P68&lt;10000,2,IF(P68&lt;25000,3,IF(P68&lt;50000,4,IF(P68&lt;100000,5,IF(P68&lt;250000,6,7)))))),_xlpm.widthRow,IF(_xlpm.wUsed&lt;900,0,5),_xlpm.supplierRow,IF(O68="Marma",3,IF(OR(O68="Bastin",O68="Quantum"),13,0)),_xlpm.rate,INDEX('Lmntn &amp; Prntng- Marma &amp; Bastin '!$D$1:$K$22,_xlpm.supplierRow+_xlpm.widthRow,_xlpm.tier),_xlpm.rate*_xlpm.steps/_xlpm.kgmUsed),"")</f>
        <v>1.8107789794970472</v>
      </c>
      <c r="AI68" s="919" cm="1">
        <f t="array" ref="AI68">IFERROR(_xlfn.LET(_xlpm.cap,IF(O68="Quantum",760,1220),_xlpm.wUsed,E68*MAX(1,MIN(MAX(2,INT(900/E68)),INT((_xlpm.cap-50)/E68))),_xlpm.kgmUsed,AR68/E68*_xlpm.wUsed,_xlpm.tier,IF(P68&lt;3000,1,IF(P68&lt;10000,2,IF(P68&lt;25000,3,IF(P68&lt;50000,4,IF(P68&lt;100000,5,IF(P68&lt;250000,6,IF(P68&lt;500000,7,8))))))),_xlpm.widthRow,IF(_xlpm.wUsed&lt;900,0,5),_xlpm.slitRow,IF(O68="Marma",7,IF(OR(O68="Bastin",O68="Quantum"),17,0)),_xlpm.slitRate,INDEX('Lmntn &amp; Prntng- Marma &amp; Bastin '!$D$1:$K$22,_xlpm.slitRow+_xlpm.widthRow,_xlpm.tier),_xlpm.numColors,IF(ISNUMBER(L68),L68,IFERROR(--RIGHT(L68,LEN(L68)-FIND("-",L68)),0)),_xlpm.printRate,IF(OR(K68&lt;&gt;"Printed",_xlpm.numColors=0),0,IF(O68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68))),MAX(_xlfn._xlws.FILTER(_xlpm.meters,(_xlpm.widths=_xlpm.qWidth)*(_xlpm.bands=_xlpm.band)))),INDEX(_xlpm.rates,_xlfn.XMATCH(1,(_xlpm.widths=_xlpm.qWidth)*(_xlpm.bands=_xlpm.band)*(_xlpm.meters=_xlpm.targetM),0))/HELPER!$AK$2),_xlfn.LET(_xlpm.colorOffset,IF(_xlpm.numColors&lt;=2,1,IF(_xlpm.numColors&lt;=4,2,3)),_xlpm.supplierRow,IF(O68="Marma",3,IF(O68="Bastin",13,0)),INDEX('Lmntn &amp; Prntng- Marma &amp; Bastin '!$D$1:$K$22,_xlpm.supplierRow+_xlpm.widthRow+_xlpm.colorOffset,_xlpm.tier)))),AH68+_xlpm.slitRate/_xlpm.kgmUsed+_xlpm.printRate/_xlpm.kgmUsed+AJ68),"")</f>
        <v>15.14221989708483</v>
      </c>
      <c r="AJ68" s="919" cm="1">
        <f t="array" ref="AJ68">IF(OR(K68&lt;&gt;"Printed",L68=0,L68="0",L68=""),0,IFERROR(_xlfn.LET(_xlpm.lam,TEXT(B68,"0"),_xlpm.crit,(TEXT(HELPER!$BZ$2:$BZ$250,"0")=_xlpm.lam)*(HELPER!$CC$2:$CC$250=D68)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WHITE"},0)))/ROWS(_xlpm.real),_xlpm.numColors,IF(ISNUMBER(L68),L68,IFERROR(--RIGHT(L68,LEN(L68)-FIND("-",L68)),0)),HELPER!$DB$1*_xlpm.numColors*MAX(1,M68)*1.05*_xlpm.nkRatio/Q68),0))</f>
        <v>0.504</v>
      </c>
      <c r="AK68" s="919">
        <f t="shared" si="19"/>
        <v>1.5682956482933503</v>
      </c>
      <c r="AL68" s="919">
        <f t="shared" si="20"/>
        <v>850.80038919914261</v>
      </c>
      <c r="AM68" s="73" t="str">
        <f t="shared" si="21"/>
        <v>PASS</v>
      </c>
      <c r="AN68" s="908" t="str">
        <f t="shared" si="0"/>
        <v/>
      </c>
      <c r="AO68" s="919">
        <f t="shared" si="1"/>
        <v>66</v>
      </c>
      <c r="AP68" s="919">
        <f t="shared" si="2"/>
        <v>165881.49426050027</v>
      </c>
      <c r="AQ68" s="919"/>
      <c r="AR68" s="919" cm="1">
        <f t="array" ref="AR68">IFERROR(_xlfn.LET(_xlpm.lam,TEXT(B68,"0"),_xlpm.thick,D68,_xlpm.crit,(TEXT(HELPER!$BZ$2:$BZ$250,"0")=_xlpm.lam)*(HELPER!$CC$2:$CC$250=_xlpm.thick)*(HELPER!$BW$2:$BW$250&lt;&gt;""),_xlpm.mats,TRIM(SUBSTITUTE(_xlfn._xlws.FILTER(HELPER!$BW$2:$BW$250,_xlpm.crit),CHAR(160),"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")),HELPER!$AQ$2:$AQ$20,1),_xlpm.mass,IF(ISNUMBER(SEARCH("paper",_xlpm.mats)),42,_xlpm.dens*_xlpm.ths),E68/1000000*SUM(_xlpm.mass)),"")</f>
        <v>3.0142000000000002E-2</v>
      </c>
      <c r="AS68" s="919">
        <f>IFERROR(IF(D68&gt;31,(5%+250/P68)*AF68,VLOOKUP(D68,HELPER!$BH$3:$BI$5,2,TRUE)*AF68),0)</f>
        <v>0.42372334056599514</v>
      </c>
      <c r="AT68" s="919">
        <v>0.15</v>
      </c>
      <c r="AU68" s="919"/>
      <c r="AV68" s="919"/>
      <c r="AW68" s="919"/>
      <c r="AX68" s="919"/>
      <c r="AY68" s="919"/>
      <c r="AZ68" s="919">
        <f t="shared" si="3"/>
        <v>2520</v>
      </c>
    </row>
    <row r="69" spans="1:52">
      <c r="A69" s="73" t="s">
        <v>1490</v>
      </c>
      <c r="B69" s="73" t="s">
        <v>566</v>
      </c>
      <c r="C69" s="908" t="s">
        <v>1424</v>
      </c>
      <c r="D69" s="915" cm="1">
        <f t="array" ref="D6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69" s="915">
        <v>900</v>
      </c>
      <c r="F69" s="73" t="s">
        <v>560</v>
      </c>
      <c r="G69" s="916">
        <v>25000</v>
      </c>
      <c r="H69" s="916">
        <v>25000</v>
      </c>
      <c r="I69" s="916"/>
      <c r="J69" s="916"/>
      <c r="K69" s="73" t="s">
        <v>123</v>
      </c>
      <c r="L69" s="921" t="s">
        <v>592</v>
      </c>
      <c r="M69" s="915">
        <v>8</v>
      </c>
      <c r="N69" s="73" t="s">
        <v>550</v>
      </c>
      <c r="O69" s="73" t="s">
        <v>250</v>
      </c>
      <c r="P69" s="916" cm="1">
        <f t="array" ref="P69">IFERROR(_xlfn.SWITCH(F69,"By Weight",IF(H69&lt;&gt;"",H69,G69)/AR69,"By Length",G69,"By Imp",G69/MAX(1,ROUNDDOWN(E69/I69,0))*J69/1000,"IMP",G69/MAX(1,ROUNDDOWN(E69/I69,0))*J69/1000,""),"")</f>
        <v>204068.30574329838</v>
      </c>
      <c r="Q69" s="916">
        <f t="shared" si="4"/>
        <v>25000</v>
      </c>
      <c r="R69" s="917">
        <f t="shared" si="5"/>
        <v>413201.95733268361</v>
      </c>
      <c r="S69" s="918">
        <f t="shared" si="6"/>
        <v>479314.27050591295</v>
      </c>
      <c r="T69" s="919">
        <f t="shared" si="7"/>
        <v>16.528078293307345</v>
      </c>
      <c r="U69" s="920">
        <f t="shared" si="8"/>
        <v>19.172570820236519</v>
      </c>
      <c r="V69" s="919">
        <f t="shared" si="9"/>
        <v>2.3821433124194242</v>
      </c>
      <c r="W69" s="919">
        <f t="shared" si="10"/>
        <v>19.444797992126425</v>
      </c>
      <c r="X69" s="919" t="str">
        <f t="shared" si="11"/>
        <v/>
      </c>
      <c r="Y69" s="920">
        <f t="shared" si="12"/>
        <v>2.7632862424065321</v>
      </c>
      <c r="Z69" s="920">
        <f t="shared" si="13"/>
        <v>22.555965670866652</v>
      </c>
      <c r="AA69" s="920" t="str">
        <f t="shared" si="14"/>
        <v/>
      </c>
      <c r="AB69" s="917">
        <f t="shared" si="15"/>
        <v>486119.94980316062</v>
      </c>
      <c r="AC69" s="918">
        <f t="shared" si="16"/>
        <v>563899.14177166624</v>
      </c>
      <c r="AD69" s="916">
        <f t="shared" si="17"/>
        <v>4081.3661148659676</v>
      </c>
      <c r="AE69" s="916">
        <f t="shared" si="18"/>
        <v>500</v>
      </c>
      <c r="AF69" s="919" cm="1">
        <f t="array" ref="AF69">IFERROR(_xlfn.LET(_xlpm.lam,TEXT(B69,"0"),_xlpm.thick,D69,_xlpm.crit,(TEXT(HELPER!$BZ$2:$BZ$250,"0")=_xlpm.lam)*(HELPER!$CC$2:$CC$250=_xlpm.thick)*(HELPER!$BW$2:$BW$250&lt;&gt;""),_xlpm.mats,TRIM(SUBSTITUTE(_xlfn._xlws.FILTER(HELPER!$BW$2:$BW$250,_xlpm.crit),CHAR(160),"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8.3726048339700281</v>
      </c>
      <c r="AG69" s="919">
        <f>IFERROR(IF(N69="Europe to Canada",IF(Q69&lt;1000,VLOOKUP(1000,HELPER!$AG$4:$AH$8,2,FALSE)/Q69,VLOOKUP(Q69,HELPER!$AG$4:$AH$8,2,TRUE)/Q69),IF(N69="Europe to US",HELPER!$AH$2,IF(N69="Europe to Europe",HELPER!$AH$3,0))),0)</f>
        <v>5.4</v>
      </c>
      <c r="AH69" s="919" cm="1">
        <f t="array" ref="AH69">IFERROR(_xlfn.LET(_xlpm.cap,IF(O69="Quantum",760,1220),_xlpm.wUsed,E69*MAX(1,MIN(MAX(2,INT(900/E69)),INT((_xlpm.cap-50)/E69))),_xlpm.kgmUsed,AR69/E69*_xlpm.wUsed,_xlpm.lam,TEXT(B69,"0"),_xlpm.crit,(TEXT(HELPER!$BZ$2:$BZ$250,"0")=_xlpm.lam)*(HELPER!$CC$2:$CC$250=D69)*(HELPER!$BW$2:$BW$250&lt;&gt;""),_xlpm.mats,_xlfn._xlws.FILTER(HELPER!$BW$2:$BW$250,_xlpm.crit),_xlpm.realLayers,SUM((_xlpm.mats&lt;&gt;"")*ISERROR(SEARCH("EPOTAL",_xlpm.mats&amp;""))*ISERROR(SEARCH("BASONAT",_xlpm.mats&amp;""))*ISERROR(SEARCH("ADH",_xlpm.mats&amp;""))*ISERROR(SEARCH("HARDENER",_xlpm.mats&amp;""))),_xlpm.steps,MAX(0,_xlpm.realLayers-1),_xlpm.tier,IF(P69&lt;3000,1,IF(P69&lt;10000,2,IF(P69&lt;25000,3,IF(P69&lt;50000,4,IF(P69&lt;100000,5,IF(P69&lt;250000,6,7)))))),_xlpm.widthRow,IF(_xlpm.wUsed&lt;900,0,5),_xlpm.supplierRow,IF(O69="Marma",3,IF(OR(O69="Bastin",O69="Quantum"),13,0)),_xlpm.rate,INDEX('Lmntn &amp; Prntng- Marma &amp; Bastin '!$D$1:$K$22,_xlpm.supplierRow+_xlpm.widthRow,_xlpm.tier),_xlpm.rate*_xlpm.steps/_xlpm.kgmUsed),"")</f>
        <v>0.68542462533059056</v>
      </c>
      <c r="AI69" s="919" cm="1">
        <f t="array" ref="AI69">IFERROR(_xlfn.LET(_xlpm.cap,IF(O69="Quantum",760,1220),_xlpm.wUsed,E69*MAX(1,MIN(MAX(2,INT(900/E69)),INT((_xlpm.cap-50)/E69))),_xlpm.kgmUsed,AR69/E69*_xlpm.wUsed,_xlpm.tier,IF(P69&lt;3000,1,IF(P69&lt;10000,2,IF(P69&lt;25000,3,IF(P69&lt;50000,4,IF(P69&lt;100000,5,IF(P69&lt;250000,6,IF(P69&lt;500000,7,8))))))),_xlpm.widthRow,IF(_xlpm.wUsed&lt;900,0,5),_xlpm.slitRow,IF(O69="Marma",7,IF(OR(O69="Bastin",O69="Quantum"),17,0)),_xlpm.slitRate,INDEX('Lmntn &amp; Prntng- Marma &amp; Bastin '!$D$1:$K$22,_xlpm.slitRow+_xlpm.widthRow,_xlpm.tier),_xlpm.numColors,IF(ISNUMBER(L69),L69,IFERROR(--RIGHT(L69,LEN(L69)-FIND("-",L69)),0)),_xlpm.printRate,IF(OR(K69&lt;&gt;"Printed",_xlpm.numColors=0),0,IF(O69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69))),MAX(_xlfn._xlws.FILTER(_xlpm.meters,(_xlpm.widths=_xlpm.qWidth)*(_xlpm.bands=_xlpm.band)))),INDEX(_xlpm.rates,_xlfn.XMATCH(1,(_xlpm.widths=_xlpm.qWidth)*(_xlpm.bands=_xlpm.band)*(_xlpm.meters=_xlpm.targetM),0))/HELPER!$AK$2),_xlfn.LET(_xlpm.colorOffset,IF(_xlpm.numColors&lt;=2,1,IF(_xlpm.numColors&lt;=4,2,3)),_xlpm.supplierRow,IF(O69="Marma",3,IF(O69="Bastin",13,0)),INDEX('Lmntn &amp; Prntng- Marma &amp; Bastin '!$D$1:$K$22,_xlpm.supplierRow+_xlpm.widthRow+_xlpm.colorOffset,_xlpm.tier)))),AH69+_xlpm.slitRate/_xlpm.kgmUsed+_xlpm.printRate/_xlpm.kgmUsed+AJ69),"")</f>
        <v>2.3265861069088154</v>
      </c>
      <c r="AJ69" s="919" cm="1">
        <f t="array" ref="AJ69">IF(OR(K69&lt;&gt;"Printed",L69=0,L69="0",L69=""),0,IFERROR(_xlfn.LET(_xlpm.lam,TEXT(B69,"0"),_xlpm.crit,(TEXT(HELPER!$BZ$2:$BZ$250,"0")=_xlpm.lam)*(HELPER!$CC$2:$CC$250=D69)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WHITE"},0)))/ROWS(_xlpm.real),_xlpm.numColors,IF(ISNUMBER(L69),L69,IFERROR(--RIGHT(L69,LEN(L69)-FIND("-",L69)),0)),HELPER!$DB$1*_xlpm.numColors*MAX(1,M69)*1.05*_xlpm.nkRatio/Q69),0))</f>
        <v>0.4032</v>
      </c>
      <c r="AK69" s="919">
        <f t="shared" si="19"/>
        <v>1.70762961463758</v>
      </c>
      <c r="AL69" s="919">
        <f t="shared" si="20"/>
        <v>2382.1433124194241</v>
      </c>
      <c r="AM69" s="73" t="str">
        <f t="shared" si="21"/>
        <v>PASS</v>
      </c>
      <c r="AN69" s="908" t="str">
        <f t="shared" si="0"/>
        <v/>
      </c>
      <c r="AO69" s="919">
        <f t="shared" si="1"/>
        <v>106</v>
      </c>
      <c r="AP69" s="919">
        <f t="shared" si="2"/>
        <v>204068.30574329838</v>
      </c>
      <c r="AQ69" s="919"/>
      <c r="AR69" s="919" cm="1">
        <f t="array" ref="AR69">IFERROR(_xlfn.LET(_xlpm.lam,TEXT(B69,"0"),_xlpm.thick,D69,_xlpm.crit,(TEXT(HELPER!$BZ$2:$BZ$250,"0")=_xlpm.lam)*(HELPER!$CC$2:$CC$250=_xlpm.thick)*(HELPER!$BW$2:$BW$250&lt;&gt;""),_xlpm.mats,TRIM(SUBSTITUTE(_xlfn._xlws.FILTER(HELPER!$BW$2:$BW$250,_xlpm.crit),CHAR(160),"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")),HELPER!$AQ$2:$AQ$20,1),_xlpm.mass,IF(ISNUMBER(SEARCH("paper",_xlpm.mats)),42,_xlpm.dens*_xlpm.ths),E69/1000000*SUM(_xlpm.mass)),"")</f>
        <v>0.12250800000000001</v>
      </c>
      <c r="AS69" s="919">
        <f>IFERROR(IF(D69&gt;31,(5%+250/P69)*AF69,VLOOKUP(D69,HELPER!$BH$3:$BI$5,2,TRUE)*AF69),0)</f>
        <v>0.42888735242850146</v>
      </c>
      <c r="AT69" s="919">
        <v>0.15000000000000599</v>
      </c>
      <c r="AU69" s="919"/>
      <c r="AV69" s="919"/>
      <c r="AW69" s="919"/>
      <c r="AX69" s="919"/>
      <c r="AY69" s="919"/>
      <c r="AZ69" s="919">
        <f t="shared" si="3"/>
        <v>10080</v>
      </c>
    </row>
    <row r="70" spans="1:52">
      <c r="A70" s="73" t="s">
        <v>1491</v>
      </c>
      <c r="B70" s="73" t="s">
        <v>566</v>
      </c>
      <c r="C70" s="908" t="s">
        <v>1426</v>
      </c>
      <c r="D70" s="915" cm="1">
        <f t="array" ref="D7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70" s="915">
        <v>350</v>
      </c>
      <c r="F70" s="73" t="s">
        <v>561</v>
      </c>
      <c r="G70" s="916">
        <v>2000</v>
      </c>
      <c r="H70" s="916"/>
      <c r="I70" s="916"/>
      <c r="J70" s="916"/>
      <c r="K70" s="73" t="s">
        <v>124</v>
      </c>
      <c r="L70" s="921" t="s">
        <v>221</v>
      </c>
      <c r="M70" s="915">
        <v>1</v>
      </c>
      <c r="N70" s="73" t="s">
        <v>549</v>
      </c>
      <c r="O70" s="73" t="s">
        <v>240</v>
      </c>
      <c r="P70" s="916" cm="1">
        <f t="array" ref="P70">IFERROR(_xlfn.SWITCH(F70,"By Weight",IF(H70&lt;&gt;"",H70,G70)/AR70,"By Length",G70,"By Imp",G70/MAX(1,ROUNDDOWN(E70/I70,0))*J70/1000,"IMP",G70/MAX(1,ROUNDDOWN(E70/I70,0))*J70/1000,""),"")</f>
        <v>2000</v>
      </c>
      <c r="Q70" s="916">
        <f t="shared" si="4"/>
        <v>60.284000000000006</v>
      </c>
      <c r="R70" s="917">
        <f t="shared" si="5"/>
        <v>791.91548391250001</v>
      </c>
      <c r="S70" s="918">
        <f t="shared" si="6"/>
        <v>918.6219613385</v>
      </c>
      <c r="T70" s="919">
        <f t="shared" si="7"/>
        <v>13.136412379943268</v>
      </c>
      <c r="U70" s="920">
        <f t="shared" si="8"/>
        <v>15.23823836073419</v>
      </c>
      <c r="V70" s="919">
        <f t="shared" si="9"/>
        <v>0.49494717744531491</v>
      </c>
      <c r="W70" s="919">
        <f t="shared" si="10"/>
        <v>16.420515474929164</v>
      </c>
      <c r="X70" s="919" t="str">
        <f t="shared" si="11"/>
        <v/>
      </c>
      <c r="Y70" s="920">
        <f t="shared" si="12"/>
        <v>0.57413872583656522</v>
      </c>
      <c r="Z70" s="920">
        <f t="shared" si="13"/>
        <v>19.047797950917829</v>
      </c>
      <c r="AA70" s="920" t="str">
        <f t="shared" si="14"/>
        <v/>
      </c>
      <c r="AB70" s="917">
        <f t="shared" si="15"/>
        <v>989.89435489062987</v>
      </c>
      <c r="AC70" s="918">
        <f t="shared" si="16"/>
        <v>1148.2774516731306</v>
      </c>
      <c r="AD70" s="916">
        <f t="shared" si="17"/>
        <v>16588.149426050029</v>
      </c>
      <c r="AE70" s="916">
        <f t="shared" si="18"/>
        <v>500</v>
      </c>
      <c r="AF70" s="919" cm="1">
        <f t="array" ref="AF70">IFERROR(_xlfn.LET(_xlpm.lam,TEXT(B70,"0"),_xlpm.thick,D70,_xlpm.crit,(TEXT(HELPER!$BZ$2:$BZ$250,"0")=_xlpm.lam)*(HELPER!$CC$2:$CC$250=_xlpm.thick)*(HELPER!$BW$2:$BW$250&lt;&gt;""),_xlpm.mats,TRIM(SUBSTITUTE(_xlfn._xlws.FILTER(HELPER!$BW$2:$BW$250,_xlpm.crit),CHAR(160),"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8.2265035415699028</v>
      </c>
      <c r="AG70" s="919">
        <f>IFERROR(IF(N70="Europe to Canada",IF(Q70&lt;1000,VLOOKUP(1000,HELPER!$AG$4:$AH$8,2,FALSE)/Q70,VLOOKUP(Q70,HELPER!$AG$4:$AH$8,2,TRUE)/Q70),IF(N70="Europe to US",HELPER!$AH$2,IF(N70="Europe to Europe",HELPER!$AH$3,0))),0)</f>
        <v>0.2</v>
      </c>
      <c r="AH70" s="919" cm="1">
        <f t="array" ref="AH70">IFERROR(_xlfn.LET(_xlpm.cap,IF(O70="Quantum",760,1220),_xlpm.wUsed,E70*MAX(1,MIN(MAX(2,INT(900/E70)),INT((_xlpm.cap-50)/E70))),_xlpm.kgmUsed,AR70/E70*_xlpm.wUsed,_xlpm.lam,TEXT(B70,"0"),_xlpm.crit,(TEXT(HELPER!$BZ$2:$BZ$250,"0")=_xlpm.lam)*(HELPER!$CC$2:$CC$250=D70)*(HELPER!$BW$2:$BW$250&lt;&gt;""),_xlpm.mats,_xlfn._xlws.FILTER(HELPER!$BW$2:$BW$250,_xlpm.crit),_xlpm.realLayers,SUM((_xlpm.mats&lt;&gt;"")*ISERROR(SEARCH("EPOTAL",_xlpm.mats&amp;""))*ISERROR(SEARCH("BASONAT",_xlpm.mats&amp;""))*ISERROR(SEARCH("ADH",_xlpm.mats&amp;""))*ISERROR(SEARCH("HARDENER",_xlpm.mats&amp;""))),_xlpm.steps,MAX(0,_xlpm.realLayers-1),_xlpm.tier,IF(P70&lt;3000,1,IF(P70&lt;10000,2,IF(P70&lt;25000,3,IF(P70&lt;50000,4,IF(P70&lt;100000,5,IF(P70&lt;250000,6,7)))))),_xlpm.widthRow,IF(_xlpm.wUsed&lt;900,0,5),_xlpm.supplierRow,IF(O70="Marma",3,IF(OR(O70="Bastin",O70="Quantum"),13,0)),_xlpm.rate,INDEX('Lmntn &amp; Prntng- Marma &amp; Bastin '!$D$1:$K$22,_xlpm.supplierRow+_xlpm.widthRow,_xlpm.tier),_xlpm.rate*_xlpm.steps/_xlpm.kgmUsed),"")</f>
        <v>2.5172350872536655</v>
      </c>
      <c r="AI70" s="919" cm="1">
        <f t="array" ref="AI70">IFERROR(_xlfn.LET(_xlpm.cap,IF(O70="Quantum",760,1220),_xlpm.wUsed,E70*MAX(1,MIN(MAX(2,INT(900/E70)),INT((_xlpm.cap-50)/E70))),_xlpm.kgmUsed,AR70/E70*_xlpm.wUsed,_xlpm.tier,IF(P70&lt;3000,1,IF(P70&lt;10000,2,IF(P70&lt;25000,3,IF(P70&lt;50000,4,IF(P70&lt;100000,5,IF(P70&lt;250000,6,IF(P70&lt;500000,7,8))))))),_xlpm.widthRow,IF(_xlpm.wUsed&lt;900,0,5),_xlpm.slitRow,IF(O70="Marma",7,IF(OR(O70="Bastin",O70="Quantum"),17,0)),_xlpm.slitRate,INDEX('Lmntn &amp; Prntng- Marma &amp; Bastin '!$D$1:$K$22,_xlpm.slitRow+_xlpm.widthRow,_xlpm.tier),_xlpm.numColors,IF(ISNUMBER(L70),L70,IFERROR(--RIGHT(L70,LEN(L70)-FIND("-",L70)),0)),_xlpm.printRate,IF(OR(K70&lt;&gt;"Printed",_xlpm.numColors=0),0,IF(O70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70))),MAX(_xlfn._xlws.FILTER(_xlpm.meters,(_xlpm.widths=_xlpm.qWidth)*(_xlpm.bands=_xlpm.band)))),INDEX(_xlpm.rates,_xlfn.XMATCH(1,(_xlpm.widths=_xlpm.qWidth)*(_xlpm.bands=_xlpm.band)*(_xlpm.meters=_xlpm.targetM),0))/HELPER!$AK$2),_xlfn.LET(_xlpm.colorOffset,IF(_xlpm.numColors&lt;=2,1,IF(_xlpm.numColors&lt;=4,2,3)),_xlpm.supplierRow,IF(O70="Marma",3,IF(O70="Bastin",13,0)),INDEX('Lmntn &amp; Prntng- Marma &amp; Bastin '!$D$1:$K$22,_xlpm.supplierRow+_xlpm.widthRow+_xlpm.colorOffset,_xlpm.tier)))),AH70+_xlpm.slitRate/_xlpm.kgmUsed+_xlpm.printRate/_xlpm.kgmUsed+AJ70),"")</f>
        <v>3.2702707185986326</v>
      </c>
      <c r="AJ70" s="919" cm="1">
        <f t="array" ref="AJ70">IF(OR(K70&lt;&gt;"Printed",L70=0,L70="0",L70=""),0,IFERROR(_xlfn.LET(_xlpm.lam,TEXT(B70,"0"),_xlpm.crit,(TEXT(HELPER!$BZ$2:$BZ$250,"0")=_xlpm.lam)*(HELPER!$CC$2:$CC$250=D70)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WHITE"},0)))/ROWS(_xlpm.real),_xlpm.numColors,IF(ISNUMBER(L70),L70,IFERROR(--RIGHT(L70,LEN(L70)-FIND("-",L70)),0)),HELPER!$DB$1*_xlpm.numColors*MAX(1,M70)*1.05*_xlpm.nkRatio/Q70),0))</f>
        <v>0</v>
      </c>
      <c r="AK70" s="919">
        <f t="shared" si="19"/>
        <v>0.91234502754896762</v>
      </c>
      <c r="AL70" s="919">
        <f t="shared" si="20"/>
        <v>494.94717744531494</v>
      </c>
      <c r="AM70" s="73" t="str">
        <f t="shared" si="21"/>
        <v>PASS</v>
      </c>
      <c r="AN70" s="908" t="str">
        <f t="shared" ref="AN70:AN133" si="22">_xlfn.TEXTJOIN("; ",TRUE,IF(AF70="","Missing BOM/price mapping",""),IF(AR70="","Missing thickness mapping",""),IF(E70+50&gt;IF(O70="Quantum",760,1220),"Lamination width exceeds supplier maximum",""))</f>
        <v/>
      </c>
      <c r="AO70" s="919">
        <f t="shared" ref="AO70:AO133" si="23">D70</f>
        <v>66</v>
      </c>
      <c r="AP70" s="919">
        <f t="shared" ref="AP70:AP133" si="24">P70</f>
        <v>2000</v>
      </c>
      <c r="AQ70" s="919"/>
      <c r="AR70" s="919" cm="1">
        <f t="array" ref="AR70">IFERROR(_xlfn.LET(_xlpm.lam,TEXT(B70,"0"),_xlpm.thick,D70,_xlpm.crit,(TEXT(HELPER!$BZ$2:$BZ$250,"0")=_xlpm.lam)*(HELPER!$CC$2:$CC$250=_xlpm.thick)*(HELPER!$BW$2:$BW$250&lt;&gt;""),_xlpm.mats,TRIM(SUBSTITUTE(_xlfn._xlws.FILTER(HELPER!$BW$2:$BW$250,_xlpm.crit),CHAR(160),"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")),HELPER!$AQ$2:$AQ$20,1),_xlpm.mass,IF(ISNUMBER(SEARCH("paper",_xlpm.mats)),42,_xlpm.dens*_xlpm.ths),E70/1000000*SUM(_xlpm.mass)),"")</f>
        <v>3.0142000000000002E-2</v>
      </c>
      <c r="AS70" s="919">
        <f>IFERROR(IF(D70&gt;31,(5%+250/P70)*AF70,VLOOKUP(D70,HELPER!$BH$3:$BI$5,2,TRUE)*AF70),0)</f>
        <v>1.439638119774733</v>
      </c>
      <c r="AT70" s="919">
        <v>0.20000000000000401</v>
      </c>
      <c r="AU70" s="919"/>
      <c r="AV70" s="919"/>
      <c r="AW70" s="919"/>
      <c r="AX70" s="919"/>
      <c r="AY70" s="919"/>
      <c r="AZ70" s="919">
        <f t="shared" ref="AZ70:AZ133" si="25">IFERROR(AJ70*Q70,0)</f>
        <v>0</v>
      </c>
    </row>
    <row r="71" spans="1:52">
      <c r="A71" s="73" t="s">
        <v>1492</v>
      </c>
      <c r="B71" s="73" t="s">
        <v>566</v>
      </c>
      <c r="C71" s="908" t="s">
        <v>1428</v>
      </c>
      <c r="D71" s="915" cm="1">
        <f t="array" ref="D7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71" s="915">
        <v>600</v>
      </c>
      <c r="F71" s="73" t="s">
        <v>561</v>
      </c>
      <c r="G71" s="916">
        <v>250000</v>
      </c>
      <c r="H71" s="916"/>
      <c r="I71" s="916"/>
      <c r="J71" s="916"/>
      <c r="K71" s="73" t="s">
        <v>123</v>
      </c>
      <c r="L71" s="921" t="s">
        <v>122</v>
      </c>
      <c r="M71" s="915">
        <v>4</v>
      </c>
      <c r="N71" s="73" t="s">
        <v>550</v>
      </c>
      <c r="O71" s="73" t="s">
        <v>1366</v>
      </c>
      <c r="P71" s="916" cm="1">
        <f t="array" ref="P71">IFERROR(_xlfn.SWITCH(F71,"By Weight",IF(H71&lt;&gt;"",H71,G71)/AR71,"By Length",G71,"By Imp",G71/MAX(1,ROUNDDOWN(E71/I71,0))*J71/1000,"IMP",G71/MAX(1,ROUNDDOWN(E71/I71,0))*J71/1000,""),"")</f>
        <v>250000</v>
      </c>
      <c r="Q71" s="916">
        <f t="shared" ref="Q71:Q134" si="26">IFERROR(P71*AR71,"")</f>
        <v>20418</v>
      </c>
      <c r="R71" s="917">
        <f t="shared" ref="R71:R134" si="27">IFERROR(Q71*T71,"")</f>
        <v>512835.95168946555</v>
      </c>
      <c r="S71" s="918">
        <f t="shared" ref="S71:S134" si="28">IFERROR(R71*1.16,"")</f>
        <v>594889.70395978005</v>
      </c>
      <c r="T71" s="919">
        <f t="shared" ref="T71:T134" si="29">IFERROR(AF71+AG71+AI71+AS71,"")</f>
        <v>25.116855308525103</v>
      </c>
      <c r="U71" s="920">
        <f t="shared" ref="U71:U134" si="30">IFERROR(T71*1.16,"")</f>
        <v>29.135552157889119</v>
      </c>
      <c r="V71" s="919">
        <f t="shared" ref="V71:V134" si="31">IFERROR(W71*AR71,"")</f>
        <v>2.413345655009258</v>
      </c>
      <c r="W71" s="919">
        <f t="shared" ref="W71:W134" si="32">IFERROR(T71/(1-AT71),"")</f>
        <v>29.549241539441404</v>
      </c>
      <c r="X71" s="919" t="str">
        <f t="shared" ref="X71:X134" si="33">IF(OR(I71="",J71=""),"",IFERROR(V71*(J71/1000)/MAX(1,ROUNDDOWN(E71/I71,0)),""))</f>
        <v/>
      </c>
      <c r="Y71" s="920">
        <f t="shared" ref="Y71:Y134" si="34">IFERROR(V71*1.16,"")</f>
        <v>2.7994809598107393</v>
      </c>
      <c r="Z71" s="920">
        <f t="shared" ref="Z71:Z134" si="35">IFERROR(W71*1.16,"")</f>
        <v>34.277120185752025</v>
      </c>
      <c r="AA71" s="920" t="str">
        <f t="shared" ref="AA71:AA134" si="36">IFERROR(X71*1.16,"")</f>
        <v/>
      </c>
      <c r="AB71" s="917">
        <f t="shared" ref="AB71:AB134" si="37">IFERROR(W71*Q71,"")</f>
        <v>603336.41375231463</v>
      </c>
      <c r="AC71" s="918">
        <f t="shared" ref="AC71:AC134" si="38">IFERROR(AB71*1.16,"")</f>
        <v>699870.23995268496</v>
      </c>
      <c r="AD71" s="916">
        <f t="shared" ref="AD71:AD134" si="39">IFERROR(AE71/AR71,"")</f>
        <v>6122.0491722989527</v>
      </c>
      <c r="AE71" s="916">
        <f t="shared" ref="AE71:AE134" si="40">_xlfn.LET(_xlpm.lam,UPPER(SUBSTITUTE(B71&amp;"","LAMINATE","")),IF(_xlpm.lam="608W",2000,IF(_xlpm.lam="608",750,500)))</f>
        <v>500</v>
      </c>
      <c r="AF71" s="919" cm="1">
        <f t="array" ref="AF71">IFERROR(_xlfn.LET(_xlpm.lam,TEXT(B71,"0"),_xlpm.thick,D71,_xlpm.crit,(TEXT(HELPER!$BZ$2:$BZ$250,"0")=_xlpm.lam)*(HELPER!$CC$2:$CC$250=_xlpm.thick)*(HELPER!$BW$2:$BW$250&lt;&gt;""),_xlpm.mats,TRIM(SUBSTITUTE(_xlfn._xlws.FILTER(HELPER!$BW$2:$BW$250,_xlpm.crit),CHAR(160),"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8.3726048339700281</v>
      </c>
      <c r="AG71" s="919">
        <f>IFERROR(IF(N71="Europe to Canada",IF(Q71&lt;1000,VLOOKUP(1000,HELPER!$AG$4:$AH$8,2,FALSE)/Q71,VLOOKUP(Q71,HELPER!$AG$4:$AH$8,2,TRUE)/Q71),IF(N71="Europe to US",HELPER!$AH$2,IF(N71="Europe to Europe",HELPER!$AH$3,0))),0)</f>
        <v>5.4</v>
      </c>
      <c r="AH71" s="919" cm="1">
        <f t="array" ref="AH71">IFERROR(_xlfn.LET(_xlpm.cap,IF(O71="Quantum",760,1220),_xlpm.wUsed,E71*MAX(1,MIN(MAX(2,INT(900/E71)),INT((_xlpm.cap-50)/E71))),_xlpm.kgmUsed,AR71/E71*_xlpm.wUsed,_xlpm.lam,TEXT(B71,"0"),_xlpm.crit,(TEXT(HELPER!$BZ$2:$BZ$250,"0")=_xlpm.lam)*(HELPER!$CC$2:$CC$250=D71)*(HELPER!$BW$2:$BW$250&lt;&gt;""),_xlpm.mats,_xlfn._xlws.FILTER(HELPER!$BW$2:$BW$250,_xlpm.crit),_xlpm.realLayers,SUM((_xlpm.mats&lt;&gt;"")*ISERROR(SEARCH("EPOTAL",_xlpm.mats&amp;""))*ISERROR(SEARCH("BASONAT",_xlpm.mats&amp;""))*ISERROR(SEARCH("ADH",_xlpm.mats&amp;""))*ISERROR(SEARCH("HARDENER",_xlpm.mats&amp;""))),_xlpm.steps,MAX(0,_xlpm.realLayers-1),_xlpm.tier,IF(P71&lt;3000,1,IF(P71&lt;10000,2,IF(P71&lt;25000,3,IF(P71&lt;50000,4,IF(P71&lt;100000,5,IF(P71&lt;250000,6,7)))))),_xlpm.widthRow,IF(_xlpm.wUsed&lt;900,0,5),_xlpm.supplierRow,IF(O71="Marma",3,IF(OR(O71="Bastin",O71="Quantum"),13,0)),_xlpm.rate,INDEX('Lmntn &amp; Prntng- Marma &amp; Bastin '!$D$1:$K$22,_xlpm.supplierRow+_xlpm.widthRow,_xlpm.tier),_xlpm.rate*_xlpm.steps/_xlpm.kgmUsed),"")</f>
        <v>1.3284601821921833</v>
      </c>
      <c r="AI71" s="919" cm="1">
        <f t="array" ref="AI71">IFERROR(_xlfn.LET(_xlpm.cap,IF(O71="Quantum",760,1220),_xlpm.wUsed,E71*MAX(1,MIN(MAX(2,INT(900/E71)),INT((_xlpm.cap-50)/E71))),_xlpm.kgmUsed,AR71/E71*_xlpm.wUsed,_xlpm.tier,IF(P71&lt;3000,1,IF(P71&lt;10000,2,IF(P71&lt;25000,3,IF(P71&lt;50000,4,IF(P71&lt;100000,5,IF(P71&lt;250000,6,IF(P71&lt;500000,7,8))))))),_xlpm.widthRow,IF(_xlpm.wUsed&lt;900,0,5),_xlpm.slitRow,IF(O71="Marma",7,IF(OR(O71="Bastin",O71="Quantum"),17,0)),_xlpm.slitRate,INDEX('Lmntn &amp; Prntng- Marma &amp; Bastin '!$D$1:$K$22,_xlpm.slitRow+_xlpm.widthRow,_xlpm.tier),_xlpm.numColors,IF(ISNUMBER(L71),L71,IFERROR(--RIGHT(L71,LEN(L71)-FIND("-",L71)),0)),_xlpm.printRate,IF(OR(K71&lt;&gt;"Printed",_xlpm.numColors=0),0,IF(O71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71))),MAX(_xlfn._xlws.FILTER(_xlpm.meters,(_xlpm.widths=_xlpm.qWidth)*(_xlpm.bands=_xlpm.band)))),INDEX(_xlpm.rates,_xlfn.XMATCH(1,(_xlpm.widths=_xlpm.qWidth)*(_xlpm.bands=_xlpm.band)*(_xlpm.meters=_xlpm.targetM),0))/HELPER!$AK$2),_xlfn.LET(_xlpm.colorOffset,IF(_xlpm.numColors&lt;=2,1,IF(_xlpm.numColors&lt;=4,2,3)),_xlpm.supplierRow,IF(O71="Marma",3,IF(O71="Bastin",13,0)),INDEX('Lmntn &amp; Prntng- Marma &amp; Bastin '!$D$1:$K$22,_xlpm.supplierRow+_xlpm.widthRow+_xlpm.colorOffset,_xlpm.tier)))),AH71+_xlpm.slitRate/_xlpm.kgmUsed+_xlpm.printRate/_xlpm.kgmUsed+AJ71),"")</f>
        <v>10.917247628022604</v>
      </c>
      <c r="AJ71" s="919" cm="1">
        <f t="array" ref="AJ71">IF(OR(K71&lt;&gt;"Printed",L71=0,L71="0",L71=""),0,IFERROR(_xlfn.LET(_xlpm.lam,TEXT(B71,"0"),_xlpm.crit,(TEXT(HELPER!$BZ$2:$BZ$250,"0")=_xlpm.lam)*(HELPER!$CC$2:$CC$250=D71)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WHITE"},0)))/ROWS(_xlpm.real),_xlpm.numColors,IF(ISNUMBER(L71),L71,IFERROR(--RIGHT(L71,LEN(L71)-FIND("-",L71)),0)),HELPER!$DB$1*_xlpm.numColors*MAX(1,M71)*1.05*_xlpm.nkRatio/Q71),0))</f>
        <v>0.12342051131354687</v>
      </c>
      <c r="AK71" s="919">
        <f t="shared" ref="AK71:AK134" si="41">IFERROR(V71/(E71/1000*1.55),"")</f>
        <v>2.5949953279669442</v>
      </c>
      <c r="AL71" s="919">
        <f t="shared" ref="AL71:AL134" si="42">IFERROR(V71*1000,"")</f>
        <v>2413.3456550092578</v>
      </c>
      <c r="AM71" s="73" t="str">
        <f t="shared" ref="AM71:AM134" si="43">IF(AND(ISNUMBER(P71),ISNUMBER(Q71),ISNUMBER(R71),ISNUMBER(T71),Q71&gt;0),IF(ABS(T71-R71/Q71)&lt;0.02,IF(AN71="","PASS","CHECK"),"CHECK"),"CHECK")</f>
        <v>PASS</v>
      </c>
      <c r="AN71" s="908" t="str">
        <f t="shared" si="22"/>
        <v/>
      </c>
      <c r="AO71" s="919">
        <f t="shared" si="23"/>
        <v>106</v>
      </c>
      <c r="AP71" s="919">
        <f t="shared" si="24"/>
        <v>250000</v>
      </c>
      <c r="AQ71" s="919"/>
      <c r="AR71" s="919" cm="1">
        <f t="array" ref="AR71">IFERROR(_xlfn.LET(_xlpm.lam,TEXT(B71,"0"),_xlpm.thick,D71,_xlpm.crit,(TEXT(HELPER!$BZ$2:$BZ$250,"0")=_xlpm.lam)*(HELPER!$CC$2:$CC$250=_xlpm.thick)*(HELPER!$BW$2:$BW$250&lt;&gt;""),_xlpm.mats,TRIM(SUBSTITUTE(_xlfn._xlws.FILTER(HELPER!$BW$2:$BW$250,_xlpm.crit),CHAR(160),"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")),HELPER!$AQ$2:$AQ$20,1),_xlpm.mass,IF(ISNUMBER(SEARCH("paper",_xlpm.mats)),42,_xlpm.dens*_xlpm.ths),E71/1000000*SUM(_xlpm.mass)),"")</f>
        <v>8.1671999999999995E-2</v>
      </c>
      <c r="AS71" s="919">
        <f>IFERROR(IF(D71&gt;31,(5%+250/P71)*AF71,VLOOKUP(D71,HELPER!$BH$3:$BI$5,2,TRUE)*AF71),0)</f>
        <v>0.42700284653247145</v>
      </c>
      <c r="AT71" s="919">
        <v>0.15000000000000299</v>
      </c>
      <c r="AU71" s="919"/>
      <c r="AV71" s="919"/>
      <c r="AW71" s="919"/>
      <c r="AX71" s="919"/>
      <c r="AY71" s="919"/>
      <c r="AZ71" s="919">
        <f t="shared" si="25"/>
        <v>2520</v>
      </c>
    </row>
    <row r="72" spans="1:52">
      <c r="A72" s="73" t="s">
        <v>1493</v>
      </c>
      <c r="B72" s="73" t="s">
        <v>566</v>
      </c>
      <c r="C72" s="908" t="s">
        <v>1430</v>
      </c>
      <c r="D72" s="915" cm="1">
        <f t="array" ref="D7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72" s="915">
        <v>900</v>
      </c>
      <c r="F72" s="73" t="s">
        <v>1040</v>
      </c>
      <c r="G72" s="916">
        <v>1600000</v>
      </c>
      <c r="H72" s="916"/>
      <c r="I72" s="916">
        <v>140</v>
      </c>
      <c r="J72" s="916">
        <v>80</v>
      </c>
      <c r="K72" s="73" t="s">
        <v>123</v>
      </c>
      <c r="L72" s="921" t="s">
        <v>592</v>
      </c>
      <c r="M72" s="915">
        <v>8</v>
      </c>
      <c r="N72" s="73" t="s">
        <v>549</v>
      </c>
      <c r="O72" s="73" t="s">
        <v>250</v>
      </c>
      <c r="P72" s="916" cm="1">
        <f t="array" ref="P72">IFERROR(_xlfn.SWITCH(F72,"By Weight",IF(H72&lt;&gt;"",H72,G72)/AR72,"By Length",G72,"By Imp",G72/MAX(1,ROUNDDOWN(E72/I72,0))*J72/1000,"IMP",G72/MAX(1,ROUNDDOWN(E72/I72,0))*J72/1000,""),"")</f>
        <v>21333.333333333336</v>
      </c>
      <c r="Q72" s="916">
        <f t="shared" si="26"/>
        <v>1293.5040000000001</v>
      </c>
      <c r="R72" s="917">
        <f t="shared" si="27"/>
        <v>27588.33744065374</v>
      </c>
      <c r="S72" s="918">
        <f t="shared" si="28"/>
        <v>32002.471431158338</v>
      </c>
      <c r="T72" s="919">
        <f t="shared" si="29"/>
        <v>21.328374276889548</v>
      </c>
      <c r="U72" s="920">
        <f t="shared" si="30"/>
        <v>24.740914161191874</v>
      </c>
      <c r="V72" s="919">
        <f t="shared" si="31"/>
        <v>1.5214156676831105</v>
      </c>
      <c r="W72" s="919">
        <f t="shared" si="32"/>
        <v>25.092205031634762</v>
      </c>
      <c r="X72" s="919">
        <f t="shared" si="33"/>
        <v>2.028554223577481E-2</v>
      </c>
      <c r="Y72" s="920">
        <f t="shared" si="34"/>
        <v>1.7648421745124081</v>
      </c>
      <c r="Z72" s="920">
        <f t="shared" si="35"/>
        <v>29.106957836696321</v>
      </c>
      <c r="AA72" s="920">
        <f t="shared" si="36"/>
        <v>2.3531228993498778E-2</v>
      </c>
      <c r="AB72" s="917">
        <f t="shared" si="37"/>
        <v>32456.867577239696</v>
      </c>
      <c r="AC72" s="918">
        <f t="shared" si="38"/>
        <v>37649.966389598048</v>
      </c>
      <c r="AD72" s="916">
        <f t="shared" si="39"/>
        <v>8246.3345043128338</v>
      </c>
      <c r="AE72" s="916">
        <f t="shared" si="40"/>
        <v>500</v>
      </c>
      <c r="AF72" s="919" cm="1">
        <f t="array" ref="AF72">IFERROR(_xlfn.LET(_xlpm.lam,TEXT(B72,"0"),_xlpm.thick,D72,_xlpm.crit,(TEXT(HELPER!$BZ$2:$BZ$250,"0")=_xlpm.lam)*(HELPER!$CC$2:$CC$250=_xlpm.thick)*(HELPER!$BW$2:$BW$250&lt;&gt;""),_xlpm.mats,TRIM(SUBSTITUTE(_xlfn._xlws.FILTER(HELPER!$BW$2:$BW$250,_xlpm.crit),CHAR(160),"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72" s="919">
        <f>IFERROR(IF(N72="Europe to Canada",IF(Q72&lt;1000,VLOOKUP(1000,HELPER!$AG$4:$AH$8,2,FALSE)/Q72,VLOOKUP(Q72,HELPER!$AG$4:$AH$8,2,TRUE)/Q72),IF(N72="Europe to US",HELPER!$AH$2,IF(N72="Europe to Europe",HELPER!$AH$3,0))),0)</f>
        <v>0.2</v>
      </c>
      <c r="AH72" s="919" cm="1">
        <f t="array" ref="AH72">IFERROR(_xlfn.LET(_xlpm.cap,IF(O72="Quantum",760,1220),_xlpm.wUsed,E72*MAX(1,MIN(MAX(2,INT(900/E72)),INT((_xlpm.cap-50)/E72))),_xlpm.kgmUsed,AR72/E72*_xlpm.wUsed,_xlpm.lam,TEXT(B72,"0"),_xlpm.crit,(TEXT(HELPER!$BZ$2:$BZ$250,"0")=_xlpm.lam)*(HELPER!$CC$2:$CC$250=D72)*(HELPER!$BW$2:$BW$250&lt;&gt;""),_xlpm.mats,_xlfn._xlws.FILTER(HELPER!$BW$2:$BW$250,_xlpm.crit),_xlpm.realLayers,SUM((_xlpm.mats&lt;&gt;"")*ISERROR(SEARCH("EPOTAL",_xlpm.mats&amp;""))*ISERROR(SEARCH("BASONAT",_xlpm.mats&amp;""))*ISERROR(SEARCH("ADH",_xlpm.mats&amp;""))*ISERROR(SEARCH("HARDENER",_xlpm.mats&amp;""))),_xlpm.steps,MAX(0,_xlpm.realLayers-1),_xlpm.tier,IF(P72&lt;3000,1,IF(P72&lt;10000,2,IF(P72&lt;25000,3,IF(P72&lt;50000,4,IF(P72&lt;100000,5,IF(P72&lt;250000,6,7)))))),_xlpm.widthRow,IF(_xlpm.wUsed&lt;900,0,5),_xlpm.supplierRow,IF(O72="Marma",3,IF(OR(O72="Bastin",O72="Quantum"),13,0)),_xlpm.rate,INDEX('Lmntn &amp; Prntng- Marma &amp; Bastin '!$D$1:$K$22,_xlpm.supplierRow+_xlpm.widthRow,_xlpm.tier),_xlpm.rate*_xlpm.steps/_xlpm.kgmUsed),"")</f>
        <v>1.5095739943595072</v>
      </c>
      <c r="AI72" s="919" cm="1">
        <f t="array" ref="AI72">IFERROR(_xlfn.LET(_xlpm.cap,IF(O72="Quantum",760,1220),_xlpm.wUsed,E72*MAX(1,MIN(MAX(2,INT(900/E72)),INT((_xlpm.cap-50)/E72))),_xlpm.kgmUsed,AR72/E72*_xlpm.wUsed,_xlpm.tier,IF(P72&lt;3000,1,IF(P72&lt;10000,2,IF(P72&lt;25000,3,IF(P72&lt;50000,4,IF(P72&lt;100000,5,IF(P72&lt;250000,6,IF(P72&lt;500000,7,8))))))),_xlpm.widthRow,IF(_xlpm.wUsed&lt;900,0,5),_xlpm.slitRow,IF(O72="Marma",7,IF(OR(O72="Bastin",O72="Quantum"),17,0)),_xlpm.slitRate,INDEX('Lmntn &amp; Prntng- Marma &amp; Bastin '!$D$1:$K$22,_xlpm.slitRow+_xlpm.widthRow,_xlpm.tier),_xlpm.numColors,IF(ISNUMBER(L72),L72,IFERROR(--RIGHT(L72,LEN(L72)-FIND("-",L72)),0)),_xlpm.printRate,IF(OR(K72&lt;&gt;"Printed",_xlpm.numColors=0),0,IF(O72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72))),MAX(_xlfn._xlws.FILTER(_xlpm.meters,(_xlpm.widths=_xlpm.qWidth)*(_xlpm.bands=_xlpm.band)))),INDEX(_xlpm.rates,_xlfn.XMATCH(1,(_xlpm.widths=_xlpm.qWidth)*(_xlpm.bands=_xlpm.band)*(_xlpm.meters=_xlpm.targetM),0))/HELPER!$AK$2),_xlfn.LET(_xlpm.colorOffset,IF(_xlpm.numColors&lt;=2,1,IF(_xlpm.numColors&lt;=4,2,3)),_xlpm.supplierRow,IF(O72="Marma",3,IF(O72="Bastin",13,0)),INDEX('Lmntn &amp; Prntng- Marma &amp; Bastin '!$D$1:$K$22,_xlpm.supplierRow+_xlpm.widthRow+_xlpm.colorOffset,_xlpm.tier)))),AH72+_xlpm.slitRate/_xlpm.kgmUsed+_xlpm.printRate/_xlpm.kgmUsed+AJ72),"")</f>
        <v>12.511671617521566</v>
      </c>
      <c r="AJ72" s="919" cm="1">
        <f t="array" ref="AJ72">IF(OR(K72&lt;&gt;"Printed",L72=0,L72="0",L72=""),0,IFERROR(_xlfn.LET(_xlpm.lam,TEXT(B72,"0"),_xlpm.crit,(TEXT(HELPER!$BZ$2:$BZ$250,"0")=_xlpm.lam)*(HELPER!$CC$2:$CC$250=D72)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WHITE"},0)))/ROWS(_xlpm.real),_xlpm.numColors,IF(ISNUMBER(L72),L72,IFERROR(--RIGHT(L72,LEN(L72)-FIND("-",L72)),0)),HELPER!$DB$1*_xlpm.numColors*MAX(1,M72)*1.05*_xlpm.nkRatio/Q72),0))</f>
        <v>7.7927861065756261</v>
      </c>
      <c r="AK72" s="919">
        <f t="shared" si="41"/>
        <v>1.0906205503104736</v>
      </c>
      <c r="AL72" s="919">
        <f t="shared" si="42"/>
        <v>1521.4156676831105</v>
      </c>
      <c r="AM72" s="73" t="str">
        <f t="shared" si="43"/>
        <v>PASS</v>
      </c>
      <c r="AN72" s="908" t="str">
        <f t="shared" si="22"/>
        <v/>
      </c>
      <c r="AO72" s="919">
        <f t="shared" si="23"/>
        <v>51</v>
      </c>
      <c r="AP72" s="919">
        <f t="shared" si="24"/>
        <v>21333.333333333336</v>
      </c>
      <c r="AQ72" s="919"/>
      <c r="AR72" s="919" cm="1">
        <f t="array" ref="AR72">IFERROR(_xlfn.LET(_xlpm.lam,TEXT(B72,"0"),_xlpm.thick,D72,_xlpm.crit,(TEXT(HELPER!$BZ$2:$BZ$250,"0")=_xlpm.lam)*(HELPER!$CC$2:$CC$250=_xlpm.thick)*(HELPER!$BW$2:$BW$250&lt;&gt;""),_xlpm.mats,TRIM(SUBSTITUTE(_xlfn._xlws.FILTER(HELPER!$BW$2:$BW$250,_xlpm.crit),CHAR(160),"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")),HELPER!$AQ$2:$AQ$20,1),_xlpm.mass,IF(ISNUMBER(SEARCH("paper",_xlpm.mats)),42,_xlpm.dens*_xlpm.ths),E72/1000000*SUM(_xlpm.mass)),"")</f>
        <v>6.0632999999999999E-2</v>
      </c>
      <c r="AS72" s="919">
        <f>IFERROR(IF(D72&gt;31,(5%+250/P72)*AF72,VLOOKUP(D72,HELPER!$BH$3:$BI$5,2,TRUE)*AF72),0)</f>
        <v>0.50089735841800642</v>
      </c>
      <c r="AT72" s="919">
        <v>0.15</v>
      </c>
      <c r="AU72" s="919"/>
      <c r="AV72" s="919"/>
      <c r="AW72" s="919"/>
      <c r="AX72" s="919"/>
      <c r="AY72" s="919"/>
      <c r="AZ72" s="919">
        <f t="shared" si="25"/>
        <v>10080</v>
      </c>
    </row>
    <row r="73" spans="1:52">
      <c r="A73" s="73" t="s">
        <v>1494</v>
      </c>
      <c r="B73" s="73" t="s">
        <v>566</v>
      </c>
      <c r="C73" s="908" t="s">
        <v>1432</v>
      </c>
      <c r="D73" s="915" cm="1">
        <f t="array" ref="D7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73" s="915">
        <v>250</v>
      </c>
      <c r="F73" s="73" t="s">
        <v>560</v>
      </c>
      <c r="G73" s="916">
        <v>500</v>
      </c>
      <c r="H73" s="916">
        <v>500</v>
      </c>
      <c r="I73" s="916"/>
      <c r="J73" s="916"/>
      <c r="K73" s="73" t="s">
        <v>124</v>
      </c>
      <c r="L73" s="921" t="s">
        <v>221</v>
      </c>
      <c r="M73" s="915">
        <v>1</v>
      </c>
      <c r="N73" s="73" t="s">
        <v>550</v>
      </c>
      <c r="O73" s="73" t="s">
        <v>240</v>
      </c>
      <c r="P73" s="916" cm="1">
        <f t="array" ref="P73">IFERROR(_xlfn.SWITCH(F73,"By Weight",IF(H73&lt;&gt;"",H73,G73)/AR73,"By Length",G73,"By Imp",G73/MAX(1,ROUNDDOWN(E73/I73,0))*J73/1000,"IMP",G73/MAX(1,ROUNDDOWN(E73/I73,0))*J73/1000,""),"")</f>
        <v>14692.918013517483</v>
      </c>
      <c r="Q73" s="916">
        <f t="shared" si="26"/>
        <v>500</v>
      </c>
      <c r="R73" s="917">
        <f t="shared" si="27"/>
        <v>7914.6435357572373</v>
      </c>
      <c r="S73" s="918">
        <f t="shared" si="28"/>
        <v>9180.9865014783954</v>
      </c>
      <c r="T73" s="919">
        <f t="shared" si="29"/>
        <v>15.829287071514475</v>
      </c>
      <c r="U73" s="920">
        <f t="shared" si="30"/>
        <v>18.361973002956791</v>
      </c>
      <c r="V73" s="919">
        <f t="shared" si="31"/>
        <v>0.67333829880454632</v>
      </c>
      <c r="W73" s="919">
        <f t="shared" si="32"/>
        <v>19.786608839393072</v>
      </c>
      <c r="X73" s="919" t="str">
        <f t="shared" si="33"/>
        <v/>
      </c>
      <c r="Y73" s="920">
        <f t="shared" si="34"/>
        <v>0.7810724266132737</v>
      </c>
      <c r="Z73" s="920">
        <f t="shared" si="35"/>
        <v>22.952466253695963</v>
      </c>
      <c r="AA73" s="920" t="str">
        <f t="shared" si="36"/>
        <v/>
      </c>
      <c r="AB73" s="917">
        <f t="shared" si="37"/>
        <v>9893.3044196965366</v>
      </c>
      <c r="AC73" s="918">
        <f t="shared" si="38"/>
        <v>11476.233126847981</v>
      </c>
      <c r="AD73" s="916">
        <f t="shared" si="39"/>
        <v>14692.918013517483</v>
      </c>
      <c r="AE73" s="916">
        <f t="shared" si="40"/>
        <v>500</v>
      </c>
      <c r="AF73" s="919" cm="1">
        <f t="array" ref="AF73">IFERROR(_xlfn.LET(_xlpm.lam,TEXT(B73,"0"),_xlpm.thick,D73,_xlpm.crit,(TEXT(HELPER!$BZ$2:$BZ$250,"0")=_xlpm.lam)*(HELPER!$CC$2:$CC$250=_xlpm.thick)*(HELPER!$BW$2:$BW$250&lt;&gt;""),_xlpm.mats,TRIM(SUBSTITUTE(_xlfn._xlws.FILTER(HELPER!$BW$2:$BW$250,_xlpm.crit),CHAR(160),"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8.3726048339700281</v>
      </c>
      <c r="AG73" s="919">
        <f>IFERROR(IF(N73="Europe to Canada",IF(Q73&lt;1000,VLOOKUP(1000,HELPER!$AG$4:$AH$8,2,FALSE)/Q73,VLOOKUP(Q73,HELPER!$AG$4:$AH$8,2,TRUE)/Q73),IF(N73="Europe to US",HELPER!$AH$2,IF(N73="Europe to Europe",HELPER!$AH$3,0))),0)</f>
        <v>5.4</v>
      </c>
      <c r="AH73" s="919" cm="1">
        <f t="array" ref="AH73">IFERROR(_xlfn.LET(_xlpm.cap,IF(O73="Quantum",760,1220),_xlpm.wUsed,E73*MAX(1,MIN(MAX(2,INT(900/E73)),INT((_xlpm.cap-50)/E73))),_xlpm.kgmUsed,AR73/E73*_xlpm.wUsed,_xlpm.lam,TEXT(B73,"0"),_xlpm.crit,(TEXT(HELPER!$BZ$2:$BZ$250,"0")=_xlpm.lam)*(HELPER!$CC$2:$CC$250=D73)*(HELPER!$BW$2:$BW$250&lt;&gt;""),_xlpm.mats,_xlfn._xlws.FILTER(HELPER!$BW$2:$BW$250,_xlpm.crit),_xlpm.realLayers,SUM((_xlpm.mats&lt;&gt;"")*ISERROR(SEARCH("EPOTAL",_xlpm.mats&amp;""))*ISERROR(SEARCH("BASONAT",_xlpm.mats&amp;""))*ISERROR(SEARCH("ADH",_xlpm.mats&amp;""))*ISERROR(SEARCH("HARDENER",_xlpm.mats&amp;""))),_xlpm.steps,MAX(0,_xlpm.realLayers-1),_xlpm.tier,IF(P73&lt;3000,1,IF(P73&lt;10000,2,IF(P73&lt;25000,3,IF(P73&lt;50000,4,IF(P73&lt;100000,5,IF(P73&lt;250000,6,7)))))),_xlpm.widthRow,IF(_xlpm.wUsed&lt;900,0,5),_xlpm.supplierRow,IF(O73="Marma",3,IF(OR(O73="Bastin",O73="Quantum"),13,0)),_xlpm.rate,INDEX('Lmntn &amp; Prntng- Marma &amp; Bastin '!$D$1:$K$22,_xlpm.supplierRow+_xlpm.widthRow,_xlpm.tier),_xlpm.rate*_xlpm.steps/_xlpm.kgmUsed),"")</f>
        <v>1.1655304143402878</v>
      </c>
      <c r="AI73" s="919" cm="1">
        <f t="array" ref="AI73">IFERROR(_xlfn.LET(_xlpm.cap,IF(O73="Quantum",760,1220),_xlpm.wUsed,E73*MAX(1,MIN(MAX(2,INT(900/E73)),INT((_xlpm.cap-50)/E73))),_xlpm.kgmUsed,AR73/E73*_xlpm.wUsed,_xlpm.tier,IF(P73&lt;3000,1,IF(P73&lt;10000,2,IF(P73&lt;25000,3,IF(P73&lt;50000,4,IF(P73&lt;100000,5,IF(P73&lt;250000,6,IF(P73&lt;500000,7,8))))))),_xlpm.widthRow,IF(_xlpm.wUsed&lt;900,0,5),_xlpm.slitRow,IF(O73="Marma",7,IF(OR(O73="Bastin",O73="Quantum"),17,0)),_xlpm.slitRate,INDEX('Lmntn &amp; Prntng- Marma &amp; Bastin '!$D$1:$K$22,_xlpm.slitRow+_xlpm.widthRow,_xlpm.tier),_xlpm.numColors,IF(ISNUMBER(L73),L73,IFERROR(--RIGHT(L73,LEN(L73)-FIND("-",L73)),0)),_xlpm.printRate,IF(OR(K73&lt;&gt;"Printed",_xlpm.numColors=0),0,IF(O73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73))),MAX(_xlfn._xlws.FILTER(_xlpm.meters,(_xlpm.widths=_xlpm.qWidth)*(_xlpm.bands=_xlpm.band)))),INDEX(_xlpm.rates,_xlfn.XMATCH(1,(_xlpm.widths=_xlpm.qWidth)*(_xlpm.bands=_xlpm.band)*(_xlpm.meters=_xlpm.targetM),0))/HELPER!$AK$2),_xlfn.LET(_xlpm.colorOffset,IF(_xlpm.numColors&lt;=2,1,IF(_xlpm.numColors&lt;=4,2,3)),_xlpm.supplierRow,IF(O73="Marma",3,IF(O73="Bastin",13,0)),INDEX('Lmntn &amp; Prntng- Marma &amp; Bastin '!$D$1:$K$22,_xlpm.supplierRow+_xlpm.widthRow+_xlpm.colorOffset,_xlpm.tier)))),AH73+_xlpm.slitRate/_xlpm.kgmUsed+_xlpm.printRate/_xlpm.kgmUsed+AJ73),"")</f>
        <v>1.4955921245959445</v>
      </c>
      <c r="AJ73" s="919" cm="1">
        <f t="array" ref="AJ73">IF(OR(K73&lt;&gt;"Printed",L73=0,L73="0",L73=""),0,IFERROR(_xlfn.LET(_xlpm.lam,TEXT(B73,"0"),_xlpm.crit,(TEXT(HELPER!$BZ$2:$BZ$250,"0")=_xlpm.lam)*(HELPER!$CC$2:$CC$250=D73)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WHITE"},0)))/ROWS(_xlpm.real),_xlpm.numColors,IF(ISNUMBER(L73),L73,IFERROR(--RIGHT(L73,LEN(L73)-FIND("-",L73)),0)),HELPER!$DB$1*_xlpm.numColors*MAX(1,M73)*1.05*_xlpm.nkRatio/Q73),0))</f>
        <v>0</v>
      </c>
      <c r="AK73" s="919">
        <f t="shared" si="41"/>
        <v>1.7376472227214097</v>
      </c>
      <c r="AL73" s="919">
        <f t="shared" si="42"/>
        <v>673.3382988045463</v>
      </c>
      <c r="AM73" s="73" t="str">
        <f t="shared" si="43"/>
        <v>PASS</v>
      </c>
      <c r="AN73" s="908" t="str">
        <f t="shared" si="22"/>
        <v/>
      </c>
      <c r="AO73" s="919">
        <f t="shared" si="23"/>
        <v>106</v>
      </c>
      <c r="AP73" s="919">
        <f t="shared" si="24"/>
        <v>14692.918013517483</v>
      </c>
      <c r="AQ73" s="919"/>
      <c r="AR73" s="919" cm="1">
        <f t="array" ref="AR73">IFERROR(_xlfn.LET(_xlpm.lam,TEXT(B73,"0"),_xlpm.thick,D73,_xlpm.crit,(TEXT(HELPER!$BZ$2:$BZ$250,"0")=_xlpm.lam)*(HELPER!$CC$2:$CC$250=_xlpm.thick)*(HELPER!$BW$2:$BW$250&lt;&gt;""),_xlpm.mats,TRIM(SUBSTITUTE(_xlfn._xlws.FILTER(HELPER!$BW$2:$BW$250,_xlpm.crit),CHAR(160),"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")),HELPER!$AQ$2:$AQ$20,1),_xlpm.mass,IF(ISNUMBER(SEARCH("paper",_xlpm.mats)),42,_xlpm.dens*_xlpm.ths),E73/1000000*SUM(_xlpm.mass)),"")</f>
        <v>3.4030000000000005E-2</v>
      </c>
      <c r="AS73" s="919">
        <f>IFERROR(IF(D73&gt;31,(5%+250/P73)*AF73,VLOOKUP(D73,HELPER!$BH$3:$BI$5,2,TRUE)*AF73),0)</f>
        <v>0.56109011294850153</v>
      </c>
      <c r="AT73" s="919">
        <v>0.19999999999999901</v>
      </c>
      <c r="AU73" s="919"/>
      <c r="AV73" s="919"/>
      <c r="AW73" s="919"/>
      <c r="AX73" s="919"/>
      <c r="AY73" s="919"/>
      <c r="AZ73" s="919">
        <f t="shared" si="25"/>
        <v>0</v>
      </c>
    </row>
    <row r="74" spans="1:52">
      <c r="A74" s="73" t="s">
        <v>1495</v>
      </c>
      <c r="B74" s="73" t="s">
        <v>566</v>
      </c>
      <c r="C74" s="908" t="s">
        <v>1434</v>
      </c>
      <c r="D74" s="915" cm="1">
        <f t="array" ref="D7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74" s="915">
        <v>600</v>
      </c>
      <c r="F74" s="73" t="s">
        <v>1040</v>
      </c>
      <c r="G74" s="916">
        <v>100000</v>
      </c>
      <c r="H74" s="916"/>
      <c r="I74" s="916">
        <v>300</v>
      </c>
      <c r="J74" s="916">
        <v>200</v>
      </c>
      <c r="K74" s="73" t="s">
        <v>123</v>
      </c>
      <c r="L74" s="921" t="s">
        <v>122</v>
      </c>
      <c r="M74" s="915">
        <v>4</v>
      </c>
      <c r="N74" s="73" t="s">
        <v>549</v>
      </c>
      <c r="O74" s="73" t="s">
        <v>250</v>
      </c>
      <c r="P74" s="916" cm="1">
        <f t="array" ref="P74">IFERROR(_xlfn.SWITCH(F74,"By Weight",IF(H74&lt;&gt;"",H74,G74)/AR74,"By Length",G74,"By Imp",G74/MAX(1,ROUNDDOWN(E74/I74,0))*J74/1000,"IMP",G74/MAX(1,ROUNDDOWN(E74/I74,0))*J74/1000,""),"")</f>
        <v>10000</v>
      </c>
      <c r="Q74" s="916">
        <f t="shared" si="26"/>
        <v>516.71999999999991</v>
      </c>
      <c r="R74" s="917">
        <f t="shared" si="27"/>
        <v>9633.6528282499985</v>
      </c>
      <c r="S74" s="918">
        <f t="shared" si="28"/>
        <v>11175.037280769997</v>
      </c>
      <c r="T74" s="919">
        <f t="shared" si="29"/>
        <v>18.64385514059839</v>
      </c>
      <c r="U74" s="920">
        <f t="shared" si="30"/>
        <v>21.626871963094132</v>
      </c>
      <c r="V74" s="919">
        <f t="shared" si="31"/>
        <v>1.1333709209705869</v>
      </c>
      <c r="W74" s="919">
        <f t="shared" si="32"/>
        <v>21.933947224233375</v>
      </c>
      <c r="X74" s="919">
        <f t="shared" si="33"/>
        <v>0.11333709209705869</v>
      </c>
      <c r="Y74" s="920">
        <f t="shared" si="34"/>
        <v>1.3147102683258807</v>
      </c>
      <c r="Z74" s="920">
        <f t="shared" si="35"/>
        <v>25.443378780110713</v>
      </c>
      <c r="AA74" s="920">
        <f t="shared" si="36"/>
        <v>0.13147102683258807</v>
      </c>
      <c r="AB74" s="917">
        <f t="shared" si="37"/>
        <v>11333.709209705867</v>
      </c>
      <c r="AC74" s="918">
        <f t="shared" si="38"/>
        <v>13147.102683258805</v>
      </c>
      <c r="AD74" s="916">
        <f t="shared" si="39"/>
        <v>9676.4204985291854</v>
      </c>
      <c r="AE74" s="916">
        <f t="shared" si="40"/>
        <v>500</v>
      </c>
      <c r="AF74" s="919" cm="1">
        <f t="array" ref="AF74">IFERROR(_xlfn.LET(_xlpm.lam,TEXT(B74,"0"),_xlpm.thick,D74,_xlpm.crit,(TEXT(HELPER!$BZ$2:$BZ$250,"0")=_xlpm.lam)*(HELPER!$CC$2:$CC$250=_xlpm.thick)*(HELPER!$BW$2:$BW$250&lt;&gt;""),_xlpm.mats,TRIM(SUBSTITUTE(_xlfn._xlws.FILTER(HELPER!$BW$2:$BW$250,_xlpm.crit),CHAR(160),"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8.2265035415699028</v>
      </c>
      <c r="AG74" s="919">
        <f>IFERROR(IF(N74="Europe to Canada",IF(Q74&lt;1000,VLOOKUP(1000,HELPER!$AG$4:$AH$8,2,FALSE)/Q74,VLOOKUP(Q74,HELPER!$AG$4:$AH$8,2,TRUE)/Q74),IF(N74="Europe to US",HELPER!$AH$2,IF(N74="Europe to Europe",HELPER!$AH$3,0))),0)</f>
        <v>0.2</v>
      </c>
      <c r="AH74" s="919" cm="1">
        <f t="array" ref="AH74">IFERROR(_xlfn.LET(_xlpm.cap,IF(O74="Quantum",760,1220),_xlpm.wUsed,E74*MAX(1,MIN(MAX(2,INT(900/E74)),INT((_xlpm.cap-50)/E74))),_xlpm.kgmUsed,AR74/E74*_xlpm.wUsed,_xlpm.lam,TEXT(B74,"0"),_xlpm.crit,(TEXT(HELPER!$BZ$2:$BZ$250,"0")=_xlpm.lam)*(HELPER!$CC$2:$CC$250=D74)*(HELPER!$BW$2:$BW$250&lt;&gt;""),_xlpm.mats,_xlfn._xlws.FILTER(HELPER!$BW$2:$BW$250,_xlpm.crit),_xlpm.realLayers,SUM((_xlpm.mats&lt;&gt;"")*ISERROR(SEARCH("EPOTAL",_xlpm.mats&amp;""))*ISERROR(SEARCH("BASONAT",_xlpm.mats&amp;""))*ISERROR(SEARCH("ADH",_xlpm.mats&amp;""))*ISERROR(SEARCH("HARDENER",_xlpm.mats&amp;""))),_xlpm.steps,MAX(0,_xlpm.realLayers-1),_xlpm.tier,IF(P74&lt;3000,1,IF(P74&lt;10000,2,IF(P74&lt;25000,3,IF(P74&lt;50000,4,IF(P74&lt;100000,5,IF(P74&lt;250000,6,7)))))),_xlpm.widthRow,IF(_xlpm.wUsed&lt;900,0,5),_xlpm.supplierRow,IF(O74="Marma",3,IF(OR(O74="Bastin",O74="Quantum"),13,0)),_xlpm.rate,INDEX('Lmntn &amp; Prntng- Marma &amp; Bastin '!$D$1:$K$22,_xlpm.supplierRow+_xlpm.widthRow,_xlpm.tier),_xlpm.rate*_xlpm.steps/_xlpm.kgmUsed),"")</f>
        <v>1.7713655364607526</v>
      </c>
      <c r="AI74" s="919" cm="1">
        <f t="array" ref="AI74">IFERROR(_xlfn.LET(_xlpm.cap,IF(O74="Quantum",760,1220),_xlpm.wUsed,E74*MAX(1,MIN(MAX(2,INT(900/E74)),INT((_xlpm.cap-50)/E74))),_xlpm.kgmUsed,AR74/E74*_xlpm.wUsed,_xlpm.tier,IF(P74&lt;3000,1,IF(P74&lt;10000,2,IF(P74&lt;25000,3,IF(P74&lt;50000,4,IF(P74&lt;100000,5,IF(P74&lt;250000,6,IF(P74&lt;500000,7,8))))))),_xlpm.widthRow,IF(_xlpm.wUsed&lt;900,0,5),_xlpm.slitRow,IF(O74="Marma",7,IF(OR(O74="Bastin",O74="Quantum"),17,0)),_xlpm.slitRate,INDEX('Lmntn &amp; Prntng- Marma &amp; Bastin '!$D$1:$K$22,_xlpm.slitRow+_xlpm.widthRow,_xlpm.tier),_xlpm.numColors,IF(ISNUMBER(L74),L74,IFERROR(--RIGHT(L74,LEN(L74)-FIND("-",L74)),0)),_xlpm.printRate,IF(OR(K74&lt;&gt;"Printed",_xlpm.numColors=0),0,IF(O74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74))),MAX(_xlfn._xlws.FILTER(_xlpm.meters,(_xlpm.widths=_xlpm.qWidth)*(_xlpm.bands=_xlpm.band)))),INDEX(_xlpm.rates,_xlfn.XMATCH(1,(_xlpm.widths=_xlpm.qWidth)*(_xlpm.bands=_xlpm.band)*(_xlpm.meters=_xlpm.targetM),0))/HELPER!$AK$2),_xlfn.LET(_xlpm.colorOffset,IF(_xlpm.numColors&lt;=2,1,IF(_xlpm.numColors&lt;=4,2,3)),_xlpm.supplierRow,IF(O74="Marma",3,IF(O74="Bastin",13,0)),INDEX('Lmntn &amp; Prntng- Marma &amp; Bastin '!$D$1:$K$22,_xlpm.supplierRow+_xlpm.widthRow+_xlpm.colorOffset,_xlpm.tier)))),AH74+_xlpm.slitRate/_xlpm.kgmUsed+_xlpm.printRate/_xlpm.kgmUsed+AJ74),"")</f>
        <v>9.6003638334107464</v>
      </c>
      <c r="AJ74" s="919" cm="1">
        <f t="array" ref="AJ74">IF(OR(K74&lt;&gt;"Printed",L74=0,L74="0",L74=""),0,IFERROR(_xlfn.LET(_xlpm.lam,TEXT(B74,"0"),_xlpm.crit,(TEXT(HELPER!$BZ$2:$BZ$250,"0")=_xlpm.lam)*(HELPER!$CC$2:$CC$250=D74)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WHITE"},0)))/ROWS(_xlpm.real),_xlpm.numColors,IF(ISNUMBER(L74),L74,IFERROR(--RIGHT(L74,LEN(L74)-FIND("-",L74)),0)),HELPER!$DB$1*_xlpm.numColors*MAX(1,M74)*1.05*_xlpm.nkRatio/Q74),0))</f>
        <v>4.8769159312587096</v>
      </c>
      <c r="AK74" s="919">
        <f t="shared" si="41"/>
        <v>1.2186784096457925</v>
      </c>
      <c r="AL74" s="919">
        <f t="shared" si="42"/>
        <v>1133.3709209705869</v>
      </c>
      <c r="AM74" s="73" t="str">
        <f t="shared" si="43"/>
        <v>PASS</v>
      </c>
      <c r="AN74" s="908" t="str">
        <f t="shared" si="22"/>
        <v/>
      </c>
      <c r="AO74" s="919">
        <f t="shared" si="23"/>
        <v>66</v>
      </c>
      <c r="AP74" s="919">
        <f t="shared" si="24"/>
        <v>10000</v>
      </c>
      <c r="AQ74" s="919"/>
      <c r="AR74" s="919" cm="1">
        <f t="array" ref="AR74">IFERROR(_xlfn.LET(_xlpm.lam,TEXT(B74,"0"),_xlpm.thick,D74,_xlpm.crit,(TEXT(HELPER!$BZ$2:$BZ$250,"0")=_xlpm.lam)*(HELPER!$CC$2:$CC$250=_xlpm.thick)*(HELPER!$BW$2:$BW$250&lt;&gt;""),_xlpm.mats,TRIM(SUBSTITUTE(_xlfn._xlws.FILTER(HELPER!$BW$2:$BW$250,_xlpm.crit),CHAR(160),"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")),HELPER!$AQ$2:$AQ$20,1),_xlpm.mass,IF(ISNUMBER(SEARCH("paper",_xlpm.mats)),42,_xlpm.dens*_xlpm.ths),E74/1000000*SUM(_xlpm.mass)),"")</f>
        <v>5.1671999999999996E-2</v>
      </c>
      <c r="AS74" s="919">
        <f>IFERROR(IF(D74&gt;31,(5%+250/P74)*AF74,VLOOKUP(D74,HELPER!$BH$3:$BI$5,2,TRUE)*AF74),0)</f>
        <v>0.61698776561774282</v>
      </c>
      <c r="AT74" s="919">
        <v>0.149999999999999</v>
      </c>
      <c r="AU74" s="919"/>
      <c r="AV74" s="919"/>
      <c r="AW74" s="919"/>
      <c r="AX74" s="919"/>
      <c r="AY74" s="919"/>
      <c r="AZ74" s="919">
        <f t="shared" si="25"/>
        <v>2520</v>
      </c>
    </row>
    <row r="75" spans="1:52">
      <c r="A75" s="73" t="s">
        <v>1496</v>
      </c>
      <c r="B75" s="73" t="s">
        <v>566</v>
      </c>
      <c r="C75" s="908" t="s">
        <v>1436</v>
      </c>
      <c r="D75" s="915" cm="1">
        <f t="array" ref="D7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75" s="915">
        <v>450</v>
      </c>
      <c r="F75" s="73" t="s">
        <v>560</v>
      </c>
      <c r="G75" s="916">
        <v>500</v>
      </c>
      <c r="H75" s="916">
        <v>500</v>
      </c>
      <c r="I75" s="916"/>
      <c r="J75" s="916"/>
      <c r="K75" s="73" t="s">
        <v>123</v>
      </c>
      <c r="L75" s="921" t="s">
        <v>591</v>
      </c>
      <c r="M75" s="915">
        <v>2</v>
      </c>
      <c r="N75" s="73" t="s">
        <v>549</v>
      </c>
      <c r="O75" s="73" t="s">
        <v>1366</v>
      </c>
      <c r="P75" s="916" cm="1">
        <f t="array" ref="P75">IFERROR(_xlfn.SWITCH(F75,"By Weight",IF(H75&lt;&gt;"",H75,G75)/AR75,"By Length",G75,"By Imp",G75/MAX(1,ROUNDDOWN(E75/I75,0))*J75/1000,"IMP",G75/MAX(1,ROUNDDOWN(E75/I75,0))*J75/1000,""),"")</f>
        <v>16492.669008625668</v>
      </c>
      <c r="Q75" s="916">
        <f t="shared" si="26"/>
        <v>500.00000000000006</v>
      </c>
      <c r="R75" s="917">
        <f t="shared" si="27"/>
        <v>18944.746142139666</v>
      </c>
      <c r="S75" s="918">
        <f t="shared" si="28"/>
        <v>21975.905524882011</v>
      </c>
      <c r="T75" s="919">
        <f t="shared" si="29"/>
        <v>37.889492284279328</v>
      </c>
      <c r="U75" s="920">
        <f t="shared" si="30"/>
        <v>43.951811049764018</v>
      </c>
      <c r="V75" s="919">
        <f t="shared" si="31"/>
        <v>1.3513844621604183</v>
      </c>
      <c r="W75" s="919">
        <f t="shared" si="32"/>
        <v>44.57587327562279</v>
      </c>
      <c r="X75" s="919" t="str">
        <f t="shared" si="33"/>
        <v/>
      </c>
      <c r="Y75" s="920">
        <f t="shared" si="34"/>
        <v>1.5676059761060852</v>
      </c>
      <c r="Z75" s="920">
        <f t="shared" si="35"/>
        <v>51.708012999722435</v>
      </c>
      <c r="AA75" s="920" t="str">
        <f t="shared" si="36"/>
        <v/>
      </c>
      <c r="AB75" s="917">
        <f t="shared" si="37"/>
        <v>22287.936637811399</v>
      </c>
      <c r="AC75" s="918">
        <f t="shared" si="38"/>
        <v>25854.006499861222</v>
      </c>
      <c r="AD75" s="916">
        <f t="shared" si="39"/>
        <v>16492.669008625668</v>
      </c>
      <c r="AE75" s="916">
        <f t="shared" si="40"/>
        <v>500</v>
      </c>
      <c r="AF75" s="919" cm="1">
        <f t="array" ref="AF75">IFERROR(_xlfn.LET(_xlpm.lam,TEXT(B75,"0"),_xlpm.thick,D75,_xlpm.crit,(TEXT(HELPER!$BZ$2:$BZ$250,"0")=_xlpm.lam)*(HELPER!$CC$2:$CC$250=_xlpm.thick)*(HELPER!$BW$2:$BW$250&lt;&gt;""),_xlpm.mats,TRIM(SUBSTITUTE(_xlfn._xlws.FILTER(HELPER!$BW$2:$BW$250,_xlpm.crit),CHAR(160),"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75" s="919">
        <f>IFERROR(IF(N75="Europe to Canada",IF(Q75&lt;1000,VLOOKUP(1000,HELPER!$AG$4:$AH$8,2,FALSE)/Q75,VLOOKUP(Q75,HELPER!$AG$4:$AH$8,2,TRUE)/Q75),IF(N75="Europe to US",HELPER!$AH$2,IF(N75="Europe to Europe",HELPER!$AH$3,0))),0)</f>
        <v>0.2</v>
      </c>
      <c r="AH75" s="919" cm="1">
        <f t="array" ref="AH75">IFERROR(_xlfn.LET(_xlpm.cap,IF(O75="Quantum",760,1220),_xlpm.wUsed,E75*MAX(1,MIN(MAX(2,INT(900/E75)),INT((_xlpm.cap-50)/E75))),_xlpm.kgmUsed,AR75/E75*_xlpm.wUsed,_xlpm.lam,TEXT(B75,"0"),_xlpm.crit,(TEXT(HELPER!$BZ$2:$BZ$250,"0")=_xlpm.lam)*(HELPER!$CC$2:$CC$250=D75)*(HELPER!$BW$2:$BW$250&lt;&gt;""),_xlpm.mats,_xlfn._xlws.FILTER(HELPER!$BW$2:$BW$250,_xlpm.crit),_xlpm.realLayers,SUM((_xlpm.mats&lt;&gt;"")*ISERROR(SEARCH("EPOTAL",_xlpm.mats&amp;""))*ISERROR(SEARCH("BASONAT",_xlpm.mats&amp;""))*ISERROR(SEARCH("ADH",_xlpm.mats&amp;""))*ISERROR(SEARCH("HARDENER",_xlpm.mats&amp;""))),_xlpm.steps,MAX(0,_xlpm.realLayers-1),_xlpm.tier,IF(P75&lt;3000,1,IF(P75&lt;10000,2,IF(P75&lt;25000,3,IF(P75&lt;50000,4,IF(P75&lt;100000,5,IF(P75&lt;250000,6,7)))))),_xlpm.widthRow,IF(_xlpm.wUsed&lt;900,0,5),_xlpm.supplierRow,IF(O75="Marma",3,IF(OR(O75="Bastin",O75="Quantum"),13,0)),_xlpm.rate,INDEX('Lmntn &amp; Prntng- Marma &amp; Bastin '!$D$1:$K$22,_xlpm.supplierRow+_xlpm.widthRow,_xlpm.tier),_xlpm.rate*_xlpm.steps/_xlpm.kgmUsed),"")</f>
        <v>3.9248923853347186</v>
      </c>
      <c r="AI75" s="919" cm="1">
        <f t="array" ref="AI75">IFERROR(_xlfn.LET(_xlpm.cap,IF(O75="Quantum",760,1220),_xlpm.wUsed,E75*MAX(1,MIN(MAX(2,INT(900/E75)),INT((_xlpm.cap-50)/E75))),_xlpm.kgmUsed,AR75/E75*_xlpm.wUsed,_xlpm.tier,IF(P75&lt;3000,1,IF(P75&lt;10000,2,IF(P75&lt;25000,3,IF(P75&lt;50000,4,IF(P75&lt;100000,5,IF(P75&lt;250000,6,IF(P75&lt;500000,7,8))))))),_xlpm.widthRow,IF(_xlpm.wUsed&lt;900,0,5),_xlpm.slitRow,IF(O75="Marma",7,IF(OR(O75="Bastin",O75="Quantum"),17,0)),_xlpm.slitRate,INDEX('Lmntn &amp; Prntng- Marma &amp; Bastin '!$D$1:$K$22,_xlpm.slitRow+_xlpm.widthRow,_xlpm.tier),_xlpm.numColors,IF(ISNUMBER(L75),L75,IFERROR(--RIGHT(L75,LEN(L75)-FIND("-",L75)),0)),_xlpm.printRate,IF(OR(K75&lt;&gt;"Printed",_xlpm.numColors=0),0,IF(O75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75))),MAX(_xlfn._xlws.FILTER(_xlpm.meters,(_xlpm.widths=_xlpm.qWidth)*(_xlpm.bands=_xlpm.band)))),INDEX(_xlpm.rates,_xlfn.XMATCH(1,(_xlpm.widths=_xlpm.qWidth)*(_xlpm.bands=_xlpm.band)*(_xlpm.meters=_xlpm.targetM),0))/HELPER!$AK$2),_xlfn.LET(_xlpm.colorOffset,IF(_xlpm.numColors&lt;=2,1,IF(_xlpm.numColors&lt;=4,2,3)),_xlpm.supplierRow,IF(O75="Marma",3,IF(O75="Bastin",13,0)),INDEX('Lmntn &amp; Prntng- Marma &amp; Bastin '!$D$1:$K$22,_xlpm.supplierRow+_xlpm.widthRow+_xlpm.colorOffset,_xlpm.tier)))),AH75+_xlpm.slitRate/_xlpm.kgmUsed+_xlpm.printRate/_xlpm.kgmUsed+AJ75),"")</f>
        <v>29.044875312578732</v>
      </c>
      <c r="AJ75" s="919" cm="1">
        <f t="array" ref="AJ75">IF(OR(K75&lt;&gt;"Printed",L75=0,L75="0",L75=""),0,IFERROR(_xlfn.LET(_xlpm.lam,TEXT(B75,"0"),_xlpm.crit,(TEXT(HELPER!$BZ$2:$BZ$250,"0")=_xlpm.lam)*(HELPER!$CC$2:$CC$250=D75)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WHITE"},0)))/ROWS(_xlpm.real),_xlpm.numColors,IF(ISNUMBER(L75),L75,IFERROR(--RIGHT(L75,LEN(L75)-FIND("-",L75)),0)),HELPER!$DB$1*_xlpm.numColors*MAX(1,M75)*1.05*_xlpm.nkRatio/Q75),0))</f>
        <v>1.2599999999999998</v>
      </c>
      <c r="AK75" s="919">
        <f t="shared" si="41"/>
        <v>1.9374687629540046</v>
      </c>
      <c r="AL75" s="919">
        <f t="shared" si="42"/>
        <v>1351.3844621604183</v>
      </c>
      <c r="AM75" s="73" t="str">
        <f t="shared" si="43"/>
        <v>PASS</v>
      </c>
      <c r="AN75" s="908" t="str">
        <f t="shared" si="22"/>
        <v/>
      </c>
      <c r="AO75" s="919">
        <f t="shared" si="23"/>
        <v>51</v>
      </c>
      <c r="AP75" s="919">
        <f t="shared" si="24"/>
        <v>16492.669008625668</v>
      </c>
      <c r="AQ75" s="919"/>
      <c r="AR75" s="919" cm="1">
        <f t="array" ref="AR75">IFERROR(_xlfn.LET(_xlpm.lam,TEXT(B75,"0"),_xlpm.thick,D75,_xlpm.crit,(TEXT(HELPER!$BZ$2:$BZ$250,"0")=_xlpm.lam)*(HELPER!$CC$2:$CC$250=_xlpm.thick)*(HELPER!$BW$2:$BW$250&lt;&gt;""),_xlpm.mats,TRIM(SUBSTITUTE(_xlfn._xlws.FILTER(HELPER!$BW$2:$BW$250,_xlpm.crit),CHAR(160),"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")),HELPER!$AQ$2:$AQ$20,1),_xlpm.mass,IF(ISNUMBER(SEARCH("paper",_xlpm.mats)),42,_xlpm.dens*_xlpm.ths),E75/1000000*SUM(_xlpm.mass)),"")</f>
        <v>3.03165E-2</v>
      </c>
      <c r="AS75" s="919">
        <f>IFERROR(IF(D75&gt;31,(5%+250/P75)*AF75,VLOOKUP(D75,HELPER!$BH$3:$BI$5,2,TRUE)*AF75),0)</f>
        <v>0.52881167075062385</v>
      </c>
      <c r="AT75" s="919">
        <v>0.15000000000000099</v>
      </c>
      <c r="AU75" s="919"/>
      <c r="AV75" s="919"/>
      <c r="AW75" s="919"/>
      <c r="AX75" s="919"/>
      <c r="AY75" s="919"/>
      <c r="AZ75" s="919">
        <f t="shared" si="25"/>
        <v>630</v>
      </c>
    </row>
    <row r="76" spans="1:52">
      <c r="A76" s="73" t="s">
        <v>1497</v>
      </c>
      <c r="B76" s="73">
        <v>648</v>
      </c>
      <c r="C76" s="908" t="s">
        <v>1418</v>
      </c>
      <c r="D76" s="915" cm="1">
        <f t="array" ref="D7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76" s="915">
        <v>120</v>
      </c>
      <c r="F76" s="73" t="s">
        <v>560</v>
      </c>
      <c r="G76" s="916">
        <v>100</v>
      </c>
      <c r="H76" s="916">
        <v>100</v>
      </c>
      <c r="I76" s="916"/>
      <c r="J76" s="916"/>
      <c r="K76" s="73" t="s">
        <v>124</v>
      </c>
      <c r="L76" s="921" t="s">
        <v>221</v>
      </c>
      <c r="M76" s="915">
        <v>1</v>
      </c>
      <c r="N76" s="73" t="s">
        <v>549</v>
      </c>
      <c r="O76" s="73" t="s">
        <v>250</v>
      </c>
      <c r="P76" s="916" cm="1">
        <f t="array" ref="P76">IFERROR(_xlfn.SWITCH(F76,"By Weight",IF(H76&lt;&gt;"",H76,G76)/AR76,"By Length",G76,"By Imp",G76/MAX(1,ROUNDDOWN(E76/I76,0))*J76/1000,"IMP",G76/MAX(1,ROUNDDOWN(E76/I76,0))*J76/1000,""),"")</f>
        <v>11911.568515342098</v>
      </c>
      <c r="Q76" s="916">
        <f t="shared" si="26"/>
        <v>100</v>
      </c>
      <c r="R76" s="917">
        <f t="shared" si="27"/>
        <v>993.86124439442028</v>
      </c>
      <c r="S76" s="918">
        <f t="shared" si="28"/>
        <v>1152.8790434975274</v>
      </c>
      <c r="T76" s="919">
        <f t="shared" si="29"/>
        <v>9.9386124439442032</v>
      </c>
      <c r="U76" s="920">
        <f t="shared" si="30"/>
        <v>11.528790434975274</v>
      </c>
      <c r="V76" s="919">
        <f t="shared" si="31"/>
        <v>0.1042957989867509</v>
      </c>
      <c r="W76" s="919">
        <f t="shared" si="32"/>
        <v>12.423265554930301</v>
      </c>
      <c r="X76" s="919" t="str">
        <f t="shared" si="33"/>
        <v/>
      </c>
      <c r="Y76" s="920">
        <f t="shared" si="34"/>
        <v>0.12098312682463104</v>
      </c>
      <c r="Z76" s="920">
        <f t="shared" si="35"/>
        <v>14.410988043719149</v>
      </c>
      <c r="AA76" s="920" t="str">
        <f t="shared" si="36"/>
        <v/>
      </c>
      <c r="AB76" s="917">
        <f t="shared" si="37"/>
        <v>1242.3265554930301</v>
      </c>
      <c r="AC76" s="918">
        <f t="shared" si="38"/>
        <v>1441.0988043719149</v>
      </c>
      <c r="AD76" s="916">
        <f t="shared" si="39"/>
        <v>59557.842576710485</v>
      </c>
      <c r="AE76" s="916">
        <f t="shared" si="40"/>
        <v>500</v>
      </c>
      <c r="AF76" s="919" cm="1">
        <f t="array" ref="AF76">IFERROR(_xlfn.LET(_xlpm.lam,TEXT(B76,"0"),_xlpm.thick,D76,_xlpm.crit,(TEXT(HELPER!$BZ$2:$BZ$250,"0")=_xlpm.lam)*(HELPER!$CC$2:$CC$250=_xlpm.thick)*(HELPER!$BW$2:$BW$250&lt;&gt;""),_xlpm.mats,TRIM(SUBSTITUTE(_xlfn._xlws.FILTER(HELPER!$BW$2:$BW$250,_xlpm.crit),CHAR(160),"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76" s="919">
        <f>IFERROR(IF(N76="Europe to Canada",IF(Q76&lt;1000,VLOOKUP(1000,HELPER!$AG$4:$AH$8,2,FALSE)/Q76,VLOOKUP(Q76,HELPER!$AG$4:$AH$8,2,TRUE)/Q76),IF(N76="Europe to US",HELPER!$AH$2,IF(N76="Europe to Europe",HELPER!$AH$3,0))),0)</f>
        <v>0.2</v>
      </c>
      <c r="AH76" s="919" cm="1">
        <f t="array" ref="AH76">IFERROR(_xlfn.LET(_xlpm.cap,IF(O76="Quantum",760,1220),_xlpm.wUsed,E76*MAX(1,MIN(MAX(2,INT(900/E76)),INT((_xlpm.cap-50)/E76))),_xlpm.kgmUsed,AR76/E76*_xlpm.wUsed,_xlpm.lam,TEXT(B76,"0"),_xlpm.crit,(TEXT(HELPER!$BZ$2:$BZ$250,"0")=_xlpm.lam)*(HELPER!$CC$2:$CC$250=D76)*(HELPER!$BW$2:$BW$250&lt;&gt;""),_xlpm.mats,_xlfn._xlws.FILTER(HELPER!$BW$2:$BW$250,_xlpm.crit),_xlpm.realLayers,SUM((_xlpm.mats&lt;&gt;"")*ISERROR(SEARCH("EPOTAL",_xlpm.mats&amp;""))*ISERROR(SEARCH("BASONAT",_xlpm.mats&amp;""))*ISERROR(SEARCH("ADH",_xlpm.mats&amp;""))*ISERROR(SEARCH("HARDENER",_xlpm.mats&amp;""))),_xlpm.steps,MAX(0,_xlpm.realLayers-1),_xlpm.tier,IF(P76&lt;3000,1,IF(P76&lt;10000,2,IF(P76&lt;25000,3,IF(P76&lt;50000,4,IF(P76&lt;100000,5,IF(P76&lt;250000,6,7)))))),_xlpm.widthRow,IF(_xlpm.wUsed&lt;900,0,5),_xlpm.supplierRow,IF(O76="Marma",3,IF(OR(O76="Bastin",O76="Quantum"),13,0)),_xlpm.rate,INDEX('Lmntn &amp; Prntng- Marma &amp; Bastin '!$D$1:$K$22,_xlpm.supplierRow+_xlpm.widthRow,_xlpm.tier),_xlpm.rate*_xlpm.steps/_xlpm.kgmUsed),"")</f>
        <v>1.5575226660132317</v>
      </c>
      <c r="AI76" s="919" cm="1">
        <f t="array" ref="AI76">IFERROR(_xlfn.LET(_xlpm.cap,IF(O76="Quantum",760,1220),_xlpm.wUsed,E76*MAX(1,MIN(MAX(2,INT(900/E76)),INT((_xlpm.cap-50)/E76))),_xlpm.kgmUsed,AR76/E76*_xlpm.wUsed,_xlpm.tier,IF(P76&lt;3000,1,IF(P76&lt;10000,2,IF(P76&lt;25000,3,IF(P76&lt;50000,4,IF(P76&lt;100000,5,IF(P76&lt;250000,6,IF(P76&lt;500000,7,8))))))),_xlpm.widthRow,IF(_xlpm.wUsed&lt;900,0,5),_xlpm.slitRow,IF(O76="Marma",7,IF(OR(O76="Bastin",O76="Quantum"),17,0)),_xlpm.slitRate,INDEX('Lmntn &amp; Prntng- Marma &amp; Bastin '!$D$1:$K$22,_xlpm.slitRow+_xlpm.widthRow,_xlpm.tier),_xlpm.numColors,IF(ISNUMBER(L76),L76,IFERROR(--RIGHT(L76,LEN(L76)-FIND("-",L76)),0)),_xlpm.printRate,IF(OR(K76&lt;&gt;"Printed",_xlpm.numColors=0),0,IF(O76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76))),MAX(_xlfn._xlws.FILTER(_xlpm.meters,(_xlpm.widths=_xlpm.qWidth)*(_xlpm.bands=_xlpm.band)))),INDEX(_xlpm.rates,_xlfn.XMATCH(1,(_xlpm.widths=_xlpm.qWidth)*(_xlpm.bands=_xlpm.band)*(_xlpm.meters=_xlpm.targetM),0))/HELPER!$AK$2),_xlfn.LET(_xlpm.colorOffset,IF(_xlpm.numColors&lt;=2,1,IF(_xlpm.numColors&lt;=4,2,3)),_xlpm.supplierRow,IF(O76="Marma",3,IF(O76="Bastin",13,0)),INDEX('Lmntn &amp; Prntng- Marma &amp; Bastin '!$D$1:$K$22,_xlpm.supplierRow+_xlpm.widthRow+_xlpm.colorOffset,_xlpm.tier)))),AH76+_xlpm.slitRate/_xlpm.kgmUsed+_xlpm.printRate/_xlpm.kgmUsed+AJ76),"")</f>
        <v>1.9985910316098991</v>
      </c>
      <c r="AJ76" s="919" cm="1">
        <f t="array" ref="AJ76">IF(OR(K76&lt;&gt;"Printed",L76=0,L76="0",L76=""),0,IFERROR(_xlfn.LET(_xlpm.lam,TEXT(B76,"0"),_xlpm.crit,(TEXT(HELPER!$BZ$2:$BZ$250,"0")=_xlpm.lam)*(HELPER!$CC$2:$CC$250=D76)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WHITE"},0)))/ROWS(_xlpm.real),_xlpm.numColors,IF(ISNUMBER(L76),L76,IFERROR(--RIGHT(L76,LEN(L76)-FIND("-",L76)),0)),HELPER!$DB$1*_xlpm.numColors*MAX(1,M76)*1.05*_xlpm.nkRatio/Q76),0))</f>
        <v>0</v>
      </c>
      <c r="AK76" s="919">
        <f t="shared" si="41"/>
        <v>0.56073010207930596</v>
      </c>
      <c r="AL76" s="919">
        <f t="shared" si="42"/>
        <v>104.2957989867509</v>
      </c>
      <c r="AM76" s="73" t="str">
        <f t="shared" si="43"/>
        <v>PASS</v>
      </c>
      <c r="AN76" s="908" t="str">
        <f t="shared" si="22"/>
        <v/>
      </c>
      <c r="AO76" s="919">
        <f t="shared" si="23"/>
        <v>53</v>
      </c>
      <c r="AP76" s="919">
        <f t="shared" si="24"/>
        <v>11911.568515342098</v>
      </c>
      <c r="AQ76" s="919"/>
      <c r="AR76" s="919" cm="1">
        <f t="array" ref="AR76">IFERROR(_xlfn.LET(_xlpm.lam,TEXT(B76,"0"),_xlpm.thick,D76,_xlpm.crit,(TEXT(HELPER!$BZ$2:$BZ$250,"0")=_xlpm.lam)*(HELPER!$CC$2:$CC$250=_xlpm.thick)*(HELPER!$BW$2:$BW$250&lt;&gt;""),_xlpm.mats,TRIM(SUBSTITUTE(_xlfn._xlws.FILTER(HELPER!$BW$2:$BW$250,_xlpm.crit),CHAR(160),"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")),HELPER!$AQ$2:$AQ$20,1),_xlpm.mass,IF(ISNUMBER(SEARCH("paper",_xlpm.mats)),42,_xlpm.dens*_xlpm.ths),E76/1000000*SUM(_xlpm.mass)),"")</f>
        <v>8.395200000000002E-3</v>
      </c>
      <c r="AS76" s="919">
        <f>IFERROR(IF(D76&gt;31,(5%+250/P76)*AF76,VLOOKUP(D76,HELPER!$BH$3:$BI$5,2,TRUE)*AF76),0)</f>
        <v>0.51302968849210973</v>
      </c>
      <c r="AT76" s="919">
        <v>0.20000000000000301</v>
      </c>
      <c r="AU76" s="919"/>
      <c r="AV76" s="919"/>
      <c r="AW76" s="919"/>
      <c r="AX76" s="919"/>
      <c r="AY76" s="919"/>
      <c r="AZ76" s="919">
        <f t="shared" si="25"/>
        <v>0</v>
      </c>
    </row>
    <row r="77" spans="1:52">
      <c r="A77" s="73" t="s">
        <v>1498</v>
      </c>
      <c r="B77" s="73">
        <v>648</v>
      </c>
      <c r="C77" s="908" t="s">
        <v>1420</v>
      </c>
      <c r="D77" s="915" cm="1">
        <f t="array" ref="D7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77" s="915">
        <v>120</v>
      </c>
      <c r="F77" s="73" t="s">
        <v>1040</v>
      </c>
      <c r="G77" s="916">
        <v>1000</v>
      </c>
      <c r="H77" s="916"/>
      <c r="I77" s="916">
        <v>80</v>
      </c>
      <c r="J77" s="916">
        <v>80</v>
      </c>
      <c r="K77" s="73" t="s">
        <v>123</v>
      </c>
      <c r="L77" s="921" t="s">
        <v>591</v>
      </c>
      <c r="M77" s="915">
        <v>1</v>
      </c>
      <c r="N77" s="73" t="s">
        <v>550</v>
      </c>
      <c r="O77" s="73" t="s">
        <v>240</v>
      </c>
      <c r="P77" s="916" cm="1">
        <f t="array" ref="P77">IFERROR(_xlfn.SWITCH(F77,"By Weight",IF(H77&lt;&gt;"",H77,G77)/AR77,"By Length",G77,"By Imp",G77/MAX(1,ROUNDDOWN(E77/I77,0))*J77/1000,"IMP",G77/MAX(1,ROUNDDOWN(E77/I77,0))*J77/1000,""),"")</f>
        <v>80</v>
      </c>
      <c r="Q77" s="916">
        <f t="shared" si="26"/>
        <v>0.67161600000000021</v>
      </c>
      <c r="R77" s="917">
        <f t="shared" si="27"/>
        <v>344.51181663870858</v>
      </c>
      <c r="S77" s="918">
        <f t="shared" si="28"/>
        <v>399.6337073009019</v>
      </c>
      <c r="T77" s="919">
        <f t="shared" si="29"/>
        <v>512.95951352961879</v>
      </c>
      <c r="U77" s="920">
        <f t="shared" si="30"/>
        <v>595.03303569435775</v>
      </c>
      <c r="V77" s="919">
        <f t="shared" si="31"/>
        <v>5.066350244686884</v>
      </c>
      <c r="W77" s="919">
        <f t="shared" si="32"/>
        <v>603.48178062308023</v>
      </c>
      <c r="X77" s="919">
        <f t="shared" si="33"/>
        <v>0.40530801957495072</v>
      </c>
      <c r="Y77" s="920">
        <f t="shared" si="34"/>
        <v>5.8769662838367847</v>
      </c>
      <c r="Z77" s="920">
        <f t="shared" si="35"/>
        <v>700.03886552277299</v>
      </c>
      <c r="AA77" s="920">
        <f t="shared" si="36"/>
        <v>0.47015730270694278</v>
      </c>
      <c r="AB77" s="917">
        <f t="shared" si="37"/>
        <v>405.30801957495078</v>
      </c>
      <c r="AC77" s="918">
        <f t="shared" si="38"/>
        <v>470.15730270694286</v>
      </c>
      <c r="AD77" s="916">
        <f t="shared" si="39"/>
        <v>59557.842576710485</v>
      </c>
      <c r="AE77" s="916">
        <f t="shared" si="40"/>
        <v>500</v>
      </c>
      <c r="AF77" s="919" cm="1">
        <f t="array" ref="AF77">IFERROR(_xlfn.LET(_xlpm.lam,TEXT(B77,"0"),_xlpm.thick,D77,_xlpm.crit,(TEXT(HELPER!$BZ$2:$BZ$250,"0")=_xlpm.lam)*(HELPER!$CC$2:$CC$250=_xlpm.thick)*(HELPER!$BW$2:$BW$250&lt;&gt;""),_xlpm.mats,TRIM(SUBSTITUTE(_xlfn._xlws.FILTER(HELPER!$BW$2:$BW$250,_xlpm.crit),CHAR(160),"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77" s="919">
        <f>IFERROR(IF(N77="Europe to Canada",IF(Q77&lt;1000,VLOOKUP(1000,HELPER!$AG$4:$AH$8,2,FALSE)/Q77,VLOOKUP(Q77,HELPER!$AG$4:$AH$8,2,TRUE)/Q77),IF(N77="Europe to US",HELPER!$AH$2,IF(N77="Europe to Europe",HELPER!$AH$3,0))),0)</f>
        <v>5.4</v>
      </c>
      <c r="AH77" s="919" cm="1">
        <f t="array" ref="AH77">IFERROR(_xlfn.LET(_xlpm.cap,IF(O77="Quantum",760,1220),_xlpm.wUsed,E77*MAX(1,MIN(MAX(2,INT(900/E77)),INT((_xlpm.cap-50)/E77))),_xlpm.kgmUsed,AR77/E77*_xlpm.wUsed,_xlpm.lam,TEXT(B77,"0"),_xlpm.crit,(TEXT(HELPER!$BZ$2:$BZ$250,"0")=_xlpm.lam)*(HELPER!$CC$2:$CC$250=D77)*(HELPER!$BW$2:$BW$250&lt;&gt;""),_xlpm.mats,_xlfn._xlws.FILTER(HELPER!$BW$2:$BW$250,_xlpm.crit),_xlpm.realLayers,SUM((_xlpm.mats&lt;&gt;"")*ISERROR(SEARCH("EPOTAL",_xlpm.mats&amp;""))*ISERROR(SEARCH("BASONAT",_xlpm.mats&amp;""))*ISERROR(SEARCH("ADH",_xlpm.mats&amp;""))*ISERROR(SEARCH("HARDENER",_xlpm.mats&amp;""))),_xlpm.steps,MAX(0,_xlpm.realLayers-1),_xlpm.tier,IF(P77&lt;3000,1,IF(P77&lt;10000,2,IF(P77&lt;25000,3,IF(P77&lt;50000,4,IF(P77&lt;100000,5,IF(P77&lt;250000,6,7)))))),_xlpm.widthRow,IF(_xlpm.wUsed&lt;900,0,5),_xlpm.supplierRow,IF(O77="Marma",3,IF(OR(O77="Bastin",O77="Quantum"),13,0)),_xlpm.rate,INDEX('Lmntn &amp; Prntng- Marma &amp; Bastin '!$D$1:$K$22,_xlpm.supplierRow+_xlpm.widthRow,_xlpm.tier),_xlpm.rate*_xlpm.steps/_xlpm.kgmUsed),"")</f>
        <v>2.5822408723352113</v>
      </c>
      <c r="AI77" s="919" cm="1">
        <f t="array" ref="AI77">IFERROR(_xlfn.LET(_xlpm.cap,IF(O77="Quantum",760,1220),_xlpm.wUsed,E77*MAX(1,MIN(MAX(2,INT(900/E77)),INT((_xlpm.cap-50)/E77))),_xlpm.kgmUsed,AR77/E77*_xlpm.wUsed,_xlpm.tier,IF(P77&lt;3000,1,IF(P77&lt;10000,2,IF(P77&lt;25000,3,IF(P77&lt;50000,4,IF(P77&lt;100000,5,IF(P77&lt;250000,6,IF(P77&lt;500000,7,8))))))),_xlpm.widthRow,IF(_xlpm.wUsed&lt;900,0,5),_xlpm.slitRow,IF(O77="Marma",7,IF(OR(O77="Bastin",O77="Quantum"),17,0)),_xlpm.slitRate,INDEX('Lmntn &amp; Prntng- Marma &amp; Bastin '!$D$1:$K$22,_xlpm.slitRow+_xlpm.widthRow,_xlpm.tier),_xlpm.numColors,IF(ISNUMBER(L77),L77,IFERROR(--RIGHT(L77,LEN(L77)-FIND("-",L77)),0)),_xlpm.printRate,IF(OR(K77&lt;&gt;"Printed",_xlpm.numColors=0),0,IF(O77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77))),MAX(_xlfn._xlws.FILTER(_xlpm.meters,(_xlpm.widths=_xlpm.qWidth)*(_xlpm.bands=_xlpm.band)))),INDEX(_xlpm.rates,_xlfn.XMATCH(1,(_xlpm.widths=_xlpm.qWidth)*(_xlpm.bands=_xlpm.band)*(_xlpm.meters=_xlpm.targetM),0))/HELPER!$AK$2),_xlfn.LET(_xlpm.colorOffset,IF(_xlpm.numColors&lt;=2,1,IF(_xlpm.numColors&lt;=4,2,3)),_xlpm.supplierRow,IF(O77="Marma",3,IF(O77="Bastin",13,0)),INDEX('Lmntn &amp; Prntng- Marma &amp; Bastin '!$D$1:$K$22,_xlpm.supplierRow+_xlpm.widthRow+_xlpm.colorOffset,_xlpm.tier)))),AH77+_xlpm.slitRate/_xlpm.kgmUsed+_xlpm.printRate/_xlpm.kgmUsed+AJ77),"")</f>
        <v>477.38682308257762</v>
      </c>
      <c r="AJ77" s="919" cm="1">
        <f t="array" ref="AJ77">IF(OR(K77&lt;&gt;"Printed",L77=0,L77="0",L77=""),0,IFERROR(_xlfn.LET(_xlpm.lam,TEXT(B77,"0"),_xlpm.crit,(TEXT(HELPER!$BZ$2:$BZ$250,"0")=_xlpm.lam)*(HELPER!$CC$2:$CC$250=D77)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WHITE"},0)))/ROWS(_xlpm.real),_xlpm.numColors,IF(ISNUMBER(L77),L77,IFERROR(--RIGHT(L77,LEN(L77)-FIND("-",L77)),0)),HELPER!$DB$1*_xlpm.numColors*MAX(1,M77)*1.05*_xlpm.nkRatio/Q77),0))</f>
        <v>469.01801029159503</v>
      </c>
      <c r="AK77" s="919">
        <f t="shared" si="41"/>
        <v>27.238442175735937</v>
      </c>
      <c r="AL77" s="919">
        <f t="shared" si="42"/>
        <v>5066.3502446868843</v>
      </c>
      <c r="AM77" s="73" t="str">
        <f t="shared" si="43"/>
        <v>PASS</v>
      </c>
      <c r="AN77" s="908" t="str">
        <f t="shared" si="22"/>
        <v/>
      </c>
      <c r="AO77" s="919">
        <f t="shared" si="23"/>
        <v>53</v>
      </c>
      <c r="AP77" s="919">
        <f t="shared" si="24"/>
        <v>80</v>
      </c>
      <c r="AQ77" s="919"/>
      <c r="AR77" s="919" cm="1">
        <f t="array" ref="AR77">IFERROR(_xlfn.LET(_xlpm.lam,TEXT(B77,"0"),_xlpm.thick,D77,_xlpm.crit,(TEXT(HELPER!$BZ$2:$BZ$250,"0")=_xlpm.lam)*(HELPER!$CC$2:$CC$250=_xlpm.thick)*(HELPER!$BW$2:$BW$250&lt;&gt;""),_xlpm.mats,TRIM(SUBSTITUTE(_xlfn._xlws.FILTER(HELPER!$BW$2:$BW$250,_xlpm.crit),CHAR(160),"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")),HELPER!$AQ$2:$AQ$20,1),_xlpm.mass,IF(ISNUMBER(SEARCH("paper",_xlpm.mats)),42,_xlpm.dens*_xlpm.ths),E77/1000000*SUM(_xlpm.mass)),"")</f>
        <v>8.395200000000002E-3</v>
      </c>
      <c r="AS77" s="919">
        <f>IFERROR(IF(D77&gt;31,(5%+250/P77)*AF77,VLOOKUP(D77,HELPER!$BH$3:$BI$5,2,TRUE)*AF77),0)</f>
        <v>22.945698723198966</v>
      </c>
      <c r="AT77" s="919">
        <v>0.149999999999999</v>
      </c>
      <c r="AU77" s="919"/>
      <c r="AV77" s="919"/>
      <c r="AW77" s="919"/>
      <c r="AX77" s="919"/>
      <c r="AY77" s="919"/>
      <c r="AZ77" s="919">
        <f t="shared" si="25"/>
        <v>315</v>
      </c>
    </row>
    <row r="78" spans="1:52">
      <c r="A78" s="73" t="s">
        <v>1499</v>
      </c>
      <c r="B78" s="73">
        <v>648</v>
      </c>
      <c r="C78" s="908" t="s">
        <v>1422</v>
      </c>
      <c r="D78" s="915" cm="1">
        <f t="array" ref="D7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78" s="915">
        <v>350</v>
      </c>
      <c r="F78" s="73" t="s">
        <v>560</v>
      </c>
      <c r="G78" s="916">
        <v>5000</v>
      </c>
      <c r="H78" s="916">
        <v>5000</v>
      </c>
      <c r="I78" s="916"/>
      <c r="J78" s="916"/>
      <c r="K78" s="73" t="s">
        <v>123</v>
      </c>
      <c r="L78" s="921" t="s">
        <v>122</v>
      </c>
      <c r="M78" s="915">
        <v>4</v>
      </c>
      <c r="N78" s="73" t="s">
        <v>549</v>
      </c>
      <c r="O78" s="73" t="s">
        <v>1366</v>
      </c>
      <c r="P78" s="916" cm="1">
        <f t="array" ref="P78">IFERROR(_xlfn.SWITCH(F78,"By Weight",IF(H78&lt;&gt;"",H78,G78)/AR78,"By Length",G78,"By Imp",G78/MAX(1,ROUNDDOWN(E78/I78,0))*J78/1000,"IMP",G78/MAX(1,ROUNDDOWN(E78/I78,0))*J78/1000,""),"")</f>
        <v>174301.05277835877</v>
      </c>
      <c r="Q78" s="916">
        <f t="shared" si="26"/>
        <v>5000</v>
      </c>
      <c r="R78" s="917">
        <f t="shared" si="27"/>
        <v>117842.98381883462</v>
      </c>
      <c r="S78" s="918">
        <f t="shared" si="28"/>
        <v>136697.86122984815</v>
      </c>
      <c r="T78" s="919">
        <f t="shared" si="29"/>
        <v>23.568596763766923</v>
      </c>
      <c r="U78" s="920">
        <f t="shared" si="30"/>
        <v>27.339572245969627</v>
      </c>
      <c r="V78" s="919">
        <f t="shared" si="31"/>
        <v>0.79539854913578878</v>
      </c>
      <c r="W78" s="919">
        <f t="shared" si="32"/>
        <v>27.72776089854942</v>
      </c>
      <c r="X78" s="919" t="str">
        <f t="shared" si="33"/>
        <v/>
      </c>
      <c r="Y78" s="920">
        <f t="shared" si="34"/>
        <v>0.92266231699751489</v>
      </c>
      <c r="Z78" s="920">
        <f t="shared" si="35"/>
        <v>32.164202642317328</v>
      </c>
      <c r="AA78" s="920" t="str">
        <f t="shared" si="36"/>
        <v/>
      </c>
      <c r="AB78" s="917">
        <f t="shared" si="37"/>
        <v>138638.80449274709</v>
      </c>
      <c r="AC78" s="918">
        <f t="shared" si="38"/>
        <v>160821.0132115866</v>
      </c>
      <c r="AD78" s="916">
        <f t="shared" si="39"/>
        <v>17430.105277835875</v>
      </c>
      <c r="AE78" s="916">
        <f t="shared" si="40"/>
        <v>500</v>
      </c>
      <c r="AF78" s="919" cm="1">
        <f t="array" ref="AF78">IFERROR(_xlfn.LET(_xlpm.lam,TEXT(B78,"0"),_xlpm.thick,D78,_xlpm.crit,(TEXT(HELPER!$BZ$2:$BZ$250,"0")=_xlpm.lam)*(HELPER!$CC$2:$CC$250=_xlpm.thick)*(HELPER!$BW$2:$BW$250&lt;&gt;""),_xlpm.mats,TRIM(SUBSTITUTE(_xlfn._xlws.FILTER(HELPER!$BW$2:$BW$250,_xlpm.crit),CHAR(160),"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7.1173182650073201</v>
      </c>
      <c r="AG78" s="919">
        <f>IFERROR(IF(N78="Europe to Canada",IF(Q78&lt;1000,VLOOKUP(1000,HELPER!$AG$4:$AH$8,2,FALSE)/Q78,VLOOKUP(Q78,HELPER!$AG$4:$AH$8,2,TRUE)/Q78),IF(N78="Europe to US",HELPER!$AH$2,IF(N78="Europe to Europe",HELPER!$AH$3,0))),0)</f>
        <v>0.2</v>
      </c>
      <c r="AH78" s="919" cm="1">
        <f t="array" ref="AH78">IFERROR(_xlfn.LET(_xlpm.cap,IF(O78="Quantum",760,1220),_xlpm.wUsed,E78*MAX(1,MIN(MAX(2,INT(900/E78)),INT((_xlpm.cap-50)/E78))),_xlpm.kgmUsed,AR78/E78*_xlpm.wUsed,_xlpm.lam,TEXT(B78,"0"),_xlpm.crit,(TEXT(HELPER!$BZ$2:$BZ$250,"0")=_xlpm.lam)*(HELPER!$CC$2:$CC$250=D78)*(HELPER!$BW$2:$BW$250&lt;&gt;""),_xlpm.mats,_xlfn._xlws.FILTER(HELPER!$BW$2:$BW$250,_xlpm.crit),_xlpm.realLayers,SUM((_xlpm.mats&lt;&gt;"")*ISERROR(SEARCH("EPOTAL",_xlpm.mats&amp;""))*ISERROR(SEARCH("BASONAT",_xlpm.mats&amp;""))*ISERROR(SEARCH("ADH",_xlpm.mats&amp;""))*ISERROR(SEARCH("HARDENER",_xlpm.mats&amp;""))),_xlpm.steps,MAX(0,_xlpm.realLayers-1),_xlpm.tier,IF(P78&lt;3000,1,IF(P78&lt;10000,2,IF(P78&lt;25000,3,IF(P78&lt;50000,4,IF(P78&lt;100000,5,IF(P78&lt;250000,6,7)))))),_xlpm.widthRow,IF(_xlpm.wUsed&lt;900,0,5),_xlpm.supplierRow,IF(O78="Marma",3,IF(OR(O78="Bastin",O78="Quantum"),13,0)),_xlpm.rate,INDEX('Lmntn &amp; Prntng- Marma &amp; Bastin '!$D$1:$K$22,_xlpm.supplierRow+_xlpm.widthRow,_xlpm.tier),_xlpm.rate*_xlpm.steps/_xlpm.kgmUsed),"")</f>
        <v>1.9026877222338423</v>
      </c>
      <c r="AI78" s="919" cm="1">
        <f t="array" ref="AI78">IFERROR(_xlfn.LET(_xlpm.cap,IF(O78="Quantum",760,1220),_xlpm.wUsed,E78*MAX(1,MIN(MAX(2,INT(900/E78)),INT((_xlpm.cap-50)/E78))),_xlpm.kgmUsed,AR78/E78*_xlpm.wUsed,_xlpm.tier,IF(P78&lt;3000,1,IF(P78&lt;10000,2,IF(P78&lt;25000,3,IF(P78&lt;50000,4,IF(P78&lt;100000,5,IF(P78&lt;250000,6,IF(P78&lt;500000,7,8))))))),_xlpm.widthRow,IF(_xlpm.wUsed&lt;900,0,5),_xlpm.slitRow,IF(O78="Marma",7,IF(OR(O78="Bastin",O78="Quantum"),17,0)),_xlpm.slitRate,INDEX('Lmntn &amp; Prntng- Marma &amp; Bastin '!$D$1:$K$22,_xlpm.slitRow+_xlpm.widthRow,_xlpm.tier),_xlpm.numColors,IF(ISNUMBER(L78),L78,IFERROR(--RIGHT(L78,LEN(L78)-FIND("-",L78)),0)),_xlpm.printRate,IF(OR(K78&lt;&gt;"Printed",_xlpm.numColors=0),0,IF(O78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78))),MAX(_xlfn._xlws.FILTER(_xlpm.meters,(_xlpm.widths=_xlpm.qWidth)*(_xlpm.bands=_xlpm.band)))),INDEX(_xlpm.rates,_xlfn.XMATCH(1,(_xlpm.widths=_xlpm.qWidth)*(_xlpm.bands=_xlpm.band)*(_xlpm.meters=_xlpm.targetM),0))/HELPER!$AK$2),_xlfn.LET(_xlpm.colorOffset,IF(_xlpm.numColors&lt;=2,1,IF(_xlpm.numColors&lt;=4,2,3)),_xlpm.supplierRow,IF(O78="Marma",3,IF(O78="Bastin",13,0)),INDEX('Lmntn &amp; Prntng- Marma &amp; Bastin '!$D$1:$K$22,_xlpm.supplierRow+_xlpm.widthRow+_xlpm.colorOffset,_xlpm.tier)))),AH78+_xlpm.slitRate/_xlpm.kgmUsed+_xlpm.printRate/_xlpm.kgmUsed+AJ78),"")</f>
        <v>15.885204215921737</v>
      </c>
      <c r="AJ78" s="919" cm="1">
        <f t="array" ref="AJ78">IF(OR(K78&lt;&gt;"Printed",L78=0,L78="0",L78=""),0,IFERROR(_xlfn.LET(_xlpm.lam,TEXT(B78,"0"),_xlpm.crit,(TEXT(HELPER!$BZ$2:$BZ$250,"0")=_xlpm.lam)*(HELPER!$CC$2:$CC$250=D78)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WHITE"},0)))/ROWS(_xlpm.real),_xlpm.numColors,IF(ISNUMBER(L78),L78,IFERROR(--RIGHT(L78,LEN(L78)-FIND("-",L78)),0)),HELPER!$DB$1*_xlpm.numColors*MAX(1,M78)*1.05*_xlpm.nkRatio/Q78),0))</f>
        <v>0.504</v>
      </c>
      <c r="AK78" s="919">
        <f t="shared" si="41"/>
        <v>1.4661724408032972</v>
      </c>
      <c r="AL78" s="919">
        <f t="shared" si="42"/>
        <v>795.39854913578881</v>
      </c>
      <c r="AM78" s="73" t="str">
        <f t="shared" si="43"/>
        <v>PASS</v>
      </c>
      <c r="AN78" s="908" t="str">
        <f t="shared" si="22"/>
        <v/>
      </c>
      <c r="AO78" s="919">
        <f t="shared" si="23"/>
        <v>63</v>
      </c>
      <c r="AP78" s="919">
        <f t="shared" si="24"/>
        <v>174301.05277835877</v>
      </c>
      <c r="AQ78" s="919"/>
      <c r="AR78" s="919" cm="1">
        <f t="array" ref="AR78">IFERROR(_xlfn.LET(_xlpm.lam,TEXT(B78,"0"),_xlpm.thick,D78,_xlpm.crit,(TEXT(HELPER!$BZ$2:$BZ$250,"0")=_xlpm.lam)*(HELPER!$CC$2:$CC$250=_xlpm.thick)*(HELPER!$BW$2:$BW$250&lt;&gt;""),_xlpm.mats,TRIM(SUBSTITUTE(_xlfn._xlws.FILTER(HELPER!$BW$2:$BW$250,_xlpm.crit),CHAR(160),"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")),HELPER!$AQ$2:$AQ$20,1),_xlpm.mass,IF(ISNUMBER(SEARCH("paper",_xlpm.mats)),42,_xlpm.dens*_xlpm.ths),E78/1000000*SUM(_xlpm.mass)),"")</f>
        <v>2.8686000000000003E-2</v>
      </c>
      <c r="AS78" s="919">
        <f>IFERROR(IF(D78&gt;31,(5%+250/P78)*AF78,VLOOKUP(D78,HELPER!$BH$3:$BI$5,2,TRUE)*AF78),0)</f>
        <v>0.36607428283786603</v>
      </c>
      <c r="AT78" s="919">
        <v>0.15000000000000299</v>
      </c>
      <c r="AU78" s="919"/>
      <c r="AV78" s="919"/>
      <c r="AW78" s="919"/>
      <c r="AX78" s="919"/>
      <c r="AY78" s="919"/>
      <c r="AZ78" s="919">
        <f t="shared" si="25"/>
        <v>2520</v>
      </c>
    </row>
    <row r="79" spans="1:52">
      <c r="A79" s="73" t="s">
        <v>1500</v>
      </c>
      <c r="B79" s="73">
        <v>648</v>
      </c>
      <c r="C79" s="908" t="s">
        <v>1424</v>
      </c>
      <c r="D79" s="915" cm="1">
        <f t="array" ref="D7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79" s="915">
        <v>900</v>
      </c>
      <c r="F79" s="73" t="s">
        <v>560</v>
      </c>
      <c r="G79" s="916">
        <v>25000</v>
      </c>
      <c r="H79" s="916">
        <v>25000</v>
      </c>
      <c r="I79" s="916"/>
      <c r="J79" s="916"/>
      <c r="K79" s="73" t="s">
        <v>123</v>
      </c>
      <c r="L79" s="921" t="s">
        <v>592</v>
      </c>
      <c r="M79" s="915">
        <v>8</v>
      </c>
      <c r="N79" s="73" t="s">
        <v>550</v>
      </c>
      <c r="O79" s="73" t="s">
        <v>250</v>
      </c>
      <c r="P79" s="916" cm="1">
        <f t="array" ref="P79">IFERROR(_xlfn.SWITCH(F79,"By Weight",IF(H79&lt;&gt;"",H79,G79)/AR79,"By Length",G79,"By Imp",G79/MAX(1,ROUNDDOWN(E79/I79,0))*J79/1000,"IMP",G79/MAX(1,ROUNDDOWN(E79/I79,0))*J79/1000,""),"")</f>
        <v>216236.78793225731</v>
      </c>
      <c r="Q79" s="916">
        <f t="shared" si="26"/>
        <v>25000</v>
      </c>
      <c r="R79" s="917">
        <f t="shared" si="27"/>
        <v>378870.76271131216</v>
      </c>
      <c r="S79" s="918">
        <f t="shared" si="28"/>
        <v>439490.08474512206</v>
      </c>
      <c r="T79" s="919">
        <f t="shared" si="29"/>
        <v>15.154830508452486</v>
      </c>
      <c r="U79" s="920">
        <f t="shared" si="30"/>
        <v>17.579603389804884</v>
      </c>
      <c r="V79" s="919">
        <f t="shared" si="31"/>
        <v>2.1901382180052908</v>
      </c>
      <c r="W79" s="919">
        <f t="shared" si="32"/>
        <v>18.943538135565682</v>
      </c>
      <c r="X79" s="919" t="str">
        <f t="shared" si="33"/>
        <v/>
      </c>
      <c r="Y79" s="920">
        <f t="shared" si="34"/>
        <v>2.540560332886137</v>
      </c>
      <c r="Z79" s="920">
        <f t="shared" si="35"/>
        <v>21.974504237256188</v>
      </c>
      <c r="AA79" s="920" t="str">
        <f t="shared" si="36"/>
        <v/>
      </c>
      <c r="AB79" s="917">
        <f t="shared" si="37"/>
        <v>473588.45338914206</v>
      </c>
      <c r="AC79" s="918">
        <f t="shared" si="38"/>
        <v>549362.60593140475</v>
      </c>
      <c r="AD79" s="916">
        <f t="shared" si="39"/>
        <v>4324.7357586451462</v>
      </c>
      <c r="AE79" s="916">
        <f t="shared" si="40"/>
        <v>500</v>
      </c>
      <c r="AF79" s="919" cm="1">
        <f t="array" ref="AF79">IFERROR(_xlfn.LET(_xlpm.lam,TEXT(B79,"0"),_xlpm.thick,D79,_xlpm.crit,(TEXT(HELPER!$BZ$2:$BZ$250,"0")=_xlpm.lam)*(HELPER!$CC$2:$CC$250=_xlpm.thick)*(HELPER!$BW$2:$BW$250&lt;&gt;""),_xlpm.mats,TRIM(SUBSTITUTE(_xlfn._xlws.FILTER(HELPER!$BW$2:$BW$250,_xlpm.crit),CHAR(160),"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6.9576285147127512</v>
      </c>
      <c r="AG79" s="919">
        <f>IFERROR(IF(N79="Europe to Canada",IF(Q79&lt;1000,VLOOKUP(1000,HELPER!$AG$4:$AH$8,2,FALSE)/Q79,VLOOKUP(Q79,HELPER!$AG$4:$AH$8,2,TRUE)/Q79),IF(N79="Europe to US",HELPER!$AH$2,IF(N79="Europe to Europe",HELPER!$AH$3,0))),0)</f>
        <v>5.4</v>
      </c>
      <c r="AH79" s="919" cm="1">
        <f t="array" ref="AH79">IFERROR(_xlfn.LET(_xlpm.cap,IF(O79="Quantum",760,1220),_xlpm.wUsed,E79*MAX(1,MIN(MAX(2,INT(900/E79)),INT((_xlpm.cap-50)/E79))),_xlpm.kgmUsed,AR79/E79*_xlpm.wUsed,_xlpm.lam,TEXT(B79,"0"),_xlpm.crit,(TEXT(HELPER!$BZ$2:$BZ$250,"0")=_xlpm.lam)*(HELPER!$CC$2:$CC$250=D79)*(HELPER!$BW$2:$BW$250&lt;&gt;""),_xlpm.mats,_xlfn._xlws.FILTER(HELPER!$BW$2:$BW$250,_xlpm.crit),_xlpm.realLayers,SUM((_xlpm.mats&lt;&gt;"")*ISERROR(SEARCH("EPOTAL",_xlpm.mats&amp;""))*ISERROR(SEARCH("BASONAT",_xlpm.mats&amp;""))*ISERROR(SEARCH("ADH",_xlpm.mats&amp;""))*ISERROR(SEARCH("HARDENER",_xlpm.mats&amp;""))),_xlpm.steps,MAX(0,_xlpm.realLayers-1),_xlpm.tier,IF(P79&lt;3000,1,IF(P79&lt;10000,2,IF(P79&lt;25000,3,IF(P79&lt;50000,4,IF(P79&lt;100000,5,IF(P79&lt;250000,6,7)))))),_xlpm.widthRow,IF(_xlpm.wUsed&lt;900,0,5),_xlpm.supplierRow,IF(O79="Marma",3,IF(OR(O79="Bastin",O79="Quantum"),13,0)),_xlpm.rate,INDEX('Lmntn &amp; Prntng- Marma &amp; Bastin '!$D$1:$K$22,_xlpm.supplierRow+_xlpm.widthRow,_xlpm.tier),_xlpm.rate*_xlpm.steps/_xlpm.kgmUsed),"")</f>
        <v>0.72629612330686599</v>
      </c>
      <c r="AI79" s="919" cm="1">
        <f t="array" ref="AI79">IFERROR(_xlfn.LET(_xlpm.cap,IF(O79="Quantum",760,1220),_xlpm.wUsed,E79*MAX(1,MIN(MAX(2,INT(900/E79)),INT((_xlpm.cap-50)/E79))),_xlpm.kgmUsed,AR79/E79*_xlpm.wUsed,_xlpm.tier,IF(P79&lt;3000,1,IF(P79&lt;10000,2,IF(P79&lt;25000,3,IF(P79&lt;50000,4,IF(P79&lt;100000,5,IF(P79&lt;250000,6,IF(P79&lt;500000,7,8))))))),_xlpm.widthRow,IF(_xlpm.wUsed&lt;900,0,5),_xlpm.slitRow,IF(O79="Marma",7,IF(OR(O79="Bastin",O79="Quantum"),17,0)),_xlpm.slitRate,INDEX('Lmntn &amp; Prntng- Marma &amp; Bastin '!$D$1:$K$22,_xlpm.slitRow+_xlpm.widthRow,_xlpm.tier),_xlpm.numColors,IF(ISNUMBER(L79),L79,IFERROR(--RIGHT(L79,LEN(L79)-FIND("-",L79)),0)),_xlpm.printRate,IF(OR(K79&lt;&gt;"Printed",_xlpm.numColors=0),0,IF(O79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79))),MAX(_xlfn._xlws.FILTER(_xlpm.meters,(_xlpm.widths=_xlpm.qWidth)*(_xlpm.bands=_xlpm.band)))),INDEX(_xlpm.rates,_xlfn.XMATCH(1,(_xlpm.widths=_xlpm.qWidth)*(_xlpm.bands=_xlpm.band)*(_xlpm.meters=_xlpm.targetM),0))/HELPER!$AK$2),_xlfn.LET(_xlpm.colorOffset,IF(_xlpm.numColors&lt;=2,1,IF(_xlpm.numColors&lt;=4,2,3)),_xlpm.supplierRow,IF(O79="Marma",3,IF(O79="Bastin",13,0)),INDEX('Lmntn &amp; Prntng- Marma &amp; Bastin '!$D$1:$K$22,_xlpm.supplierRow+_xlpm.widthRow+_xlpm.colorOffset,_xlpm.tier)))),AH79+_xlpm.slitRate/_xlpm.kgmUsed+_xlpm.printRate/_xlpm.kgmUsed+AJ79),"")</f>
        <v>2.4412765753730965</v>
      </c>
      <c r="AJ79" s="919" cm="1">
        <f t="array" ref="AJ79">IF(OR(K79&lt;&gt;"Printed",L79=0,L79="0",L79=""),0,IFERROR(_xlfn.LET(_xlpm.lam,TEXT(B79,"0"),_xlpm.crit,(TEXT(HELPER!$BZ$2:$BZ$250,"0")=_xlpm.lam)*(HELPER!$CC$2:$CC$250=D79)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WHITE"},0)))/ROWS(_xlpm.real),_xlpm.numColors,IF(ISNUMBER(L79),L79,IFERROR(--RIGHT(L79,LEN(L79)-FIND("-",L79)),0)),HELPER!$DB$1*_xlpm.numColors*MAX(1,M79)*1.05*_xlpm.nkRatio/Q79),0))</f>
        <v>0.4032</v>
      </c>
      <c r="AK79" s="919">
        <f t="shared" si="41"/>
        <v>1.5699915541256566</v>
      </c>
      <c r="AL79" s="919">
        <f t="shared" si="42"/>
        <v>2190.138218005291</v>
      </c>
      <c r="AM79" s="73" t="str">
        <f t="shared" si="43"/>
        <v>PASS</v>
      </c>
      <c r="AN79" s="908" t="str">
        <f t="shared" si="22"/>
        <v/>
      </c>
      <c r="AO79" s="919">
        <f t="shared" si="23"/>
        <v>100</v>
      </c>
      <c r="AP79" s="919">
        <f t="shared" si="24"/>
        <v>216236.78793225731</v>
      </c>
      <c r="AQ79" s="919"/>
      <c r="AR79" s="919" cm="1">
        <f t="array" ref="AR79">IFERROR(_xlfn.LET(_xlpm.lam,TEXT(B79,"0"),_xlpm.thick,D79,_xlpm.crit,(TEXT(HELPER!$BZ$2:$BZ$250,"0")=_xlpm.lam)*(HELPER!$CC$2:$CC$250=_xlpm.thick)*(HELPER!$BW$2:$BW$250&lt;&gt;""),_xlpm.mats,TRIM(SUBSTITUTE(_xlfn._xlws.FILTER(HELPER!$BW$2:$BW$250,_xlpm.crit),CHAR(160),"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")),HELPER!$AQ$2:$AQ$20,1),_xlpm.mass,IF(ISNUMBER(SEARCH("paper",_xlpm.mats)),42,_xlpm.dens*_xlpm.ths),E79/1000000*SUM(_xlpm.mass)),"")</f>
        <v>0.11561400000000001</v>
      </c>
      <c r="AS79" s="919">
        <f>IFERROR(IF(D79&gt;31,(5%+250/P79)*AF79,VLOOKUP(D79,HELPER!$BH$3:$BI$5,2,TRUE)*AF79),0)</f>
        <v>0.3559254183666376</v>
      </c>
      <c r="AT79" s="919">
        <v>0.20000000000000301</v>
      </c>
      <c r="AU79" s="919"/>
      <c r="AV79" s="919"/>
      <c r="AW79" s="919"/>
      <c r="AX79" s="919"/>
      <c r="AY79" s="919"/>
      <c r="AZ79" s="919">
        <f t="shared" si="25"/>
        <v>10080</v>
      </c>
    </row>
    <row r="80" spans="1:52">
      <c r="A80" s="73" t="s">
        <v>1501</v>
      </c>
      <c r="B80" s="73">
        <v>648</v>
      </c>
      <c r="C80" s="908" t="s">
        <v>1426</v>
      </c>
      <c r="D80" s="915" cm="1">
        <f t="array" ref="D8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0" s="915">
        <v>350</v>
      </c>
      <c r="F80" s="73" t="s">
        <v>561</v>
      </c>
      <c r="G80" s="916">
        <v>2000</v>
      </c>
      <c r="H80" s="916"/>
      <c r="I80" s="916"/>
      <c r="J80" s="916"/>
      <c r="K80" s="73" t="s">
        <v>124</v>
      </c>
      <c r="L80" s="921" t="s">
        <v>221</v>
      </c>
      <c r="M80" s="915">
        <v>1</v>
      </c>
      <c r="N80" s="73" t="s">
        <v>549</v>
      </c>
      <c r="O80" s="73" t="s">
        <v>240</v>
      </c>
      <c r="P80" s="916" cm="1">
        <f t="array" ref="P80">IFERROR(_xlfn.SWITCH(F80,"By Weight",IF(H80&lt;&gt;"",H80,G80)/AR80,"By Length",G80,"By Imp",G80/MAX(1,ROUNDDOWN(E80/I80,0))*J80/1000,"IMP",G80/MAX(1,ROUNDDOWN(E80/I80,0))*J80/1000,""),"")</f>
        <v>2000</v>
      </c>
      <c r="Q80" s="916">
        <f t="shared" si="26"/>
        <v>57.372000000000007</v>
      </c>
      <c r="R80" s="917">
        <f t="shared" si="27"/>
        <v>688.41277061250003</v>
      </c>
      <c r="S80" s="918">
        <f t="shared" si="28"/>
        <v>798.55881391050002</v>
      </c>
      <c r="T80" s="919">
        <f t="shared" si="29"/>
        <v>11.999107066382555</v>
      </c>
      <c r="U80" s="920">
        <f t="shared" si="30"/>
        <v>13.918964197003763</v>
      </c>
      <c r="V80" s="919">
        <f t="shared" si="31"/>
        <v>0.40494868859558492</v>
      </c>
      <c r="W80" s="919">
        <f t="shared" si="32"/>
        <v>14.116596548685242</v>
      </c>
      <c r="X80" s="919" t="str">
        <f t="shared" si="33"/>
        <v/>
      </c>
      <c r="Y80" s="920">
        <f t="shared" si="34"/>
        <v>0.46974047877087849</v>
      </c>
      <c r="Z80" s="920">
        <f t="shared" si="35"/>
        <v>16.37525199647488</v>
      </c>
      <c r="AA80" s="920" t="str">
        <f t="shared" si="36"/>
        <v/>
      </c>
      <c r="AB80" s="917">
        <f t="shared" si="37"/>
        <v>809.89737719116988</v>
      </c>
      <c r="AC80" s="918">
        <f t="shared" si="38"/>
        <v>939.48095754175699</v>
      </c>
      <c r="AD80" s="916">
        <f t="shared" si="39"/>
        <v>17430.105277835875</v>
      </c>
      <c r="AE80" s="916">
        <f t="shared" si="40"/>
        <v>500</v>
      </c>
      <c r="AF80" s="919" cm="1">
        <f t="array" ref="AF80">IFERROR(_xlfn.LET(_xlpm.lam,TEXT(B80,"0"),_xlpm.thick,D80,_xlpm.crit,(TEXT(HELPER!$BZ$2:$BZ$250,"0")=_xlpm.lam)*(HELPER!$CC$2:$CC$250=_xlpm.thick)*(HELPER!$BW$2:$BW$250&lt;&gt;""),_xlpm.mats,TRIM(SUBSTITUTE(_xlfn._xlws.FILTER(HELPER!$BW$2:$BW$250,_xlpm.crit),CHAR(160),"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7.1173182650073201</v>
      </c>
      <c r="AG80" s="919">
        <f>IFERROR(IF(N80="Europe to Canada",IF(Q80&lt;1000,VLOOKUP(1000,HELPER!$AG$4:$AH$8,2,FALSE)/Q80,VLOOKUP(Q80,HELPER!$AG$4:$AH$8,2,TRUE)/Q80),IF(N80="Europe to US",HELPER!$AH$2,IF(N80="Europe to Europe",HELPER!$AH$3,0))),0)</f>
        <v>0.2</v>
      </c>
      <c r="AH80" s="919" cm="1">
        <f t="array" ref="AH80">IFERROR(_xlfn.LET(_xlpm.cap,IF(O80="Quantum",760,1220),_xlpm.wUsed,E80*MAX(1,MIN(MAX(2,INT(900/E80)),INT((_xlpm.cap-50)/E80))),_xlpm.kgmUsed,AR80/E80*_xlpm.wUsed,_xlpm.lam,TEXT(B80,"0"),_xlpm.crit,(TEXT(HELPER!$BZ$2:$BZ$250,"0")=_xlpm.lam)*(HELPER!$CC$2:$CC$250=D80)*(HELPER!$BW$2:$BW$250&lt;&gt;""),_xlpm.mats,_xlfn._xlws.FILTER(HELPER!$BW$2:$BW$250,_xlpm.crit),_xlpm.realLayers,SUM((_xlpm.mats&lt;&gt;"")*ISERROR(SEARCH("EPOTAL",_xlpm.mats&amp;""))*ISERROR(SEARCH("BASONAT",_xlpm.mats&amp;""))*ISERROR(SEARCH("ADH",_xlpm.mats&amp;""))*ISERROR(SEARCH("HARDENER",_xlpm.mats&amp;""))),_xlpm.steps,MAX(0,_xlpm.realLayers-1),_xlpm.tier,IF(P80&lt;3000,1,IF(P80&lt;10000,2,IF(P80&lt;25000,3,IF(P80&lt;50000,4,IF(P80&lt;100000,5,IF(P80&lt;250000,6,7)))))),_xlpm.widthRow,IF(_xlpm.wUsed&lt;900,0,5),_xlpm.supplierRow,IF(O80="Marma",3,IF(OR(O80="Bastin",O80="Quantum"),13,0)),_xlpm.rate,INDEX('Lmntn &amp; Prntng- Marma &amp; Bastin '!$D$1:$K$22,_xlpm.supplierRow+_xlpm.widthRow,_xlpm.tier),_xlpm.rate*_xlpm.steps/_xlpm.kgmUsed),"")</f>
        <v>2.6450010458063162</v>
      </c>
      <c r="AI80" s="919" cm="1">
        <f t="array" ref="AI80">IFERROR(_xlfn.LET(_xlpm.cap,IF(O80="Quantum",760,1220),_xlpm.wUsed,E80*MAX(1,MIN(MAX(2,INT(900/E80)),INT((_xlpm.cap-50)/E80))),_xlpm.kgmUsed,AR80/E80*_xlpm.wUsed,_xlpm.tier,IF(P80&lt;3000,1,IF(P80&lt;10000,2,IF(P80&lt;25000,3,IF(P80&lt;50000,4,IF(P80&lt;100000,5,IF(P80&lt;250000,6,IF(P80&lt;500000,7,8))))))),_xlpm.widthRow,IF(_xlpm.wUsed&lt;900,0,5),_xlpm.slitRow,IF(O80="Marma",7,IF(OR(O80="Bastin",O80="Quantum"),17,0)),_xlpm.slitRate,INDEX('Lmntn &amp; Prntng- Marma &amp; Bastin '!$D$1:$K$22,_xlpm.slitRow+_xlpm.widthRow,_xlpm.tier),_xlpm.numColors,IF(ISNUMBER(L80),L80,IFERROR(--RIGHT(L80,LEN(L80)-FIND("-",L80)),0)),_xlpm.printRate,IF(OR(K80&lt;&gt;"Printed",_xlpm.numColors=0),0,IF(O80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80))),MAX(_xlfn._xlws.FILTER(_xlpm.meters,(_xlpm.widths=_xlpm.qWidth)*(_xlpm.bands=_xlpm.band)))),INDEX(_xlpm.rates,_xlfn.XMATCH(1,(_xlpm.widths=_xlpm.qWidth)*(_xlpm.bands=_xlpm.band)*(_xlpm.meters=_xlpm.targetM),0))/HELPER!$AK$2),_xlfn.LET(_xlpm.colorOffset,IF(_xlpm.numColors&lt;=2,1,IF(_xlpm.numColors&lt;=4,2,3)),_xlpm.supplierRow,IF(O80="Marma",3,IF(O80="Bastin",13,0)),INDEX('Lmntn &amp; Prntng- Marma &amp; Bastin '!$D$1:$K$22,_xlpm.supplierRow+_xlpm.widthRow+_xlpm.colorOffset,_xlpm.tier)))),AH80+_xlpm.slitRate/_xlpm.kgmUsed+_xlpm.printRate/_xlpm.kgmUsed+AJ80),"")</f>
        <v>3.4362581049989536</v>
      </c>
      <c r="AJ80" s="919" cm="1">
        <f t="array" ref="AJ80">IF(OR(K80&lt;&gt;"Printed",L80=0,L80="0",L80=""),0,IFERROR(_xlfn.LET(_xlpm.lam,TEXT(B80,"0"),_xlpm.crit,(TEXT(HELPER!$BZ$2:$BZ$250,"0")=_xlpm.lam)*(HELPER!$CC$2:$CC$250=D80)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WHITE"},0)))/ROWS(_xlpm.real),_xlpm.numColors,IF(ISNUMBER(L80),L80,IFERROR(--RIGHT(L80,LEN(L80)-FIND("-",L80)),0)),HELPER!$DB$1*_xlpm.numColors*MAX(1,M80)*1.05*_xlpm.nkRatio/Q80),0))</f>
        <v>0</v>
      </c>
      <c r="AK80" s="919">
        <f t="shared" si="41"/>
        <v>0.74644919556789846</v>
      </c>
      <c r="AL80" s="919">
        <f t="shared" si="42"/>
        <v>404.94868859558494</v>
      </c>
      <c r="AM80" s="73" t="str">
        <f t="shared" si="43"/>
        <v>PASS</v>
      </c>
      <c r="AN80" s="908" t="str">
        <f t="shared" si="22"/>
        <v/>
      </c>
      <c r="AO80" s="919">
        <f t="shared" si="23"/>
        <v>63</v>
      </c>
      <c r="AP80" s="919">
        <f t="shared" si="24"/>
        <v>2000</v>
      </c>
      <c r="AQ80" s="919"/>
      <c r="AR80" s="919" cm="1">
        <f t="array" ref="AR80">IFERROR(_xlfn.LET(_xlpm.lam,TEXT(B80,"0"),_xlpm.thick,D80,_xlpm.crit,(TEXT(HELPER!$BZ$2:$BZ$250,"0")=_xlpm.lam)*(HELPER!$CC$2:$CC$250=_xlpm.thick)*(HELPER!$BW$2:$BW$250&lt;&gt;""),_xlpm.mats,TRIM(SUBSTITUTE(_xlfn._xlws.FILTER(HELPER!$BW$2:$BW$250,_xlpm.crit),CHAR(160),"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")),HELPER!$AQ$2:$AQ$20,1),_xlpm.mass,IF(ISNUMBER(SEARCH("paper",_xlpm.mats)),42,_xlpm.dens*_xlpm.ths),E80/1000000*SUM(_xlpm.mass)),"")</f>
        <v>2.8686000000000003E-2</v>
      </c>
      <c r="AS80" s="919">
        <f>IFERROR(IF(D80&gt;31,(5%+250/P80)*AF80,VLOOKUP(D80,HELPER!$BH$3:$BI$5,2,TRUE)*AF80),0)</f>
        <v>1.2455306963762809</v>
      </c>
      <c r="AT80" s="919">
        <v>0.149999999999993</v>
      </c>
      <c r="AU80" s="919"/>
      <c r="AV80" s="919"/>
      <c r="AW80" s="919"/>
      <c r="AX80" s="919"/>
      <c r="AY80" s="919"/>
      <c r="AZ80" s="919">
        <f t="shared" si="25"/>
        <v>0</v>
      </c>
    </row>
    <row r="81" spans="1:52">
      <c r="A81" s="73" t="s">
        <v>1502</v>
      </c>
      <c r="B81" s="73">
        <v>648</v>
      </c>
      <c r="C81" s="908" t="s">
        <v>1428</v>
      </c>
      <c r="D81" s="915" cm="1">
        <f t="array" ref="D8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81" s="915">
        <v>600</v>
      </c>
      <c r="F81" s="73" t="s">
        <v>561</v>
      </c>
      <c r="G81" s="916">
        <v>250000</v>
      </c>
      <c r="H81" s="916"/>
      <c r="I81" s="916"/>
      <c r="J81" s="916"/>
      <c r="K81" s="73" t="s">
        <v>123</v>
      </c>
      <c r="L81" s="921" t="s">
        <v>122</v>
      </c>
      <c r="M81" s="915">
        <v>4</v>
      </c>
      <c r="N81" s="73" t="s">
        <v>550</v>
      </c>
      <c r="O81" s="73" t="s">
        <v>1366</v>
      </c>
      <c r="P81" s="916" cm="1">
        <f t="array" ref="P81">IFERROR(_xlfn.SWITCH(F81,"By Weight",IF(H81&lt;&gt;"",H81,G81)/AR81,"By Length",G81,"By Imp",G81/MAX(1,ROUNDDOWN(E81/I81,0))*J81/1000,"IMP",G81/MAX(1,ROUNDDOWN(E81/I81,0))*J81/1000,""),"")</f>
        <v>250000</v>
      </c>
      <c r="Q81" s="916">
        <f t="shared" si="26"/>
        <v>19268.999999999996</v>
      </c>
      <c r="R81" s="917">
        <f t="shared" si="27"/>
        <v>467864.89965531544</v>
      </c>
      <c r="S81" s="918">
        <f t="shared" si="28"/>
        <v>542723.28360016586</v>
      </c>
      <c r="T81" s="919">
        <f t="shared" si="29"/>
        <v>24.280704741051199</v>
      </c>
      <c r="U81" s="920">
        <f t="shared" si="30"/>
        <v>28.16561749961939</v>
      </c>
      <c r="V81" s="919">
        <f t="shared" si="31"/>
        <v>2.2017171748485462</v>
      </c>
      <c r="W81" s="919">
        <f t="shared" si="32"/>
        <v>28.565534989472035</v>
      </c>
      <c r="X81" s="919" t="str">
        <f t="shared" si="33"/>
        <v/>
      </c>
      <c r="Y81" s="920">
        <f t="shared" si="34"/>
        <v>2.5539919228243133</v>
      </c>
      <c r="Z81" s="920">
        <f t="shared" si="35"/>
        <v>33.136020587787556</v>
      </c>
      <c r="AA81" s="920" t="str">
        <f t="shared" si="36"/>
        <v/>
      </c>
      <c r="AB81" s="917">
        <f t="shared" si="37"/>
        <v>550429.29371213657</v>
      </c>
      <c r="AC81" s="918">
        <f t="shared" si="38"/>
        <v>638497.98070607835</v>
      </c>
      <c r="AD81" s="916">
        <f t="shared" si="39"/>
        <v>6487.1036379677207</v>
      </c>
      <c r="AE81" s="916">
        <f t="shared" si="40"/>
        <v>500</v>
      </c>
      <c r="AF81" s="919" cm="1">
        <f t="array" ref="AF81">IFERROR(_xlfn.LET(_xlpm.lam,TEXT(B81,"0"),_xlpm.thick,D81,_xlpm.crit,(TEXT(HELPER!$BZ$2:$BZ$250,"0")=_xlpm.lam)*(HELPER!$CC$2:$CC$250=_xlpm.thick)*(HELPER!$BW$2:$BW$250&lt;&gt;""),_xlpm.mats,TRIM(SUBSTITUTE(_xlfn._xlws.FILTER(HELPER!$BW$2:$BW$250,_xlpm.crit),CHAR(160),"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6.9576285147127512</v>
      </c>
      <c r="AG81" s="919">
        <f>IFERROR(IF(N81="Europe to Canada",IF(Q81&lt;1000,VLOOKUP(1000,HELPER!$AG$4:$AH$8,2,FALSE)/Q81,VLOOKUP(Q81,HELPER!$AG$4:$AH$8,2,TRUE)/Q81),IF(N81="Europe to US",HELPER!$AH$2,IF(N81="Europe to Europe",HELPER!$AH$3,0))),0)</f>
        <v>5.4</v>
      </c>
      <c r="AH81" s="919" cm="1">
        <f t="array" ref="AH81">IFERROR(_xlfn.LET(_xlpm.cap,IF(O81="Quantum",760,1220),_xlpm.wUsed,E81*MAX(1,MIN(MAX(2,INT(900/E81)),INT((_xlpm.cap-50)/E81))),_xlpm.kgmUsed,AR81/E81*_xlpm.wUsed,_xlpm.lam,TEXT(B81,"0"),_xlpm.crit,(TEXT(HELPER!$BZ$2:$BZ$250,"0")=_xlpm.lam)*(HELPER!$CC$2:$CC$250=D81)*(HELPER!$BW$2:$BW$250&lt;&gt;""),_xlpm.mats,_xlfn._xlws.FILTER(HELPER!$BW$2:$BW$250,_xlpm.crit),_xlpm.realLayers,SUM((_xlpm.mats&lt;&gt;"")*ISERROR(SEARCH("EPOTAL",_xlpm.mats&amp;""))*ISERROR(SEARCH("BASONAT",_xlpm.mats&amp;""))*ISERROR(SEARCH("ADH",_xlpm.mats&amp;""))*ISERROR(SEARCH("HARDENER",_xlpm.mats&amp;""))),_xlpm.steps,MAX(0,_xlpm.realLayers-1),_xlpm.tier,IF(P81&lt;3000,1,IF(P81&lt;10000,2,IF(P81&lt;25000,3,IF(P81&lt;50000,4,IF(P81&lt;100000,5,IF(P81&lt;250000,6,7)))))),_xlpm.widthRow,IF(_xlpm.wUsed&lt;900,0,5),_xlpm.supplierRow,IF(O81="Marma",3,IF(OR(O81="Bastin",O81="Quantum"),13,0)),_xlpm.rate,INDEX('Lmntn &amp; Prntng- Marma &amp; Bastin '!$D$1:$K$22,_xlpm.supplierRow+_xlpm.widthRow,_xlpm.tier),_xlpm.rate*_xlpm.steps/_xlpm.kgmUsed),"")</f>
        <v>1.4076755410244437</v>
      </c>
      <c r="AI81" s="919" cm="1">
        <f t="array" ref="AI81">IFERROR(_xlfn.LET(_xlpm.cap,IF(O81="Quantum",760,1220),_xlpm.wUsed,E81*MAX(1,MIN(MAX(2,INT(900/E81)),INT((_xlpm.cap-50)/E81))),_xlpm.kgmUsed,AR81/E81*_xlpm.wUsed,_xlpm.tier,IF(P81&lt;3000,1,IF(P81&lt;10000,2,IF(P81&lt;25000,3,IF(P81&lt;50000,4,IF(P81&lt;100000,5,IF(P81&lt;250000,6,IF(P81&lt;500000,7,8))))))),_xlpm.widthRow,IF(_xlpm.wUsed&lt;900,0,5),_xlpm.slitRow,IF(O81="Marma",7,IF(OR(O81="Bastin",O81="Quantum"),17,0)),_xlpm.slitRate,INDEX('Lmntn &amp; Prntng- Marma &amp; Bastin '!$D$1:$K$22,_xlpm.slitRow+_xlpm.widthRow,_xlpm.tier),_xlpm.numColors,IF(ISNUMBER(L81),L81,IFERROR(--RIGHT(L81,LEN(L81)-FIND("-",L81)),0)),_xlpm.printRate,IF(OR(K81&lt;&gt;"Printed",_xlpm.numColors=0),0,IF(O81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81))),MAX(_xlfn._xlws.FILTER(_xlpm.meters,(_xlpm.widths=_xlpm.qWidth)*(_xlpm.bands=_xlpm.band)))),INDEX(_xlpm.rates,_xlfn.XMATCH(1,(_xlpm.widths=_xlpm.qWidth)*(_xlpm.bands=_xlpm.band)*(_xlpm.meters=_xlpm.targetM),0))/HELPER!$AK$2),_xlfn.LET(_xlpm.colorOffset,IF(_xlpm.numColors&lt;=2,1,IF(_xlpm.numColors&lt;=4,2,3)),_xlpm.supplierRow,IF(O81="Marma",3,IF(O81="Bastin",13,0)),INDEX('Lmntn &amp; Prntng- Marma &amp; Bastin '!$D$1:$K$22,_xlpm.supplierRow+_xlpm.widthRow+_xlpm.colorOffset,_xlpm.tier)))),AH81+_xlpm.slitRate/_xlpm.kgmUsed+_xlpm.printRate/_xlpm.kgmUsed+AJ81),"")</f>
        <v>11.568237172088098</v>
      </c>
      <c r="AJ81" s="919" cm="1">
        <f t="array" ref="AJ81">IF(OR(K81&lt;&gt;"Printed",L81=0,L81="0",L81=""),0,IFERROR(_xlfn.LET(_xlpm.lam,TEXT(B81,"0"),_xlpm.crit,(TEXT(HELPER!$BZ$2:$BZ$250,"0")=_xlpm.lam)*(HELPER!$CC$2:$CC$250=D81)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WHITE"},0)))/ROWS(_xlpm.real),_xlpm.numColors,IF(ISNUMBER(L81),L81,IFERROR(--RIGHT(L81,LEN(L81)-FIND("-",L81)),0)),HELPER!$DB$1*_xlpm.numColors*MAX(1,M81)*1.05*_xlpm.nkRatio/Q81),0))</f>
        <v>0.13078000934142928</v>
      </c>
      <c r="AK81" s="919">
        <f t="shared" si="41"/>
        <v>2.3674378224177919</v>
      </c>
      <c r="AL81" s="919">
        <f t="shared" si="42"/>
        <v>2201.7171748485462</v>
      </c>
      <c r="AM81" s="73" t="str">
        <f t="shared" si="43"/>
        <v>PASS</v>
      </c>
      <c r="AN81" s="908" t="str">
        <f t="shared" si="22"/>
        <v/>
      </c>
      <c r="AO81" s="919">
        <f t="shared" si="23"/>
        <v>100</v>
      </c>
      <c r="AP81" s="919">
        <f t="shared" si="24"/>
        <v>250000</v>
      </c>
      <c r="AQ81" s="919"/>
      <c r="AR81" s="919" cm="1">
        <f t="array" ref="AR81">IFERROR(_xlfn.LET(_xlpm.lam,TEXT(B81,"0"),_xlpm.thick,D81,_xlpm.crit,(TEXT(HELPER!$BZ$2:$BZ$250,"0")=_xlpm.lam)*(HELPER!$CC$2:$CC$250=_xlpm.thick)*(HELPER!$BW$2:$BW$250&lt;&gt;""),_xlpm.mats,TRIM(SUBSTITUTE(_xlfn._xlws.FILTER(HELPER!$BW$2:$BW$250,_xlpm.crit),CHAR(160),"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")),HELPER!$AQ$2:$AQ$20,1),_xlpm.mass,IF(ISNUMBER(SEARCH("paper",_xlpm.mats)),42,_xlpm.dens*_xlpm.ths),E81/1000000*SUM(_xlpm.mass)),"")</f>
        <v>7.7075999999999992E-2</v>
      </c>
      <c r="AS81" s="919">
        <f>IFERROR(IF(D81&gt;31,(5%+250/P81)*AF81,VLOOKUP(D81,HELPER!$BH$3:$BI$5,2,TRUE)*AF81),0)</f>
        <v>0.35483905425035034</v>
      </c>
      <c r="AT81" s="919">
        <v>0.15000000000000099</v>
      </c>
      <c r="AU81" s="919"/>
      <c r="AV81" s="919"/>
      <c r="AW81" s="919"/>
      <c r="AX81" s="919"/>
      <c r="AY81" s="919"/>
      <c r="AZ81" s="919">
        <f t="shared" si="25"/>
        <v>2520.0000000000005</v>
      </c>
    </row>
    <row r="82" spans="1:52">
      <c r="A82" s="73" t="s">
        <v>1503</v>
      </c>
      <c r="B82" s="73">
        <v>648</v>
      </c>
      <c r="C82" s="908" t="s">
        <v>1430</v>
      </c>
      <c r="D82" s="915" cm="1">
        <f t="array" ref="D8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82" s="915">
        <v>900</v>
      </c>
      <c r="F82" s="73" t="s">
        <v>1040</v>
      </c>
      <c r="G82" s="916">
        <v>1600000</v>
      </c>
      <c r="H82" s="916"/>
      <c r="I82" s="916">
        <v>140</v>
      </c>
      <c r="J82" s="916">
        <v>80</v>
      </c>
      <c r="K82" s="73" t="s">
        <v>123</v>
      </c>
      <c r="L82" s="921" t="s">
        <v>592</v>
      </c>
      <c r="M82" s="915">
        <v>8</v>
      </c>
      <c r="N82" s="73" t="s">
        <v>549</v>
      </c>
      <c r="O82" s="73" t="s">
        <v>250</v>
      </c>
      <c r="P82" s="916" cm="1">
        <f t="array" ref="P82">IFERROR(_xlfn.SWITCH(F82,"By Weight",IF(H82&lt;&gt;"",H82,G82)/AR82,"By Length",G82,"By Imp",G82/MAX(1,ROUNDDOWN(E82/I82,0))*J82/1000,"IMP",G82/MAX(1,ROUNDDOWN(E82/I82,0))*J82/1000,""),"")</f>
        <v>21333.333333333336</v>
      </c>
      <c r="Q82" s="916">
        <f t="shared" si="26"/>
        <v>1343.2320000000002</v>
      </c>
      <c r="R82" s="917">
        <f t="shared" si="27"/>
        <v>26759.206635235616</v>
      </c>
      <c r="S82" s="918">
        <f t="shared" si="28"/>
        <v>31040.679696873311</v>
      </c>
      <c r="T82" s="919">
        <f t="shared" si="29"/>
        <v>19.921507703237872</v>
      </c>
      <c r="U82" s="920">
        <f t="shared" si="30"/>
        <v>23.108948935755929</v>
      </c>
      <c r="V82" s="919">
        <f t="shared" si="31"/>
        <v>1.5679222637833368</v>
      </c>
      <c r="W82" s="919">
        <f t="shared" si="32"/>
        <v>24.901884629047338</v>
      </c>
      <c r="X82" s="919">
        <f t="shared" si="33"/>
        <v>2.0905630183777824E-2</v>
      </c>
      <c r="Y82" s="920">
        <f t="shared" si="34"/>
        <v>1.8187898259886706</v>
      </c>
      <c r="Z82" s="920">
        <f t="shared" si="35"/>
        <v>28.886186169694909</v>
      </c>
      <c r="AA82" s="920">
        <f t="shared" si="36"/>
        <v>2.4250531013182273E-2</v>
      </c>
      <c r="AB82" s="917">
        <f t="shared" si="37"/>
        <v>33449.008294044521</v>
      </c>
      <c r="AC82" s="918">
        <f t="shared" si="38"/>
        <v>38800.849621091642</v>
      </c>
      <c r="AD82" s="916">
        <f t="shared" si="39"/>
        <v>7941.0456768947324</v>
      </c>
      <c r="AE82" s="916">
        <f t="shared" si="40"/>
        <v>500</v>
      </c>
      <c r="AF82" s="919" cm="1">
        <f t="array" ref="AF82">IFERROR(_xlfn.LET(_xlpm.lam,TEXT(B82,"0"),_xlpm.thick,D82,_xlpm.crit,(TEXT(HELPER!$BZ$2:$BZ$250,"0")=_xlpm.lam)*(HELPER!$CC$2:$CC$250=_xlpm.thick)*(HELPER!$BW$2:$BW$250&lt;&gt;""),_xlpm.mats,TRIM(SUBSTITUTE(_xlfn._xlws.FILTER(HELPER!$BW$2:$BW$250,_xlpm.crit),CHAR(160),"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82" s="919">
        <f>IFERROR(IF(N82="Europe to Canada",IF(Q82&lt;1000,VLOOKUP(1000,HELPER!$AG$4:$AH$8,2,FALSE)/Q82,VLOOKUP(Q82,HELPER!$AG$4:$AH$8,2,TRUE)/Q82),IF(N82="Europe to US",HELPER!$AH$2,IF(N82="Europe to Europe",HELPER!$AH$3,0))),0)</f>
        <v>0.2</v>
      </c>
      <c r="AH82" s="919" cm="1">
        <f t="array" ref="AH82">IFERROR(_xlfn.LET(_xlpm.cap,IF(O82="Quantum",760,1220),_xlpm.wUsed,E82*MAX(1,MIN(MAX(2,INT(900/E82)),INT((_xlpm.cap-50)/E82))),_xlpm.kgmUsed,AR82/E82*_xlpm.wUsed,_xlpm.lam,TEXT(B82,"0"),_xlpm.crit,(TEXT(HELPER!$BZ$2:$BZ$250,"0")=_xlpm.lam)*(HELPER!$CC$2:$CC$250=D82)*(HELPER!$BW$2:$BW$250&lt;&gt;""),_xlpm.mats,_xlfn._xlws.FILTER(HELPER!$BW$2:$BW$250,_xlpm.crit),_xlpm.realLayers,SUM((_xlpm.mats&lt;&gt;"")*ISERROR(SEARCH("EPOTAL",_xlpm.mats&amp;""))*ISERROR(SEARCH("BASONAT",_xlpm.mats&amp;""))*ISERROR(SEARCH("ADH",_xlpm.mats&amp;""))*ISERROR(SEARCH("HARDENER",_xlpm.mats&amp;""))),_xlpm.steps,MAX(0,_xlpm.realLayers-1),_xlpm.tier,IF(P82&lt;3000,1,IF(P82&lt;10000,2,IF(P82&lt;25000,3,IF(P82&lt;50000,4,IF(P82&lt;100000,5,IF(P82&lt;250000,6,7)))))),_xlpm.widthRow,IF(_xlpm.wUsed&lt;900,0,5),_xlpm.supplierRow,IF(O82="Marma",3,IF(OR(O82="Bastin",O82="Quantum"),13,0)),_xlpm.rate,INDEX('Lmntn &amp; Prntng- Marma &amp; Bastin '!$D$1:$K$22,_xlpm.supplierRow+_xlpm.widthRow,_xlpm.tier),_xlpm.rate*_xlpm.steps/_xlpm.kgmUsed),"")</f>
        <v>1.4536878216123499</v>
      </c>
      <c r="AI82" s="919" cm="1">
        <f t="array" ref="AI82">IFERROR(_xlfn.LET(_xlpm.cap,IF(O82="Quantum",760,1220),_xlpm.wUsed,E82*MAX(1,MIN(MAX(2,INT(900/E82)),INT((_xlpm.cap-50)/E82))),_xlpm.kgmUsed,AR82/E82*_xlpm.wUsed,_xlpm.tier,IF(P82&lt;3000,1,IF(P82&lt;10000,2,IF(P82&lt;25000,3,IF(P82&lt;50000,4,IF(P82&lt;100000,5,IF(P82&lt;250000,6,IF(P82&lt;500000,7,8))))))),_xlpm.widthRow,IF(_xlpm.wUsed&lt;900,0,5),_xlpm.slitRow,IF(O82="Marma",7,IF(OR(O82="Bastin",O82="Quantum"),17,0)),_xlpm.slitRate,INDEX('Lmntn &amp; Prntng- Marma &amp; Bastin '!$D$1:$K$22,_xlpm.slitRow+_xlpm.widthRow,_xlpm.tier),_xlpm.numColors,IF(ISNUMBER(L82),L82,IFERROR(--RIGHT(L82,LEN(L82)-FIND("-",L82)),0)),_xlpm.printRate,IF(OR(K82&lt;&gt;"Printed",_xlpm.numColors=0),0,IF(O82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82))),MAX(_xlfn._xlws.FILTER(_xlpm.meters,(_xlpm.widths=_xlpm.qWidth)*(_xlpm.bands=_xlpm.band)))),INDEX(_xlpm.rates,_xlfn.XMATCH(1,(_xlpm.widths=_xlpm.qWidth)*(_xlpm.bands=_xlpm.band)*(_xlpm.meters=_xlpm.targetM),0))/HELPER!$AK$2),_xlfn.LET(_xlpm.colorOffset,IF(_xlpm.numColors&lt;=2,1,IF(_xlpm.numColors&lt;=4,2,3)),_xlpm.supplierRow,IF(O82="Marma",3,IF(O82="Bastin",13,0)),INDEX('Lmntn &amp; Prntng- Marma &amp; Bastin '!$D$1:$K$22,_xlpm.supplierRow+_xlpm.widthRow+_xlpm.colorOffset,_xlpm.tier)))),AH82+_xlpm.slitRate/_xlpm.kgmUsed+_xlpm.printRate/_xlpm.kgmUsed+AJ82),"")</f>
        <v>12.048475083939792</v>
      </c>
      <c r="AJ82" s="919" cm="1">
        <f t="array" ref="AJ82">IF(OR(K82&lt;&gt;"Printed",L82=0,L82="0",L82=""),0,IFERROR(_xlfn.LET(_xlpm.lam,TEXT(B82,"0"),_xlpm.crit,(TEXT(HELPER!$BZ$2:$BZ$250,"0")=_xlpm.lam)*(HELPER!$CC$2:$CC$250=D82)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WHITE"},0)))/ROWS(_xlpm.real),_xlpm.numColors,IF(ISNUMBER(L82),L82,IFERROR(--RIGHT(L82,LEN(L82)-FIND("-",L82)),0)),HELPER!$DB$1*_xlpm.numColors*MAX(1,M82)*1.05*_xlpm.nkRatio/Q82),0))</f>
        <v>7.504288164665522</v>
      </c>
      <c r="AK82" s="919">
        <f t="shared" si="41"/>
        <v>1.1239586120310658</v>
      </c>
      <c r="AL82" s="919">
        <f t="shared" si="42"/>
        <v>1567.9222637833368</v>
      </c>
      <c r="AM82" s="73" t="str">
        <f t="shared" si="43"/>
        <v>PASS</v>
      </c>
      <c r="AN82" s="908" t="str">
        <f t="shared" si="22"/>
        <v/>
      </c>
      <c r="AO82" s="919">
        <f t="shared" si="23"/>
        <v>53</v>
      </c>
      <c r="AP82" s="919">
        <f t="shared" si="24"/>
        <v>21333.333333333336</v>
      </c>
      <c r="AQ82" s="919"/>
      <c r="AR82" s="919" cm="1">
        <f t="array" ref="AR82">IFERROR(_xlfn.LET(_xlpm.lam,TEXT(B82,"0"),_xlpm.thick,D82,_xlpm.crit,(TEXT(HELPER!$BZ$2:$BZ$250,"0")=_xlpm.lam)*(HELPER!$CC$2:$CC$250=_xlpm.thick)*(HELPER!$BW$2:$BW$250&lt;&gt;""),_xlpm.mats,TRIM(SUBSTITUTE(_xlfn._xlws.FILTER(HELPER!$BW$2:$BW$250,_xlpm.crit),CHAR(160),"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")),HELPER!$AQ$2:$AQ$20,1),_xlpm.mass,IF(ISNUMBER(SEARCH("paper",_xlpm.mats)),42,_xlpm.dens*_xlpm.ths),E82/1000000*SUM(_xlpm.mass)),"")</f>
        <v>6.2964000000000006E-2</v>
      </c>
      <c r="AS82" s="919">
        <f>IFERROR(IF(D82&gt;31,(5%+250/P82)*AF82,VLOOKUP(D82,HELPER!$BH$3:$BI$5,2,TRUE)*AF82),0)</f>
        <v>0.44604089545588543</v>
      </c>
      <c r="AT82" s="919">
        <v>0.2</v>
      </c>
      <c r="AU82" s="919"/>
      <c r="AV82" s="919"/>
      <c r="AW82" s="919"/>
      <c r="AX82" s="919"/>
      <c r="AY82" s="919"/>
      <c r="AZ82" s="919">
        <f t="shared" si="25"/>
        <v>10080</v>
      </c>
    </row>
    <row r="83" spans="1:52">
      <c r="A83" s="73" t="s">
        <v>1504</v>
      </c>
      <c r="B83" s="73">
        <v>648</v>
      </c>
      <c r="C83" s="908" t="s">
        <v>1432</v>
      </c>
      <c r="D83" s="915" cm="1">
        <f t="array" ref="D8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83" s="915">
        <v>250</v>
      </c>
      <c r="F83" s="73" t="s">
        <v>560</v>
      </c>
      <c r="G83" s="916">
        <v>500</v>
      </c>
      <c r="H83" s="916">
        <v>500</v>
      </c>
      <c r="I83" s="916"/>
      <c r="J83" s="916"/>
      <c r="K83" s="73" t="s">
        <v>124</v>
      </c>
      <c r="L83" s="921" t="s">
        <v>221</v>
      </c>
      <c r="M83" s="915">
        <v>1</v>
      </c>
      <c r="N83" s="73" t="s">
        <v>550</v>
      </c>
      <c r="O83" s="73" t="s">
        <v>240</v>
      </c>
      <c r="P83" s="916" cm="1">
        <f t="array" ref="P83">IFERROR(_xlfn.SWITCH(F83,"By Weight",IF(H83&lt;&gt;"",H83,G83)/AR83,"By Length",G83,"By Imp",G83/MAX(1,ROUNDDOWN(E83/I83,0))*J83/1000,"IMP",G83/MAX(1,ROUNDDOWN(E83/I83,0))*J83/1000,""),"")</f>
        <v>15569.048731122526</v>
      </c>
      <c r="Q83" s="916">
        <f t="shared" si="26"/>
        <v>500</v>
      </c>
      <c r="R83" s="917">
        <f t="shared" si="27"/>
        <v>7201.0027653321749</v>
      </c>
      <c r="S83" s="918">
        <f t="shared" si="28"/>
        <v>8353.1632077853228</v>
      </c>
      <c r="T83" s="919">
        <f t="shared" si="29"/>
        <v>14.402005530664351</v>
      </c>
      <c r="U83" s="920">
        <f t="shared" si="30"/>
        <v>16.706326415570647</v>
      </c>
      <c r="V83" s="919">
        <f t="shared" si="31"/>
        <v>0.5441416560203387</v>
      </c>
      <c r="W83" s="919">
        <f t="shared" si="32"/>
        <v>16.943535918428729</v>
      </c>
      <c r="X83" s="919" t="str">
        <f t="shared" si="33"/>
        <v/>
      </c>
      <c r="Y83" s="920">
        <f t="shared" si="34"/>
        <v>0.6312043209835928</v>
      </c>
      <c r="Z83" s="920">
        <f t="shared" si="35"/>
        <v>19.654501665377325</v>
      </c>
      <c r="AA83" s="920" t="str">
        <f t="shared" si="36"/>
        <v/>
      </c>
      <c r="AB83" s="917">
        <f t="shared" si="37"/>
        <v>8471.767959214365</v>
      </c>
      <c r="AC83" s="918">
        <f t="shared" si="38"/>
        <v>9827.2508326886618</v>
      </c>
      <c r="AD83" s="916">
        <f t="shared" si="39"/>
        <v>15569.048731122526</v>
      </c>
      <c r="AE83" s="916">
        <f t="shared" si="40"/>
        <v>500</v>
      </c>
      <c r="AF83" s="919" cm="1">
        <f t="array" ref="AF83">IFERROR(_xlfn.LET(_xlpm.lam,TEXT(B83,"0"),_xlpm.thick,D83,_xlpm.crit,(TEXT(HELPER!$BZ$2:$BZ$250,"0")=_xlpm.lam)*(HELPER!$CC$2:$CC$250=_xlpm.thick)*(HELPER!$BW$2:$BW$250&lt;&gt;""),_xlpm.mats,TRIM(SUBSTITUTE(_xlfn._xlws.FILTER(HELPER!$BW$2:$BW$250,_xlpm.crit),CHAR(160),"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6.9576285147127512</v>
      </c>
      <c r="AG83" s="919">
        <f>IFERROR(IF(N83="Europe to Canada",IF(Q83&lt;1000,VLOOKUP(1000,HELPER!$AG$4:$AH$8,2,FALSE)/Q83,VLOOKUP(Q83,HELPER!$AG$4:$AH$8,2,TRUE)/Q83),IF(N83="Europe to US",HELPER!$AH$2,IF(N83="Europe to Europe",HELPER!$AH$3,0))),0)</f>
        <v>5.4</v>
      </c>
      <c r="AH83" s="919" cm="1">
        <f t="array" ref="AH83">IFERROR(_xlfn.LET(_xlpm.cap,IF(O83="Quantum",760,1220),_xlpm.wUsed,E83*MAX(1,MIN(MAX(2,INT(900/E83)),INT((_xlpm.cap-50)/E83))),_xlpm.kgmUsed,AR83/E83*_xlpm.wUsed,_xlpm.lam,TEXT(B83,"0"),_xlpm.crit,(TEXT(HELPER!$BZ$2:$BZ$250,"0")=_xlpm.lam)*(HELPER!$CC$2:$CC$250=D83)*(HELPER!$BW$2:$BW$250&lt;&gt;""),_xlpm.mats,_xlfn._xlws.FILTER(HELPER!$BW$2:$BW$250,_xlpm.crit),_xlpm.realLayers,SUM((_xlpm.mats&lt;&gt;"")*ISERROR(SEARCH("EPOTAL",_xlpm.mats&amp;""))*ISERROR(SEARCH("BASONAT",_xlpm.mats&amp;""))*ISERROR(SEARCH("ADH",_xlpm.mats&amp;""))*ISERROR(SEARCH("HARDENER",_xlpm.mats&amp;""))),_xlpm.steps,MAX(0,_xlpm.realLayers-1),_xlpm.tier,IF(P83&lt;3000,1,IF(P83&lt;10000,2,IF(P83&lt;25000,3,IF(P83&lt;50000,4,IF(P83&lt;100000,5,IF(P83&lt;250000,6,7)))))),_xlpm.widthRow,IF(_xlpm.wUsed&lt;900,0,5),_xlpm.supplierRow,IF(O83="Marma",3,IF(OR(O83="Bastin",O83="Quantum"),13,0)),_xlpm.rate,INDEX('Lmntn &amp; Prntng- Marma &amp; Bastin '!$D$1:$K$22,_xlpm.supplierRow+_xlpm.widthRow,_xlpm.tier),_xlpm.rate*_xlpm.steps/_xlpm.kgmUsed),"")</f>
        <v>1.2350303596450254</v>
      </c>
      <c r="AI83" s="919" cm="1">
        <f t="array" ref="AI83">IFERROR(_xlfn.LET(_xlpm.cap,IF(O83="Quantum",760,1220),_xlpm.wUsed,E83*MAX(1,MIN(MAX(2,INT(900/E83)),INT((_xlpm.cap-50)/E83))),_xlpm.kgmUsed,AR83/E83*_xlpm.wUsed,_xlpm.tier,IF(P83&lt;3000,1,IF(P83&lt;10000,2,IF(P83&lt;25000,3,IF(P83&lt;50000,4,IF(P83&lt;100000,5,IF(P83&lt;250000,6,IF(P83&lt;500000,7,8))))))),_xlpm.widthRow,IF(_xlpm.wUsed&lt;900,0,5),_xlpm.slitRow,IF(O83="Marma",7,IF(OR(O83="Bastin",O83="Quantum"),17,0)),_xlpm.slitRate,INDEX('Lmntn &amp; Prntng- Marma &amp; Bastin '!$D$1:$K$22,_xlpm.slitRow+_xlpm.widthRow,_xlpm.tier),_xlpm.numColors,IF(ISNUMBER(L83),L83,IFERROR(--RIGHT(L83,LEN(L83)-FIND("-",L83)),0)),_xlpm.printRate,IF(OR(K83&lt;&gt;"Printed",_xlpm.numColors=0),0,IF(O83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83))),MAX(_xlfn._xlws.FILTER(_xlpm.meters,(_xlpm.widths=_xlpm.qWidth)*(_xlpm.bands=_xlpm.band)))),INDEX(_xlpm.rates,_xlfn.XMATCH(1,(_xlpm.widths=_xlpm.qWidth)*(_xlpm.bands=_xlpm.band)*(_xlpm.meters=_xlpm.targetM),0))/HELPER!$AK$2),_xlfn.LET(_xlpm.colorOffset,IF(_xlpm.numColors&lt;=2,1,IF(_xlpm.numColors&lt;=4,2,3)),_xlpm.supplierRow,IF(O83="Marma",3,IF(O83="Bastin",13,0)),INDEX('Lmntn &amp; Prntng- Marma &amp; Bastin '!$D$1:$K$22,_xlpm.supplierRow+_xlpm.widthRow+_xlpm.colorOffset,_xlpm.tier)))),AH83+_xlpm.slitRate/_xlpm.kgmUsed+_xlpm.printRate/_xlpm.kgmUsed+AJ83),"")</f>
        <v>1.5847734703409619</v>
      </c>
      <c r="AJ83" s="919" cm="1">
        <f t="array" ref="AJ83">IF(OR(K83&lt;&gt;"Printed",L83=0,L83="0",L83=""),0,IFERROR(_xlfn.LET(_xlpm.lam,TEXT(B83,"0"),_xlpm.crit,(TEXT(HELPER!$BZ$2:$BZ$250,"0")=_xlpm.lam)*(HELPER!$CC$2:$CC$250=D83)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WHITE"},0)))/ROWS(_xlpm.real),_xlpm.numColors,IF(ISNUMBER(L83),L83,IFERROR(--RIGHT(L83,LEN(L83)-FIND("-",L83)),0)),HELPER!$DB$1*_xlpm.numColors*MAX(1,M83)*1.05*_xlpm.nkRatio/Q83),0))</f>
        <v>0</v>
      </c>
      <c r="AK83" s="919">
        <f t="shared" si="41"/>
        <v>1.4042365316653902</v>
      </c>
      <c r="AL83" s="919">
        <f t="shared" si="42"/>
        <v>544.1416560203387</v>
      </c>
      <c r="AM83" s="73" t="str">
        <f t="shared" si="43"/>
        <v>PASS</v>
      </c>
      <c r="AN83" s="908" t="str">
        <f t="shared" si="22"/>
        <v/>
      </c>
      <c r="AO83" s="919">
        <f t="shared" si="23"/>
        <v>100</v>
      </c>
      <c r="AP83" s="919">
        <f t="shared" si="24"/>
        <v>15569.048731122526</v>
      </c>
      <c r="AQ83" s="919"/>
      <c r="AR83" s="919" cm="1">
        <f t="array" ref="AR83">IFERROR(_xlfn.LET(_xlpm.lam,TEXT(B83,"0"),_xlpm.thick,D83,_xlpm.crit,(TEXT(HELPER!$BZ$2:$BZ$250,"0")=_xlpm.lam)*(HELPER!$CC$2:$CC$250=_xlpm.thick)*(HELPER!$BW$2:$BW$250&lt;&gt;""),_xlpm.mats,TRIM(SUBSTITUTE(_xlfn._xlws.FILTER(HELPER!$BW$2:$BW$250,_xlpm.crit),CHAR(160),"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")),HELPER!$AQ$2:$AQ$20,1),_xlpm.mass,IF(ISNUMBER(SEARCH("paper",_xlpm.mats)),42,_xlpm.dens*_xlpm.ths),E83/1000000*SUM(_xlpm.mass)),"")</f>
        <v>3.2115000000000005E-2</v>
      </c>
      <c r="AS83" s="919">
        <f>IFERROR(IF(D83&gt;31,(5%+250/P83)*AF83,VLOOKUP(D83,HELPER!$BH$3:$BI$5,2,TRUE)*AF83),0)</f>
        <v>0.4596035456106376</v>
      </c>
      <c r="AT83" s="919">
        <v>0.15000000000000399</v>
      </c>
      <c r="AU83" s="919"/>
      <c r="AV83" s="919"/>
      <c r="AW83" s="919"/>
      <c r="AX83" s="919"/>
      <c r="AY83" s="919"/>
      <c r="AZ83" s="919">
        <f t="shared" si="25"/>
        <v>0</v>
      </c>
    </row>
    <row r="84" spans="1:52">
      <c r="A84" s="73" t="s">
        <v>1505</v>
      </c>
      <c r="B84" s="73">
        <v>648</v>
      </c>
      <c r="C84" s="908" t="s">
        <v>1434</v>
      </c>
      <c r="D84" s="915" cm="1">
        <f t="array" ref="D8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4" s="915">
        <v>600</v>
      </c>
      <c r="F84" s="73" t="s">
        <v>1040</v>
      </c>
      <c r="G84" s="916">
        <v>100000</v>
      </c>
      <c r="H84" s="916"/>
      <c r="I84" s="916">
        <v>300</v>
      </c>
      <c r="J84" s="916">
        <v>200</v>
      </c>
      <c r="K84" s="73" t="s">
        <v>123</v>
      </c>
      <c r="L84" s="921" t="s">
        <v>122</v>
      </c>
      <c r="M84" s="915">
        <v>4</v>
      </c>
      <c r="N84" s="73" t="s">
        <v>549</v>
      </c>
      <c r="O84" s="73" t="s">
        <v>250</v>
      </c>
      <c r="P84" s="916" cm="1">
        <f t="array" ref="P84">IFERROR(_xlfn.SWITCH(F84,"By Weight",IF(H84&lt;&gt;"",H84,G84)/AR84,"By Length",G84,"By Imp",G84/MAX(1,ROUNDDOWN(E84/I84,0))*J84/1000,"IMP",G84/MAX(1,ROUNDDOWN(E84/I84,0))*J84/1000,""),"")</f>
        <v>10000</v>
      </c>
      <c r="Q84" s="916">
        <f t="shared" si="26"/>
        <v>491.76</v>
      </c>
      <c r="R84" s="917">
        <f t="shared" si="27"/>
        <v>8821.5653622499995</v>
      </c>
      <c r="S84" s="918">
        <f t="shared" si="28"/>
        <v>10233.015820209999</v>
      </c>
      <c r="T84" s="919">
        <f t="shared" si="29"/>
        <v>17.938761514254921</v>
      </c>
      <c r="U84" s="920">
        <f t="shared" si="30"/>
        <v>20.808963356535706</v>
      </c>
      <c r="V84" s="919">
        <f t="shared" si="31"/>
        <v>1.0378312190882388</v>
      </c>
      <c r="W84" s="919">
        <f t="shared" si="32"/>
        <v>21.104425310888217</v>
      </c>
      <c r="X84" s="919">
        <f t="shared" si="33"/>
        <v>0.10378312190882388</v>
      </c>
      <c r="Y84" s="920">
        <f t="shared" si="34"/>
        <v>1.2038842141423569</v>
      </c>
      <c r="Z84" s="920">
        <f t="shared" si="35"/>
        <v>24.481133360630331</v>
      </c>
      <c r="AA84" s="920">
        <f t="shared" si="36"/>
        <v>0.1203884214142357</v>
      </c>
      <c r="AB84" s="917">
        <f t="shared" si="37"/>
        <v>10378.31219088239</v>
      </c>
      <c r="AC84" s="918">
        <f t="shared" si="38"/>
        <v>12038.842141423573</v>
      </c>
      <c r="AD84" s="916">
        <f t="shared" si="39"/>
        <v>10167.561412070929</v>
      </c>
      <c r="AE84" s="916">
        <f t="shared" si="40"/>
        <v>500</v>
      </c>
      <c r="AF84" s="919" cm="1">
        <f t="array" ref="AF84">IFERROR(_xlfn.LET(_xlpm.lam,TEXT(B84,"0"),_xlpm.thick,D84,_xlpm.crit,(TEXT(HELPER!$BZ$2:$BZ$250,"0")=_xlpm.lam)*(HELPER!$CC$2:$CC$250=_xlpm.thick)*(HELPER!$BW$2:$BW$250&lt;&gt;""),_xlpm.mats,TRIM(SUBSTITUTE(_xlfn._xlws.FILTER(HELPER!$BW$2:$BW$250,_xlpm.crit),CHAR(160),"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7.1173182650073201</v>
      </c>
      <c r="AG84" s="919">
        <f>IFERROR(IF(N84="Europe to Canada",IF(Q84&lt;1000,VLOOKUP(1000,HELPER!$AG$4:$AH$8,2,FALSE)/Q84,VLOOKUP(Q84,HELPER!$AG$4:$AH$8,2,TRUE)/Q84),IF(N84="Europe to US",HELPER!$AH$2,IF(N84="Europe to Europe",HELPER!$AH$3,0))),0)</f>
        <v>0.2</v>
      </c>
      <c r="AH84" s="919" cm="1">
        <f t="array" ref="AH84">IFERROR(_xlfn.LET(_xlpm.cap,IF(O84="Quantum",760,1220),_xlpm.wUsed,E84*MAX(1,MIN(MAX(2,INT(900/E84)),INT((_xlpm.cap-50)/E84))),_xlpm.kgmUsed,AR84/E84*_xlpm.wUsed,_xlpm.lam,TEXT(B84,"0"),_xlpm.crit,(TEXT(HELPER!$BZ$2:$BZ$250,"0")=_xlpm.lam)*(HELPER!$CC$2:$CC$250=D84)*(HELPER!$BW$2:$BW$250&lt;&gt;""),_xlpm.mats,_xlfn._xlws.FILTER(HELPER!$BW$2:$BW$250,_xlpm.crit),_xlpm.realLayers,SUM((_xlpm.mats&lt;&gt;"")*ISERROR(SEARCH("EPOTAL",_xlpm.mats&amp;""))*ISERROR(SEARCH("BASONAT",_xlpm.mats&amp;""))*ISERROR(SEARCH("ADH",_xlpm.mats&amp;""))*ISERROR(SEARCH("HARDENER",_xlpm.mats&amp;""))),_xlpm.steps,MAX(0,_xlpm.realLayers-1),_xlpm.tier,IF(P84&lt;3000,1,IF(P84&lt;10000,2,IF(P84&lt;25000,3,IF(P84&lt;50000,4,IF(P84&lt;100000,5,IF(P84&lt;250000,6,7)))))),_xlpm.widthRow,IF(_xlpm.wUsed&lt;900,0,5),_xlpm.supplierRow,IF(O84="Marma",3,IF(OR(O84="Bastin",O84="Quantum"),13,0)),_xlpm.rate,INDEX('Lmntn &amp; Prntng- Marma &amp; Bastin '!$D$1:$K$22,_xlpm.supplierRow+_xlpm.widthRow,_xlpm.tier),_xlpm.rate*_xlpm.steps/_xlpm.kgmUsed),"")</f>
        <v>1.8612737920937044</v>
      </c>
      <c r="AI84" s="919" cm="1">
        <f t="array" ref="AI84">IFERROR(_xlfn.LET(_xlpm.cap,IF(O84="Quantum",760,1220),_xlpm.wUsed,E84*MAX(1,MIN(MAX(2,INT(900/E84)),INT((_xlpm.cap-50)/E84))),_xlpm.kgmUsed,AR84/E84*_xlpm.wUsed,_xlpm.tier,IF(P84&lt;3000,1,IF(P84&lt;10000,2,IF(P84&lt;25000,3,IF(P84&lt;50000,4,IF(P84&lt;100000,5,IF(P84&lt;250000,6,IF(P84&lt;500000,7,8))))))),_xlpm.widthRow,IF(_xlpm.wUsed&lt;900,0,5),_xlpm.slitRow,IF(O84="Marma",7,IF(OR(O84="Bastin",O84="Quantum"),17,0)),_xlpm.slitRate,INDEX('Lmntn &amp; Prntng- Marma &amp; Bastin '!$D$1:$K$22,_xlpm.slitRow+_xlpm.widthRow,_xlpm.tier),_xlpm.numColors,IF(ISNUMBER(L84),L84,IFERROR(--RIGHT(L84,LEN(L84)-FIND("-",L84)),0)),_xlpm.printRate,IF(OR(K84&lt;&gt;"Printed",_xlpm.numColors=0),0,IF(O84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84))),MAX(_xlfn._xlws.FILTER(_xlpm.meters,(_xlpm.widths=_xlpm.qWidth)*(_xlpm.bands=_xlpm.band)))),INDEX(_xlpm.rates,_xlfn.XMATCH(1,(_xlpm.widths=_xlpm.qWidth)*(_xlpm.bands=_xlpm.band)*(_xlpm.meters=_xlpm.targetM),0))/HELPER!$AK$2),_xlfn.LET(_xlpm.colorOffset,IF(_xlpm.numColors&lt;=2,1,IF(_xlpm.numColors&lt;=4,2,3)),_xlpm.supplierRow,IF(O84="Marma",3,IF(O84="Bastin",13,0)),INDEX('Lmntn &amp; Prntng- Marma &amp; Bastin '!$D$1:$K$22,_xlpm.supplierRow+_xlpm.widthRow+_xlpm.colorOffset,_xlpm.tier)))),AH84+_xlpm.slitRate/_xlpm.kgmUsed+_xlpm.printRate/_xlpm.kgmUsed+AJ84),"")</f>
        <v>10.087644379372051</v>
      </c>
      <c r="AJ84" s="919" cm="1">
        <f t="array" ref="AJ84">IF(OR(K84&lt;&gt;"Printed",L84=0,L84="0",L84=""),0,IFERROR(_xlfn.LET(_xlpm.lam,TEXT(B84,"0"),_xlpm.crit,(TEXT(HELPER!$BZ$2:$BZ$250,"0")=_xlpm.lam)*(HELPER!$CC$2:$CC$250=D84)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WHITE"},0)))/ROWS(_xlpm.real),_xlpm.numColors,IF(ISNUMBER(L84),L84,IFERROR(--RIGHT(L84,LEN(L84)-FIND("-",L84)),0)),HELPER!$DB$1*_xlpm.numColors*MAX(1,M84)*1.05*_xlpm.nkRatio/Q84),0))</f>
        <v>5.1244509516837482</v>
      </c>
      <c r="AK84" s="919">
        <f t="shared" si="41"/>
        <v>1.1159475474067084</v>
      </c>
      <c r="AL84" s="919">
        <f t="shared" si="42"/>
        <v>1037.8312190882389</v>
      </c>
      <c r="AM84" s="73" t="str">
        <f t="shared" si="43"/>
        <v>PASS</v>
      </c>
      <c r="AN84" s="908" t="str">
        <f t="shared" si="22"/>
        <v/>
      </c>
      <c r="AO84" s="919">
        <f t="shared" si="23"/>
        <v>63</v>
      </c>
      <c r="AP84" s="919">
        <f t="shared" si="24"/>
        <v>10000</v>
      </c>
      <c r="AQ84" s="919"/>
      <c r="AR84" s="919" cm="1">
        <f t="array" ref="AR84">IFERROR(_xlfn.LET(_xlpm.lam,TEXT(B84,"0"),_xlpm.thick,D84,_xlpm.crit,(TEXT(HELPER!$BZ$2:$BZ$250,"0")=_xlpm.lam)*(HELPER!$CC$2:$CC$250=_xlpm.thick)*(HELPER!$BW$2:$BW$250&lt;&gt;""),_xlpm.mats,TRIM(SUBSTITUTE(_xlfn._xlws.FILTER(HELPER!$BW$2:$BW$250,_xlpm.crit),CHAR(160),"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")),HELPER!$AQ$2:$AQ$20,1),_xlpm.mass,IF(ISNUMBER(SEARCH("paper",_xlpm.mats)),42,_xlpm.dens*_xlpm.ths),E84/1000000*SUM(_xlpm.mass)),"")</f>
        <v>4.9175999999999997E-2</v>
      </c>
      <c r="AS84" s="919">
        <f>IFERROR(IF(D84&gt;31,(5%+250/P84)*AF84,VLOOKUP(D84,HELPER!$BH$3:$BI$5,2,TRUE)*AF84),0)</f>
        <v>0.53379886987554914</v>
      </c>
      <c r="AT84" s="919">
        <v>0.15000000000000299</v>
      </c>
      <c r="AU84" s="919"/>
      <c r="AV84" s="919"/>
      <c r="AW84" s="919"/>
      <c r="AX84" s="919"/>
      <c r="AY84" s="919"/>
      <c r="AZ84" s="919">
        <f t="shared" si="25"/>
        <v>2520</v>
      </c>
    </row>
    <row r="85" spans="1:52">
      <c r="A85" s="73" t="s">
        <v>1506</v>
      </c>
      <c r="B85" s="73">
        <v>648</v>
      </c>
      <c r="C85" s="908" t="s">
        <v>1436</v>
      </c>
      <c r="D85" s="915" cm="1">
        <f t="array" ref="D8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85" s="915">
        <v>450</v>
      </c>
      <c r="F85" s="73" t="s">
        <v>560</v>
      </c>
      <c r="G85" s="916">
        <v>500</v>
      </c>
      <c r="H85" s="916">
        <v>500</v>
      </c>
      <c r="I85" s="916"/>
      <c r="J85" s="916"/>
      <c r="K85" s="73" t="s">
        <v>123</v>
      </c>
      <c r="L85" s="921" t="s">
        <v>591</v>
      </c>
      <c r="M85" s="915">
        <v>2</v>
      </c>
      <c r="N85" s="73" t="s">
        <v>549</v>
      </c>
      <c r="O85" s="73" t="s">
        <v>1366</v>
      </c>
      <c r="P85" s="916" cm="1">
        <f t="array" ref="P85">IFERROR(_xlfn.SWITCH(F85,"By Weight",IF(H85&lt;&gt;"",H85,G85)/AR85,"By Length",G85,"By Imp",G85/MAX(1,ROUNDDOWN(E85/I85,0))*J85/1000,"IMP",G85/MAX(1,ROUNDDOWN(E85/I85,0))*J85/1000,""),"")</f>
        <v>15882.091353789465</v>
      </c>
      <c r="Q85" s="916">
        <f t="shared" si="26"/>
        <v>500</v>
      </c>
      <c r="R85" s="917">
        <f t="shared" si="27"/>
        <v>17959.174262622288</v>
      </c>
      <c r="S85" s="918">
        <f t="shared" si="28"/>
        <v>20832.642144641854</v>
      </c>
      <c r="T85" s="919">
        <f t="shared" si="29"/>
        <v>35.918348525244575</v>
      </c>
      <c r="U85" s="920">
        <f t="shared" si="30"/>
        <v>41.665284289283704</v>
      </c>
      <c r="V85" s="919">
        <f t="shared" si="31"/>
        <v>1.4134768103396893</v>
      </c>
      <c r="W85" s="919">
        <f t="shared" si="32"/>
        <v>44.897935656555781</v>
      </c>
      <c r="X85" s="919" t="str">
        <f t="shared" si="33"/>
        <v/>
      </c>
      <c r="Y85" s="920">
        <f t="shared" si="34"/>
        <v>1.6396330999940394</v>
      </c>
      <c r="Z85" s="920">
        <f t="shared" si="35"/>
        <v>52.081605361604701</v>
      </c>
      <c r="AA85" s="920" t="str">
        <f t="shared" si="36"/>
        <v/>
      </c>
      <c r="AB85" s="917">
        <f t="shared" si="37"/>
        <v>22448.967828277891</v>
      </c>
      <c r="AC85" s="918">
        <f t="shared" si="38"/>
        <v>26040.802680802353</v>
      </c>
      <c r="AD85" s="916">
        <f t="shared" si="39"/>
        <v>15882.091353789465</v>
      </c>
      <c r="AE85" s="916">
        <f t="shared" si="40"/>
        <v>500</v>
      </c>
      <c r="AF85" s="919" cm="1">
        <f t="array" ref="AF85">IFERROR(_xlfn.LET(_xlpm.lam,TEXT(B85,"0"),_xlpm.thick,D85,_xlpm.crit,(TEXT(HELPER!$BZ$2:$BZ$250,"0")=_xlpm.lam)*(HELPER!$CC$2:$CC$250=_xlpm.thick)*(HELPER!$BW$2:$BW$250&lt;&gt;""),_xlpm.mats,TRIM(SUBSTITUTE(_xlfn._xlws.FILTER(HELPER!$BW$2:$BW$250,_xlpm.crit),CHAR(160),"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85" s="919">
        <f>IFERROR(IF(N85="Europe to Canada",IF(Q85&lt;1000,VLOOKUP(1000,HELPER!$AG$4:$AH$8,2,FALSE)/Q85,VLOOKUP(Q85,HELPER!$AG$4:$AH$8,2,TRUE)/Q85),IF(N85="Europe to US",HELPER!$AH$2,IF(N85="Europe to Europe",HELPER!$AH$3,0))),0)</f>
        <v>0.2</v>
      </c>
      <c r="AH85" s="919" cm="1">
        <f t="array" ref="AH85">IFERROR(_xlfn.LET(_xlpm.cap,IF(O85="Quantum",760,1220),_xlpm.wUsed,E85*MAX(1,MIN(MAX(2,INT(900/E85)),INT((_xlpm.cap-50)/E85))),_xlpm.kgmUsed,AR85/E85*_xlpm.wUsed,_xlpm.lam,TEXT(B85,"0"),_xlpm.crit,(TEXT(HELPER!$BZ$2:$BZ$250,"0")=_xlpm.lam)*(HELPER!$CC$2:$CC$250=D85)*(HELPER!$BW$2:$BW$250&lt;&gt;""),_xlpm.mats,_xlfn._xlws.FILTER(HELPER!$BW$2:$BW$250,_xlpm.crit),_xlpm.realLayers,SUM((_xlpm.mats&lt;&gt;"")*ISERROR(SEARCH("EPOTAL",_xlpm.mats&amp;""))*ISERROR(SEARCH("BASONAT",_xlpm.mats&amp;""))*ISERROR(SEARCH("ADH",_xlpm.mats&amp;""))*ISERROR(SEARCH("HARDENER",_xlpm.mats&amp;""))),_xlpm.steps,MAX(0,_xlpm.realLayers-1),_xlpm.tier,IF(P85&lt;3000,1,IF(P85&lt;10000,2,IF(P85&lt;25000,3,IF(P85&lt;50000,4,IF(P85&lt;100000,5,IF(P85&lt;250000,6,7)))))),_xlpm.widthRow,IF(_xlpm.wUsed&lt;900,0,5),_xlpm.supplierRow,IF(O85="Marma",3,IF(OR(O85="Bastin",O85="Quantum"),13,0)),_xlpm.rate,INDEX('Lmntn &amp; Prntng- Marma &amp; Bastin '!$D$1:$K$22,_xlpm.supplierRow+_xlpm.widthRow,_xlpm.tier),_xlpm.rate*_xlpm.steps/_xlpm.kgmUsed),"")</f>
        <v>3.7795883361921092</v>
      </c>
      <c r="AI85" s="919" cm="1">
        <f t="array" ref="AI85">IFERROR(_xlfn.LET(_xlpm.cap,IF(O85="Quantum",760,1220),_xlpm.wUsed,E85*MAX(1,MIN(MAX(2,INT(900/E85)),INT((_xlpm.cap-50)/E85))),_xlpm.kgmUsed,AR85/E85*_xlpm.wUsed,_xlpm.tier,IF(P85&lt;3000,1,IF(P85&lt;10000,2,IF(P85&lt;25000,3,IF(P85&lt;50000,4,IF(P85&lt;100000,5,IF(P85&lt;250000,6,IF(P85&lt;500000,7,8))))))),_xlpm.widthRow,IF(_xlpm.wUsed&lt;900,0,5),_xlpm.slitRow,IF(O85="Marma",7,IF(OR(O85="Bastin",O85="Quantum"),17,0)),_xlpm.slitRate,INDEX('Lmntn &amp; Prntng- Marma &amp; Bastin '!$D$1:$K$22,_xlpm.slitRow+_xlpm.widthRow,_xlpm.tier),_xlpm.numColors,IF(ISNUMBER(L85),L85,IFERROR(--RIGHT(L85,LEN(L85)-FIND("-",L85)),0)),_xlpm.printRate,IF(OR(K85&lt;&gt;"Printed",_xlpm.numColors=0),0,IF(O85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85))),MAX(_xlfn._xlws.FILTER(_xlpm.meters,(_xlpm.widths=_xlpm.qWidth)*(_xlpm.bands=_xlpm.band)))),INDEX(_xlpm.rates,_xlfn.XMATCH(1,(_xlpm.widths=_xlpm.qWidth)*(_xlpm.bands=_xlpm.band)*(_xlpm.meters=_xlpm.targetM),0))/HELPER!$AK$2),_xlfn.LET(_xlpm.colorOffset,IF(_xlpm.numColors&lt;=2,1,IF(_xlpm.numColors&lt;=4,2,3)),_xlpm.supplierRow,IF(O85="Marma",3,IF(O85="Bastin",13,0)),INDEX('Lmntn &amp; Prntng- Marma &amp; Bastin '!$D$1:$K$22,_xlpm.supplierRow+_xlpm.widthRow+_xlpm.colorOffset,_xlpm.tier)))),AH85+_xlpm.slitRate/_xlpm.kgmUsed+_xlpm.printRate/_xlpm.kgmUsed+AJ85),"")</f>
        <v>28.016247138485266</v>
      </c>
      <c r="AJ85" s="919" cm="1">
        <f t="array" ref="AJ85">IF(OR(K85&lt;&gt;"Printed",L85=0,L85="0",L85=""),0,IFERROR(_xlfn.LET(_xlpm.lam,TEXT(B85,"0"),_xlpm.crit,(TEXT(HELPER!$BZ$2:$BZ$250,"0")=_xlpm.lam)*(HELPER!$CC$2:$CC$250=D85)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WHITE"},0)))/ROWS(_xlpm.real),_xlpm.numColors,IF(ISNUMBER(L85),L85,IFERROR(--RIGHT(L85,LEN(L85)-FIND("-",L85)),0)),HELPER!$DB$1*_xlpm.numColors*MAX(1,M85)*1.05*_xlpm.nkRatio/Q85),0))</f>
        <v>1.26</v>
      </c>
      <c r="AK85" s="919">
        <f t="shared" si="41"/>
        <v>2.0264900506662213</v>
      </c>
      <c r="AL85" s="919">
        <f t="shared" si="42"/>
        <v>1413.4768103396893</v>
      </c>
      <c r="AM85" s="73" t="str">
        <f t="shared" si="43"/>
        <v>PASS</v>
      </c>
      <c r="AN85" s="908" t="str">
        <f t="shared" si="22"/>
        <v/>
      </c>
      <c r="AO85" s="919">
        <f t="shared" si="23"/>
        <v>53</v>
      </c>
      <c r="AP85" s="919">
        <f t="shared" si="24"/>
        <v>15882.091353789465</v>
      </c>
      <c r="AQ85" s="919"/>
      <c r="AR85" s="919" cm="1">
        <f t="array" ref="AR85">IFERROR(_xlfn.LET(_xlpm.lam,TEXT(B85,"0"),_xlpm.thick,D85,_xlpm.crit,(TEXT(HELPER!$BZ$2:$BZ$250,"0")=_xlpm.lam)*(HELPER!$CC$2:$CC$250=_xlpm.thick)*(HELPER!$BW$2:$BW$250&lt;&gt;""),_xlpm.mats,TRIM(SUBSTITUTE(_xlfn._xlws.FILTER(HELPER!$BW$2:$BW$250,_xlpm.crit),CHAR(160),"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")),HELPER!$AQ$2:$AQ$20,1),_xlpm.mass,IF(ISNUMBER(SEARCH("paper",_xlpm.mats)),42,_xlpm.dens*_xlpm.ths),E85/1000000*SUM(_xlpm.mass)),"")</f>
        <v>3.1482000000000003E-2</v>
      </c>
      <c r="AS85" s="919">
        <f>IFERROR(IF(D85&gt;31,(5%+250/P85)*AF85,VLOOKUP(D85,HELPER!$BH$3:$BI$5,2,TRUE)*AF85),0)</f>
        <v>0.47510966291710977</v>
      </c>
      <c r="AT85" s="919">
        <v>0.20000000000000101</v>
      </c>
      <c r="AU85" s="919"/>
      <c r="AV85" s="919"/>
      <c r="AW85" s="919"/>
      <c r="AX85" s="919"/>
      <c r="AY85" s="919"/>
      <c r="AZ85" s="919">
        <f t="shared" si="25"/>
        <v>630</v>
      </c>
    </row>
    <row r="86" spans="1:52">
      <c r="A86" s="73" t="s">
        <v>1507</v>
      </c>
      <c r="B86" s="73" t="s">
        <v>1120</v>
      </c>
      <c r="C86" s="908" t="s">
        <v>1418</v>
      </c>
      <c r="D86" s="915" cm="1">
        <f t="array" ref="D8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6" s="915">
        <v>120</v>
      </c>
      <c r="F86" s="73" t="s">
        <v>560</v>
      </c>
      <c r="G86" s="916">
        <v>100</v>
      </c>
      <c r="H86" s="916">
        <v>100</v>
      </c>
      <c r="I86" s="916"/>
      <c r="J86" s="916"/>
      <c r="K86" s="73" t="s">
        <v>124</v>
      </c>
      <c r="L86" s="921" t="s">
        <v>221</v>
      </c>
      <c r="M86" s="915">
        <v>1</v>
      </c>
      <c r="N86" s="73" t="s">
        <v>549</v>
      </c>
      <c r="O86" s="73" t="s">
        <v>250</v>
      </c>
      <c r="P86" s="916" cm="1">
        <f t="array" ref="P86">IFERROR(_xlfn.SWITCH(F86,"By Weight",IF(H86&lt;&gt;"",H86,G86)/AR86,"By Length",G86,"By Imp",G86/MAX(1,ROUNDDOWN(E86/I86,0))*J86/1000,"IMP",G86/MAX(1,ROUNDDOWN(E86/I86,0))*J86/1000,""),"")</f>
        <v>10167.561412070929</v>
      </c>
      <c r="Q86" s="916">
        <f t="shared" si="26"/>
        <v>100</v>
      </c>
      <c r="R86" s="917">
        <f t="shared" si="27"/>
        <v>1068.4598010489397</v>
      </c>
      <c r="S86" s="918">
        <f t="shared" si="28"/>
        <v>1239.41336921677</v>
      </c>
      <c r="T86" s="919">
        <f t="shared" si="29"/>
        <v>10.684598010489397</v>
      </c>
      <c r="U86" s="920">
        <f t="shared" si="30"/>
        <v>12.394133692167699</v>
      </c>
      <c r="V86" s="919">
        <f t="shared" si="31"/>
        <v>0.1236295980620767</v>
      </c>
      <c r="W86" s="919">
        <f t="shared" si="32"/>
        <v>12.570115306458099</v>
      </c>
      <c r="X86" s="919" t="str">
        <f t="shared" si="33"/>
        <v/>
      </c>
      <c r="Y86" s="920">
        <f t="shared" si="34"/>
        <v>0.14341033375200896</v>
      </c>
      <c r="Z86" s="920">
        <f t="shared" si="35"/>
        <v>14.581333755491395</v>
      </c>
      <c r="AA86" s="920" t="str">
        <f t="shared" si="36"/>
        <v/>
      </c>
      <c r="AB86" s="917">
        <f t="shared" si="37"/>
        <v>1257.0115306458099</v>
      </c>
      <c r="AC86" s="918">
        <f t="shared" si="38"/>
        <v>1458.1333755491394</v>
      </c>
      <c r="AD86" s="916">
        <f t="shared" si="39"/>
        <v>50837.807060354644</v>
      </c>
      <c r="AE86" s="916">
        <f t="shared" si="40"/>
        <v>500</v>
      </c>
      <c r="AF86" s="919" cm="1">
        <f t="array" ref="AF86">IFERROR(_xlfn.LET(_xlpm.lam,TEXT(B86,"0"),_xlpm.thick,D86,_xlpm.crit,(TEXT(HELPER!$BZ$2:$BZ$250,"0")=_xlpm.lam)*(HELPER!$CC$2:$CC$250=_xlpm.thick)*(HELPER!$BW$2:$BW$250&lt;&gt;""),_xlpm.mats,TRIM(SUBSTITUTE(_xlfn._xlws.FILTER(HELPER!$BW$2:$BW$250,_xlpm.crit),CHAR(160),"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86" s="919">
        <f>IFERROR(IF(N86="Europe to Canada",IF(Q86&lt;1000,VLOOKUP(1000,HELPER!$AG$4:$AH$8,2,FALSE)/Q86,VLOOKUP(Q86,HELPER!$AG$4:$AH$8,2,TRUE)/Q86),IF(N86="Europe to US",HELPER!$AH$2,IF(N86="Europe to Europe",HELPER!$AH$3,0))),0)</f>
        <v>0.2</v>
      </c>
      <c r="AH86" s="919" cm="1">
        <f t="array" ref="AH86">IFERROR(_xlfn.LET(_xlpm.cap,IF(O86="Quantum",760,1220),_xlpm.wUsed,E86*MAX(1,MIN(MAX(2,INT(900/E86)),INT((_xlpm.cap-50)/E86))),_xlpm.kgmUsed,AR86/E86*_xlpm.wUsed,_xlpm.lam,TEXT(B86,"0"),_xlpm.crit,(TEXT(HELPER!$BZ$2:$BZ$250,"0")=_xlpm.lam)*(HELPER!$CC$2:$CC$250=D86)*(HELPER!$BW$2:$BW$250&lt;&gt;""),_xlpm.mats,_xlfn._xlws.FILTER(HELPER!$BW$2:$BW$250,_xlpm.crit),_xlpm.realLayers,SUM((_xlpm.mats&lt;&gt;"")*ISERROR(SEARCH("EPOTAL",_xlpm.mats&amp;""))*ISERROR(SEARCH("BASONAT",_xlpm.mats&amp;""))*ISERROR(SEARCH("ADH",_xlpm.mats&amp;""))*ISERROR(SEARCH("HARDENER",_xlpm.mats&amp;""))),_xlpm.steps,MAX(0,_xlpm.realLayers-1),_xlpm.tier,IF(P86&lt;3000,1,IF(P86&lt;10000,2,IF(P86&lt;25000,3,IF(P86&lt;50000,4,IF(P86&lt;100000,5,IF(P86&lt;250000,6,7)))))),_xlpm.widthRow,IF(_xlpm.wUsed&lt;900,0,5),_xlpm.supplierRow,IF(O86="Marma",3,IF(OR(O86="Bastin",O86="Quantum"),13,0)),_xlpm.rate,INDEX('Lmntn &amp; Prntng- Marma &amp; Bastin '!$D$1:$K$22,_xlpm.supplierRow+_xlpm.widthRow,_xlpm.tier),_xlpm.rate*_xlpm.steps/_xlpm.kgmUsed),"")</f>
        <v>1.3294812800669316</v>
      </c>
      <c r="AI86" s="919" cm="1">
        <f t="array" ref="AI86">IFERROR(_xlfn.LET(_xlpm.cap,IF(O86="Quantum",760,1220),_xlpm.wUsed,E86*MAX(1,MIN(MAX(2,INT(900/E86)),INT((_xlpm.cap-50)/E86))),_xlpm.kgmUsed,AR86/E86*_xlpm.wUsed,_xlpm.tier,IF(P86&lt;3000,1,IF(P86&lt;10000,2,IF(P86&lt;25000,3,IF(P86&lt;50000,4,IF(P86&lt;100000,5,IF(P86&lt;250000,6,IF(P86&lt;500000,7,8))))))),_xlpm.widthRow,IF(_xlpm.wUsed&lt;900,0,5),_xlpm.slitRow,IF(O86="Marma",7,IF(OR(O86="Bastin",O86="Quantum"),17,0)),_xlpm.slitRate,INDEX('Lmntn &amp; Prntng- Marma &amp; Bastin '!$D$1:$K$22,_xlpm.slitRow+_xlpm.widthRow,_xlpm.tier),_xlpm.numColors,IF(ISNUMBER(L86),L86,IFERROR(--RIGHT(L86,LEN(L86)-FIND("-",L86)),0)),_xlpm.printRate,IF(OR(K86&lt;&gt;"Printed",_xlpm.numColors=0),0,IF(O86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86))),MAX(_xlfn._xlws.FILTER(_xlpm.meters,(_xlpm.widths=_xlpm.qWidth)*(_xlpm.bands=_xlpm.band)))),INDEX(_xlpm.rates,_xlfn.XMATCH(1,(_xlpm.widths=_xlpm.qWidth)*(_xlpm.bands=_xlpm.band)*(_xlpm.meters=_xlpm.targetM),0))/HELPER!$AK$2),_xlfn.LET(_xlpm.colorOffset,IF(_xlpm.numColors&lt;=2,1,IF(_xlpm.numColors&lt;=4,2,3)),_xlpm.supplierRow,IF(O86="Marma",3,IF(O86="Bastin",13,0)),INDEX('Lmntn &amp; Prntng- Marma &amp; Bastin '!$D$1:$K$22,_xlpm.supplierRow+_xlpm.widthRow+_xlpm.colorOffset,_xlpm.tier)))),AH86+_xlpm.slitRate/_xlpm.kgmUsed+_xlpm.printRate/_xlpm.kgmUsed+AJ86),"")</f>
        <v>1.7059715540681866</v>
      </c>
      <c r="AJ86" s="919" cm="1">
        <f t="array" ref="AJ86">IF(OR(K86&lt;&gt;"Printed",L86=0,L86="0",L86=""),0,IFERROR(_xlfn.LET(_xlpm.lam,TEXT(B86,"0"),_xlpm.crit,(TEXT(HELPER!$BZ$2:$BZ$250,"0")=_xlpm.lam)*(HELPER!$CC$2:$CC$250=D86)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WHITE"},0)))/ROWS(_xlpm.real),_xlpm.numColors,IF(ISNUMBER(L86),L86,IFERROR(--RIGHT(L86,LEN(L86)-FIND("-",L86)),0)),HELPER!$DB$1*_xlpm.numColors*MAX(1,M86)*1.05*_xlpm.nkRatio/Q86),0))</f>
        <v>0</v>
      </c>
      <c r="AK86" s="919">
        <f t="shared" si="41"/>
        <v>0.6646752583982618</v>
      </c>
      <c r="AL86" s="919">
        <f t="shared" si="42"/>
        <v>123.6295980620767</v>
      </c>
      <c r="AM86" s="73" t="str">
        <f t="shared" si="43"/>
        <v>PASS</v>
      </c>
      <c r="AN86" s="908" t="str">
        <f t="shared" si="22"/>
        <v/>
      </c>
      <c r="AO86" s="919">
        <f t="shared" si="23"/>
        <v>63</v>
      </c>
      <c r="AP86" s="919">
        <f t="shared" si="24"/>
        <v>10167.561412070929</v>
      </c>
      <c r="AQ86" s="919"/>
      <c r="AR86" s="919" cm="1">
        <f t="array" ref="AR86">IFERROR(_xlfn.LET(_xlpm.lam,TEXT(B86,"0"),_xlpm.thick,D86,_xlpm.crit,(TEXT(HELPER!$BZ$2:$BZ$250,"0")=_xlpm.lam)*(HELPER!$CC$2:$CC$250=_xlpm.thick)*(HELPER!$BW$2:$BW$250&lt;&gt;""),_xlpm.mats,TRIM(SUBSTITUTE(_xlfn._xlws.FILTER(HELPER!$BW$2:$BW$250,_xlpm.crit),CHAR(160),"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")),HELPER!$AQ$2:$AQ$20,1),_xlpm.mass,IF(ISNUMBER(SEARCH("paper",_xlpm.mats)),42,_xlpm.dens*_xlpm.ths),E86/1000000*SUM(_xlpm.mass)),"")</f>
        <v>9.8352000000000005E-3</v>
      </c>
      <c r="AS86" s="919">
        <f>IFERROR(IF(D86&gt;31,(5%+250/P86)*AF86,VLOOKUP(D86,HELPER!$BH$3:$BI$5,2,TRUE)*AF86),0)</f>
        <v>0.60933138107958151</v>
      </c>
      <c r="AT86" s="919">
        <v>0.149999999999999</v>
      </c>
      <c r="AU86" s="919"/>
      <c r="AV86" s="919"/>
      <c r="AW86" s="919"/>
      <c r="AX86" s="919"/>
      <c r="AY86" s="919"/>
      <c r="AZ86" s="919">
        <f t="shared" si="25"/>
        <v>0</v>
      </c>
    </row>
    <row r="87" spans="1:52">
      <c r="A87" s="73" t="s">
        <v>1508</v>
      </c>
      <c r="B87" s="73" t="s">
        <v>1120</v>
      </c>
      <c r="C87" s="908" t="s">
        <v>1420</v>
      </c>
      <c r="D87" s="915" cm="1">
        <f t="array" ref="D8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7" s="915">
        <v>120</v>
      </c>
      <c r="F87" s="73" t="s">
        <v>1040</v>
      </c>
      <c r="G87" s="916">
        <v>1000</v>
      </c>
      <c r="H87" s="916"/>
      <c r="I87" s="916">
        <v>80</v>
      </c>
      <c r="J87" s="916">
        <v>80</v>
      </c>
      <c r="K87" s="73" t="s">
        <v>123</v>
      </c>
      <c r="L87" s="921" t="s">
        <v>591</v>
      </c>
      <c r="M87" s="915">
        <v>1</v>
      </c>
      <c r="N87" s="73" t="s">
        <v>550</v>
      </c>
      <c r="O87" s="73" t="s">
        <v>240</v>
      </c>
      <c r="P87" s="916" cm="1">
        <f t="array" ref="P87">IFERROR(_xlfn.SWITCH(F87,"By Weight",IF(H87&lt;&gt;"",H87,G87)/AR87,"By Length",G87,"By Imp",G87/MAX(1,ROUNDDOWN(E87/I87,0))*J87/1000,"IMP",G87/MAX(1,ROUNDDOWN(E87/I87,0))*J87/1000,""),"")</f>
        <v>80</v>
      </c>
      <c r="Q87" s="916">
        <f t="shared" si="26"/>
        <v>0.78681600000000007</v>
      </c>
      <c r="R87" s="917">
        <f t="shared" si="27"/>
        <v>351.70521638037854</v>
      </c>
      <c r="S87" s="918">
        <f t="shared" si="28"/>
        <v>407.97805100123907</v>
      </c>
      <c r="T87" s="919">
        <f t="shared" si="29"/>
        <v>446.99804831164914</v>
      </c>
      <c r="U87" s="920">
        <f t="shared" si="30"/>
        <v>518.51773604151299</v>
      </c>
      <c r="V87" s="919">
        <f t="shared" si="31"/>
        <v>5.1721355350055793</v>
      </c>
      <c r="W87" s="919">
        <f t="shared" si="32"/>
        <v>525.88005683723554</v>
      </c>
      <c r="X87" s="919">
        <f t="shared" si="33"/>
        <v>0.41377084280044635</v>
      </c>
      <c r="Y87" s="920">
        <f t="shared" si="34"/>
        <v>5.9996772206064719</v>
      </c>
      <c r="Z87" s="920">
        <f t="shared" si="35"/>
        <v>610.02086593119316</v>
      </c>
      <c r="AA87" s="920">
        <f t="shared" si="36"/>
        <v>0.47997417764851774</v>
      </c>
      <c r="AB87" s="917">
        <f t="shared" si="37"/>
        <v>413.77084280044636</v>
      </c>
      <c r="AC87" s="918">
        <f t="shared" si="38"/>
        <v>479.97417764851775</v>
      </c>
      <c r="AD87" s="916">
        <f t="shared" si="39"/>
        <v>50837.807060354644</v>
      </c>
      <c r="AE87" s="916">
        <f t="shared" si="40"/>
        <v>500</v>
      </c>
      <c r="AF87" s="919" cm="1">
        <f t="array" ref="AF87">IFERROR(_xlfn.LET(_xlpm.lam,TEXT(B87,"0"),_xlpm.thick,D87,_xlpm.crit,(TEXT(HELPER!$BZ$2:$BZ$250,"0")=_xlpm.lam)*(HELPER!$CC$2:$CC$250=_xlpm.thick)*(HELPER!$BW$2:$BW$250&lt;&gt;""),_xlpm.mats,TRIM(SUBSTITUTE(_xlfn._xlws.FILTER(HELPER!$BW$2:$BW$250,_xlpm.crit),CHAR(160),"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87" s="919">
        <f>IFERROR(IF(N87="Europe to Canada",IF(Q87&lt;1000,VLOOKUP(1000,HELPER!$AG$4:$AH$8,2,FALSE)/Q87,VLOOKUP(Q87,HELPER!$AG$4:$AH$8,2,TRUE)/Q87),IF(N87="Europe to US",HELPER!$AH$2,IF(N87="Europe to Europe",HELPER!$AH$3,0))),0)</f>
        <v>5.4</v>
      </c>
      <c r="AH87" s="919" cm="1">
        <f t="array" ref="AH87">IFERROR(_xlfn.LET(_xlpm.cap,IF(O87="Quantum",760,1220),_xlpm.wUsed,E87*MAX(1,MIN(MAX(2,INT(900/E87)),INT((_xlpm.cap-50)/E87))),_xlpm.kgmUsed,AR87/E87*_xlpm.wUsed,_xlpm.lam,TEXT(B87,"0"),_xlpm.crit,(TEXT(HELPER!$BZ$2:$BZ$250,"0")=_xlpm.lam)*(HELPER!$CC$2:$CC$250=D87)*(HELPER!$BW$2:$BW$250&lt;&gt;""),_xlpm.mats,_xlfn._xlws.FILTER(HELPER!$BW$2:$BW$250,_xlpm.crit),_xlpm.realLayers,SUM((_xlpm.mats&lt;&gt;"")*ISERROR(SEARCH("EPOTAL",_xlpm.mats&amp;""))*ISERROR(SEARCH("BASONAT",_xlpm.mats&amp;""))*ISERROR(SEARCH("ADH",_xlpm.mats&amp;""))*ISERROR(SEARCH("HARDENER",_xlpm.mats&amp;""))),_xlpm.steps,MAX(0,_xlpm.realLayers-1),_xlpm.tier,IF(P87&lt;3000,1,IF(P87&lt;10000,2,IF(P87&lt;25000,3,IF(P87&lt;50000,4,IF(P87&lt;100000,5,IF(P87&lt;250000,6,7)))))),_xlpm.widthRow,IF(_xlpm.wUsed&lt;900,0,5),_xlpm.supplierRow,IF(O87="Marma",3,IF(OR(O87="Bastin",O87="Quantum"),13,0)),_xlpm.rate,INDEX('Lmntn &amp; Prntng- Marma &amp; Bastin '!$D$1:$K$22,_xlpm.supplierRow+_xlpm.widthRow,_xlpm.tier),_xlpm.rate*_xlpm.steps/_xlpm.kgmUsed),"")</f>
        <v>2.2041675381719306</v>
      </c>
      <c r="AI87" s="919" cm="1">
        <f t="array" ref="AI87">IFERROR(_xlfn.LET(_xlpm.cap,IF(O87="Quantum",760,1220),_xlpm.wUsed,E87*MAX(1,MIN(MAX(2,INT(900/E87)),INT((_xlpm.cap-50)/E87))),_xlpm.kgmUsed,AR87/E87*_xlpm.wUsed,_xlpm.tier,IF(P87&lt;3000,1,IF(P87&lt;10000,2,IF(P87&lt;25000,3,IF(P87&lt;50000,4,IF(P87&lt;100000,5,IF(P87&lt;250000,6,IF(P87&lt;500000,7,8))))))),_xlpm.widthRow,IF(_xlpm.wUsed&lt;900,0,5),_xlpm.slitRow,IF(O87="Marma",7,IF(OR(O87="Bastin",O87="Quantum"),17,0)),_xlpm.slitRate,INDEX('Lmntn &amp; Prntng- Marma &amp; Bastin '!$D$1:$K$22,_xlpm.slitRow+_xlpm.widthRow,_xlpm.tier),_xlpm.numColors,IF(ISNUMBER(L87),L87,IFERROR(--RIGHT(L87,LEN(L87)-FIND("-",L87)),0)),_xlpm.printRate,IF(OR(K87&lt;&gt;"Printed",_xlpm.numColors=0),0,IF(O87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87))),MAX(_xlfn._xlws.FILTER(_xlpm.meters,(_xlpm.widths=_xlpm.qWidth)*(_xlpm.bands=_xlpm.band)))),INDEX(_xlpm.rates,_xlfn.XMATCH(1,(_xlpm.widths=_xlpm.qWidth)*(_xlpm.bands=_xlpm.band)*(_xlpm.meters=_xlpm.targetM),0))/HELPER!$AK$2),_xlfn.LET(_xlpm.colorOffset,IF(_xlpm.numColors&lt;=2,1,IF(_xlpm.numColors&lt;=4,2,3)),_xlpm.supplierRow,IF(O87="Marma",3,IF(O87="Bastin",13,0)),INDEX('Lmntn &amp; Prntng- Marma &amp; Bastin '!$D$1:$K$22,_xlpm.supplierRow+_xlpm.widthRow+_xlpm.colorOffset,_xlpm.tier)))),AH87+_xlpm.slitRate/_xlpm.kgmUsed+_xlpm.printRate/_xlpm.kgmUsed+AJ87),"")</f>
        <v>407.49124137209782</v>
      </c>
      <c r="AJ87" s="919" cm="1">
        <f t="array" ref="AJ87">IF(OR(K87&lt;&gt;"Printed",L87=0,L87="0",L87=""),0,IFERROR(_xlfn.LET(_xlpm.lam,TEXT(B87,"0"),_xlpm.crit,(TEXT(HELPER!$BZ$2:$BZ$250,"0")=_xlpm.lam)*(HELPER!$CC$2:$CC$250=D87)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WHITE"},0)))/ROWS(_xlpm.real),_xlpm.numColors,IF(ISNUMBER(L87),L87,IFERROR(--RIGHT(L87,LEN(L87)-FIND("-",L87)),0)),HELPER!$DB$1*_xlpm.numColors*MAX(1,M87)*1.05*_xlpm.nkRatio/Q87),0))</f>
        <v>400.34773060029278</v>
      </c>
      <c r="AK87" s="919">
        <f t="shared" si="41"/>
        <v>27.807180295728923</v>
      </c>
      <c r="AL87" s="919">
        <f t="shared" si="42"/>
        <v>5172.1355350055792</v>
      </c>
      <c r="AM87" s="73" t="str">
        <f t="shared" si="43"/>
        <v>PASS</v>
      </c>
      <c r="AN87" s="908" t="str">
        <f t="shared" si="22"/>
        <v/>
      </c>
      <c r="AO87" s="919">
        <f t="shared" si="23"/>
        <v>63</v>
      </c>
      <c r="AP87" s="919">
        <f t="shared" si="24"/>
        <v>80</v>
      </c>
      <c r="AQ87" s="919"/>
      <c r="AR87" s="919" cm="1">
        <f t="array" ref="AR87">IFERROR(_xlfn.LET(_xlpm.lam,TEXT(B87,"0"),_xlpm.thick,D87,_xlpm.crit,(TEXT(HELPER!$BZ$2:$BZ$250,"0")=_xlpm.lam)*(HELPER!$CC$2:$CC$250=_xlpm.thick)*(HELPER!$BW$2:$BW$250&lt;&gt;""),_xlpm.mats,TRIM(SUBSTITUTE(_xlfn._xlws.FILTER(HELPER!$BW$2:$BW$250,_xlpm.crit),CHAR(160),"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")),HELPER!$AQ$2:$AQ$20,1),_xlpm.mass,IF(ISNUMBER(SEARCH("paper",_xlpm.mats)),42,_xlpm.dens*_xlpm.ths),E87/1000000*SUM(_xlpm.mass)),"")</f>
        <v>9.8352000000000005E-3</v>
      </c>
      <c r="AS87" s="919">
        <f>IFERROR(IF(D87&gt;31,(5%+250/P87)*AF87,VLOOKUP(D87,HELPER!$BH$3:$BI$5,2,TRUE)*AF87),0)</f>
        <v>25.937511864209672</v>
      </c>
      <c r="AT87" s="919">
        <v>0.15000000000000199</v>
      </c>
      <c r="AU87" s="919"/>
      <c r="AV87" s="919"/>
      <c r="AW87" s="919"/>
      <c r="AX87" s="919"/>
      <c r="AY87" s="919"/>
      <c r="AZ87" s="919">
        <f t="shared" si="25"/>
        <v>315</v>
      </c>
    </row>
    <row r="88" spans="1:52">
      <c r="A88" s="73" t="s">
        <v>1509</v>
      </c>
      <c r="B88" s="73" t="s">
        <v>1120</v>
      </c>
      <c r="C88" s="908" t="s">
        <v>1422</v>
      </c>
      <c r="D88" s="915" cm="1">
        <f t="array" ref="D8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8" s="915">
        <v>350</v>
      </c>
      <c r="F88" s="73" t="s">
        <v>560</v>
      </c>
      <c r="G88" s="916">
        <v>5000</v>
      </c>
      <c r="H88" s="916">
        <v>5000</v>
      </c>
      <c r="I88" s="916"/>
      <c r="J88" s="916"/>
      <c r="K88" s="73" t="s">
        <v>123</v>
      </c>
      <c r="L88" s="921" t="s">
        <v>122</v>
      </c>
      <c r="M88" s="915">
        <v>4</v>
      </c>
      <c r="N88" s="73" t="s">
        <v>549</v>
      </c>
      <c r="O88" s="73" t="s">
        <v>1366</v>
      </c>
      <c r="P88" s="916" cm="1">
        <f t="array" ref="P88">IFERROR(_xlfn.SWITCH(F88,"By Weight",IF(H88&lt;&gt;"",H88,G88)/AR88,"By Length",G88,"By Imp",G88/MAX(1,ROUNDDOWN(E88/I88,0))*J88/1000,"IMP",G88/MAX(1,ROUNDDOWN(E88/I88,0))*J88/1000,""),"")</f>
        <v>174301.05277835877</v>
      </c>
      <c r="Q88" s="916">
        <f t="shared" si="26"/>
        <v>5000</v>
      </c>
      <c r="R88" s="917">
        <f t="shared" si="27"/>
        <v>123373.40632478504</v>
      </c>
      <c r="S88" s="918">
        <f t="shared" si="28"/>
        <v>143113.15133675063</v>
      </c>
      <c r="T88" s="919">
        <f t="shared" si="29"/>
        <v>24.674681264957009</v>
      </c>
      <c r="U88" s="920">
        <f t="shared" si="30"/>
        <v>28.622630267350129</v>
      </c>
      <c r="V88" s="919">
        <f t="shared" si="31"/>
        <v>0.8847723834581982</v>
      </c>
      <c r="W88" s="919">
        <f t="shared" si="32"/>
        <v>30.843351581196337</v>
      </c>
      <c r="X88" s="919" t="str">
        <f t="shared" si="33"/>
        <v/>
      </c>
      <c r="Y88" s="920">
        <f t="shared" si="34"/>
        <v>1.0263359648115098</v>
      </c>
      <c r="Z88" s="920">
        <f t="shared" si="35"/>
        <v>35.778287834187751</v>
      </c>
      <c r="AA88" s="920" t="str">
        <f t="shared" si="36"/>
        <v/>
      </c>
      <c r="AB88" s="917">
        <f t="shared" si="37"/>
        <v>154216.75790598168</v>
      </c>
      <c r="AC88" s="918">
        <f t="shared" si="38"/>
        <v>178891.43917093874</v>
      </c>
      <c r="AD88" s="916">
        <f t="shared" si="39"/>
        <v>17430.105277835875</v>
      </c>
      <c r="AE88" s="916">
        <f t="shared" si="40"/>
        <v>500</v>
      </c>
      <c r="AF88" s="919" cm="1">
        <f t="array" ref="AF88">IFERROR(_xlfn.LET(_xlpm.lam,TEXT(B88,"0"),_xlpm.thick,D88,_xlpm.crit,(TEXT(HELPER!$BZ$2:$BZ$250,"0")=_xlpm.lam)*(HELPER!$CC$2:$CC$250=_xlpm.thick)*(HELPER!$BW$2:$BW$250&lt;&gt;""),_xlpm.mats,TRIM(SUBSTITUTE(_xlfn._xlws.FILTER(HELPER!$BW$2:$BW$250,_xlpm.crit),CHAR(160),"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88" s="919">
        <f>IFERROR(IF(N88="Europe to Canada",IF(Q88&lt;1000,VLOOKUP(1000,HELPER!$AG$4:$AH$8,2,FALSE)/Q88,VLOOKUP(Q88,HELPER!$AG$4:$AH$8,2,TRUE)/Q88),IF(N88="Europe to US",HELPER!$AH$2,IF(N88="Europe to Europe",HELPER!$AH$3,0))),0)</f>
        <v>0.2</v>
      </c>
      <c r="AH88" s="919" cm="1">
        <f t="array" ref="AH88">IFERROR(_xlfn.LET(_xlpm.cap,IF(O88="Quantum",760,1220),_xlpm.wUsed,E88*MAX(1,MIN(MAX(2,INT(900/E88)),INT((_xlpm.cap-50)/E88))),_xlpm.kgmUsed,AR88/E88*_xlpm.wUsed,_xlpm.lam,TEXT(B88,"0"),_xlpm.crit,(TEXT(HELPER!$BZ$2:$BZ$250,"0")=_xlpm.lam)*(HELPER!$CC$2:$CC$250=D88)*(HELPER!$BW$2:$BW$250&lt;&gt;""),_xlpm.mats,_xlfn._xlws.FILTER(HELPER!$BW$2:$BW$250,_xlpm.crit),_xlpm.realLayers,SUM((_xlpm.mats&lt;&gt;"")*ISERROR(SEARCH("EPOTAL",_xlpm.mats&amp;""))*ISERROR(SEARCH("BASONAT",_xlpm.mats&amp;""))*ISERROR(SEARCH("ADH",_xlpm.mats&amp;""))*ISERROR(SEARCH("HARDENER",_xlpm.mats&amp;""))),_xlpm.steps,MAX(0,_xlpm.realLayers-1),_xlpm.tier,IF(P88&lt;3000,1,IF(P88&lt;10000,2,IF(P88&lt;25000,3,IF(P88&lt;50000,4,IF(P88&lt;100000,5,IF(P88&lt;250000,6,7)))))),_xlpm.widthRow,IF(_xlpm.wUsed&lt;900,0,5),_xlpm.supplierRow,IF(O88="Marma",3,IF(OR(O88="Bastin",O88="Quantum"),13,0)),_xlpm.rate,INDEX('Lmntn &amp; Prntng- Marma &amp; Bastin '!$D$1:$K$22,_xlpm.supplierRow+_xlpm.widthRow,_xlpm.tier),_xlpm.rate*_xlpm.steps/_xlpm.kgmUsed),"")</f>
        <v>1.9026877222338423</v>
      </c>
      <c r="AI88" s="919" cm="1">
        <f t="array" ref="AI88">IFERROR(_xlfn.LET(_xlpm.cap,IF(O88="Quantum",760,1220),_xlpm.wUsed,E88*MAX(1,MIN(MAX(2,INT(900/E88)),INT((_xlpm.cap-50)/E88))),_xlpm.kgmUsed,AR88/E88*_xlpm.wUsed,_xlpm.tier,IF(P88&lt;3000,1,IF(P88&lt;10000,2,IF(P88&lt;25000,3,IF(P88&lt;50000,4,IF(P88&lt;100000,5,IF(P88&lt;250000,6,IF(P88&lt;500000,7,8))))))),_xlpm.widthRow,IF(_xlpm.wUsed&lt;900,0,5),_xlpm.slitRow,IF(O88="Marma",7,IF(OR(O88="Bastin",O88="Quantum"),17,0)),_xlpm.slitRate,INDEX('Lmntn &amp; Prntng- Marma &amp; Bastin '!$D$1:$K$22,_xlpm.slitRow+_xlpm.widthRow,_xlpm.tier),_xlpm.numColors,IF(ISNUMBER(L88),L88,IFERROR(--RIGHT(L88,LEN(L88)-FIND("-",L88)),0)),_xlpm.printRate,IF(OR(K88&lt;&gt;"Printed",_xlpm.numColors=0),0,IF(O88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88))),MAX(_xlfn._xlws.FILTER(_xlpm.meters,(_xlpm.widths=_xlpm.qWidth)*(_xlpm.bands=_xlpm.band)))),INDEX(_xlpm.rates,_xlfn.XMATCH(1,(_xlpm.widths=_xlpm.qWidth)*(_xlpm.bands=_xlpm.band)*(_xlpm.meters=_xlpm.targetM),0))/HELPER!$AK$2),_xlfn.LET(_xlpm.colorOffset,IF(_xlpm.numColors&lt;=2,1,IF(_xlpm.numColors&lt;=4,2,3)),_xlpm.supplierRow,IF(O88="Marma",3,IF(O88="Bastin",13,0)),INDEX('Lmntn &amp; Prntng- Marma &amp; Bastin '!$D$1:$K$22,_xlpm.supplierRow+_xlpm.widthRow+_xlpm.colorOffset,_xlpm.tier)))),AH88+_xlpm.slitRate/_xlpm.kgmUsed+_xlpm.printRate/_xlpm.kgmUsed+AJ88),"")</f>
        <v>15.885204215921737</v>
      </c>
      <c r="AJ88" s="919" cm="1">
        <f t="array" ref="AJ88">IF(OR(K88&lt;&gt;"Printed",L88=0,L88="0",L88=""),0,IFERROR(_xlfn.LET(_xlpm.lam,TEXT(B88,"0"),_xlpm.crit,(TEXT(HELPER!$BZ$2:$BZ$250,"0")=_xlpm.lam)*(HELPER!$CC$2:$CC$250=D88)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WHITE"},0)))/ROWS(_xlpm.real),_xlpm.numColors,IF(ISNUMBER(L88),L88,IFERROR(--RIGHT(L88,LEN(L88)-FIND("-",L88)),0)),HELPER!$DB$1*_xlpm.numColors*MAX(1,M88)*1.05*_xlpm.nkRatio/Q88),0))</f>
        <v>0.504</v>
      </c>
      <c r="AK88" s="919">
        <f t="shared" si="41"/>
        <v>1.6309168358676465</v>
      </c>
      <c r="AL88" s="919">
        <f t="shared" si="42"/>
        <v>884.77238345819819</v>
      </c>
      <c r="AM88" s="73" t="str">
        <f t="shared" si="43"/>
        <v>PASS</v>
      </c>
      <c r="AN88" s="908" t="str">
        <f t="shared" si="22"/>
        <v/>
      </c>
      <c r="AO88" s="919">
        <f t="shared" si="23"/>
        <v>63</v>
      </c>
      <c r="AP88" s="919">
        <f t="shared" si="24"/>
        <v>174301.05277835877</v>
      </c>
      <c r="AQ88" s="919"/>
      <c r="AR88" s="919" cm="1">
        <f t="array" ref="AR88">IFERROR(_xlfn.LET(_xlpm.lam,TEXT(B88,"0"),_xlpm.thick,D88,_xlpm.crit,(TEXT(HELPER!$BZ$2:$BZ$250,"0")=_xlpm.lam)*(HELPER!$CC$2:$CC$250=_xlpm.thick)*(HELPER!$BW$2:$BW$250&lt;&gt;""),_xlpm.mats,TRIM(SUBSTITUTE(_xlfn._xlws.FILTER(HELPER!$BW$2:$BW$250,_xlpm.crit),CHAR(160),"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")),HELPER!$AQ$2:$AQ$20,1),_xlpm.mass,IF(ISNUMBER(SEARCH("paper",_xlpm.mats)),42,_xlpm.dens*_xlpm.ths),E88/1000000*SUM(_xlpm.mass)),"")</f>
        <v>2.8686000000000003E-2</v>
      </c>
      <c r="AS88" s="919">
        <f>IFERROR(IF(D88&gt;31,(5%+250/P88)*AF88,VLOOKUP(D88,HELPER!$BH$3:$BI$5,2,TRUE)*AF88),0)</f>
        <v>0.42018197369364402</v>
      </c>
      <c r="AT88" s="919">
        <v>0.20000000000000201</v>
      </c>
      <c r="AU88" s="919"/>
      <c r="AV88" s="919"/>
      <c r="AW88" s="919"/>
      <c r="AX88" s="919"/>
      <c r="AY88" s="919"/>
      <c r="AZ88" s="919">
        <f t="shared" si="25"/>
        <v>2520</v>
      </c>
    </row>
    <row r="89" spans="1:52">
      <c r="A89" s="73" t="s">
        <v>1510</v>
      </c>
      <c r="B89" s="73" t="s">
        <v>1120</v>
      </c>
      <c r="C89" s="908" t="s">
        <v>1424</v>
      </c>
      <c r="D89" s="915" cm="1">
        <f t="array" ref="D8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89" s="915">
        <v>900</v>
      </c>
      <c r="F89" s="73" t="s">
        <v>560</v>
      </c>
      <c r="G89" s="916">
        <v>25000</v>
      </c>
      <c r="H89" s="916">
        <v>25000</v>
      </c>
      <c r="I89" s="916"/>
      <c r="J89" s="916"/>
      <c r="K89" s="73" t="s">
        <v>123</v>
      </c>
      <c r="L89" s="921" t="s">
        <v>592</v>
      </c>
      <c r="M89" s="915">
        <v>8</v>
      </c>
      <c r="N89" s="73" t="s">
        <v>550</v>
      </c>
      <c r="O89" s="73" t="s">
        <v>250</v>
      </c>
      <c r="P89" s="916" cm="1">
        <f t="array" ref="P89">IFERROR(_xlfn.SWITCH(F89,"By Weight",IF(H89&lt;&gt;"",H89,G89)/AR89,"By Length",G89,"By Imp",G89/MAX(1,ROUNDDOWN(E89/I89,0))*J89/1000,"IMP",G89/MAX(1,ROUNDDOWN(E89/I89,0))*J89/1000,""),"")</f>
        <v>204068.30574329838</v>
      </c>
      <c r="Q89" s="916">
        <f t="shared" si="26"/>
        <v>25000</v>
      </c>
      <c r="R89" s="917">
        <f t="shared" si="27"/>
        <v>413836.48040523351</v>
      </c>
      <c r="S89" s="918">
        <f t="shared" si="28"/>
        <v>480050.31727007084</v>
      </c>
      <c r="T89" s="919">
        <f t="shared" si="29"/>
        <v>16.55345921620934</v>
      </c>
      <c r="U89" s="920">
        <f t="shared" si="30"/>
        <v>19.202012690802835</v>
      </c>
      <c r="V89" s="919">
        <f t="shared" si="31"/>
        <v>2.3858013901874933</v>
      </c>
      <c r="W89" s="919">
        <f t="shared" si="32"/>
        <v>19.474657901422709</v>
      </c>
      <c r="X89" s="919" t="str">
        <f t="shared" si="33"/>
        <v/>
      </c>
      <c r="Y89" s="920">
        <f t="shared" si="34"/>
        <v>2.767529612617492</v>
      </c>
      <c r="Z89" s="920">
        <f t="shared" si="35"/>
        <v>22.590603165650343</v>
      </c>
      <c r="AA89" s="920" t="str">
        <f t="shared" si="36"/>
        <v/>
      </c>
      <c r="AB89" s="917">
        <f t="shared" si="37"/>
        <v>486866.44753556774</v>
      </c>
      <c r="AC89" s="918">
        <f t="shared" si="38"/>
        <v>564765.07914125849</v>
      </c>
      <c r="AD89" s="916">
        <f t="shared" si="39"/>
        <v>4081.3661148659676</v>
      </c>
      <c r="AE89" s="916">
        <f t="shared" si="40"/>
        <v>500</v>
      </c>
      <c r="AF89" s="919" cm="1">
        <f t="array" ref="AF89">IFERROR(_xlfn.LET(_xlpm.lam,TEXT(B89,"0"),_xlpm.thick,D89,_xlpm.crit,(TEXT(HELPER!$BZ$2:$BZ$250,"0")=_xlpm.lam)*(HELPER!$CC$2:$CC$250=_xlpm.thick)*(HELPER!$BW$2:$BW$250&lt;&gt;""),_xlpm.mats,TRIM(SUBSTITUTE(_xlfn._xlws.FILTER(HELPER!$BW$2:$BW$250,_xlpm.crit),CHAR(160),"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8.3967489714957395</v>
      </c>
      <c r="AG89" s="919">
        <f>IFERROR(IF(N89="Europe to Canada",IF(Q89&lt;1000,VLOOKUP(1000,HELPER!$AG$4:$AH$8,2,FALSE)/Q89,VLOOKUP(Q89,HELPER!$AG$4:$AH$8,2,TRUE)/Q89),IF(N89="Europe to US",HELPER!$AH$2,IF(N89="Europe to Europe",HELPER!$AH$3,0))),0)</f>
        <v>5.4</v>
      </c>
      <c r="AH89" s="919" cm="1">
        <f t="array" ref="AH89">IFERROR(_xlfn.LET(_xlpm.cap,IF(O89="Quantum",760,1220),_xlpm.wUsed,E89*MAX(1,MIN(MAX(2,INT(900/E89)),INT((_xlpm.cap-50)/E89))),_xlpm.kgmUsed,AR89/E89*_xlpm.wUsed,_xlpm.lam,TEXT(B89,"0"),_xlpm.crit,(TEXT(HELPER!$BZ$2:$BZ$250,"0")=_xlpm.lam)*(HELPER!$CC$2:$CC$250=D89)*(HELPER!$BW$2:$BW$250&lt;&gt;""),_xlpm.mats,_xlfn._xlws.FILTER(HELPER!$BW$2:$BW$250,_xlpm.crit),_xlpm.realLayers,SUM((_xlpm.mats&lt;&gt;"")*ISERROR(SEARCH("EPOTAL",_xlpm.mats&amp;""))*ISERROR(SEARCH("BASONAT",_xlpm.mats&amp;""))*ISERROR(SEARCH("ADH",_xlpm.mats&amp;""))*ISERROR(SEARCH("HARDENER",_xlpm.mats&amp;""))),_xlpm.steps,MAX(0,_xlpm.realLayers-1),_xlpm.tier,IF(P89&lt;3000,1,IF(P89&lt;10000,2,IF(P89&lt;25000,3,IF(P89&lt;50000,4,IF(P89&lt;100000,5,IF(P89&lt;250000,6,7)))))),_xlpm.widthRow,IF(_xlpm.wUsed&lt;900,0,5),_xlpm.supplierRow,IF(O89="Marma",3,IF(OR(O89="Bastin",O89="Quantum"),13,0)),_xlpm.rate,INDEX('Lmntn &amp; Prntng- Marma &amp; Bastin '!$D$1:$K$22,_xlpm.supplierRow+_xlpm.widthRow,_xlpm.tier),_xlpm.rate*_xlpm.steps/_xlpm.kgmUsed),"")</f>
        <v>0.68542462533059056</v>
      </c>
      <c r="AI89" s="919" cm="1">
        <f t="array" ref="AI89">IFERROR(_xlfn.LET(_xlpm.cap,IF(O89="Quantum",760,1220),_xlpm.wUsed,E89*MAX(1,MIN(MAX(2,INT(900/E89)),INT((_xlpm.cap-50)/E89))),_xlpm.kgmUsed,AR89/E89*_xlpm.wUsed,_xlpm.tier,IF(P89&lt;3000,1,IF(P89&lt;10000,2,IF(P89&lt;25000,3,IF(P89&lt;50000,4,IF(P89&lt;100000,5,IF(P89&lt;250000,6,IF(P89&lt;500000,7,8))))))),_xlpm.widthRow,IF(_xlpm.wUsed&lt;900,0,5),_xlpm.slitRow,IF(O89="Marma",7,IF(OR(O89="Bastin",O89="Quantum"),17,0)),_xlpm.slitRate,INDEX('Lmntn &amp; Prntng- Marma &amp; Bastin '!$D$1:$K$22,_xlpm.slitRow+_xlpm.widthRow,_xlpm.tier),_xlpm.numColors,IF(ISNUMBER(L89),L89,IFERROR(--RIGHT(L89,LEN(L89)-FIND("-",L89)),0)),_xlpm.printRate,IF(OR(K89&lt;&gt;"Printed",_xlpm.numColors=0),0,IF(O89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89))),MAX(_xlfn._xlws.FILTER(_xlpm.meters,(_xlpm.widths=_xlpm.qWidth)*(_xlpm.bands=_xlpm.band)))),INDEX(_xlpm.rates,_xlfn.XMATCH(1,(_xlpm.widths=_xlpm.qWidth)*(_xlpm.bands=_xlpm.band)*(_xlpm.meters=_xlpm.targetM),0))/HELPER!$AK$2),_xlfn.LET(_xlpm.colorOffset,IF(_xlpm.numColors&lt;=2,1,IF(_xlpm.numColors&lt;=4,2,3)),_xlpm.supplierRow,IF(O89="Marma",3,IF(O89="Bastin",13,0)),INDEX('Lmntn &amp; Prntng- Marma &amp; Bastin '!$D$1:$K$22,_xlpm.supplierRow+_xlpm.widthRow+_xlpm.colorOffset,_xlpm.tier)))),AH89+_xlpm.slitRate/_xlpm.kgmUsed+_xlpm.printRate/_xlpm.kgmUsed+AJ89),"")</f>
        <v>2.3265861069088154</v>
      </c>
      <c r="AJ89" s="919" cm="1">
        <f t="array" ref="AJ89">IF(OR(K89&lt;&gt;"Printed",L89=0,L89="0",L89=""),0,IFERROR(_xlfn.LET(_xlpm.lam,TEXT(B89,"0"),_xlpm.crit,(TEXT(HELPER!$BZ$2:$BZ$250,"0")=_xlpm.lam)*(HELPER!$CC$2:$CC$250=D89)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WHITE"},0)))/ROWS(_xlpm.real),_xlpm.numColors,IF(ISNUMBER(L89),L89,IFERROR(--RIGHT(L89,LEN(L89)-FIND("-",L89)),0)),HELPER!$DB$1*_xlpm.numColors*MAX(1,M89)*1.05*_xlpm.nkRatio/Q89),0))</f>
        <v>0.4032</v>
      </c>
      <c r="AK89" s="919">
        <f t="shared" si="41"/>
        <v>1.7102518926075221</v>
      </c>
      <c r="AL89" s="919">
        <f t="shared" si="42"/>
        <v>2385.8013901874933</v>
      </c>
      <c r="AM89" s="73" t="str">
        <f t="shared" si="43"/>
        <v>PASS</v>
      </c>
      <c r="AN89" s="908" t="str">
        <f t="shared" si="22"/>
        <v/>
      </c>
      <c r="AO89" s="919">
        <f t="shared" si="23"/>
        <v>106</v>
      </c>
      <c r="AP89" s="919">
        <f t="shared" si="24"/>
        <v>204068.30574329838</v>
      </c>
      <c r="AQ89" s="919"/>
      <c r="AR89" s="919" cm="1">
        <f t="array" ref="AR89">IFERROR(_xlfn.LET(_xlpm.lam,TEXT(B89,"0"),_xlpm.thick,D89,_xlpm.crit,(TEXT(HELPER!$BZ$2:$BZ$250,"0")=_xlpm.lam)*(HELPER!$CC$2:$CC$250=_xlpm.thick)*(HELPER!$BW$2:$BW$250&lt;&gt;""),_xlpm.mats,TRIM(SUBSTITUTE(_xlfn._xlws.FILTER(HELPER!$BW$2:$BW$250,_xlpm.crit),CHAR(160),"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")),HELPER!$AQ$2:$AQ$20,1),_xlpm.mass,IF(ISNUMBER(SEARCH("paper",_xlpm.mats)),42,_xlpm.dens*_xlpm.ths),E89/1000000*SUM(_xlpm.mass)),"")</f>
        <v>0.12250800000000001</v>
      </c>
      <c r="AS89" s="919">
        <f>IFERROR(IF(D89&gt;31,(5%+250/P89)*AF89,VLOOKUP(D89,HELPER!$BH$3:$BI$5,2,TRUE)*AF89),0)</f>
        <v>0.43012413780478703</v>
      </c>
      <c r="AT89" s="919">
        <v>0.149999999999998</v>
      </c>
      <c r="AU89" s="919"/>
      <c r="AV89" s="919"/>
      <c r="AW89" s="919"/>
      <c r="AX89" s="919"/>
      <c r="AY89" s="919"/>
      <c r="AZ89" s="919">
        <f t="shared" si="25"/>
        <v>10080</v>
      </c>
    </row>
    <row r="90" spans="1:52">
      <c r="A90" s="73" t="s">
        <v>1511</v>
      </c>
      <c r="B90" s="73" t="s">
        <v>1120</v>
      </c>
      <c r="C90" s="908" t="s">
        <v>1426</v>
      </c>
      <c r="D90" s="915" cm="1">
        <f t="array" ref="D9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0" s="915">
        <v>350</v>
      </c>
      <c r="F90" s="73" t="s">
        <v>561</v>
      </c>
      <c r="G90" s="916">
        <v>2000</v>
      </c>
      <c r="H90" s="916"/>
      <c r="I90" s="916"/>
      <c r="J90" s="916"/>
      <c r="K90" s="73" t="s">
        <v>124</v>
      </c>
      <c r="L90" s="921" t="s">
        <v>221</v>
      </c>
      <c r="M90" s="915">
        <v>1</v>
      </c>
      <c r="N90" s="73" t="s">
        <v>549</v>
      </c>
      <c r="O90" s="73" t="s">
        <v>240</v>
      </c>
      <c r="P90" s="916" cm="1">
        <f t="array" ref="P90">IFERROR(_xlfn.SWITCH(F90,"By Weight",IF(H90&lt;&gt;"",H90,G90)/AR90,"By Length",G90,"By Imp",G90/MAX(1,ROUNDDOWN(E90/I90,0))*J90/1000,"IMP",G90/MAX(1,ROUNDDOWN(E90/I90,0))*J90/1000,""),"")</f>
        <v>2000</v>
      </c>
      <c r="Q90" s="916">
        <f t="shared" si="26"/>
        <v>57.372000000000007</v>
      </c>
      <c r="R90" s="917">
        <f t="shared" si="27"/>
        <v>759.32873654843752</v>
      </c>
      <c r="S90" s="918">
        <f t="shared" si="28"/>
        <v>880.82133439618747</v>
      </c>
      <c r="T90" s="919">
        <f t="shared" si="29"/>
        <v>13.235179818525369</v>
      </c>
      <c r="U90" s="920">
        <f t="shared" si="30"/>
        <v>15.352808589489428</v>
      </c>
      <c r="V90" s="919">
        <f t="shared" si="31"/>
        <v>0.44666396267555258</v>
      </c>
      <c r="W90" s="919">
        <f t="shared" si="32"/>
        <v>15.570799786500471</v>
      </c>
      <c r="X90" s="919" t="str">
        <f t="shared" si="33"/>
        <v/>
      </c>
      <c r="Y90" s="920">
        <f t="shared" si="34"/>
        <v>0.51813019670364091</v>
      </c>
      <c r="Z90" s="920">
        <f t="shared" si="35"/>
        <v>18.062127752340544</v>
      </c>
      <c r="AA90" s="920" t="str">
        <f t="shared" si="36"/>
        <v/>
      </c>
      <c r="AB90" s="917">
        <f t="shared" si="37"/>
        <v>893.32792535110514</v>
      </c>
      <c r="AC90" s="918">
        <f t="shared" si="38"/>
        <v>1036.260393407282</v>
      </c>
      <c r="AD90" s="916">
        <f t="shared" si="39"/>
        <v>17430.105277835875</v>
      </c>
      <c r="AE90" s="916">
        <f t="shared" si="40"/>
        <v>500</v>
      </c>
      <c r="AF90" s="919" cm="1">
        <f t="array" ref="AF90">IFERROR(_xlfn.LET(_xlpm.lam,TEXT(B90,"0"),_xlpm.thick,D90,_xlpm.crit,(TEXT(HELPER!$BZ$2:$BZ$250,"0")=_xlpm.lam)*(HELPER!$CC$2:$CC$250=_xlpm.thick)*(HELPER!$BW$2:$BW$250&lt;&gt;""),_xlpm.mats,TRIM(SUBSTITUTE(_xlfn._xlws.FILTER(HELPER!$BW$2:$BW$250,_xlpm.crit),CHAR(160),"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0" s="919">
        <f>IFERROR(IF(N90="Europe to Canada",IF(Q90&lt;1000,VLOOKUP(1000,HELPER!$AG$4:$AH$8,2,FALSE)/Q90,VLOOKUP(Q90,HELPER!$AG$4:$AH$8,2,TRUE)/Q90),IF(N90="Europe to US",HELPER!$AH$2,IF(N90="Europe to Europe",HELPER!$AH$3,0))),0)</f>
        <v>0.2</v>
      </c>
      <c r="AH90" s="919" cm="1">
        <f t="array" ref="AH90">IFERROR(_xlfn.LET(_xlpm.cap,IF(O90="Quantum",760,1220),_xlpm.wUsed,E90*MAX(1,MIN(MAX(2,INT(900/E90)),INT((_xlpm.cap-50)/E90))),_xlpm.kgmUsed,AR90/E90*_xlpm.wUsed,_xlpm.lam,TEXT(B90,"0"),_xlpm.crit,(TEXT(HELPER!$BZ$2:$BZ$250,"0")=_xlpm.lam)*(HELPER!$CC$2:$CC$250=D90)*(HELPER!$BW$2:$BW$250&lt;&gt;""),_xlpm.mats,_xlfn._xlws.FILTER(HELPER!$BW$2:$BW$250,_xlpm.crit),_xlpm.realLayers,SUM((_xlpm.mats&lt;&gt;"")*ISERROR(SEARCH("EPOTAL",_xlpm.mats&amp;""))*ISERROR(SEARCH("BASONAT",_xlpm.mats&amp;""))*ISERROR(SEARCH("ADH",_xlpm.mats&amp;""))*ISERROR(SEARCH("HARDENER",_xlpm.mats&amp;""))),_xlpm.steps,MAX(0,_xlpm.realLayers-1),_xlpm.tier,IF(P90&lt;3000,1,IF(P90&lt;10000,2,IF(P90&lt;25000,3,IF(P90&lt;50000,4,IF(P90&lt;100000,5,IF(P90&lt;250000,6,7)))))),_xlpm.widthRow,IF(_xlpm.wUsed&lt;900,0,5),_xlpm.supplierRow,IF(O90="Marma",3,IF(OR(O90="Bastin",O90="Quantum"),13,0)),_xlpm.rate,INDEX('Lmntn &amp; Prntng- Marma &amp; Bastin '!$D$1:$K$22,_xlpm.supplierRow+_xlpm.widthRow,_xlpm.tier),_xlpm.rate*_xlpm.steps/_xlpm.kgmUsed),"")</f>
        <v>2.6450010458063162</v>
      </c>
      <c r="AI90" s="919" cm="1">
        <f t="array" ref="AI90">IFERROR(_xlfn.LET(_xlpm.cap,IF(O90="Quantum",760,1220),_xlpm.wUsed,E90*MAX(1,MIN(MAX(2,INT(900/E90)),INT((_xlpm.cap-50)/E90))),_xlpm.kgmUsed,AR90/E90*_xlpm.wUsed,_xlpm.tier,IF(P90&lt;3000,1,IF(P90&lt;10000,2,IF(P90&lt;25000,3,IF(P90&lt;50000,4,IF(P90&lt;100000,5,IF(P90&lt;250000,6,IF(P90&lt;500000,7,8))))))),_xlpm.widthRow,IF(_xlpm.wUsed&lt;900,0,5),_xlpm.slitRow,IF(O90="Marma",7,IF(OR(O90="Bastin",O90="Quantum"),17,0)),_xlpm.slitRate,INDEX('Lmntn &amp; Prntng- Marma &amp; Bastin '!$D$1:$K$22,_xlpm.slitRow+_xlpm.widthRow,_xlpm.tier),_xlpm.numColors,IF(ISNUMBER(L90),L90,IFERROR(--RIGHT(L90,LEN(L90)-FIND("-",L90)),0)),_xlpm.printRate,IF(OR(K90&lt;&gt;"Printed",_xlpm.numColors=0),0,IF(O90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90))),MAX(_xlfn._xlws.FILTER(_xlpm.meters,(_xlpm.widths=_xlpm.qWidth)*(_xlpm.bands=_xlpm.band)))),INDEX(_xlpm.rates,_xlfn.XMATCH(1,(_xlpm.widths=_xlpm.qWidth)*(_xlpm.bands=_xlpm.band)*(_xlpm.meters=_xlpm.targetM),0))/HELPER!$AK$2),_xlfn.LET(_xlpm.colorOffset,IF(_xlpm.numColors&lt;=2,1,IF(_xlpm.numColors&lt;=4,2,3)),_xlpm.supplierRow,IF(O90="Marma",3,IF(O90="Bastin",13,0)),INDEX('Lmntn &amp; Prntng- Marma &amp; Bastin '!$D$1:$K$22,_xlpm.supplierRow+_xlpm.widthRow+_xlpm.colorOffset,_xlpm.tier)))),AH90+_xlpm.slitRate/_xlpm.kgmUsed+_xlpm.printRate/_xlpm.kgmUsed+AJ90),"")</f>
        <v>3.4362581049989536</v>
      </c>
      <c r="AJ90" s="919" cm="1">
        <f t="array" ref="AJ90">IF(OR(K90&lt;&gt;"Printed",L90=0,L90="0",L90=""),0,IFERROR(_xlfn.LET(_xlpm.lam,TEXT(B90,"0"),_xlpm.crit,(TEXT(HELPER!$BZ$2:$BZ$250,"0")=_xlpm.lam)*(HELPER!$CC$2:$CC$250=D90)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WHITE"},0)))/ROWS(_xlpm.real),_xlpm.numColors,IF(ISNUMBER(L90),L90,IFERROR(--RIGHT(L90,LEN(L90)-FIND("-",L90)),0)),HELPER!$DB$1*_xlpm.numColors*MAX(1,M90)*1.05*_xlpm.nkRatio/Q90),0))</f>
        <v>0</v>
      </c>
      <c r="AK90" s="919">
        <f t="shared" si="41"/>
        <v>0.82334371000101858</v>
      </c>
      <c r="AL90" s="919">
        <f t="shared" si="42"/>
        <v>446.66396267555257</v>
      </c>
      <c r="AM90" s="73" t="str">
        <f t="shared" si="43"/>
        <v>PASS</v>
      </c>
      <c r="AN90" s="908" t="str">
        <f t="shared" si="22"/>
        <v/>
      </c>
      <c r="AO90" s="919">
        <f t="shared" si="23"/>
        <v>63</v>
      </c>
      <c r="AP90" s="919">
        <f t="shared" si="24"/>
        <v>2000</v>
      </c>
      <c r="AQ90" s="919"/>
      <c r="AR90" s="919" cm="1">
        <f t="array" ref="AR90">IFERROR(_xlfn.LET(_xlpm.lam,TEXT(B90,"0"),_xlpm.thick,D90,_xlpm.crit,(TEXT(HELPER!$BZ$2:$BZ$250,"0")=_xlpm.lam)*(HELPER!$CC$2:$CC$250=_xlpm.thick)*(HELPER!$BW$2:$BW$250&lt;&gt;""),_xlpm.mats,TRIM(SUBSTITUTE(_xlfn._xlws.FILTER(HELPER!$BW$2:$BW$250,_xlpm.crit),CHAR(160),"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")),HELPER!$AQ$2:$AQ$20,1),_xlpm.mass,IF(ISNUMBER(SEARCH("paper",_xlpm.mats)),42,_xlpm.dens*_xlpm.ths),E90/1000000*SUM(_xlpm.mass)),"")</f>
        <v>2.8686000000000003E-2</v>
      </c>
      <c r="AS90" s="919">
        <f>IFERROR(IF(D90&gt;31,(5%+250/P90)*AF90,VLOOKUP(D90,HELPER!$BH$3:$BI$5,2,TRUE)*AF90),0)</f>
        <v>1.4296266381847851</v>
      </c>
      <c r="AT90" s="919">
        <v>0.15000000000000199</v>
      </c>
      <c r="AU90" s="919"/>
      <c r="AV90" s="919"/>
      <c r="AW90" s="919"/>
      <c r="AX90" s="919"/>
      <c r="AY90" s="919"/>
      <c r="AZ90" s="919">
        <f t="shared" si="25"/>
        <v>0</v>
      </c>
    </row>
    <row r="91" spans="1:52">
      <c r="A91" s="73" t="s">
        <v>1512</v>
      </c>
      <c r="B91" s="73" t="s">
        <v>1120</v>
      </c>
      <c r="C91" s="908" t="s">
        <v>1428</v>
      </c>
      <c r="D91" s="915" cm="1">
        <f t="array" ref="D9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91" s="915">
        <v>600</v>
      </c>
      <c r="F91" s="73" t="s">
        <v>561</v>
      </c>
      <c r="G91" s="916">
        <v>250000</v>
      </c>
      <c r="H91" s="916"/>
      <c r="I91" s="916"/>
      <c r="J91" s="916"/>
      <c r="K91" s="73" t="s">
        <v>123</v>
      </c>
      <c r="L91" s="921" t="s">
        <v>122</v>
      </c>
      <c r="M91" s="915">
        <v>4</v>
      </c>
      <c r="N91" s="73" t="s">
        <v>550</v>
      </c>
      <c r="O91" s="73" t="s">
        <v>1366</v>
      </c>
      <c r="P91" s="916" cm="1">
        <f t="array" ref="P91">IFERROR(_xlfn.SWITCH(F91,"By Weight",IF(H91&lt;&gt;"",H91,G91)/AR91,"By Length",G91,"By Imp",G91/MAX(1,ROUNDDOWN(E91/I91,0))*J91/1000,"IMP",G91/MAX(1,ROUNDDOWN(E91/I91,0))*J91/1000,""),"")</f>
        <v>250000</v>
      </c>
      <c r="Q91" s="916">
        <f t="shared" si="26"/>
        <v>20418</v>
      </c>
      <c r="R91" s="917">
        <f t="shared" si="27"/>
        <v>513354.06841446558</v>
      </c>
      <c r="S91" s="918">
        <f t="shared" si="28"/>
        <v>595490.71936078009</v>
      </c>
      <c r="T91" s="919">
        <f t="shared" si="29"/>
        <v>25.142230797064627</v>
      </c>
      <c r="U91" s="920">
        <f t="shared" si="30"/>
        <v>29.164987724594965</v>
      </c>
      <c r="V91" s="919">
        <f t="shared" si="31"/>
        <v>2.5667703420723247</v>
      </c>
      <c r="W91" s="919">
        <f t="shared" si="32"/>
        <v>31.427788496330749</v>
      </c>
      <c r="X91" s="919" t="str">
        <f t="shared" si="33"/>
        <v/>
      </c>
      <c r="Y91" s="920">
        <f t="shared" si="34"/>
        <v>2.9774535968038962</v>
      </c>
      <c r="Z91" s="920">
        <f t="shared" si="35"/>
        <v>36.456234655743664</v>
      </c>
      <c r="AA91" s="920" t="str">
        <f t="shared" si="36"/>
        <v/>
      </c>
      <c r="AB91" s="917">
        <f t="shared" si="37"/>
        <v>641692.58551808121</v>
      </c>
      <c r="AC91" s="918">
        <f t="shared" si="38"/>
        <v>744363.39920097415</v>
      </c>
      <c r="AD91" s="916">
        <f t="shared" si="39"/>
        <v>6122.0491722989527</v>
      </c>
      <c r="AE91" s="916">
        <f t="shared" si="40"/>
        <v>500</v>
      </c>
      <c r="AF91" s="919" cm="1">
        <f t="array" ref="AF91">IFERROR(_xlfn.LET(_xlpm.lam,TEXT(B91,"0"),_xlpm.thick,D91,_xlpm.crit,(TEXT(HELPER!$BZ$2:$BZ$250,"0")=_xlpm.lam)*(HELPER!$CC$2:$CC$250=_xlpm.thick)*(HELPER!$BW$2:$BW$250&lt;&gt;""),_xlpm.mats,TRIM(SUBSTITUTE(_xlfn._xlws.FILTER(HELPER!$BW$2:$BW$250,_xlpm.crit),CHAR(160),"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8.3967489714957395</v>
      </c>
      <c r="AG91" s="919">
        <f>IFERROR(IF(N91="Europe to Canada",IF(Q91&lt;1000,VLOOKUP(1000,HELPER!$AG$4:$AH$8,2,FALSE)/Q91,VLOOKUP(Q91,HELPER!$AG$4:$AH$8,2,TRUE)/Q91),IF(N91="Europe to US",HELPER!$AH$2,IF(N91="Europe to Europe",HELPER!$AH$3,0))),0)</f>
        <v>5.4</v>
      </c>
      <c r="AH91" s="919" cm="1">
        <f t="array" ref="AH91">IFERROR(_xlfn.LET(_xlpm.cap,IF(O91="Quantum",760,1220),_xlpm.wUsed,E91*MAX(1,MIN(MAX(2,INT(900/E91)),INT((_xlpm.cap-50)/E91))),_xlpm.kgmUsed,AR91/E91*_xlpm.wUsed,_xlpm.lam,TEXT(B91,"0"),_xlpm.crit,(TEXT(HELPER!$BZ$2:$BZ$250,"0")=_xlpm.lam)*(HELPER!$CC$2:$CC$250=D91)*(HELPER!$BW$2:$BW$250&lt;&gt;""),_xlpm.mats,_xlfn._xlws.FILTER(HELPER!$BW$2:$BW$250,_xlpm.crit),_xlpm.realLayers,SUM((_xlpm.mats&lt;&gt;"")*ISERROR(SEARCH("EPOTAL",_xlpm.mats&amp;""))*ISERROR(SEARCH("BASONAT",_xlpm.mats&amp;""))*ISERROR(SEARCH("ADH",_xlpm.mats&amp;""))*ISERROR(SEARCH("HARDENER",_xlpm.mats&amp;""))),_xlpm.steps,MAX(0,_xlpm.realLayers-1),_xlpm.tier,IF(P91&lt;3000,1,IF(P91&lt;10000,2,IF(P91&lt;25000,3,IF(P91&lt;50000,4,IF(P91&lt;100000,5,IF(P91&lt;250000,6,7)))))),_xlpm.widthRow,IF(_xlpm.wUsed&lt;900,0,5),_xlpm.supplierRow,IF(O91="Marma",3,IF(OR(O91="Bastin",O91="Quantum"),13,0)),_xlpm.rate,INDEX('Lmntn &amp; Prntng- Marma &amp; Bastin '!$D$1:$K$22,_xlpm.supplierRow+_xlpm.widthRow,_xlpm.tier),_xlpm.rate*_xlpm.steps/_xlpm.kgmUsed),"")</f>
        <v>1.3284601821921833</v>
      </c>
      <c r="AI91" s="919" cm="1">
        <f t="array" ref="AI91">IFERROR(_xlfn.LET(_xlpm.cap,IF(O91="Quantum",760,1220),_xlpm.wUsed,E91*MAX(1,MIN(MAX(2,INT(900/E91)),INT((_xlpm.cap-50)/E91))),_xlpm.kgmUsed,AR91/E91*_xlpm.wUsed,_xlpm.tier,IF(P91&lt;3000,1,IF(P91&lt;10000,2,IF(P91&lt;25000,3,IF(P91&lt;50000,4,IF(P91&lt;100000,5,IF(P91&lt;250000,6,IF(P91&lt;500000,7,8))))))),_xlpm.widthRow,IF(_xlpm.wUsed&lt;900,0,5),_xlpm.slitRow,IF(O91="Marma",7,IF(OR(O91="Bastin",O91="Quantum"),17,0)),_xlpm.slitRate,INDEX('Lmntn &amp; Prntng- Marma &amp; Bastin '!$D$1:$K$22,_xlpm.slitRow+_xlpm.widthRow,_xlpm.tier),_xlpm.numColors,IF(ISNUMBER(L91),L91,IFERROR(--RIGHT(L91,LEN(L91)-FIND("-",L91)),0)),_xlpm.printRate,IF(OR(K91&lt;&gt;"Printed",_xlpm.numColors=0),0,IF(O91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91))),MAX(_xlfn._xlws.FILTER(_xlpm.meters,(_xlpm.widths=_xlpm.qWidth)*(_xlpm.bands=_xlpm.band)))),INDEX(_xlpm.rates,_xlfn.XMATCH(1,(_xlpm.widths=_xlpm.qWidth)*(_xlpm.bands=_xlpm.band)*(_xlpm.meters=_xlpm.targetM),0))/HELPER!$AK$2),_xlfn.LET(_xlpm.colorOffset,IF(_xlpm.numColors&lt;=2,1,IF(_xlpm.numColors&lt;=4,2,3)),_xlpm.supplierRow,IF(O91="Marma",3,IF(O91="Bastin",13,0)),INDEX('Lmntn &amp; Prntng- Marma &amp; Bastin '!$D$1:$K$22,_xlpm.supplierRow+_xlpm.widthRow+_xlpm.colorOffset,_xlpm.tier)))),AH91+_xlpm.slitRate/_xlpm.kgmUsed+_xlpm.printRate/_xlpm.kgmUsed+AJ91),"")</f>
        <v>10.917247628022604</v>
      </c>
      <c r="AJ91" s="919" cm="1">
        <f t="array" ref="AJ91">IF(OR(K91&lt;&gt;"Printed",L91=0,L91="0",L91=""),0,IFERROR(_xlfn.LET(_xlpm.lam,TEXT(B91,"0"),_xlpm.crit,(TEXT(HELPER!$BZ$2:$BZ$250,"0")=_xlpm.lam)*(HELPER!$CC$2:$CC$250=D91)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WHITE"},0)))/ROWS(_xlpm.real),_xlpm.numColors,IF(ISNUMBER(L91),L91,IFERROR(--RIGHT(L91,LEN(L91)-FIND("-",L91)),0)),HELPER!$DB$1*_xlpm.numColors*MAX(1,M91)*1.05*_xlpm.nkRatio/Q91),0))</f>
        <v>0.12342051131354687</v>
      </c>
      <c r="AK91" s="919">
        <f t="shared" si="41"/>
        <v>2.7599681097551878</v>
      </c>
      <c r="AL91" s="919">
        <f t="shared" si="42"/>
        <v>2566.7703420723246</v>
      </c>
      <c r="AM91" s="73" t="str">
        <f t="shared" si="43"/>
        <v>PASS</v>
      </c>
      <c r="AN91" s="908" t="str">
        <f t="shared" si="22"/>
        <v/>
      </c>
      <c r="AO91" s="919">
        <f t="shared" si="23"/>
        <v>106</v>
      </c>
      <c r="AP91" s="919">
        <f t="shared" si="24"/>
        <v>250000</v>
      </c>
      <c r="AQ91" s="919"/>
      <c r="AR91" s="919" cm="1">
        <f t="array" ref="AR91">IFERROR(_xlfn.LET(_xlpm.lam,TEXT(B91,"0"),_xlpm.thick,D91,_xlpm.crit,(TEXT(HELPER!$BZ$2:$BZ$250,"0")=_xlpm.lam)*(HELPER!$CC$2:$CC$250=_xlpm.thick)*(HELPER!$BW$2:$BW$250&lt;&gt;""),_xlpm.mats,TRIM(SUBSTITUTE(_xlfn._xlws.FILTER(HELPER!$BW$2:$BW$250,_xlpm.crit),CHAR(160),"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")),HELPER!$AQ$2:$AQ$20,1),_xlpm.mass,IF(ISNUMBER(SEARCH("paper",_xlpm.mats)),42,_xlpm.dens*_xlpm.ths),E91/1000000*SUM(_xlpm.mass)),"")</f>
        <v>8.1671999999999995E-2</v>
      </c>
      <c r="AS91" s="919">
        <f>IFERROR(IF(D91&gt;31,(5%+250/P91)*AF91,VLOOKUP(D91,HELPER!$BH$3:$BI$5,2,TRUE)*AF91),0)</f>
        <v>0.42823419754628272</v>
      </c>
      <c r="AT91" s="919">
        <v>0.19999999999999901</v>
      </c>
      <c r="AU91" s="919"/>
      <c r="AV91" s="919"/>
      <c r="AW91" s="919"/>
      <c r="AX91" s="919"/>
      <c r="AY91" s="919"/>
      <c r="AZ91" s="919">
        <f t="shared" si="25"/>
        <v>2520</v>
      </c>
    </row>
    <row r="92" spans="1:52">
      <c r="A92" s="73" t="s">
        <v>1513</v>
      </c>
      <c r="B92" s="73" t="s">
        <v>1120</v>
      </c>
      <c r="C92" s="908" t="s">
        <v>1430</v>
      </c>
      <c r="D92" s="915" cm="1">
        <f t="array" ref="D9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2" s="915">
        <v>900</v>
      </c>
      <c r="F92" s="73" t="s">
        <v>1040</v>
      </c>
      <c r="G92" s="916">
        <v>1600000</v>
      </c>
      <c r="H92" s="916"/>
      <c r="I92" s="916">
        <v>140</v>
      </c>
      <c r="J92" s="916">
        <v>80</v>
      </c>
      <c r="K92" s="73" t="s">
        <v>123</v>
      </c>
      <c r="L92" s="921" t="s">
        <v>592</v>
      </c>
      <c r="M92" s="915">
        <v>8</v>
      </c>
      <c r="N92" s="73" t="s">
        <v>549</v>
      </c>
      <c r="O92" s="73" t="s">
        <v>250</v>
      </c>
      <c r="P92" s="916" cm="1">
        <f t="array" ref="P92">IFERROR(_xlfn.SWITCH(F92,"By Weight",IF(H92&lt;&gt;"",H92,G92)/AR92,"By Length",G92,"By Imp",G92/MAX(1,ROUNDDOWN(E92/I92,0))*J92/1000,"IMP",G92/MAX(1,ROUNDDOWN(E92/I92,0))*J92/1000,""),"")</f>
        <v>21333.333333333336</v>
      </c>
      <c r="Q92" s="916">
        <f t="shared" si="26"/>
        <v>1573.6320000000003</v>
      </c>
      <c r="R92" s="917">
        <f t="shared" si="27"/>
        <v>30147.511009834994</v>
      </c>
      <c r="S92" s="918">
        <f t="shared" si="28"/>
        <v>34971.112771408589</v>
      </c>
      <c r="T92" s="919">
        <f t="shared" si="29"/>
        <v>19.157916850848856</v>
      </c>
      <c r="U92" s="920">
        <f t="shared" si="30"/>
        <v>22.223183546984671</v>
      </c>
      <c r="V92" s="919">
        <f t="shared" si="31"/>
        <v>1.6625465630423768</v>
      </c>
      <c r="W92" s="919">
        <f t="shared" si="32"/>
        <v>22.538725706881088</v>
      </c>
      <c r="X92" s="919">
        <f t="shared" si="33"/>
        <v>2.2167287507231691E-2</v>
      </c>
      <c r="Y92" s="920">
        <f t="shared" si="34"/>
        <v>1.928554013129157</v>
      </c>
      <c r="Z92" s="920">
        <f t="shared" si="35"/>
        <v>26.144921819982059</v>
      </c>
      <c r="AA92" s="920">
        <f t="shared" si="36"/>
        <v>2.5714053508388759E-2</v>
      </c>
      <c r="AB92" s="917">
        <f t="shared" si="37"/>
        <v>35467.660011570704</v>
      </c>
      <c r="AC92" s="918">
        <f t="shared" si="38"/>
        <v>41142.485613422017</v>
      </c>
      <c r="AD92" s="916">
        <f t="shared" si="39"/>
        <v>6778.3742747139513</v>
      </c>
      <c r="AE92" s="916">
        <f t="shared" si="40"/>
        <v>500</v>
      </c>
      <c r="AF92" s="919" cm="1">
        <f t="array" ref="AF92">IFERROR(_xlfn.LET(_xlpm.lam,TEXT(B92,"0"),_xlpm.thick,D92,_xlpm.crit,(TEXT(HELPER!$BZ$2:$BZ$250,"0")=_xlpm.lam)*(HELPER!$CC$2:$CC$250=_xlpm.thick)*(HELPER!$BW$2:$BW$250&lt;&gt;""),_xlpm.mats,TRIM(SUBSTITUTE(_xlfn._xlws.FILTER(HELPER!$BW$2:$BW$250,_xlpm.crit),CHAR(160),"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2" s="919">
        <f>IFERROR(IF(N92="Europe to Canada",IF(Q92&lt;1000,VLOOKUP(1000,HELPER!$AG$4:$AH$8,2,FALSE)/Q92,VLOOKUP(Q92,HELPER!$AG$4:$AH$8,2,TRUE)/Q92),IF(N92="Europe to US",HELPER!$AH$2,IF(N92="Europe to Europe",HELPER!$AH$3,0))),0)</f>
        <v>0.2</v>
      </c>
      <c r="AH92" s="919" cm="1">
        <f t="array" ref="AH92">IFERROR(_xlfn.LET(_xlpm.cap,IF(O92="Quantum",760,1220),_xlpm.wUsed,E92*MAX(1,MIN(MAX(2,INT(900/E92)),INT((_xlpm.cap-50)/E92))),_xlpm.kgmUsed,AR92/E92*_xlpm.wUsed,_xlpm.lam,TEXT(B92,"0"),_xlpm.crit,(TEXT(HELPER!$BZ$2:$BZ$250,"0")=_xlpm.lam)*(HELPER!$CC$2:$CC$250=D92)*(HELPER!$BW$2:$BW$250&lt;&gt;""),_xlpm.mats,_xlfn._xlws.FILTER(HELPER!$BW$2:$BW$250,_xlpm.crit),_xlpm.realLayers,SUM((_xlpm.mats&lt;&gt;"")*ISERROR(SEARCH("EPOTAL",_xlpm.mats&amp;""))*ISERROR(SEARCH("BASONAT",_xlpm.mats&amp;""))*ISERROR(SEARCH("ADH",_xlpm.mats&amp;""))*ISERROR(SEARCH("HARDENER",_xlpm.mats&amp;""))),_xlpm.steps,MAX(0,_xlpm.realLayers-1),_xlpm.tier,IF(P92&lt;3000,1,IF(P92&lt;10000,2,IF(P92&lt;25000,3,IF(P92&lt;50000,4,IF(P92&lt;100000,5,IF(P92&lt;250000,6,7)))))),_xlpm.widthRow,IF(_xlpm.wUsed&lt;900,0,5),_xlpm.supplierRow,IF(O92="Marma",3,IF(OR(O92="Bastin",O92="Quantum"),13,0)),_xlpm.rate,INDEX('Lmntn &amp; Prntng- Marma &amp; Bastin '!$D$1:$K$22,_xlpm.supplierRow+_xlpm.widthRow,_xlpm.tier),_xlpm.rate*_xlpm.steps/_xlpm.kgmUsed),"")</f>
        <v>1.240849194729136</v>
      </c>
      <c r="AI92" s="919" cm="1">
        <f t="array" ref="AI92">IFERROR(_xlfn.LET(_xlpm.cap,IF(O92="Quantum",760,1220),_xlpm.wUsed,E92*MAX(1,MIN(MAX(2,INT(900/E92)),INT((_xlpm.cap-50)/E92))),_xlpm.kgmUsed,AR92/E92*_xlpm.wUsed,_xlpm.tier,IF(P92&lt;3000,1,IF(P92&lt;10000,2,IF(P92&lt;25000,3,IF(P92&lt;50000,4,IF(P92&lt;100000,5,IF(P92&lt;250000,6,IF(P92&lt;500000,7,8))))))),_xlpm.widthRow,IF(_xlpm.wUsed&lt;900,0,5),_xlpm.slitRow,IF(O92="Marma",7,IF(OR(O92="Bastin",O92="Quantum"),17,0)),_xlpm.slitRate,INDEX('Lmntn &amp; Prntng- Marma &amp; Bastin '!$D$1:$K$22,_xlpm.slitRow+_xlpm.widthRow,_xlpm.tier),_xlpm.numColors,IF(ISNUMBER(L92),L92,IFERROR(--RIGHT(L92,LEN(L92)-FIND("-",L92)),0)),_xlpm.printRate,IF(OR(K92&lt;&gt;"Printed",_xlpm.numColors=0),0,IF(O92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92))),MAX(_xlfn._xlws.FILTER(_xlpm.meters,(_xlpm.widths=_xlpm.qWidth)*(_xlpm.bands=_xlpm.band)))),INDEX(_xlpm.rates,_xlfn.XMATCH(1,(_xlpm.widths=_xlpm.qWidth)*(_xlpm.bands=_xlpm.band)*(_xlpm.meters=_xlpm.targetM),0))/HELPER!$AK$2),_xlfn.LET(_xlpm.colorOffset,IF(_xlpm.numColors&lt;=2,1,IF(_xlpm.numColors&lt;=4,2,3)),_xlpm.supplierRow,IF(O92="Marma",3,IF(O92="Bastin",13,0)),INDEX('Lmntn &amp; Prntng- Marma &amp; Bastin '!$D$1:$K$22,_xlpm.supplierRow+_xlpm.widthRow+_xlpm.colorOffset,_xlpm.tier)))),AH92+_xlpm.slitRate/_xlpm.kgmUsed+_xlpm.printRate/_xlpm.kgmUsed+AJ92),"")</f>
        <v>10.284423095075987</v>
      </c>
      <c r="AJ92" s="919" cm="1">
        <f t="array" ref="AJ92">IF(OR(K92&lt;&gt;"Printed",L92=0,L92="0",L92=""),0,IFERROR(_xlfn.LET(_xlpm.lam,TEXT(B92,"0"),_xlpm.crit,(TEXT(HELPER!$BZ$2:$BZ$250,"0")=_xlpm.lam)*(HELPER!$CC$2:$CC$250=D92)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WHITE"},0)))/ROWS(_xlpm.real),_xlpm.numColors,IF(ISNUMBER(L92),L92,IFERROR(--RIGHT(L92,LEN(L92)-FIND("-",L92)),0)),HELPER!$DB$1*_xlpm.numColors*MAX(1,M92)*1.05*_xlpm.nkRatio/Q92),0))</f>
        <v>6.4055636896046844</v>
      </c>
      <c r="AK92" s="919">
        <f t="shared" si="41"/>
        <v>1.191789650926435</v>
      </c>
      <c r="AL92" s="919">
        <f t="shared" si="42"/>
        <v>1662.5465630423769</v>
      </c>
      <c r="AM92" s="73" t="str">
        <f t="shared" si="43"/>
        <v>PASS</v>
      </c>
      <c r="AN92" s="908" t="str">
        <f t="shared" si="22"/>
        <v/>
      </c>
      <c r="AO92" s="919">
        <f t="shared" si="23"/>
        <v>63</v>
      </c>
      <c r="AP92" s="919">
        <f t="shared" si="24"/>
        <v>21333.333333333336</v>
      </c>
      <c r="AQ92" s="919"/>
      <c r="AR92" s="919" cm="1">
        <f t="array" ref="AR92">IFERROR(_xlfn.LET(_xlpm.lam,TEXT(B92,"0"),_xlpm.thick,D92,_xlpm.crit,(TEXT(HELPER!$BZ$2:$BZ$250,"0")=_xlpm.lam)*(HELPER!$CC$2:$CC$250=_xlpm.thick)*(HELPER!$BW$2:$BW$250&lt;&gt;""),_xlpm.mats,TRIM(SUBSTITUTE(_xlfn._xlws.FILTER(HELPER!$BW$2:$BW$250,_xlpm.crit),CHAR(160),"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")),HELPER!$AQ$2:$AQ$20,1),_xlpm.mass,IF(ISNUMBER(SEARCH("paper",_xlpm.mats)),42,_xlpm.dens*_xlpm.ths),E92/1000000*SUM(_xlpm.mass)),"")</f>
        <v>7.376400000000001E-2</v>
      </c>
      <c r="AS92" s="919">
        <f>IFERROR(IF(D92&gt;31,(5%+250/P92)*AF92,VLOOKUP(D92,HELPER!$BH$3:$BI$5,2,TRUE)*AF92),0)</f>
        <v>0.50419868043124128</v>
      </c>
      <c r="AT92" s="919">
        <v>0.15000000000000299</v>
      </c>
      <c r="AU92" s="919"/>
      <c r="AV92" s="919"/>
      <c r="AW92" s="919"/>
      <c r="AX92" s="919"/>
      <c r="AY92" s="919"/>
      <c r="AZ92" s="919">
        <f t="shared" si="25"/>
        <v>10080</v>
      </c>
    </row>
    <row r="93" spans="1:52">
      <c r="A93" s="73" t="s">
        <v>1514</v>
      </c>
      <c r="B93" s="73" t="s">
        <v>1120</v>
      </c>
      <c r="C93" s="908" t="s">
        <v>1432</v>
      </c>
      <c r="D93" s="915" cm="1">
        <f t="array" ref="D9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93" s="915">
        <v>250</v>
      </c>
      <c r="F93" s="73" t="s">
        <v>560</v>
      </c>
      <c r="G93" s="916">
        <v>500</v>
      </c>
      <c r="H93" s="916">
        <v>500</v>
      </c>
      <c r="I93" s="916"/>
      <c r="J93" s="916"/>
      <c r="K93" s="73" t="s">
        <v>124</v>
      </c>
      <c r="L93" s="921" t="s">
        <v>221</v>
      </c>
      <c r="M93" s="915">
        <v>1</v>
      </c>
      <c r="N93" s="73" t="s">
        <v>550</v>
      </c>
      <c r="O93" s="73" t="s">
        <v>240</v>
      </c>
      <c r="P93" s="916" cm="1">
        <f t="array" ref="P93">IFERROR(_xlfn.SWITCH(F93,"By Weight",IF(H93&lt;&gt;"",H93,G93)/AR93,"By Length",G93,"By Imp",G93/MAX(1,ROUNDDOWN(E93/I93,0))*J93/1000,"IMP",G93/MAX(1,ROUNDDOWN(E93/I93,0))*J93/1000,""),"")</f>
        <v>14692.918013517483</v>
      </c>
      <c r="Q93" s="916">
        <f t="shared" si="26"/>
        <v>500</v>
      </c>
      <c r="R93" s="917">
        <f t="shared" si="27"/>
        <v>7927.5246142082351</v>
      </c>
      <c r="S93" s="918">
        <f t="shared" si="28"/>
        <v>9195.9285524815514</v>
      </c>
      <c r="T93" s="919">
        <f t="shared" si="29"/>
        <v>15.855049228416471</v>
      </c>
      <c r="U93" s="920">
        <f t="shared" si="30"/>
        <v>18.391857104963105</v>
      </c>
      <c r="V93" s="919">
        <f t="shared" si="31"/>
        <v>0.63476155910942511</v>
      </c>
      <c r="W93" s="919">
        <f t="shared" si="32"/>
        <v>18.652999092254628</v>
      </c>
      <c r="X93" s="919" t="str">
        <f t="shared" si="33"/>
        <v/>
      </c>
      <c r="Y93" s="920">
        <f t="shared" si="34"/>
        <v>0.73632340856693312</v>
      </c>
      <c r="Z93" s="920">
        <f t="shared" si="35"/>
        <v>21.637478947015367</v>
      </c>
      <c r="AA93" s="920" t="str">
        <f t="shared" si="36"/>
        <v/>
      </c>
      <c r="AB93" s="917">
        <f t="shared" si="37"/>
        <v>9326.4995461273138</v>
      </c>
      <c r="AC93" s="918">
        <f t="shared" si="38"/>
        <v>10818.739473507683</v>
      </c>
      <c r="AD93" s="916">
        <f t="shared" si="39"/>
        <v>14692.918013517483</v>
      </c>
      <c r="AE93" s="916">
        <f t="shared" si="40"/>
        <v>500</v>
      </c>
      <c r="AF93" s="919" cm="1">
        <f t="array" ref="AF93">IFERROR(_xlfn.LET(_xlpm.lam,TEXT(B93,"0"),_xlpm.thick,D93,_xlpm.crit,(TEXT(HELPER!$BZ$2:$BZ$250,"0")=_xlpm.lam)*(HELPER!$CC$2:$CC$250=_xlpm.thick)*(HELPER!$BW$2:$BW$250&lt;&gt;""),_xlpm.mats,TRIM(SUBSTITUTE(_xlfn._xlws.FILTER(HELPER!$BW$2:$BW$250,_xlpm.crit),CHAR(160),"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8.3967489714957395</v>
      </c>
      <c r="AG93" s="919">
        <f>IFERROR(IF(N93="Europe to Canada",IF(Q93&lt;1000,VLOOKUP(1000,HELPER!$AG$4:$AH$8,2,FALSE)/Q93,VLOOKUP(Q93,HELPER!$AG$4:$AH$8,2,TRUE)/Q93),IF(N93="Europe to US",HELPER!$AH$2,IF(N93="Europe to Europe",HELPER!$AH$3,0))),0)</f>
        <v>5.4</v>
      </c>
      <c r="AH93" s="919" cm="1">
        <f t="array" ref="AH93">IFERROR(_xlfn.LET(_xlpm.cap,IF(O93="Quantum",760,1220),_xlpm.wUsed,E93*MAX(1,MIN(MAX(2,INT(900/E93)),INT((_xlpm.cap-50)/E93))),_xlpm.kgmUsed,AR93/E93*_xlpm.wUsed,_xlpm.lam,TEXT(B93,"0"),_xlpm.crit,(TEXT(HELPER!$BZ$2:$BZ$250,"0")=_xlpm.lam)*(HELPER!$CC$2:$CC$250=D93)*(HELPER!$BW$2:$BW$250&lt;&gt;""),_xlpm.mats,_xlfn._xlws.FILTER(HELPER!$BW$2:$BW$250,_xlpm.crit),_xlpm.realLayers,SUM((_xlpm.mats&lt;&gt;"")*ISERROR(SEARCH("EPOTAL",_xlpm.mats&amp;""))*ISERROR(SEARCH("BASONAT",_xlpm.mats&amp;""))*ISERROR(SEARCH("ADH",_xlpm.mats&amp;""))*ISERROR(SEARCH("HARDENER",_xlpm.mats&amp;""))),_xlpm.steps,MAX(0,_xlpm.realLayers-1),_xlpm.tier,IF(P93&lt;3000,1,IF(P93&lt;10000,2,IF(P93&lt;25000,3,IF(P93&lt;50000,4,IF(P93&lt;100000,5,IF(P93&lt;250000,6,7)))))),_xlpm.widthRow,IF(_xlpm.wUsed&lt;900,0,5),_xlpm.supplierRow,IF(O93="Marma",3,IF(OR(O93="Bastin",O93="Quantum"),13,0)),_xlpm.rate,INDEX('Lmntn &amp; Prntng- Marma &amp; Bastin '!$D$1:$K$22,_xlpm.supplierRow+_xlpm.widthRow,_xlpm.tier),_xlpm.rate*_xlpm.steps/_xlpm.kgmUsed),"")</f>
        <v>1.1655304143402878</v>
      </c>
      <c r="AI93" s="919" cm="1">
        <f t="array" ref="AI93">IFERROR(_xlfn.LET(_xlpm.cap,IF(O93="Quantum",760,1220),_xlpm.wUsed,E93*MAX(1,MIN(MAX(2,INT(900/E93)),INT((_xlpm.cap-50)/E93))),_xlpm.kgmUsed,AR93/E93*_xlpm.wUsed,_xlpm.tier,IF(P93&lt;3000,1,IF(P93&lt;10000,2,IF(P93&lt;25000,3,IF(P93&lt;50000,4,IF(P93&lt;100000,5,IF(P93&lt;250000,6,IF(P93&lt;500000,7,8))))))),_xlpm.widthRow,IF(_xlpm.wUsed&lt;900,0,5),_xlpm.slitRow,IF(O93="Marma",7,IF(OR(O93="Bastin",O93="Quantum"),17,0)),_xlpm.slitRate,INDEX('Lmntn &amp; Prntng- Marma &amp; Bastin '!$D$1:$K$22,_xlpm.slitRow+_xlpm.widthRow,_xlpm.tier),_xlpm.numColors,IF(ISNUMBER(L93),L93,IFERROR(--RIGHT(L93,LEN(L93)-FIND("-",L93)),0)),_xlpm.printRate,IF(OR(K93&lt;&gt;"Printed",_xlpm.numColors=0),0,IF(O93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93))),MAX(_xlfn._xlws.FILTER(_xlpm.meters,(_xlpm.widths=_xlpm.qWidth)*(_xlpm.bands=_xlpm.band)))),INDEX(_xlpm.rates,_xlfn.XMATCH(1,(_xlpm.widths=_xlpm.qWidth)*(_xlpm.bands=_xlpm.band)*(_xlpm.meters=_xlpm.targetM),0))/HELPER!$AK$2),_xlfn.LET(_xlpm.colorOffset,IF(_xlpm.numColors&lt;=2,1,IF(_xlpm.numColors&lt;=4,2,3)),_xlpm.supplierRow,IF(O93="Marma",3,IF(O93="Bastin",13,0)),INDEX('Lmntn &amp; Prntng- Marma &amp; Bastin '!$D$1:$K$22,_xlpm.supplierRow+_xlpm.widthRow+_xlpm.colorOffset,_xlpm.tier)))),AH93+_xlpm.slitRate/_xlpm.kgmUsed+_xlpm.printRate/_xlpm.kgmUsed+AJ93),"")</f>
        <v>1.4955921245959445</v>
      </c>
      <c r="AJ93" s="919" cm="1">
        <f t="array" ref="AJ93">IF(OR(K93&lt;&gt;"Printed",L93=0,L93="0",L93=""),0,IFERROR(_xlfn.LET(_xlpm.lam,TEXT(B93,"0"),_xlpm.crit,(TEXT(HELPER!$BZ$2:$BZ$250,"0")=_xlpm.lam)*(HELPER!$CC$2:$CC$250=D93)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WHITE"},0)))/ROWS(_xlpm.real),_xlpm.numColors,IF(ISNUMBER(L93),L93,IFERROR(--RIGHT(L93,LEN(L93)-FIND("-",L93)),0)),HELPER!$DB$1*_xlpm.numColors*MAX(1,M93)*1.05*_xlpm.nkRatio/Q93),0))</f>
        <v>0</v>
      </c>
      <c r="AK93" s="919">
        <f t="shared" si="41"/>
        <v>1.6380943460888389</v>
      </c>
      <c r="AL93" s="919">
        <f t="shared" si="42"/>
        <v>634.76155910942509</v>
      </c>
      <c r="AM93" s="73" t="str">
        <f t="shared" si="43"/>
        <v>PASS</v>
      </c>
      <c r="AN93" s="908" t="str">
        <f t="shared" si="22"/>
        <v/>
      </c>
      <c r="AO93" s="919">
        <f t="shared" si="23"/>
        <v>106</v>
      </c>
      <c r="AP93" s="919">
        <f t="shared" si="24"/>
        <v>14692.918013517483</v>
      </c>
      <c r="AQ93" s="919"/>
      <c r="AR93" s="919" cm="1">
        <f t="array" ref="AR93">IFERROR(_xlfn.LET(_xlpm.lam,TEXT(B93,"0"),_xlpm.thick,D93,_xlpm.crit,(TEXT(HELPER!$BZ$2:$BZ$250,"0")=_xlpm.lam)*(HELPER!$CC$2:$CC$250=_xlpm.thick)*(HELPER!$BW$2:$BW$250&lt;&gt;""),_xlpm.mats,TRIM(SUBSTITUTE(_xlfn._xlws.FILTER(HELPER!$BW$2:$BW$250,_xlpm.crit),CHAR(160),"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")),HELPER!$AQ$2:$AQ$20,1),_xlpm.mass,IF(ISNUMBER(SEARCH("paper",_xlpm.mats)),42,_xlpm.dens*_xlpm.ths),E93/1000000*SUM(_xlpm.mass)),"")</f>
        <v>3.4030000000000005E-2</v>
      </c>
      <c r="AS93" s="919">
        <f>IFERROR(IF(D93&gt;31,(5%+250/P93)*AF93,VLOOKUP(D93,HELPER!$BH$3:$BI$5,2,TRUE)*AF93),0)</f>
        <v>0.562708132324787</v>
      </c>
      <c r="AT93" s="919">
        <v>0.149999999999998</v>
      </c>
      <c r="AU93" s="919"/>
      <c r="AV93" s="919"/>
      <c r="AW93" s="919"/>
      <c r="AX93" s="919"/>
      <c r="AY93" s="919"/>
      <c r="AZ93" s="919">
        <f t="shared" si="25"/>
        <v>0</v>
      </c>
    </row>
    <row r="94" spans="1:52">
      <c r="A94" s="73" t="s">
        <v>1515</v>
      </c>
      <c r="B94" s="73" t="s">
        <v>1120</v>
      </c>
      <c r="C94" s="908" t="s">
        <v>1434</v>
      </c>
      <c r="D94" s="915" cm="1">
        <f t="array" ref="D9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4" s="915">
        <v>600</v>
      </c>
      <c r="F94" s="73" t="s">
        <v>1040</v>
      </c>
      <c r="G94" s="916">
        <v>100000</v>
      </c>
      <c r="H94" s="916"/>
      <c r="I94" s="916">
        <v>300</v>
      </c>
      <c r="J94" s="916">
        <v>200</v>
      </c>
      <c r="K94" s="73" t="s">
        <v>123</v>
      </c>
      <c r="L94" s="921" t="s">
        <v>122</v>
      </c>
      <c r="M94" s="915">
        <v>4</v>
      </c>
      <c r="N94" s="73" t="s">
        <v>549</v>
      </c>
      <c r="O94" s="73" t="s">
        <v>250</v>
      </c>
      <c r="P94" s="916" cm="1">
        <f t="array" ref="P94">IFERROR(_xlfn.SWITCH(F94,"By Weight",IF(H94&lt;&gt;"",H94,G94)/AR94,"By Length",G94,"By Imp",G94/MAX(1,ROUNDDOWN(E94/I94,0))*J94/1000,"IMP",G94/MAX(1,ROUNDDOWN(E94/I94,0))*J94/1000,""),"")</f>
        <v>10000</v>
      </c>
      <c r="Q94" s="916">
        <f t="shared" si="26"/>
        <v>491.76</v>
      </c>
      <c r="R94" s="917">
        <f t="shared" si="27"/>
        <v>9377.6844872187503</v>
      </c>
      <c r="S94" s="918">
        <f t="shared" si="28"/>
        <v>10878.114005173749</v>
      </c>
      <c r="T94" s="919">
        <f t="shared" si="29"/>
        <v>19.069636585364304</v>
      </c>
      <c r="U94" s="920">
        <f t="shared" si="30"/>
        <v>22.12077843902259</v>
      </c>
      <c r="V94" s="919">
        <f t="shared" si="31"/>
        <v>1.1722105609023452</v>
      </c>
      <c r="W94" s="919">
        <f t="shared" si="32"/>
        <v>23.837045731705413</v>
      </c>
      <c r="X94" s="919">
        <f t="shared" si="33"/>
        <v>0.11722105609023453</v>
      </c>
      <c r="Y94" s="920">
        <f t="shared" si="34"/>
        <v>1.3597642506467202</v>
      </c>
      <c r="Z94" s="920">
        <f t="shared" si="35"/>
        <v>27.650973048778276</v>
      </c>
      <c r="AA94" s="920">
        <f t="shared" si="36"/>
        <v>0.13597642506467206</v>
      </c>
      <c r="AB94" s="917">
        <f t="shared" si="37"/>
        <v>11722.105609023454</v>
      </c>
      <c r="AC94" s="918">
        <f t="shared" si="38"/>
        <v>13597.642506467206</v>
      </c>
      <c r="AD94" s="916">
        <f t="shared" si="39"/>
        <v>10167.561412070929</v>
      </c>
      <c r="AE94" s="916">
        <f t="shared" si="40"/>
        <v>500</v>
      </c>
      <c r="AF94" s="919" cm="1">
        <f t="array" ref="AF94">IFERROR(_xlfn.LET(_xlpm.lam,TEXT(B94,"0"),_xlpm.thick,D94,_xlpm.crit,(TEXT(HELPER!$BZ$2:$BZ$250,"0")=_xlpm.lam)*(HELPER!$CC$2:$CC$250=_xlpm.thick)*(HELPER!$BW$2:$BW$250&lt;&gt;""),_xlpm.mats,TRIM(SUBSTITUTE(_xlfn._xlws.FILTER(HELPER!$BW$2:$BW$250,_xlpm.crit),CHAR(160),"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4" s="919">
        <f>IFERROR(IF(N94="Europe to Canada",IF(Q94&lt;1000,VLOOKUP(1000,HELPER!$AG$4:$AH$8,2,FALSE)/Q94,VLOOKUP(Q94,HELPER!$AG$4:$AH$8,2,TRUE)/Q94),IF(N94="Europe to US",HELPER!$AH$2,IF(N94="Europe to Europe",HELPER!$AH$3,0))),0)</f>
        <v>0.2</v>
      </c>
      <c r="AH94" s="919" cm="1">
        <f t="array" ref="AH94">IFERROR(_xlfn.LET(_xlpm.cap,IF(O94="Quantum",760,1220),_xlpm.wUsed,E94*MAX(1,MIN(MAX(2,INT(900/E94)),INT((_xlpm.cap-50)/E94))),_xlpm.kgmUsed,AR94/E94*_xlpm.wUsed,_xlpm.lam,TEXT(B94,"0"),_xlpm.crit,(TEXT(HELPER!$BZ$2:$BZ$250,"0")=_xlpm.lam)*(HELPER!$CC$2:$CC$250=D94)*(HELPER!$BW$2:$BW$250&lt;&gt;""),_xlpm.mats,_xlfn._xlws.FILTER(HELPER!$BW$2:$BW$250,_xlpm.crit),_xlpm.realLayers,SUM((_xlpm.mats&lt;&gt;"")*ISERROR(SEARCH("EPOTAL",_xlpm.mats&amp;""))*ISERROR(SEARCH("BASONAT",_xlpm.mats&amp;""))*ISERROR(SEARCH("ADH",_xlpm.mats&amp;""))*ISERROR(SEARCH("HARDENER",_xlpm.mats&amp;""))),_xlpm.steps,MAX(0,_xlpm.realLayers-1),_xlpm.tier,IF(P94&lt;3000,1,IF(P94&lt;10000,2,IF(P94&lt;25000,3,IF(P94&lt;50000,4,IF(P94&lt;100000,5,IF(P94&lt;250000,6,7)))))),_xlpm.widthRow,IF(_xlpm.wUsed&lt;900,0,5),_xlpm.supplierRow,IF(O94="Marma",3,IF(OR(O94="Bastin",O94="Quantum"),13,0)),_xlpm.rate,INDEX('Lmntn &amp; Prntng- Marma &amp; Bastin '!$D$1:$K$22,_xlpm.supplierRow+_xlpm.widthRow,_xlpm.tier),_xlpm.rate*_xlpm.steps/_xlpm.kgmUsed),"")</f>
        <v>1.8612737920937044</v>
      </c>
      <c r="AI94" s="919" cm="1">
        <f t="array" ref="AI94">IFERROR(_xlfn.LET(_xlpm.cap,IF(O94="Quantum",760,1220),_xlpm.wUsed,E94*MAX(1,MIN(MAX(2,INT(900/E94)),INT((_xlpm.cap-50)/E94))),_xlpm.kgmUsed,AR94/E94*_xlpm.wUsed,_xlpm.tier,IF(P94&lt;3000,1,IF(P94&lt;10000,2,IF(P94&lt;25000,3,IF(P94&lt;50000,4,IF(P94&lt;100000,5,IF(P94&lt;250000,6,IF(P94&lt;500000,7,8))))))),_xlpm.widthRow,IF(_xlpm.wUsed&lt;900,0,5),_xlpm.slitRow,IF(O94="Marma",7,IF(OR(O94="Bastin",O94="Quantum"),17,0)),_xlpm.slitRate,INDEX('Lmntn &amp; Prntng- Marma &amp; Bastin '!$D$1:$K$22,_xlpm.slitRow+_xlpm.widthRow,_xlpm.tier),_xlpm.numColors,IF(ISNUMBER(L94),L94,IFERROR(--RIGHT(L94,LEN(L94)-FIND("-",L94)),0)),_xlpm.printRate,IF(OR(K94&lt;&gt;"Printed",_xlpm.numColors=0),0,IF(O94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94))),MAX(_xlfn._xlws.FILTER(_xlpm.meters,(_xlpm.widths=_xlpm.qWidth)*(_xlpm.bands=_xlpm.band)))),INDEX(_xlpm.rates,_xlfn.XMATCH(1,(_xlpm.widths=_xlpm.qWidth)*(_xlpm.bands=_xlpm.band)*(_xlpm.meters=_xlpm.targetM),0))/HELPER!$AK$2),_xlfn.LET(_xlpm.colorOffset,IF(_xlpm.numColors&lt;=2,1,IF(_xlpm.numColors&lt;=4,2,3)),_xlpm.supplierRow,IF(O94="Marma",3,IF(O94="Bastin",13,0)),INDEX('Lmntn &amp; Prntng- Marma &amp; Bastin '!$D$1:$K$22,_xlpm.supplierRow+_xlpm.widthRow+_xlpm.colorOffset,_xlpm.tier)))),AH94+_xlpm.slitRate/_xlpm.kgmUsed+_xlpm.printRate/_xlpm.kgmUsed+AJ94),"")</f>
        <v>10.087644379372051</v>
      </c>
      <c r="AJ94" s="919" cm="1">
        <f t="array" ref="AJ94">IF(OR(K94&lt;&gt;"Printed",L94=0,L94="0",L94=""),0,IFERROR(_xlfn.LET(_xlpm.lam,TEXT(B94,"0"),_xlpm.crit,(TEXT(HELPER!$BZ$2:$BZ$250,"0")=_xlpm.lam)*(HELPER!$CC$2:$CC$250=D94)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WHITE"},0)))/ROWS(_xlpm.real),_xlpm.numColors,IF(ISNUMBER(L94),L94,IFERROR(--RIGHT(L94,LEN(L94)-FIND("-",L94)),0)),HELPER!$DB$1*_xlpm.numColors*MAX(1,M94)*1.05*_xlpm.nkRatio/Q94),0))</f>
        <v>5.1244509516837482</v>
      </c>
      <c r="AK94" s="919">
        <f t="shared" si="41"/>
        <v>1.2604414633358552</v>
      </c>
      <c r="AL94" s="919">
        <f t="shared" si="42"/>
        <v>1172.2105609023452</v>
      </c>
      <c r="AM94" s="73" t="str">
        <f t="shared" si="43"/>
        <v>PASS</v>
      </c>
      <c r="AN94" s="908" t="str">
        <f t="shared" si="22"/>
        <v/>
      </c>
      <c r="AO94" s="919">
        <f t="shared" si="23"/>
        <v>63</v>
      </c>
      <c r="AP94" s="919">
        <f t="shared" si="24"/>
        <v>10000</v>
      </c>
      <c r="AQ94" s="919"/>
      <c r="AR94" s="919" cm="1">
        <f t="array" ref="AR94">IFERROR(_xlfn.LET(_xlpm.lam,TEXT(B94,"0"),_xlpm.thick,D94,_xlpm.crit,(TEXT(HELPER!$BZ$2:$BZ$250,"0")=_xlpm.lam)*(HELPER!$CC$2:$CC$250=_xlpm.thick)*(HELPER!$BW$2:$BW$250&lt;&gt;""),_xlpm.mats,TRIM(SUBSTITUTE(_xlfn._xlws.FILTER(HELPER!$BW$2:$BW$250,_xlpm.crit),CHAR(160),"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")),HELPER!$AQ$2:$AQ$20,1),_xlpm.mass,IF(ISNUMBER(SEARCH("paper",_xlpm.mats)),42,_xlpm.dens*_xlpm.ths),E94/1000000*SUM(_xlpm.mass)),"")</f>
        <v>4.9175999999999997E-2</v>
      </c>
      <c r="AS94" s="919">
        <f>IFERROR(IF(D94&gt;31,(5%+250/P94)*AF94,VLOOKUP(D94,HELPER!$BH$3:$BI$5,2,TRUE)*AF94),0)</f>
        <v>0.61269713065062237</v>
      </c>
      <c r="AT94" s="919">
        <v>0.20000000000000101</v>
      </c>
      <c r="AU94" s="919"/>
      <c r="AV94" s="919"/>
      <c r="AW94" s="919"/>
      <c r="AX94" s="919"/>
      <c r="AY94" s="919"/>
      <c r="AZ94" s="919">
        <f t="shared" si="25"/>
        <v>2520</v>
      </c>
    </row>
    <row r="95" spans="1:52">
      <c r="A95" s="73" t="s">
        <v>1516</v>
      </c>
      <c r="B95" s="73" t="s">
        <v>1120</v>
      </c>
      <c r="C95" s="908" t="s">
        <v>1436</v>
      </c>
      <c r="D95" s="915" cm="1">
        <f t="array" ref="D9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5" s="915">
        <v>450</v>
      </c>
      <c r="F95" s="73" t="s">
        <v>560</v>
      </c>
      <c r="G95" s="916">
        <v>500</v>
      </c>
      <c r="H95" s="916">
        <v>500</v>
      </c>
      <c r="I95" s="916"/>
      <c r="J95" s="916"/>
      <c r="K95" s="73" t="s">
        <v>123</v>
      </c>
      <c r="L95" s="921" t="s">
        <v>591</v>
      </c>
      <c r="M95" s="915">
        <v>2</v>
      </c>
      <c r="N95" s="73" t="s">
        <v>549</v>
      </c>
      <c r="O95" s="73" t="s">
        <v>1366</v>
      </c>
      <c r="P95" s="916" cm="1">
        <f t="array" ref="P95">IFERROR(_xlfn.SWITCH(F95,"By Weight",IF(H95&lt;&gt;"",H95,G95)/AR95,"By Length",G95,"By Imp",G95/MAX(1,ROUNDDOWN(E95/I95,0))*J95/1000,"IMP",G95/MAX(1,ROUNDDOWN(E95/I95,0))*J95/1000,""),"")</f>
        <v>13556.748549427903</v>
      </c>
      <c r="Q95" s="916">
        <f t="shared" si="26"/>
        <v>500</v>
      </c>
      <c r="R95" s="917">
        <f t="shared" si="27"/>
        <v>16513.598810292086</v>
      </c>
      <c r="S95" s="918">
        <f t="shared" si="28"/>
        <v>19155.774619938817</v>
      </c>
      <c r="T95" s="919">
        <f t="shared" si="29"/>
        <v>33.027197620584168</v>
      </c>
      <c r="U95" s="920">
        <f t="shared" si="30"/>
        <v>38.311549239877635</v>
      </c>
      <c r="V95" s="919">
        <f t="shared" si="31"/>
        <v>1.4330695325204568</v>
      </c>
      <c r="W95" s="919">
        <f t="shared" si="32"/>
        <v>38.855526612452053</v>
      </c>
      <c r="X95" s="919" t="str">
        <f t="shared" si="33"/>
        <v/>
      </c>
      <c r="Y95" s="920">
        <f t="shared" si="34"/>
        <v>1.6623606577237298</v>
      </c>
      <c r="Z95" s="920">
        <f t="shared" si="35"/>
        <v>45.072410870444379</v>
      </c>
      <c r="AA95" s="920" t="str">
        <f t="shared" si="36"/>
        <v/>
      </c>
      <c r="AB95" s="917">
        <f t="shared" si="37"/>
        <v>19427.763306226025</v>
      </c>
      <c r="AC95" s="918">
        <f t="shared" si="38"/>
        <v>22536.205435222186</v>
      </c>
      <c r="AD95" s="916">
        <f t="shared" si="39"/>
        <v>13556.748549427903</v>
      </c>
      <c r="AE95" s="916">
        <f t="shared" si="40"/>
        <v>500</v>
      </c>
      <c r="AF95" s="919" cm="1">
        <f t="array" ref="AF95">IFERROR(_xlfn.LET(_xlpm.lam,TEXT(B95,"0"),_xlpm.thick,D95,_xlpm.crit,(TEXT(HELPER!$BZ$2:$BZ$250,"0")=_xlpm.lam)*(HELPER!$CC$2:$CC$250=_xlpm.thick)*(HELPER!$BW$2:$BW$250&lt;&gt;""),_xlpm.mats,TRIM(SUBSTITUTE(_xlfn._xlws.FILTER(HELPER!$BW$2:$BW$250,_xlpm.crit),CHAR(160),"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5" s="919">
        <f>IFERROR(IF(N95="Europe to Canada",IF(Q95&lt;1000,VLOOKUP(1000,HELPER!$AG$4:$AH$8,2,FALSE)/Q95,VLOOKUP(Q95,HELPER!$AG$4:$AH$8,2,TRUE)/Q95),IF(N95="Europe to US",HELPER!$AH$2,IF(N95="Europe to Europe",HELPER!$AH$3,0))),0)</f>
        <v>0.2</v>
      </c>
      <c r="AH95" s="919" cm="1">
        <f t="array" ref="AH95">IFERROR(_xlfn.LET(_xlpm.cap,IF(O95="Quantum",760,1220),_xlpm.wUsed,E95*MAX(1,MIN(MAX(2,INT(900/E95)),INT((_xlpm.cap-50)/E95))),_xlpm.kgmUsed,AR95/E95*_xlpm.wUsed,_xlpm.lam,TEXT(B95,"0"),_xlpm.crit,(TEXT(HELPER!$BZ$2:$BZ$250,"0")=_xlpm.lam)*(HELPER!$CC$2:$CC$250=D95)*(HELPER!$BW$2:$BW$250&lt;&gt;""),_xlpm.mats,_xlfn._xlws.FILTER(HELPER!$BW$2:$BW$250,_xlpm.crit),_xlpm.realLayers,SUM((_xlpm.mats&lt;&gt;"")*ISERROR(SEARCH("EPOTAL",_xlpm.mats&amp;""))*ISERROR(SEARCH("BASONAT",_xlpm.mats&amp;""))*ISERROR(SEARCH("ADH",_xlpm.mats&amp;""))*ISERROR(SEARCH("HARDENER",_xlpm.mats&amp;""))),_xlpm.steps,MAX(0,_xlpm.realLayers-1),_xlpm.tier,IF(P95&lt;3000,1,IF(P95&lt;10000,2,IF(P95&lt;25000,3,IF(P95&lt;50000,4,IF(P95&lt;100000,5,IF(P95&lt;250000,6,7)))))),_xlpm.widthRow,IF(_xlpm.wUsed&lt;900,0,5),_xlpm.supplierRow,IF(O95="Marma",3,IF(OR(O95="Bastin",O95="Quantum"),13,0)),_xlpm.rate,INDEX('Lmntn &amp; Prntng- Marma &amp; Bastin '!$D$1:$K$22,_xlpm.supplierRow+_xlpm.widthRow,_xlpm.tier),_xlpm.rate*_xlpm.steps/_xlpm.kgmUsed),"")</f>
        <v>3.2262079062957536</v>
      </c>
      <c r="AI95" s="919" cm="1">
        <f t="array" ref="AI95">IFERROR(_xlfn.LET(_xlpm.cap,IF(O95="Quantum",760,1220),_xlpm.wUsed,E95*MAX(1,MIN(MAX(2,INT(900/E95)),INT((_xlpm.cap-50)/E95))),_xlpm.kgmUsed,AR95/E95*_xlpm.wUsed,_xlpm.tier,IF(P95&lt;3000,1,IF(P95&lt;10000,2,IF(P95&lt;25000,3,IF(P95&lt;50000,4,IF(P95&lt;100000,5,IF(P95&lt;250000,6,IF(P95&lt;500000,7,8))))))),_xlpm.widthRow,IF(_xlpm.wUsed&lt;900,0,5),_xlpm.slitRow,IF(O95="Marma",7,IF(OR(O95="Bastin",O95="Quantum"),17,0)),_xlpm.slitRate,INDEX('Lmntn &amp; Prntng- Marma &amp; Bastin '!$D$1:$K$22,_xlpm.slitRow+_xlpm.widthRow,_xlpm.tier),_xlpm.numColors,IF(ISNUMBER(L95),L95,IFERROR(--RIGHT(L95,LEN(L95)-FIND("-",L95)),0)),_xlpm.printRate,IF(OR(K95&lt;&gt;"Printed",_xlpm.numColors=0),0,IF(O95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95))),MAX(_xlfn._xlws.FILTER(_xlpm.meters,(_xlpm.widths=_xlpm.qWidth)*(_xlpm.bands=_xlpm.band)))),INDEX(_xlpm.rates,_xlfn.XMATCH(1,(_xlpm.widths=_xlpm.qWidth)*(_xlpm.bands=_xlpm.band)*(_xlpm.meters=_xlpm.targetM),0))/HELPER!$AK$2),_xlfn.LET(_xlpm.colorOffset,IF(_xlpm.numColors&lt;=2,1,IF(_xlpm.numColors&lt;=4,2,3)),_xlpm.supplierRow,IF(O95="Marma",3,IF(O95="Bastin",13,0)),INDEX('Lmntn &amp; Prntng- Marma &amp; Bastin '!$D$1:$K$22,_xlpm.supplierRow+_xlpm.widthRow+_xlpm.colorOffset,_xlpm.tier)))),AH95+_xlpm.slitRate/_xlpm.kgmUsed+_xlpm.printRate/_xlpm.kgmUsed+AJ95),"")</f>
        <v>24.098787820991081</v>
      </c>
      <c r="AJ95" s="919" cm="1">
        <f t="array" ref="AJ95">IF(OR(K95&lt;&gt;"Printed",L95=0,L95="0",L95=""),0,IFERROR(_xlfn.LET(_xlpm.lam,TEXT(B95,"0"),_xlpm.crit,(TEXT(HELPER!$BZ$2:$BZ$250,"0")=_xlpm.lam)*(HELPER!$CC$2:$CC$250=D95)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WHITE"},0)))/ROWS(_xlpm.real),_xlpm.numColors,IF(ISNUMBER(L95),L95,IFERROR(--RIGHT(L95,LEN(L95)-FIND("-",L95)),0)),HELPER!$DB$1*_xlpm.numColors*MAX(1,M95)*1.05*_xlpm.nkRatio/Q95),0))</f>
        <v>1.26</v>
      </c>
      <c r="AK95" s="919">
        <f t="shared" si="41"/>
        <v>2.0545799749397231</v>
      </c>
      <c r="AL95" s="919">
        <f t="shared" si="42"/>
        <v>1433.0695325204567</v>
      </c>
      <c r="AM95" s="73" t="str">
        <f t="shared" si="43"/>
        <v>PASS</v>
      </c>
      <c r="AN95" s="908" t="str">
        <f t="shared" si="22"/>
        <v/>
      </c>
      <c r="AO95" s="919">
        <f t="shared" si="23"/>
        <v>63</v>
      </c>
      <c r="AP95" s="919">
        <f t="shared" si="24"/>
        <v>13556.748549427903</v>
      </c>
      <c r="AQ95" s="919"/>
      <c r="AR95" s="919" cm="1">
        <f t="array" ref="AR95">IFERROR(_xlfn.LET(_xlpm.lam,TEXT(B95,"0"),_xlpm.thick,D95,_xlpm.crit,(TEXT(HELPER!$BZ$2:$BZ$250,"0")=_xlpm.lam)*(HELPER!$CC$2:$CC$250=_xlpm.thick)*(HELPER!$BW$2:$BW$250&lt;&gt;""),_xlpm.mats,TRIM(SUBSTITUTE(_xlfn._xlws.FILTER(HELPER!$BW$2:$BW$250,_xlpm.crit),CHAR(160),"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")),HELPER!$AQ$2:$AQ$20,1),_xlpm.mass,IF(ISNUMBER(SEARCH("paper",_xlpm.mats)),42,_xlpm.dens*_xlpm.ths),E95/1000000*SUM(_xlpm.mass)),"")</f>
        <v>3.6882000000000005E-2</v>
      </c>
      <c r="AS95" s="919">
        <f>IFERROR(IF(D95&gt;31,(5%+250/P95)*AF95,VLOOKUP(D95,HELPER!$BH$3:$BI$5,2,TRUE)*AF95),0)</f>
        <v>0.55911472425145647</v>
      </c>
      <c r="AT95" s="919">
        <v>0.15000000000000199</v>
      </c>
      <c r="AU95" s="919"/>
      <c r="AV95" s="919"/>
      <c r="AW95" s="919"/>
      <c r="AX95" s="919"/>
      <c r="AY95" s="919"/>
      <c r="AZ95" s="919">
        <f t="shared" si="25"/>
        <v>630</v>
      </c>
    </row>
    <row r="96" spans="1:52">
      <c r="A96" s="73" t="s">
        <v>1517</v>
      </c>
      <c r="B96" s="73">
        <v>748</v>
      </c>
      <c r="C96" s="908" t="s">
        <v>1418</v>
      </c>
      <c r="D96" s="915" cm="1">
        <f t="array" ref="D9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6" s="915">
        <v>120</v>
      </c>
      <c r="F96" s="73" t="s">
        <v>560</v>
      </c>
      <c r="G96" s="916">
        <v>100</v>
      </c>
      <c r="H96" s="916">
        <v>100</v>
      </c>
      <c r="I96" s="916"/>
      <c r="J96" s="916"/>
      <c r="K96" s="73" t="s">
        <v>124</v>
      </c>
      <c r="L96" s="921" t="s">
        <v>221</v>
      </c>
      <c r="M96" s="915">
        <v>1</v>
      </c>
      <c r="N96" s="73" t="s">
        <v>549</v>
      </c>
      <c r="O96" s="73" t="s">
        <v>250</v>
      </c>
      <c r="P96" s="916" cm="1">
        <f t="array" ref="P96">IFERROR(_xlfn.SWITCH(F96,"By Weight",IF(H96&lt;&gt;"",H96,G96)/AR96,"By Length",G96,"By Imp",G96/MAX(1,ROUNDDOWN(E96/I96,0))*J96/1000,"IMP",G96/MAX(1,ROUNDDOWN(E96/I96,0))*J96/1000,""),"")</f>
        <v>12291.052114060962</v>
      </c>
      <c r="Q96" s="916">
        <f t="shared" si="26"/>
        <v>100</v>
      </c>
      <c r="R96" s="917">
        <f t="shared" si="27"/>
        <v>1264.589305461953</v>
      </c>
      <c r="S96" s="918">
        <f t="shared" si="28"/>
        <v>1466.9235943358653</v>
      </c>
      <c r="T96" s="919">
        <f t="shared" si="29"/>
        <v>12.645893054619529</v>
      </c>
      <c r="U96" s="920">
        <f t="shared" si="30"/>
        <v>14.669235943358654</v>
      </c>
      <c r="V96" s="919">
        <f t="shared" si="31"/>
        <v>0.12104351281457028</v>
      </c>
      <c r="W96" s="919">
        <f t="shared" si="32"/>
        <v>14.877521240728893</v>
      </c>
      <c r="X96" s="919" t="str">
        <f t="shared" si="33"/>
        <v/>
      </c>
      <c r="Y96" s="920">
        <f t="shared" si="34"/>
        <v>0.14041047486490152</v>
      </c>
      <c r="Z96" s="920">
        <f t="shared" si="35"/>
        <v>17.257924639245513</v>
      </c>
      <c r="AA96" s="920" t="str">
        <f t="shared" si="36"/>
        <v/>
      </c>
      <c r="AB96" s="917">
        <f t="shared" si="37"/>
        <v>1487.7521240728893</v>
      </c>
      <c r="AC96" s="918">
        <f t="shared" si="38"/>
        <v>1725.7924639245514</v>
      </c>
      <c r="AD96" s="916">
        <f t="shared" si="39"/>
        <v>61455.26057030481</v>
      </c>
      <c r="AE96" s="916">
        <f t="shared" si="40"/>
        <v>500</v>
      </c>
      <c r="AF96" s="919" cm="1">
        <f t="array" ref="AF96">IFERROR(_xlfn.LET(_xlpm.lam,TEXT(B96,"0"),_xlpm.thick,D96,_xlpm.crit,(TEXT(HELPER!$BZ$2:$BZ$250,"0")=_xlpm.lam)*(HELPER!$CC$2:$CC$250=_xlpm.thick)*(HELPER!$BW$2:$BW$250&lt;&gt;""),_xlpm.mats,TRIM(SUBSTITUTE(_xlfn._xlws.FILTER(HELPER!$BW$2:$BW$250,_xlpm.crit),CHAR(160),"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96" s="919">
        <f>IFERROR(IF(N96="Europe to Canada",IF(Q96&lt;1000,VLOOKUP(1000,HELPER!$AG$4:$AH$8,2,FALSE)/Q96,VLOOKUP(Q96,HELPER!$AG$4:$AH$8,2,TRUE)/Q96),IF(N96="Europe to US",HELPER!$AH$2,IF(N96="Europe to Europe",HELPER!$AH$3,0))),0)</f>
        <v>0.2</v>
      </c>
      <c r="AH96" s="919" cm="1">
        <f t="array" ref="AH96">IFERROR(_xlfn.LET(_xlpm.cap,IF(O96="Quantum",760,1220),_xlpm.wUsed,E96*MAX(1,MIN(MAX(2,INT(900/E96)),INT((_xlpm.cap-50)/E96))),_xlpm.kgmUsed,AR96/E96*_xlpm.wUsed,_xlpm.lam,TEXT(B96,"0"),_xlpm.crit,(TEXT(HELPER!$BZ$2:$BZ$250,"0")=_xlpm.lam)*(HELPER!$CC$2:$CC$250=D96)*(HELPER!$BW$2:$BW$250&lt;&gt;""),_xlpm.mats,_xlfn._xlws.FILTER(HELPER!$BW$2:$BW$250,_xlpm.crit),_xlpm.realLayers,SUM((_xlpm.mats&lt;&gt;"")*ISERROR(SEARCH("EPOTAL",_xlpm.mats&amp;""))*ISERROR(SEARCH("BASONAT",_xlpm.mats&amp;""))*ISERROR(SEARCH("ADH",_xlpm.mats&amp;""))*ISERROR(SEARCH("HARDENER",_xlpm.mats&amp;""))),_xlpm.steps,MAX(0,_xlpm.realLayers-1),_xlpm.tier,IF(P96&lt;3000,1,IF(P96&lt;10000,2,IF(P96&lt;25000,3,IF(P96&lt;50000,4,IF(P96&lt;100000,5,IF(P96&lt;250000,6,7)))))),_xlpm.widthRow,IF(_xlpm.wUsed&lt;900,0,5),_xlpm.supplierRow,IF(O96="Marma",3,IF(OR(O96="Bastin",O96="Quantum"),13,0)),_xlpm.rate,INDEX('Lmntn &amp; Prntng- Marma &amp; Bastin '!$D$1:$K$22,_xlpm.supplierRow+_xlpm.widthRow,_xlpm.tier),_xlpm.rate*_xlpm.steps/_xlpm.kgmUsed),"")</f>
        <v>3.214285714285714</v>
      </c>
      <c r="AI96" s="919" cm="1">
        <f t="array" ref="AI96">IFERROR(_xlfn.LET(_xlpm.cap,IF(O96="Quantum",760,1220),_xlpm.wUsed,E96*MAX(1,MIN(MAX(2,INT(900/E96)),INT((_xlpm.cap-50)/E96))),_xlpm.kgmUsed,AR96/E96*_xlpm.wUsed,_xlpm.tier,IF(P96&lt;3000,1,IF(P96&lt;10000,2,IF(P96&lt;25000,3,IF(P96&lt;50000,4,IF(P96&lt;100000,5,IF(P96&lt;250000,6,IF(P96&lt;500000,7,8))))))),_xlpm.widthRow,IF(_xlpm.wUsed&lt;900,0,5),_xlpm.slitRow,IF(O96="Marma",7,IF(OR(O96="Bastin",O96="Quantum"),17,0)),_xlpm.slitRate,INDEX('Lmntn &amp; Prntng- Marma &amp; Bastin '!$D$1:$K$22,_xlpm.slitRow+_xlpm.widthRow,_xlpm.tier),_xlpm.numColors,IF(ISNUMBER(L96),L96,IFERROR(--RIGHT(L96,LEN(L96)-FIND("-",L96)),0)),_xlpm.printRate,IF(OR(K96&lt;&gt;"Printed",_xlpm.numColors=0),0,IF(O96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96))),MAX(_xlfn._xlws.FILTER(_xlpm.meters,(_xlpm.widths=_xlpm.qWidth)*(_xlpm.bands=_xlpm.band)))),INDEX(_xlpm.rates,_xlfn.XMATCH(1,(_xlpm.widths=_xlpm.qWidth)*(_xlpm.bands=_xlpm.band)*(_xlpm.meters=_xlpm.targetM),0))/HELPER!$AK$2),_xlfn.LET(_xlpm.colorOffset,IF(_xlpm.numColors&lt;=2,1,IF(_xlpm.numColors&lt;=4,2,3)),_xlpm.supplierRow,IF(O96="Marma",3,IF(O96="Bastin",13,0)),INDEX('Lmntn &amp; Prntng- Marma &amp; Bastin '!$D$1:$K$22,_xlpm.supplierRow+_xlpm.widthRow+_xlpm.colorOffset,_xlpm.tier)))),AH96+_xlpm.slitRate/_xlpm.kgmUsed+_xlpm.printRate/_xlpm.kgmUsed+AJ96),"")</f>
        <v>3.6694058154235143</v>
      </c>
      <c r="AJ96" s="919" cm="1">
        <f t="array" ref="AJ96">IF(OR(K96&lt;&gt;"Printed",L96=0,L96="0",L96=""),0,IFERROR(_xlfn.LET(_xlpm.lam,TEXT(B96,"0"),_xlpm.crit,(TEXT(HELPER!$BZ$2:$BZ$250,"0")=_xlpm.lam)*(HELPER!$CC$2:$CC$250=D96)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WHITE"},0)))/ROWS(_xlpm.real),_xlpm.numColors,IF(ISNUMBER(L96),L96,IFERROR(--RIGHT(L96,LEN(L96)-FIND("-",L96)),0)),HELPER!$DB$1*_xlpm.numColors*MAX(1,M96)*1.05*_xlpm.nkRatio/Q96),0))</f>
        <v>0</v>
      </c>
      <c r="AK96" s="919">
        <f t="shared" si="41"/>
        <v>0.65077157427188326</v>
      </c>
      <c r="AL96" s="919">
        <f t="shared" si="42"/>
        <v>121.04351281457028</v>
      </c>
      <c r="AM96" s="73" t="str">
        <f t="shared" si="43"/>
        <v>PASS</v>
      </c>
      <c r="AN96" s="908" t="str">
        <f t="shared" si="22"/>
        <v/>
      </c>
      <c r="AO96" s="919">
        <f t="shared" si="23"/>
        <v>55</v>
      </c>
      <c r="AP96" s="919">
        <f t="shared" si="24"/>
        <v>12291.052114060962</v>
      </c>
      <c r="AQ96" s="919"/>
      <c r="AR96" s="919" cm="1">
        <f t="array" ref="AR96">IFERROR(_xlfn.LET(_xlpm.lam,TEXT(B96,"0"),_xlpm.thick,D96,_xlpm.crit,(TEXT(HELPER!$BZ$2:$BZ$250,"0")=_xlpm.lam)*(HELPER!$CC$2:$CC$250=_xlpm.thick)*(HELPER!$BW$2:$BW$250&lt;&gt;""),_xlpm.mats,TRIM(SUBSTITUTE(_xlfn._xlws.FILTER(HELPER!$BW$2:$BW$250,_xlpm.crit),CHAR(160),"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")),HELPER!$AQ$2:$AQ$20,1),_xlpm.mass,IF(ISNUMBER(SEARCH("paper",_xlpm.mats)),42,_xlpm.dens*_xlpm.ths),E96/1000000*SUM(_xlpm.mass)),"")</f>
        <v>8.1360000000000009E-3</v>
      </c>
      <c r="AS96" s="919">
        <f>IFERROR(IF(D96&gt;31,(5%+250/P96)*AF96,VLOOKUP(D96,HELPER!$BH$3:$BI$5,2,TRUE)*AF96),0)</f>
        <v>0.57676823477123895</v>
      </c>
      <c r="AT96" s="919">
        <v>0.15000000000000199</v>
      </c>
      <c r="AU96" s="919"/>
      <c r="AV96" s="919"/>
      <c r="AW96" s="919"/>
      <c r="AX96" s="919"/>
      <c r="AY96" s="919"/>
      <c r="AZ96" s="919">
        <f t="shared" si="25"/>
        <v>0</v>
      </c>
    </row>
    <row r="97" spans="1:52">
      <c r="A97" s="73" t="s">
        <v>1518</v>
      </c>
      <c r="B97" s="73">
        <v>748</v>
      </c>
      <c r="C97" s="908" t="s">
        <v>1420</v>
      </c>
      <c r="D97" s="915" cm="1">
        <f t="array" ref="D9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7" s="915">
        <v>120</v>
      </c>
      <c r="F97" s="73" t="s">
        <v>1040</v>
      </c>
      <c r="G97" s="916">
        <v>1000</v>
      </c>
      <c r="H97" s="916"/>
      <c r="I97" s="916">
        <v>80</v>
      </c>
      <c r="J97" s="916">
        <v>80</v>
      </c>
      <c r="K97" s="73" t="s">
        <v>123</v>
      </c>
      <c r="L97" s="921" t="s">
        <v>591</v>
      </c>
      <c r="M97" s="915">
        <v>1</v>
      </c>
      <c r="N97" s="73" t="s">
        <v>550</v>
      </c>
      <c r="O97" s="73" t="s">
        <v>240</v>
      </c>
      <c r="P97" s="916" cm="1">
        <f t="array" ref="P97">IFERROR(_xlfn.SWITCH(F97,"By Weight",IF(H97&lt;&gt;"",H97,G97)/AR97,"By Length",G97,"By Imp",G97/MAX(1,ROUNDDOWN(E97/I97,0))*J97/1000,"IMP",G97/MAX(1,ROUNDDOWN(E97/I97,0))*J97/1000,""),"")</f>
        <v>80</v>
      </c>
      <c r="Q97" s="916">
        <f t="shared" si="26"/>
        <v>0.65088000000000013</v>
      </c>
      <c r="R97" s="917">
        <f t="shared" si="27"/>
        <v>33.151768073022858</v>
      </c>
      <c r="S97" s="918">
        <f t="shared" si="28"/>
        <v>38.456050964706513</v>
      </c>
      <c r="T97" s="919">
        <f t="shared" si="29"/>
        <v>50.933763632348281</v>
      </c>
      <c r="U97" s="920">
        <f t="shared" si="30"/>
        <v>59.083165813524005</v>
      </c>
      <c r="V97" s="919">
        <f t="shared" si="31"/>
        <v>0.51799637614098148</v>
      </c>
      <c r="W97" s="919">
        <f t="shared" si="32"/>
        <v>63.667204540435279</v>
      </c>
      <c r="X97" s="919">
        <f t="shared" si="33"/>
        <v>4.1439710091278517E-2</v>
      </c>
      <c r="Y97" s="920">
        <f t="shared" si="34"/>
        <v>0.60087579632353849</v>
      </c>
      <c r="Z97" s="920">
        <f t="shared" si="35"/>
        <v>73.853957266904914</v>
      </c>
      <c r="AA97" s="920">
        <f t="shared" si="36"/>
        <v>4.8070063705883077E-2</v>
      </c>
      <c r="AB97" s="917">
        <f t="shared" si="37"/>
        <v>41.439710091278521</v>
      </c>
      <c r="AC97" s="918">
        <f t="shared" si="38"/>
        <v>48.070063705883079</v>
      </c>
      <c r="AD97" s="916">
        <f t="shared" si="39"/>
        <v>61455.26057030481</v>
      </c>
      <c r="AE97" s="916">
        <f t="shared" si="40"/>
        <v>500</v>
      </c>
      <c r="AF97" s="919" cm="1">
        <f t="array" ref="AF97">IFERROR(_xlfn.LET(_xlpm.lam,TEXT(B97,"0"),_xlpm.thick,D97,_xlpm.crit,(TEXT(HELPER!$BZ$2:$BZ$250,"0")=_xlpm.lam)*(HELPER!$CC$2:$CC$250=_xlpm.thick)*(HELPER!$BW$2:$BW$250&lt;&gt;""),_xlpm.mats,TRIM(SUBSTITUTE(_xlfn._xlws.FILTER(HELPER!$BW$2:$BW$250,_xlpm.crit),CHAR(160),"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97" s="919">
        <f>IFERROR(IF(N97="Europe to Canada",IF(Q97&lt;1000,VLOOKUP(1000,HELPER!$AG$4:$AH$8,2,FALSE)/Q97,VLOOKUP(Q97,HELPER!$AG$4:$AH$8,2,TRUE)/Q97),IF(N97="Europe to US",HELPER!$AH$2,IF(N97="Europe to Europe",HELPER!$AH$3,0))),0)</f>
        <v>5.4</v>
      </c>
      <c r="AH97" s="919" cm="1">
        <f t="array" ref="AH97">IFERROR(_xlfn.LET(_xlpm.cap,IF(O97="Quantum",760,1220),_xlpm.wUsed,E97*MAX(1,MIN(MAX(2,INT(900/E97)),INT((_xlpm.cap-50)/E97))),_xlpm.kgmUsed,AR97/E97*_xlpm.wUsed,_xlpm.lam,TEXT(B97,"0"),_xlpm.crit,(TEXT(HELPER!$BZ$2:$BZ$250,"0")=_xlpm.lam)*(HELPER!$CC$2:$CC$250=D97)*(HELPER!$BW$2:$BW$250&lt;&gt;""),_xlpm.mats,_xlfn._xlws.FILTER(HELPER!$BW$2:$BW$250,_xlpm.crit),_xlpm.realLayers,SUM((_xlpm.mats&lt;&gt;"")*ISERROR(SEARCH("EPOTAL",_xlpm.mats&amp;""))*ISERROR(SEARCH("BASONAT",_xlpm.mats&amp;""))*ISERROR(SEARCH("ADH",_xlpm.mats&amp;""))*ISERROR(SEARCH("HARDENER",_xlpm.mats&amp;""))),_xlpm.steps,MAX(0,_xlpm.realLayers-1),_xlpm.tier,IF(P97&lt;3000,1,IF(P97&lt;10000,2,IF(P97&lt;25000,3,IF(P97&lt;50000,4,IF(P97&lt;100000,5,IF(P97&lt;250000,6,7)))))),_xlpm.widthRow,IF(_xlpm.wUsed&lt;900,0,5),_xlpm.supplierRow,IF(O97="Marma",3,IF(OR(O97="Bastin",O97="Quantum"),13,0)),_xlpm.rate,INDEX('Lmntn &amp; Prntng- Marma &amp; Bastin '!$D$1:$K$22,_xlpm.supplierRow+_xlpm.widthRow,_xlpm.tier),_xlpm.rate*_xlpm.steps/_xlpm.kgmUsed),"")</f>
        <v>5.3290139064475337</v>
      </c>
      <c r="AI97" s="919" cm="1">
        <f t="array" ref="AI97">IFERROR(_xlfn.LET(_xlpm.cap,IF(O97="Quantum",760,1220),_xlpm.wUsed,E97*MAX(1,MIN(MAX(2,INT(900/E97)),INT((_xlpm.cap-50)/E97))),_xlpm.kgmUsed,AR97/E97*_xlpm.wUsed,_xlpm.tier,IF(P97&lt;3000,1,IF(P97&lt;10000,2,IF(P97&lt;25000,3,IF(P97&lt;50000,4,IF(P97&lt;100000,5,IF(P97&lt;250000,6,IF(P97&lt;500000,7,8))))))),_xlpm.widthRow,IF(_xlpm.wUsed&lt;900,0,5),_xlpm.slitRow,IF(O97="Marma",7,IF(OR(O97="Bastin",O97="Quantum"),17,0)),_xlpm.slitRate,INDEX('Lmntn &amp; Prntng- Marma &amp; Bastin '!$D$1:$K$22,_xlpm.slitRow+_xlpm.widthRow,_xlpm.tier),_xlpm.numColors,IF(ISNUMBER(L97),L97,IFERROR(--RIGHT(L97,LEN(L97)-FIND("-",L97)),0)),_xlpm.printRate,IF(OR(K97&lt;&gt;"Printed",_xlpm.numColors=0),0,IF(O97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97))),MAX(_xlfn._xlws.FILTER(_xlpm.meters,(_xlpm.widths=_xlpm.qWidth)*(_xlpm.bands=_xlpm.band)))),INDEX(_xlpm.rates,_xlfn.XMATCH(1,(_xlpm.widths=_xlpm.qWidth)*(_xlpm.bands=_xlpm.band)*(_xlpm.meters=_xlpm.targetM),0))/HELPER!$AK$2),_xlfn.LET(_xlpm.colorOffset,IF(_xlpm.numColors&lt;=2,1,IF(_xlpm.numColors&lt;=4,2,3)),_xlpm.supplierRow,IF(O97="Marma",3,IF(O97="Bastin",13,0)),INDEX('Lmntn &amp; Prntng- Marma &amp; Bastin '!$D$1:$K$22,_xlpm.supplierRow+_xlpm.widthRow+_xlpm.colorOffset,_xlpm.tier)))),AH97+_xlpm.slitRate/_xlpm.kgmUsed+_xlpm.printRate/_xlpm.kgmUsed+AJ97),"")</f>
        <v>11.29993678887484</v>
      </c>
      <c r="AJ97" s="919" cm="1">
        <f t="array" ref="AJ97">IF(OR(K97&lt;&gt;"Printed",L97=0,L97="0",L97=""),0,IFERROR(_xlfn.LET(_xlpm.lam,TEXT(B97,"0"),_xlpm.crit,(TEXT(HELPER!$BZ$2:$BZ$250,"0")=_xlpm.lam)*(HELPER!$CC$2:$CC$250=D97)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WHITE"},0)))/ROWS(_xlpm.real),_xlpm.numColors,IF(ISNUMBER(L97),L97,IFERROR(--RIGHT(L97,LEN(L97)-FIND("-",L97)),0)),HELPER!$DB$1*_xlpm.numColors*MAX(1,M97)*1.05*_xlpm.nkRatio/Q97),0))</f>
        <v>0</v>
      </c>
      <c r="AK97" s="919">
        <f t="shared" si="41"/>
        <v>2.784926753446137</v>
      </c>
      <c r="AL97" s="919">
        <f t="shared" si="42"/>
        <v>517.99637614098151</v>
      </c>
      <c r="AM97" s="73" t="str">
        <f t="shared" si="43"/>
        <v>PASS</v>
      </c>
      <c r="AN97" s="908" t="str">
        <f t="shared" si="22"/>
        <v/>
      </c>
      <c r="AO97" s="919">
        <f t="shared" si="23"/>
        <v>55</v>
      </c>
      <c r="AP97" s="919">
        <f t="shared" si="24"/>
        <v>80</v>
      </c>
      <c r="AQ97" s="919"/>
      <c r="AR97" s="919" cm="1">
        <f t="array" ref="AR97">IFERROR(_xlfn.LET(_xlpm.lam,TEXT(B97,"0"),_xlpm.thick,D97,_xlpm.crit,(TEXT(HELPER!$BZ$2:$BZ$250,"0")=_xlpm.lam)*(HELPER!$CC$2:$CC$250=_xlpm.thick)*(HELPER!$BW$2:$BW$250&lt;&gt;""),_xlpm.mats,TRIM(SUBSTITUTE(_xlfn._xlws.FILTER(HELPER!$BW$2:$BW$250,_xlpm.crit),CHAR(160),"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")),HELPER!$AQ$2:$AQ$20,1),_xlpm.mass,IF(ISNUMBER(SEARCH("paper",_xlpm.mats)),42,_xlpm.dens*_xlpm.ths),E97/1000000*SUM(_xlpm.mass)),"")</f>
        <v>8.1360000000000009E-3</v>
      </c>
      <c r="AS97" s="919">
        <f>IFERROR(IF(D97&gt;31,(5%+250/P97)*AF97,VLOOKUP(D97,HELPER!$BH$3:$BI$5,2,TRUE)*AF97),0)</f>
        <v>26.034107839048666</v>
      </c>
      <c r="AT97" s="919">
        <v>0.19999999999999901</v>
      </c>
      <c r="AU97" s="919"/>
      <c r="AV97" s="919"/>
      <c r="AW97" s="919"/>
      <c r="AX97" s="919"/>
      <c r="AY97" s="919"/>
      <c r="AZ97" s="919">
        <f t="shared" si="25"/>
        <v>0</v>
      </c>
    </row>
    <row r="98" spans="1:52">
      <c r="A98" s="73" t="s">
        <v>1519</v>
      </c>
      <c r="B98" s="73">
        <v>748</v>
      </c>
      <c r="C98" s="908" t="s">
        <v>1422</v>
      </c>
      <c r="D98" s="915" cm="1">
        <f t="array" ref="D9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8" s="915">
        <v>350</v>
      </c>
      <c r="F98" s="73" t="s">
        <v>560</v>
      </c>
      <c r="G98" s="916">
        <v>5000</v>
      </c>
      <c r="H98" s="916">
        <v>5000</v>
      </c>
      <c r="I98" s="916"/>
      <c r="J98" s="916"/>
      <c r="K98" s="73" t="s">
        <v>123</v>
      </c>
      <c r="L98" s="921" t="s">
        <v>122</v>
      </c>
      <c r="M98" s="915">
        <v>4</v>
      </c>
      <c r="N98" s="73" t="s">
        <v>549</v>
      </c>
      <c r="O98" s="73" t="s">
        <v>1366</v>
      </c>
      <c r="P98" s="916" cm="1">
        <f t="array" ref="P98">IFERROR(_xlfn.SWITCH(F98,"By Weight",IF(H98&lt;&gt;"",H98,G98)/AR98,"By Length",G98,"By Imp",G98/MAX(1,ROUNDDOWN(E98/I98,0))*J98/1000,"IMP",G98/MAX(1,ROUNDDOWN(E98/I98,0))*J98/1000,""),"")</f>
        <v>210703.75052675934</v>
      </c>
      <c r="Q98" s="916">
        <f t="shared" si="26"/>
        <v>5000</v>
      </c>
      <c r="R98" s="917">
        <f t="shared" si="27"/>
        <v>148565.2952147217</v>
      </c>
      <c r="S98" s="918">
        <f t="shared" si="28"/>
        <v>172335.74244907717</v>
      </c>
      <c r="T98" s="919">
        <f t="shared" si="29"/>
        <v>29.713059042944341</v>
      </c>
      <c r="U98" s="920">
        <f t="shared" si="30"/>
        <v>34.467148489815436</v>
      </c>
      <c r="V98" s="919">
        <f t="shared" si="31"/>
        <v>0.8295186953989061</v>
      </c>
      <c r="W98" s="919">
        <f t="shared" si="32"/>
        <v>34.956540050522797</v>
      </c>
      <c r="X98" s="919" t="str">
        <f t="shared" si="33"/>
        <v/>
      </c>
      <c r="Y98" s="920">
        <f t="shared" si="34"/>
        <v>0.96224168666273102</v>
      </c>
      <c r="Z98" s="920">
        <f t="shared" si="35"/>
        <v>40.549586458606441</v>
      </c>
      <c r="AA98" s="920" t="str">
        <f t="shared" si="36"/>
        <v/>
      </c>
      <c r="AB98" s="917">
        <f t="shared" si="37"/>
        <v>174782.70025261398</v>
      </c>
      <c r="AC98" s="918">
        <f t="shared" si="38"/>
        <v>202747.93229303221</v>
      </c>
      <c r="AD98" s="916">
        <f t="shared" si="39"/>
        <v>21070.375052675932</v>
      </c>
      <c r="AE98" s="916">
        <f t="shared" si="40"/>
        <v>500</v>
      </c>
      <c r="AF98" s="919" cm="1">
        <f t="array" ref="AF98">IFERROR(_xlfn.LET(_xlpm.lam,TEXT(B98,"0"),_xlpm.thick,D98,_xlpm.crit,(TEXT(HELPER!$BZ$2:$BZ$250,"0")=_xlpm.lam)*(HELPER!$CC$2:$CC$250=_xlpm.thick)*(HELPER!$BW$2:$BW$250&lt;&gt;""),_xlpm.mats,TRIM(SUBSTITUTE(_xlfn._xlws.FILTER(HELPER!$BW$2:$BW$250,_xlpm.crit),CHAR(160),"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98" s="919">
        <f>IFERROR(IF(N98="Europe to Canada",IF(Q98&lt;1000,VLOOKUP(1000,HELPER!$AG$4:$AH$8,2,FALSE)/Q98,VLOOKUP(Q98,HELPER!$AG$4:$AH$8,2,TRUE)/Q98),IF(N98="Europe to US",HELPER!$AH$2,IF(N98="Europe to Europe",HELPER!$AH$3,0))),0)</f>
        <v>0.2</v>
      </c>
      <c r="AH98" s="919" cm="1">
        <f t="array" ref="AH98">IFERROR(_xlfn.LET(_xlpm.cap,IF(O98="Quantum",760,1220),_xlpm.wUsed,E98*MAX(1,MIN(MAX(2,INT(900/E98)),INT((_xlpm.cap-50)/E98))),_xlpm.kgmUsed,AR98/E98*_xlpm.wUsed,_xlpm.lam,TEXT(B98,"0"),_xlpm.crit,(TEXT(HELPER!$BZ$2:$BZ$250,"0")=_xlpm.lam)*(HELPER!$CC$2:$CC$250=D98)*(HELPER!$BW$2:$BW$250&lt;&gt;""),_xlpm.mats,_xlfn._xlws.FILTER(HELPER!$BW$2:$BW$250,_xlpm.crit),_xlpm.realLayers,SUM((_xlpm.mats&lt;&gt;"")*ISERROR(SEARCH("EPOTAL",_xlpm.mats&amp;""))*ISERROR(SEARCH("BASONAT",_xlpm.mats&amp;""))*ISERROR(SEARCH("ADH",_xlpm.mats&amp;""))*ISERROR(SEARCH("HARDENER",_xlpm.mats&amp;""))),_xlpm.steps,MAX(0,_xlpm.realLayers-1),_xlpm.tier,IF(P98&lt;3000,1,IF(P98&lt;10000,2,IF(P98&lt;25000,3,IF(P98&lt;50000,4,IF(P98&lt;100000,5,IF(P98&lt;250000,6,7)))))),_xlpm.widthRow,IF(_xlpm.wUsed&lt;900,0,5),_xlpm.supplierRow,IF(O98="Marma",3,IF(OR(O98="Bastin",O98="Quantum"),13,0)),_xlpm.rate,INDEX('Lmntn &amp; Prntng- Marma &amp; Bastin '!$D$1:$K$22,_xlpm.supplierRow+_xlpm.widthRow,_xlpm.tier),_xlpm.rate*_xlpm.steps/_xlpm.kgmUsed),"")</f>
        <v>4.6001264222503151</v>
      </c>
      <c r="AI98" s="919" cm="1">
        <f t="array" ref="AI98">IFERROR(_xlfn.LET(_xlpm.cap,IF(O98="Quantum",760,1220),_xlpm.wUsed,E98*MAX(1,MIN(MAX(2,INT(900/E98)),INT((_xlpm.cap-50)/E98))),_xlpm.kgmUsed,AR98/E98*_xlpm.wUsed,_xlpm.tier,IF(P98&lt;3000,1,IF(P98&lt;10000,2,IF(P98&lt;25000,3,IF(P98&lt;50000,4,IF(P98&lt;100000,5,IF(P98&lt;250000,6,IF(P98&lt;500000,7,8))))))),_xlpm.widthRow,IF(_xlpm.wUsed&lt;900,0,5),_xlpm.slitRow,IF(O98="Marma",7,IF(OR(O98="Bastin",O98="Quantum"),17,0)),_xlpm.slitRate,INDEX('Lmntn &amp; Prntng- Marma &amp; Bastin '!$D$1:$K$22,_xlpm.slitRow+_xlpm.widthRow,_xlpm.tier),_xlpm.numColors,IF(ISNUMBER(L98),L98,IFERROR(--RIGHT(L98,LEN(L98)-FIND("-",L98)),0)),_xlpm.printRate,IF(OR(K98&lt;&gt;"Printed",_xlpm.numColors=0),0,IF(O98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98))),MAX(_xlfn._xlws.FILTER(_xlpm.meters,(_xlpm.widths=_xlpm.qWidth)*(_xlpm.bands=_xlpm.band)))),INDEX(_xlpm.rates,_xlfn.XMATCH(1,(_xlpm.widths=_xlpm.qWidth)*(_xlpm.bands=_xlpm.band)*(_xlpm.meters=_xlpm.targetM),0))/HELPER!$AK$2),_xlfn.LET(_xlpm.colorOffset,IF(_xlpm.numColors&lt;=2,1,IF(_xlpm.numColors&lt;=4,2,3)),_xlpm.supplierRow,IF(O98="Marma",3,IF(O98="Bastin",13,0)),INDEX('Lmntn &amp; Prntng- Marma &amp; Bastin '!$D$1:$K$22,_xlpm.supplierRow+_xlpm.widthRow+_xlpm.colorOffset,_xlpm.tier)))),AH98+_xlpm.slitRate/_xlpm.kgmUsed+_xlpm.printRate/_xlpm.kgmUsed+AJ98),"")</f>
        <v>20.893625121699575</v>
      </c>
      <c r="AJ98" s="919" cm="1">
        <f t="array" ref="AJ98">IF(OR(K98&lt;&gt;"Printed",L98=0,L98="0",L98=""),0,IFERROR(_xlfn.LET(_xlpm.lam,TEXT(B98,"0"),_xlpm.crit,(TEXT(HELPER!$BZ$2:$BZ$250,"0")=_xlpm.lam)*(HELPER!$CC$2:$CC$250=D98)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WHITE"},0)))/ROWS(_xlpm.real),_xlpm.numColors,IF(ISNUMBER(L98),L98,IFERROR(--RIGHT(L98,LEN(L98)-FIND("-",L98)),0)),HELPER!$DB$1*_xlpm.numColors*MAX(1,M98)*1.05*_xlpm.nkRatio/Q98),0))</f>
        <v>0</v>
      </c>
      <c r="AK98" s="919">
        <f t="shared" si="41"/>
        <v>1.5290667196293199</v>
      </c>
      <c r="AL98" s="919">
        <f t="shared" si="42"/>
        <v>829.51869539890606</v>
      </c>
      <c r="AM98" s="73" t="str">
        <f t="shared" si="43"/>
        <v>PASS</v>
      </c>
      <c r="AN98" s="908" t="str">
        <f t="shared" si="22"/>
        <v/>
      </c>
      <c r="AO98" s="919">
        <f t="shared" si="23"/>
        <v>55</v>
      </c>
      <c r="AP98" s="919">
        <f t="shared" si="24"/>
        <v>210703.75052675934</v>
      </c>
      <c r="AQ98" s="919"/>
      <c r="AR98" s="919" cm="1">
        <f t="array" ref="AR98">IFERROR(_xlfn.LET(_xlpm.lam,TEXT(B98,"0"),_xlpm.thick,D98,_xlpm.crit,(TEXT(HELPER!$BZ$2:$BZ$250,"0")=_xlpm.lam)*(HELPER!$CC$2:$CC$250=_xlpm.thick)*(HELPER!$BW$2:$BW$250&lt;&gt;""),_xlpm.mats,TRIM(SUBSTITUTE(_xlfn._xlws.FILTER(HELPER!$BW$2:$BW$250,_xlpm.crit),CHAR(160),"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")),HELPER!$AQ$2:$AQ$20,1),_xlpm.mass,IF(ISNUMBER(SEARCH("paper",_xlpm.mats)),42,_xlpm.dens*_xlpm.ths),E98/1000000*SUM(_xlpm.mass)),"")</f>
        <v>2.3730000000000005E-2</v>
      </c>
      <c r="AS98" s="919">
        <f>IFERROR(IF(D98&gt;31,(5%+250/P98)*AF98,VLOOKUP(D98,HELPER!$BH$3:$BI$5,2,TRUE)*AF98),0)</f>
        <v>0.41971491681998885</v>
      </c>
      <c r="AT98" s="919">
        <v>0.15000000000000099</v>
      </c>
      <c r="AU98" s="919"/>
      <c r="AV98" s="919"/>
      <c r="AW98" s="919"/>
      <c r="AX98" s="919"/>
      <c r="AY98" s="919"/>
      <c r="AZ98" s="919">
        <f t="shared" si="25"/>
        <v>0</v>
      </c>
    </row>
    <row r="99" spans="1:52">
      <c r="A99" s="73" t="s">
        <v>1520</v>
      </c>
      <c r="B99" s="73">
        <v>748</v>
      </c>
      <c r="C99" s="908" t="s">
        <v>1424</v>
      </c>
      <c r="D99" s="915" cm="1">
        <f t="array" ref="D9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9" s="915">
        <v>900</v>
      </c>
      <c r="F99" s="73" t="s">
        <v>560</v>
      </c>
      <c r="G99" s="916">
        <v>25000</v>
      </c>
      <c r="H99" s="916">
        <v>25000</v>
      </c>
      <c r="I99" s="916"/>
      <c r="J99" s="916"/>
      <c r="K99" s="73" t="s">
        <v>123</v>
      </c>
      <c r="L99" s="921" t="s">
        <v>592</v>
      </c>
      <c r="M99" s="915">
        <v>8</v>
      </c>
      <c r="N99" s="73" t="s">
        <v>550</v>
      </c>
      <c r="O99" s="73" t="s">
        <v>250</v>
      </c>
      <c r="P99" s="916" cm="1">
        <f t="array" ref="P99">IFERROR(_xlfn.SWITCH(F99,"By Weight",IF(H99&lt;&gt;"",H99,G99)/AR99,"By Length",G99,"By Imp",G99/MAX(1,ROUNDDOWN(E99/I99,0))*J99/1000,"IMP",G99/MAX(1,ROUNDDOWN(E99/I99,0))*J99/1000,""),"")</f>
        <v>409701.73713536537</v>
      </c>
      <c r="Q99" s="916">
        <f t="shared" si="26"/>
        <v>25000</v>
      </c>
      <c r="R99" s="917">
        <f t="shared" si="27"/>
        <v>479717.9994951582</v>
      </c>
      <c r="S99" s="918">
        <f t="shared" si="28"/>
        <v>556472.87941438344</v>
      </c>
      <c r="T99" s="919">
        <f t="shared" si="29"/>
        <v>19.188719979806329</v>
      </c>
      <c r="U99" s="920">
        <f t="shared" si="30"/>
        <v>22.258915176575339</v>
      </c>
      <c r="V99" s="919">
        <f t="shared" si="31"/>
        <v>1.3775243449032719</v>
      </c>
      <c r="W99" s="919">
        <f t="shared" si="32"/>
        <v>22.574964682125067</v>
      </c>
      <c r="X99" s="919" t="str">
        <f t="shared" si="33"/>
        <v/>
      </c>
      <c r="Y99" s="920">
        <f t="shared" si="34"/>
        <v>1.5979282400877952</v>
      </c>
      <c r="Z99" s="920">
        <f t="shared" si="35"/>
        <v>26.186959031265076</v>
      </c>
      <c r="AA99" s="920" t="str">
        <f t="shared" si="36"/>
        <v/>
      </c>
      <c r="AB99" s="917">
        <f t="shared" si="37"/>
        <v>564374.11705312668</v>
      </c>
      <c r="AC99" s="918">
        <f t="shared" si="38"/>
        <v>654673.97578162688</v>
      </c>
      <c r="AD99" s="916">
        <f t="shared" si="39"/>
        <v>8194.0347427073084</v>
      </c>
      <c r="AE99" s="916">
        <f t="shared" si="40"/>
        <v>500</v>
      </c>
      <c r="AF99" s="919" cm="1">
        <f t="array" ref="AF99">IFERROR(_xlfn.LET(_xlpm.lam,TEXT(B99,"0"),_xlpm.thick,D99,_xlpm.crit,(TEXT(HELPER!$BZ$2:$BZ$250,"0")=_xlpm.lam)*(HELPER!$CC$2:$CC$250=_xlpm.thick)*(HELPER!$BW$2:$BW$250&lt;&gt;""),_xlpm.mats,TRIM(SUBSTITUTE(_xlfn._xlws.FILTER(HELPER!$BW$2:$BW$250,_xlpm.crit),CHAR(160),"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99" s="919">
        <f>IFERROR(IF(N99="Europe to Canada",IF(Q99&lt;1000,VLOOKUP(1000,HELPER!$AG$4:$AH$8,2,FALSE)/Q99,VLOOKUP(Q99,HELPER!$AG$4:$AH$8,2,TRUE)/Q99),IF(N99="Europe to US",HELPER!$AH$2,IF(N99="Europe to Europe",HELPER!$AH$3,0))),0)</f>
        <v>5.4</v>
      </c>
      <c r="AH99" s="919" cm="1">
        <f t="array" ref="AH99">IFERROR(_xlfn.LET(_xlpm.cap,IF(O99="Quantum",760,1220),_xlpm.wUsed,E99*MAX(1,MIN(MAX(2,INT(900/E99)),INT((_xlpm.cap-50)/E99))),_xlpm.kgmUsed,AR99/E99*_xlpm.wUsed,_xlpm.lam,TEXT(B99,"0"),_xlpm.crit,(TEXT(HELPER!$BZ$2:$BZ$250,"0")=_xlpm.lam)*(HELPER!$CC$2:$CC$250=D99)*(HELPER!$BW$2:$BW$250&lt;&gt;""),_xlpm.mats,_xlfn._xlws.FILTER(HELPER!$BW$2:$BW$250,_xlpm.crit),_xlpm.realLayers,SUM((_xlpm.mats&lt;&gt;"")*ISERROR(SEARCH("EPOTAL",_xlpm.mats&amp;""))*ISERROR(SEARCH("BASONAT",_xlpm.mats&amp;""))*ISERROR(SEARCH("ADH",_xlpm.mats&amp;""))*ISERROR(SEARCH("HARDENER",_xlpm.mats&amp;""))),_xlpm.steps,MAX(0,_xlpm.realLayers-1),_xlpm.tier,IF(P99&lt;3000,1,IF(P99&lt;10000,2,IF(P99&lt;25000,3,IF(P99&lt;50000,4,IF(P99&lt;100000,5,IF(P99&lt;250000,6,7)))))),_xlpm.widthRow,IF(_xlpm.wUsed&lt;900,0,5),_xlpm.supplierRow,IF(O99="Marma",3,IF(OR(O99="Bastin",O99="Quantum"),13,0)),_xlpm.rate,INDEX('Lmntn &amp; Prntng- Marma &amp; Bastin '!$D$1:$K$22,_xlpm.supplierRow+_xlpm.widthRow,_xlpm.tier),_xlpm.rate*_xlpm.steps/_xlpm.kgmUsed),"")</f>
        <v>2.7354965585054076</v>
      </c>
      <c r="AI99" s="919" cm="1">
        <f t="array" ref="AI99">IFERROR(_xlfn.LET(_xlpm.cap,IF(O99="Quantum",760,1220),_xlpm.wUsed,E99*MAX(1,MIN(MAX(2,INT(900/E99)),INT((_xlpm.cap-50)/E99))),_xlpm.kgmUsed,AR99/E99*_xlpm.wUsed,_xlpm.tier,IF(P99&lt;3000,1,IF(P99&lt;10000,2,IF(P99&lt;25000,3,IF(P99&lt;50000,4,IF(P99&lt;100000,5,IF(P99&lt;250000,6,IF(P99&lt;500000,7,8))))))),_xlpm.widthRow,IF(_xlpm.wUsed&lt;900,0,5),_xlpm.slitRow,IF(O99="Marma",7,IF(OR(O99="Bastin",O99="Quantum"),17,0)),_xlpm.slitRate,INDEX('Lmntn &amp; Prntng- Marma &amp; Bastin '!$D$1:$K$22,_xlpm.slitRow+_xlpm.widthRow,_xlpm.tier),_xlpm.numColors,IF(ISNUMBER(L99),L99,IFERROR(--RIGHT(L99,LEN(L99)-FIND("-",L99)),0)),_xlpm.printRate,IF(OR(K99&lt;&gt;"Printed",_xlpm.numColors=0),0,IF(O99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99))),MAX(_xlfn._xlws.FILTER(_xlpm.meters,(_xlpm.widths=_xlpm.qWidth)*(_xlpm.bands=_xlpm.band)))),INDEX(_xlpm.rates,_xlfn.XMATCH(1,(_xlpm.widths=_xlpm.qWidth)*(_xlpm.bands=_xlpm.band)*(_xlpm.meters=_xlpm.targetM),0))/HELPER!$AK$2),_xlfn.LET(_xlpm.colorOffset,IF(_xlpm.numColors&lt;=2,1,IF(_xlpm.numColors&lt;=4,2,3)),_xlpm.supplierRow,IF(O99="Marma",3,IF(O99="Bastin",13,0)),INDEX('Lmntn &amp; Prntng- Marma &amp; Bastin '!$D$1:$K$22,_xlpm.supplierRow+_xlpm.widthRow+_xlpm.colorOffset,_xlpm.tier)))),AH99+_xlpm.slitRate/_xlpm.kgmUsed+_xlpm.printRate/_xlpm.kgmUsed+AJ99),"")</f>
        <v>5.1740115566238138</v>
      </c>
      <c r="AJ99" s="919" cm="1">
        <f t="array" ref="AJ99">IF(OR(K99&lt;&gt;"Printed",L99=0,L99="0",L99=""),0,IFERROR(_xlfn.LET(_xlpm.lam,TEXT(B99,"0"),_xlpm.crit,(TEXT(HELPER!$BZ$2:$BZ$250,"0")=_xlpm.lam)*(HELPER!$CC$2:$CC$250=D99)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WHITE"},0)))/ROWS(_xlpm.real),_xlpm.numColors,IF(ISNUMBER(L99),L99,IFERROR(--RIGHT(L99,LEN(L99)-FIND("-",L99)),0)),HELPER!$DB$1*_xlpm.numColors*MAX(1,M99)*1.05*_xlpm.nkRatio/Q99),0))</f>
        <v>0</v>
      </c>
      <c r="AK99" s="919">
        <f t="shared" si="41"/>
        <v>0.98747264867618056</v>
      </c>
      <c r="AL99" s="919">
        <f t="shared" si="42"/>
        <v>1377.5243449032719</v>
      </c>
      <c r="AM99" s="73" t="str">
        <f t="shared" si="43"/>
        <v>PASS</v>
      </c>
      <c r="AN99" s="908" t="str">
        <f t="shared" si="22"/>
        <v/>
      </c>
      <c r="AO99" s="919">
        <f t="shared" si="23"/>
        <v>55</v>
      </c>
      <c r="AP99" s="919">
        <f t="shared" si="24"/>
        <v>409701.73713536537</v>
      </c>
      <c r="AQ99" s="919"/>
      <c r="AR99" s="919" cm="1">
        <f t="array" ref="AR99">IFERROR(_xlfn.LET(_xlpm.lam,TEXT(B99,"0"),_xlpm.thick,D99,_xlpm.crit,(TEXT(HELPER!$BZ$2:$BZ$250,"0")=_xlpm.lam)*(HELPER!$CC$2:$CC$250=_xlpm.thick)*(HELPER!$BW$2:$BW$250&lt;&gt;""),_xlpm.mats,TRIM(SUBSTITUTE(_xlfn._xlws.FILTER(HELPER!$BW$2:$BW$250,_xlpm.crit),CHAR(160),"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")),HELPER!$AQ$2:$AQ$20,1),_xlpm.mass,IF(ISNUMBER(SEARCH("paper",_xlpm.mats)),42,_xlpm.dens*_xlpm.ths),E99/1000000*SUM(_xlpm.mass)),"")</f>
        <v>6.1020000000000012E-2</v>
      </c>
      <c r="AS99" s="919">
        <f>IFERROR(IF(D99&gt;31,(5%+250/P99)*AF99,VLOOKUP(D99,HELPER!$BH$3:$BI$5,2,TRUE)*AF99),0)</f>
        <v>0.41498941875773887</v>
      </c>
      <c r="AT99" s="919">
        <v>0.149999999999999</v>
      </c>
      <c r="AU99" s="919"/>
      <c r="AV99" s="919"/>
      <c r="AW99" s="919"/>
      <c r="AX99" s="919"/>
      <c r="AY99" s="919"/>
      <c r="AZ99" s="919">
        <f t="shared" si="25"/>
        <v>0</v>
      </c>
    </row>
    <row r="100" spans="1:52">
      <c r="A100" s="73" t="s">
        <v>1521</v>
      </c>
      <c r="B100" s="73">
        <v>748</v>
      </c>
      <c r="C100" s="908" t="s">
        <v>1426</v>
      </c>
      <c r="D100" s="915" cm="1">
        <f t="array" ref="D10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0" s="915">
        <v>350</v>
      </c>
      <c r="F100" s="73" t="s">
        <v>561</v>
      </c>
      <c r="G100" s="916">
        <v>2000</v>
      </c>
      <c r="H100" s="916"/>
      <c r="I100" s="916"/>
      <c r="J100" s="916"/>
      <c r="K100" s="73" t="s">
        <v>124</v>
      </c>
      <c r="L100" s="921" t="s">
        <v>221</v>
      </c>
      <c r="M100" s="915">
        <v>1</v>
      </c>
      <c r="N100" s="73" t="s">
        <v>549</v>
      </c>
      <c r="O100" s="73" t="s">
        <v>240</v>
      </c>
      <c r="P100" s="916" cm="1">
        <f t="array" ref="P100">IFERROR(_xlfn.SWITCH(F100,"By Weight",IF(H100&lt;&gt;"",H100,G100)/AR100,"By Length",G100,"By Imp",G100/MAX(1,ROUNDDOWN(E100/I100,0))*J100/1000,"IMP",G100/MAX(1,ROUNDDOWN(E100/I100,0))*J100/1000,""),"")</f>
        <v>2000</v>
      </c>
      <c r="Q100" s="916">
        <f t="shared" si="26"/>
        <v>47.460000000000008</v>
      </c>
      <c r="R100" s="917">
        <f t="shared" si="27"/>
        <v>815.64743014124986</v>
      </c>
      <c r="S100" s="918">
        <f t="shared" si="28"/>
        <v>946.15101896384976</v>
      </c>
      <c r="T100" s="919">
        <f t="shared" si="29"/>
        <v>17.185997263827428</v>
      </c>
      <c r="U100" s="920">
        <f t="shared" si="30"/>
        <v>19.935756826039814</v>
      </c>
      <c r="V100" s="919">
        <f t="shared" si="31"/>
        <v>0.509779643838285</v>
      </c>
      <c r="W100" s="919">
        <f t="shared" si="32"/>
        <v>21.482496579784446</v>
      </c>
      <c r="X100" s="919" t="str">
        <f t="shared" si="33"/>
        <v/>
      </c>
      <c r="Y100" s="920">
        <f t="shared" si="34"/>
        <v>0.59134438685241053</v>
      </c>
      <c r="Z100" s="920">
        <f t="shared" si="35"/>
        <v>24.919696032549954</v>
      </c>
      <c r="AA100" s="920" t="str">
        <f t="shared" si="36"/>
        <v/>
      </c>
      <c r="AB100" s="917">
        <f t="shared" si="37"/>
        <v>1019.55928767657</v>
      </c>
      <c r="AC100" s="918">
        <f t="shared" si="38"/>
        <v>1182.6887737048212</v>
      </c>
      <c r="AD100" s="916">
        <f t="shared" si="39"/>
        <v>21070.375052675932</v>
      </c>
      <c r="AE100" s="916">
        <f t="shared" si="40"/>
        <v>500</v>
      </c>
      <c r="AF100" s="919" cm="1">
        <f t="array" ref="AF100">IFERROR(_xlfn.LET(_xlpm.lam,TEXT(B100,"0"),_xlpm.thick,D100,_xlpm.crit,(TEXT(HELPER!$BZ$2:$BZ$250,"0")=_xlpm.lam)*(HELPER!$CC$2:$CC$250=_xlpm.thick)*(HELPER!$BW$2:$BW$250&lt;&gt;""),_xlpm.mats,TRIM(SUBSTITUTE(_xlfn._xlws.FILTER(HELPER!$BW$2:$BW$250,_xlpm.crit),CHAR(160),"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100" s="919">
        <f>IFERROR(IF(N100="Europe to Canada",IF(Q100&lt;1000,VLOOKUP(1000,HELPER!$AG$4:$AH$8,2,FALSE)/Q100,VLOOKUP(Q100,HELPER!$AG$4:$AH$8,2,TRUE)/Q100),IF(N100="Europe to US",HELPER!$AH$2,IF(N100="Europe to Europe",HELPER!$AH$3,0))),0)</f>
        <v>0.2</v>
      </c>
      <c r="AH100" s="919" cm="1">
        <f t="array" ref="AH100">IFERROR(_xlfn.LET(_xlpm.cap,IF(O100="Quantum",760,1220),_xlpm.wUsed,E100*MAX(1,MIN(MAX(2,INT(900/E100)),INT((_xlpm.cap-50)/E100))),_xlpm.kgmUsed,AR100/E100*_xlpm.wUsed,_xlpm.lam,TEXT(B100,"0"),_xlpm.crit,(TEXT(HELPER!$BZ$2:$BZ$250,"0")=_xlpm.lam)*(HELPER!$CC$2:$CC$250=D100)*(HELPER!$BW$2:$BW$250&lt;&gt;""),_xlpm.mats,_xlfn._xlws.FILTER(HELPER!$BW$2:$BW$250,_xlpm.crit),_xlpm.realLayers,SUM((_xlpm.mats&lt;&gt;"")*ISERROR(SEARCH("EPOTAL",_xlpm.mats&amp;""))*ISERROR(SEARCH("BASONAT",_xlpm.mats&amp;""))*ISERROR(SEARCH("ADH",_xlpm.mats&amp;""))*ISERROR(SEARCH("HARDENER",_xlpm.mats&amp;""))),_xlpm.steps,MAX(0,_xlpm.realLayers-1),_xlpm.tier,IF(P100&lt;3000,1,IF(P100&lt;10000,2,IF(P100&lt;25000,3,IF(P100&lt;50000,4,IF(P100&lt;100000,5,IF(P100&lt;250000,6,7)))))),_xlpm.widthRow,IF(_xlpm.wUsed&lt;900,0,5),_xlpm.supplierRow,IF(O100="Marma",3,IF(OR(O100="Bastin",O100="Quantum"),13,0)),_xlpm.rate,INDEX('Lmntn &amp; Prntng- Marma &amp; Bastin '!$D$1:$K$22,_xlpm.supplierRow+_xlpm.widthRow,_xlpm.tier),_xlpm.rate*_xlpm.steps/_xlpm.kgmUsed),"")</f>
        <v>6.3948166877370403</v>
      </c>
      <c r="AI100" s="919" cm="1">
        <f t="array" ref="AI100">IFERROR(_xlfn.LET(_xlpm.cap,IF(O100="Quantum",760,1220),_xlpm.wUsed,E100*MAX(1,MIN(MAX(2,INT(900/E100)),INT((_xlpm.cap-50)/E100))),_xlpm.kgmUsed,AR100/E100*_xlpm.wUsed,_xlpm.tier,IF(P100&lt;3000,1,IF(P100&lt;10000,2,IF(P100&lt;25000,3,IF(P100&lt;50000,4,IF(P100&lt;100000,5,IF(P100&lt;250000,6,IF(P100&lt;500000,7,8))))))),_xlpm.widthRow,IF(_xlpm.wUsed&lt;900,0,5),_xlpm.slitRow,IF(O100="Marma",7,IF(OR(O100="Bastin",O100="Quantum"),17,0)),_xlpm.slitRate,INDEX('Lmntn &amp; Prntng- Marma &amp; Bastin '!$D$1:$K$22,_xlpm.slitRow+_xlpm.widthRow,_xlpm.tier),_xlpm.numColors,IF(ISNUMBER(L100),L100,IFERROR(--RIGHT(L100,LEN(L100)-FIND("-",L100)),0)),_xlpm.printRate,IF(OR(K100&lt;&gt;"Printed",_xlpm.numColors=0),0,IF(O100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100))),MAX(_xlfn._xlws.FILTER(_xlpm.meters,(_xlpm.widths=_xlpm.qWidth)*(_xlpm.bands=_xlpm.band)))),INDEX(_xlpm.rates,_xlfn.XMATCH(1,(_xlpm.widths=_xlpm.qWidth)*(_xlpm.bands=_xlpm.band)*(_xlpm.meters=_xlpm.targetM),0))/HELPER!$AK$2),_xlfn.LET(_xlpm.colorOffset,IF(_xlpm.numColors&lt;=2,1,IF(_xlpm.numColors&lt;=4,2,3)),_xlpm.supplierRow,IF(O100="Marma",3,IF(O100="Bastin",13,0)),INDEX('Lmntn &amp; Prntng- Marma &amp; Bastin '!$D$1:$K$22,_xlpm.supplierRow+_xlpm.widthRow+_xlpm.colorOffset,_xlpm.tier)))),AH100+_xlpm.slitRate/_xlpm.kgmUsed+_xlpm.printRate/_xlpm.kgmUsed+AJ100),"")</f>
        <v>7.3513274336283168</v>
      </c>
      <c r="AJ100" s="919" cm="1">
        <f t="array" ref="AJ100">IF(OR(K100&lt;&gt;"Printed",L100=0,L100="0",L100=""),0,IFERROR(_xlfn.LET(_xlpm.lam,TEXT(B100,"0"),_xlpm.crit,(TEXT(HELPER!$BZ$2:$BZ$250,"0")=_xlpm.lam)*(HELPER!$CC$2:$CC$250=D100)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WHITE"},0)))/ROWS(_xlpm.real),_xlpm.numColors,IF(ISNUMBER(L100),L100,IFERROR(--RIGHT(L100,LEN(L100)-FIND("-",L100)),0)),HELPER!$DB$1*_xlpm.numColors*MAX(1,M100)*1.05*_xlpm.nkRatio/Q100),0))</f>
        <v>0</v>
      </c>
      <c r="AK100" s="919">
        <f t="shared" si="41"/>
        <v>0.93968597942541021</v>
      </c>
      <c r="AL100" s="919">
        <f t="shared" si="42"/>
        <v>509.77964383828498</v>
      </c>
      <c r="AM100" s="73" t="str">
        <f t="shared" si="43"/>
        <v>PASS</v>
      </c>
      <c r="AN100" s="908" t="str">
        <f t="shared" si="22"/>
        <v/>
      </c>
      <c r="AO100" s="919">
        <f t="shared" si="23"/>
        <v>55</v>
      </c>
      <c r="AP100" s="919">
        <f t="shared" si="24"/>
        <v>2000</v>
      </c>
      <c r="AQ100" s="919"/>
      <c r="AR100" s="919" cm="1">
        <f t="array" ref="AR100">IFERROR(_xlfn.LET(_xlpm.lam,TEXT(B100,"0"),_xlpm.thick,D100,_xlpm.crit,(TEXT(HELPER!$BZ$2:$BZ$250,"0")=_xlpm.lam)*(HELPER!$CC$2:$CC$250=_xlpm.thick)*(HELPER!$BW$2:$BW$250&lt;&gt;""),_xlpm.mats,TRIM(SUBSTITUTE(_xlfn._xlws.FILTER(HELPER!$BW$2:$BW$250,_xlpm.crit),CHAR(160),"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")),HELPER!$AQ$2:$AQ$20,1),_xlpm.mass,IF(ISNUMBER(SEARCH("paper",_xlpm.mats)),42,_xlpm.dens*_xlpm.ths),E100/1000000*SUM(_xlpm.mass)),"")</f>
        <v>2.3730000000000005E-2</v>
      </c>
      <c r="AS100" s="919">
        <f>IFERROR(IF(D100&gt;31,(5%+250/P100)*AF100,VLOOKUP(D100,HELPER!$BH$3:$BI$5,2,TRUE)*AF100),0)</f>
        <v>1.434950825774336</v>
      </c>
      <c r="AT100" s="919">
        <v>0.20000000000000601</v>
      </c>
      <c r="AU100" s="919"/>
      <c r="AV100" s="919"/>
      <c r="AW100" s="919"/>
      <c r="AX100" s="919"/>
      <c r="AY100" s="919"/>
      <c r="AZ100" s="919">
        <f t="shared" si="25"/>
        <v>0</v>
      </c>
    </row>
    <row r="101" spans="1:52">
      <c r="A101" s="73" t="s">
        <v>1522</v>
      </c>
      <c r="B101" s="73">
        <v>748</v>
      </c>
      <c r="C101" s="908" t="s">
        <v>1428</v>
      </c>
      <c r="D101" s="915" cm="1">
        <f t="array" ref="D10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1" s="915">
        <v>600</v>
      </c>
      <c r="F101" s="73" t="s">
        <v>561</v>
      </c>
      <c r="G101" s="916">
        <v>250000</v>
      </c>
      <c r="H101" s="916"/>
      <c r="I101" s="916"/>
      <c r="J101" s="916"/>
      <c r="K101" s="73" t="s">
        <v>123</v>
      </c>
      <c r="L101" s="921" t="s">
        <v>122</v>
      </c>
      <c r="M101" s="915">
        <v>4</v>
      </c>
      <c r="N101" s="73" t="s">
        <v>550</v>
      </c>
      <c r="O101" s="73" t="s">
        <v>1366</v>
      </c>
      <c r="P101" s="916" cm="1">
        <f t="array" ref="P101">IFERROR(_xlfn.SWITCH(F101,"By Weight",IF(H101&lt;&gt;"",H101,G101)/AR101,"By Length",G101,"By Imp",G101/MAX(1,ROUNDDOWN(E101/I101,0))*J101/1000,"IMP",G101/MAX(1,ROUNDDOWN(E101/I101,0))*J101/1000,""),"")</f>
        <v>250000</v>
      </c>
      <c r="Q101" s="916">
        <f t="shared" si="26"/>
        <v>10170</v>
      </c>
      <c r="R101" s="917">
        <f t="shared" si="27"/>
        <v>390074.95259999047</v>
      </c>
      <c r="S101" s="918">
        <f t="shared" si="28"/>
        <v>452486.94501598889</v>
      </c>
      <c r="T101" s="919">
        <f t="shared" si="29"/>
        <v>38.355452566370744</v>
      </c>
      <c r="U101" s="920">
        <f t="shared" si="30"/>
        <v>44.492324976990062</v>
      </c>
      <c r="V101" s="919">
        <f t="shared" si="31"/>
        <v>1.8356468357646591</v>
      </c>
      <c r="W101" s="919">
        <f t="shared" si="32"/>
        <v>45.124061842789061</v>
      </c>
      <c r="X101" s="919" t="str">
        <f t="shared" si="33"/>
        <v/>
      </c>
      <c r="Y101" s="920">
        <f t="shared" si="34"/>
        <v>2.1293503294870044</v>
      </c>
      <c r="Z101" s="920">
        <f t="shared" si="35"/>
        <v>52.34391173763531</v>
      </c>
      <c r="AA101" s="920" t="str">
        <f t="shared" si="36"/>
        <v/>
      </c>
      <c r="AB101" s="917">
        <f t="shared" si="37"/>
        <v>458911.70894116478</v>
      </c>
      <c r="AC101" s="918">
        <f t="shared" si="38"/>
        <v>532337.58237175108</v>
      </c>
      <c r="AD101" s="916">
        <f t="shared" si="39"/>
        <v>12291.052114060964</v>
      </c>
      <c r="AE101" s="916">
        <f t="shared" si="40"/>
        <v>500</v>
      </c>
      <c r="AF101" s="919" cm="1">
        <f t="array" ref="AF101">IFERROR(_xlfn.LET(_xlpm.lam,TEXT(B101,"0"),_xlpm.thick,D101,_xlpm.crit,(TEXT(HELPER!$BZ$2:$BZ$250,"0")=_xlpm.lam)*(HELPER!$CC$2:$CC$250=_xlpm.thick)*(HELPER!$BW$2:$BW$250&lt;&gt;""),_xlpm.mats,TRIM(SUBSTITUTE(_xlfn._xlws.FILTER(HELPER!$BW$2:$BW$250,_xlpm.crit),CHAR(160),"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101" s="919">
        <f>IFERROR(IF(N101="Europe to Canada",IF(Q101&lt;1000,VLOOKUP(1000,HELPER!$AG$4:$AH$8,2,FALSE)/Q101,VLOOKUP(Q101,HELPER!$AG$4:$AH$8,2,TRUE)/Q101),IF(N101="Europe to US",HELPER!$AH$2,IF(N101="Europe to Europe",HELPER!$AH$3,0))),0)</f>
        <v>5.4</v>
      </c>
      <c r="AH101" s="919" cm="1">
        <f t="array" ref="AH101">IFERROR(_xlfn.LET(_xlpm.cap,IF(O101="Quantum",760,1220),_xlpm.wUsed,E101*MAX(1,MIN(MAX(2,INT(900/E101)),INT((_xlpm.cap-50)/E101))),_xlpm.kgmUsed,AR101/E101*_xlpm.wUsed,_xlpm.lam,TEXT(B101,"0"),_xlpm.crit,(TEXT(HELPER!$BZ$2:$BZ$250,"0")=_xlpm.lam)*(HELPER!$CC$2:$CC$250=D101)*(HELPER!$BW$2:$BW$250&lt;&gt;""),_xlpm.mats,_xlfn._xlws.FILTER(HELPER!$BW$2:$BW$250,_xlpm.crit),_xlpm.realLayers,SUM((_xlpm.mats&lt;&gt;"")*ISERROR(SEARCH("EPOTAL",_xlpm.mats&amp;""))*ISERROR(SEARCH("BASONAT",_xlpm.mats&amp;""))*ISERROR(SEARCH("ADH",_xlpm.mats&amp;""))*ISERROR(SEARCH("HARDENER",_xlpm.mats&amp;""))),_xlpm.steps,MAX(0,_xlpm.realLayers-1),_xlpm.tier,IF(P101&lt;3000,1,IF(P101&lt;10000,2,IF(P101&lt;25000,3,IF(P101&lt;50000,4,IF(P101&lt;100000,5,IF(P101&lt;250000,6,7)))))),_xlpm.widthRow,IF(_xlpm.wUsed&lt;900,0,5),_xlpm.supplierRow,IF(O101="Marma",3,IF(OR(O101="Bastin",O101="Quantum"),13,0)),_xlpm.rate,INDEX('Lmntn &amp; Prntng- Marma &amp; Bastin '!$D$1:$K$22,_xlpm.supplierRow+_xlpm.widthRow,_xlpm.tier),_xlpm.rate*_xlpm.steps/_xlpm.kgmUsed),"")</f>
        <v>5.3342182890855447</v>
      </c>
      <c r="AI101" s="919" cm="1">
        <f t="array" ref="AI101">IFERROR(_xlfn.LET(_xlpm.cap,IF(O101="Quantum",760,1220),_xlpm.wUsed,E101*MAX(1,MIN(MAX(2,INT(900/E101)),INT((_xlpm.cap-50)/E101))),_xlpm.kgmUsed,AR101/E101*_xlpm.wUsed,_xlpm.tier,IF(P101&lt;3000,1,IF(P101&lt;10000,2,IF(P101&lt;25000,3,IF(P101&lt;50000,4,IF(P101&lt;100000,5,IF(P101&lt;250000,6,IF(P101&lt;500000,7,8))))))),_xlpm.widthRow,IF(_xlpm.wUsed&lt;900,0,5),_xlpm.slitRow,IF(O101="Marma",7,IF(OR(O101="Bastin",O101="Quantum"),17,0)),_xlpm.slitRate,INDEX('Lmntn &amp; Prntng- Marma &amp; Bastin '!$D$1:$K$22,_xlpm.slitRow+_xlpm.widthRow,_xlpm.tier),_xlpm.numColors,IF(ISNUMBER(L101),L101,IFERROR(--RIGHT(L101,LEN(L101)-FIND("-",L101)),0)),_xlpm.printRate,IF(OR(K101&lt;&gt;"Printed",_xlpm.numColors=0),0,IF(O101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101))),MAX(_xlfn._xlws.FILTER(_xlpm.meters,(_xlpm.widths=_xlpm.qWidth)*(_xlpm.bands=_xlpm.band)))),INDEX(_xlpm.rates,_xlfn.XMATCH(1,(_xlpm.widths=_xlpm.qWidth)*(_xlpm.bands=_xlpm.band)*(_xlpm.meters=_xlpm.targetM),0))/HELPER!$AK$2),_xlfn.LET(_xlpm.colorOffset,IF(_xlpm.numColors&lt;=2,1,IF(_xlpm.numColors&lt;=4,2,3)),_xlpm.supplierRow,IF(O101="Marma",3,IF(O101="Bastin",13,0)),INDEX('Lmntn &amp; Prntng- Marma &amp; Bastin '!$D$1:$K$22,_xlpm.supplierRow+_xlpm.widthRow+_xlpm.colorOffset,_xlpm.tier)))),AH101+_xlpm.slitRate/_xlpm.kgmUsed+_xlpm.printRate/_xlpm.kgmUsed+AJ101),"")</f>
        <v>24.337547892720302</v>
      </c>
      <c r="AJ101" s="919" cm="1">
        <f t="array" ref="AJ101">IF(OR(K101&lt;&gt;"Printed",L101=0,L101="0",L101=""),0,IFERROR(_xlfn.LET(_xlpm.lam,TEXT(B101,"0"),_xlpm.crit,(TEXT(HELPER!$BZ$2:$BZ$250,"0")=_xlpm.lam)*(HELPER!$CC$2:$CC$250=D101)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WHITE"},0)))/ROWS(_xlpm.real),_xlpm.numColors,IF(ISNUMBER(L101),L101,IFERROR(--RIGHT(L101,LEN(L101)-FIND("-",L101)),0)),HELPER!$DB$1*_xlpm.numColors*MAX(1,M101)*1.05*_xlpm.nkRatio/Q101),0))</f>
        <v>0</v>
      </c>
      <c r="AK101" s="919">
        <f t="shared" si="41"/>
        <v>1.9738138018974831</v>
      </c>
      <c r="AL101" s="919">
        <f t="shared" si="42"/>
        <v>1835.646835764659</v>
      </c>
      <c r="AM101" s="73" t="str">
        <f t="shared" si="43"/>
        <v>PASS</v>
      </c>
      <c r="AN101" s="908" t="str">
        <f t="shared" si="22"/>
        <v/>
      </c>
      <c r="AO101" s="919">
        <f t="shared" si="23"/>
        <v>55</v>
      </c>
      <c r="AP101" s="919">
        <f t="shared" si="24"/>
        <v>250000</v>
      </c>
      <c r="AQ101" s="919"/>
      <c r="AR101" s="919" cm="1">
        <f t="array" ref="AR101">IFERROR(_xlfn.LET(_xlpm.lam,TEXT(B101,"0"),_xlpm.thick,D101,_xlpm.crit,(TEXT(HELPER!$BZ$2:$BZ$250,"0")=_xlpm.lam)*(HELPER!$CC$2:$CC$250=_xlpm.thick)*(HELPER!$BW$2:$BW$250&lt;&gt;""),_xlpm.mats,TRIM(SUBSTITUTE(_xlfn._xlws.FILTER(HELPER!$BW$2:$BW$250,_xlpm.crit),CHAR(160),"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")),HELPER!$AQ$2:$AQ$20,1),_xlpm.mass,IF(ISNUMBER(SEARCH("paper",_xlpm.mats)),42,_xlpm.dens*_xlpm.ths),E101/1000000*SUM(_xlpm.mass)),"")</f>
        <v>4.0680000000000001E-2</v>
      </c>
      <c r="AS101" s="919">
        <f>IFERROR(IF(D101&gt;31,(5%+250/P101)*AF101,VLOOKUP(D101,HELPER!$BH$3:$BI$5,2,TRUE)*AF101),0)</f>
        <v>0.41818566922566364</v>
      </c>
      <c r="AT101" s="919">
        <v>0.149999999999999</v>
      </c>
      <c r="AU101" s="919"/>
      <c r="AV101" s="919"/>
      <c r="AW101" s="919"/>
      <c r="AX101" s="919"/>
      <c r="AY101" s="919"/>
      <c r="AZ101" s="919">
        <f t="shared" si="25"/>
        <v>0</v>
      </c>
    </row>
    <row r="102" spans="1:52">
      <c r="A102" s="73" t="s">
        <v>1523</v>
      </c>
      <c r="B102" s="73">
        <v>748</v>
      </c>
      <c r="C102" s="908" t="s">
        <v>1430</v>
      </c>
      <c r="D102" s="915" cm="1">
        <f t="array" ref="D10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2" s="915">
        <v>900</v>
      </c>
      <c r="F102" s="73" t="s">
        <v>1040</v>
      </c>
      <c r="G102" s="916">
        <v>1600000</v>
      </c>
      <c r="H102" s="916"/>
      <c r="I102" s="916">
        <v>140</v>
      </c>
      <c r="J102" s="916">
        <v>80</v>
      </c>
      <c r="K102" s="73" t="s">
        <v>123</v>
      </c>
      <c r="L102" s="921" t="s">
        <v>592</v>
      </c>
      <c r="M102" s="915">
        <v>8</v>
      </c>
      <c r="N102" s="73" t="s">
        <v>549</v>
      </c>
      <c r="O102" s="73" t="s">
        <v>250</v>
      </c>
      <c r="P102" s="916" cm="1">
        <f t="array" ref="P102">IFERROR(_xlfn.SWITCH(F102,"By Weight",IF(H102&lt;&gt;"",H102,G102)/AR102,"By Length",G102,"By Imp",G102/MAX(1,ROUNDDOWN(E102/I102,0))*J102/1000,"IMP",G102/MAX(1,ROUNDDOWN(E102/I102,0))*J102/1000,""),"")</f>
        <v>21333.333333333336</v>
      </c>
      <c r="Q102" s="916">
        <f t="shared" si="26"/>
        <v>1301.7600000000004</v>
      </c>
      <c r="R102" s="917">
        <f t="shared" si="27"/>
        <v>19649.74551912312</v>
      </c>
      <c r="S102" s="918">
        <f t="shared" si="28"/>
        <v>22793.70480218282</v>
      </c>
      <c r="T102" s="919">
        <f t="shared" si="29"/>
        <v>15.094752887723629</v>
      </c>
      <c r="U102" s="920">
        <f t="shared" si="30"/>
        <v>17.509913349759408</v>
      </c>
      <c r="V102" s="919">
        <f t="shared" si="31"/>
        <v>1.0836256720104736</v>
      </c>
      <c r="W102" s="919">
        <f t="shared" si="32"/>
        <v>17.758532809086748</v>
      </c>
      <c r="X102" s="919">
        <f t="shared" si="33"/>
        <v>1.444834229347298E-2</v>
      </c>
      <c r="Y102" s="920">
        <f t="shared" si="34"/>
        <v>1.2570057795321492</v>
      </c>
      <c r="Z102" s="920">
        <f t="shared" si="35"/>
        <v>20.599898058540628</v>
      </c>
      <c r="AA102" s="920">
        <f t="shared" si="36"/>
        <v>1.6760077060428657E-2</v>
      </c>
      <c r="AB102" s="917">
        <f t="shared" si="37"/>
        <v>23117.347669556773</v>
      </c>
      <c r="AC102" s="918">
        <f t="shared" si="38"/>
        <v>26816.123296685855</v>
      </c>
      <c r="AD102" s="916">
        <f t="shared" si="39"/>
        <v>8194.0347427073084</v>
      </c>
      <c r="AE102" s="916">
        <f t="shared" si="40"/>
        <v>500</v>
      </c>
      <c r="AF102" s="919" cm="1">
        <f t="array" ref="AF102">IFERROR(_xlfn.LET(_xlpm.lam,TEXT(B102,"0"),_xlpm.thick,D102,_xlpm.crit,(TEXT(HELPER!$BZ$2:$BZ$250,"0")=_xlpm.lam)*(HELPER!$CC$2:$CC$250=_xlpm.thick)*(HELPER!$BW$2:$BW$250&lt;&gt;""),_xlpm.mats,TRIM(SUBSTITUTE(_xlfn._xlws.FILTER(HELPER!$BW$2:$BW$250,_xlpm.crit),CHAR(160),"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102" s="919">
        <f>IFERROR(IF(N102="Europe to Canada",IF(Q102&lt;1000,VLOOKUP(1000,HELPER!$AG$4:$AH$8,2,FALSE)/Q102,VLOOKUP(Q102,HELPER!$AG$4:$AH$8,2,TRUE)/Q102),IF(N102="Europe to US",HELPER!$AH$2,IF(N102="Europe to Europe",HELPER!$AH$3,0))),0)</f>
        <v>0.2</v>
      </c>
      <c r="AH102" s="919" cm="1">
        <f t="array" ref="AH102">IFERROR(_xlfn.LET(_xlpm.cap,IF(O102="Quantum",760,1220),_xlpm.wUsed,E102*MAX(1,MIN(MAX(2,INT(900/E102)),INT((_xlpm.cap-50)/E102))),_xlpm.kgmUsed,AR102/E102*_xlpm.wUsed,_xlpm.lam,TEXT(B102,"0"),_xlpm.crit,(TEXT(HELPER!$BZ$2:$BZ$250,"0")=_xlpm.lam)*(HELPER!$CC$2:$CC$250=D102)*(HELPER!$BW$2:$BW$250&lt;&gt;""),_xlpm.mats,_xlfn._xlws.FILTER(HELPER!$BW$2:$BW$250,_xlpm.crit),_xlpm.realLayers,SUM((_xlpm.mats&lt;&gt;"")*ISERROR(SEARCH("EPOTAL",_xlpm.mats&amp;""))*ISERROR(SEARCH("BASONAT",_xlpm.mats&amp;""))*ISERROR(SEARCH("ADH",_xlpm.mats&amp;""))*ISERROR(SEARCH("HARDENER",_xlpm.mats&amp;""))),_xlpm.steps,MAX(0,_xlpm.realLayers-1),_xlpm.tier,IF(P102&lt;3000,1,IF(P102&lt;10000,2,IF(P102&lt;25000,3,IF(P102&lt;50000,4,IF(P102&lt;100000,5,IF(P102&lt;250000,6,7)))))),_xlpm.widthRow,IF(_xlpm.wUsed&lt;900,0,5),_xlpm.supplierRow,IF(O102="Marma",3,IF(OR(O102="Bastin",O102="Quantum"),13,0)),_xlpm.rate,INDEX('Lmntn &amp; Prntng- Marma &amp; Bastin '!$D$1:$K$22,_xlpm.supplierRow+_xlpm.widthRow,_xlpm.tier),_xlpm.rate*_xlpm.steps/_xlpm.kgmUsed),"")</f>
        <v>2.9999999999999996</v>
      </c>
      <c r="AI102" s="919" cm="1">
        <f t="array" ref="AI102">IFERROR(_xlfn.LET(_xlpm.cap,IF(O102="Quantum",760,1220),_xlpm.wUsed,E102*MAX(1,MIN(MAX(2,INT(900/E102)),INT((_xlpm.cap-50)/E102))),_xlpm.kgmUsed,AR102/E102*_xlpm.wUsed,_xlpm.tier,IF(P102&lt;3000,1,IF(P102&lt;10000,2,IF(P102&lt;25000,3,IF(P102&lt;50000,4,IF(P102&lt;100000,5,IF(P102&lt;250000,6,IF(P102&lt;500000,7,8))))))),_xlpm.widthRow,IF(_xlpm.wUsed&lt;900,0,5),_xlpm.slitRow,IF(O102="Marma",7,IF(OR(O102="Bastin",O102="Quantum"),17,0)),_xlpm.slitRate,INDEX('Lmntn &amp; Prntng- Marma &amp; Bastin '!$D$1:$K$22,_xlpm.slitRow+_xlpm.widthRow,_xlpm.tier),_xlpm.numColors,IF(ISNUMBER(L102),L102,IFERROR(--RIGHT(L102,LEN(L102)-FIND("-",L102)),0)),_xlpm.printRate,IF(OR(K102&lt;&gt;"Printed",_xlpm.numColors=0),0,IF(O102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102))),MAX(_xlfn._xlws.FILTER(_xlpm.meters,(_xlpm.widths=_xlpm.qWidth)*(_xlpm.bands=_xlpm.band)))),INDEX(_xlpm.rates,_xlfn.XMATCH(1,(_xlpm.widths=_xlpm.qWidth)*(_xlpm.bands=_xlpm.band)*(_xlpm.meters=_xlpm.targetM),0))/HELPER!$AK$2),_xlfn.LET(_xlpm.colorOffset,IF(_xlpm.numColors&lt;=2,1,IF(_xlpm.numColors&lt;=4,2,3)),_xlpm.supplierRow,IF(O102="Marma",3,IF(O102="Bastin",13,0)),INDEX('Lmntn &amp; Prntng- Marma &amp; Bastin '!$D$1:$K$22,_xlpm.supplierRow+_xlpm.widthRow+_xlpm.colorOffset,_xlpm.tier)))),AH102+_xlpm.slitRate/_xlpm.kgmUsed+_xlpm.printRate/_xlpm.kgmUsed+AJ102),"")</f>
        <v>6.1889574759945116</v>
      </c>
      <c r="AJ102" s="919" cm="1">
        <f t="array" ref="AJ102">IF(OR(K102&lt;&gt;"Printed",L102=0,L102="0",L102=""),0,IFERROR(_xlfn.LET(_xlpm.lam,TEXT(B102,"0"),_xlpm.crit,(TEXT(HELPER!$BZ$2:$BZ$250,"0")=_xlpm.lam)*(HELPER!$CC$2:$CC$250=D102)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WHITE"},0)))/ROWS(_xlpm.real),_xlpm.numColors,IF(ISNUMBER(L102),L102,IFERROR(--RIGHT(L102,LEN(L102)-FIND("-",L102)),0)),HELPER!$DB$1*_xlpm.numColors*MAX(1,M102)*1.05*_xlpm.nkRatio/Q102),0))</f>
        <v>0</v>
      </c>
      <c r="AK102" s="919">
        <f t="shared" si="41"/>
        <v>0.77679259642327847</v>
      </c>
      <c r="AL102" s="919">
        <f t="shared" si="42"/>
        <v>1083.6256720104736</v>
      </c>
      <c r="AM102" s="73" t="str">
        <f t="shared" si="43"/>
        <v>PASS</v>
      </c>
      <c r="AN102" s="908" t="str">
        <f t="shared" si="22"/>
        <v/>
      </c>
      <c r="AO102" s="919">
        <f t="shared" si="23"/>
        <v>55</v>
      </c>
      <c r="AP102" s="919">
        <f t="shared" si="24"/>
        <v>21333.333333333336</v>
      </c>
      <c r="AQ102" s="919"/>
      <c r="AR102" s="919" cm="1">
        <f t="array" ref="AR102">IFERROR(_xlfn.LET(_xlpm.lam,TEXT(B102,"0"),_xlpm.thick,D102,_xlpm.crit,(TEXT(HELPER!$BZ$2:$BZ$250,"0")=_xlpm.lam)*(HELPER!$CC$2:$CC$250=_xlpm.thick)*(HELPER!$BW$2:$BW$250&lt;&gt;""),_xlpm.mats,TRIM(SUBSTITUTE(_xlfn._xlws.FILTER(HELPER!$BW$2:$BW$250,_xlpm.crit),CHAR(160),"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")),HELPER!$AQ$2:$AQ$20,1),_xlpm.mass,IF(ISNUMBER(SEARCH("paper",_xlpm.mats)),42,_xlpm.dens*_xlpm.ths),E102/1000000*SUM(_xlpm.mass)),"")</f>
        <v>6.1020000000000012E-2</v>
      </c>
      <c r="AS102" s="919">
        <f>IFERROR(IF(D102&gt;31,(5%+250/P102)*AF102,VLOOKUP(D102,HELPER!$BH$3:$BI$5,2,TRUE)*AF102),0)</f>
        <v>0.50607640730434178</v>
      </c>
      <c r="AT102" s="919">
        <v>0.15000000000000599</v>
      </c>
      <c r="AU102" s="919"/>
      <c r="AV102" s="919"/>
      <c r="AW102" s="919"/>
      <c r="AX102" s="919"/>
      <c r="AY102" s="919"/>
      <c r="AZ102" s="919">
        <f t="shared" si="25"/>
        <v>0</v>
      </c>
    </row>
    <row r="103" spans="1:52">
      <c r="A103" s="73" t="s">
        <v>1524</v>
      </c>
      <c r="B103" s="73">
        <v>748</v>
      </c>
      <c r="C103" s="908" t="s">
        <v>1432</v>
      </c>
      <c r="D103" s="915" cm="1">
        <f t="array" ref="D10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3" s="915">
        <v>250</v>
      </c>
      <c r="F103" s="73" t="s">
        <v>560</v>
      </c>
      <c r="G103" s="916">
        <v>500</v>
      </c>
      <c r="H103" s="916">
        <v>500</v>
      </c>
      <c r="I103" s="916"/>
      <c r="J103" s="916"/>
      <c r="K103" s="73" t="s">
        <v>124</v>
      </c>
      <c r="L103" s="921" t="s">
        <v>221</v>
      </c>
      <c r="M103" s="915">
        <v>1</v>
      </c>
      <c r="N103" s="73" t="s">
        <v>550</v>
      </c>
      <c r="O103" s="73" t="s">
        <v>240</v>
      </c>
      <c r="P103" s="916" cm="1">
        <f t="array" ref="P103">IFERROR(_xlfn.SWITCH(F103,"By Weight",IF(H103&lt;&gt;"",H103,G103)/AR103,"By Length",G103,"By Imp",G103/MAX(1,ROUNDDOWN(E103/I103,0))*J103/1000,"IMP",G103/MAX(1,ROUNDDOWN(E103/I103,0))*J103/1000,""),"")</f>
        <v>29498.525073746307</v>
      </c>
      <c r="Q103" s="916">
        <f t="shared" si="26"/>
        <v>500</v>
      </c>
      <c r="R103" s="917">
        <f t="shared" si="27"/>
        <v>9559.0678131529312</v>
      </c>
      <c r="S103" s="918">
        <f t="shared" si="28"/>
        <v>11088.518663257399</v>
      </c>
      <c r="T103" s="919">
        <f t="shared" si="29"/>
        <v>19.118135626305861</v>
      </c>
      <c r="U103" s="920">
        <f t="shared" si="30"/>
        <v>22.177037326514796</v>
      </c>
      <c r="V103" s="919">
        <f t="shared" si="31"/>
        <v>0.40506549858235402</v>
      </c>
      <c r="W103" s="919">
        <f t="shared" si="32"/>
        <v>23.89766953288224</v>
      </c>
      <c r="X103" s="919" t="str">
        <f t="shared" si="33"/>
        <v/>
      </c>
      <c r="Y103" s="920">
        <f t="shared" si="34"/>
        <v>0.46987597835553063</v>
      </c>
      <c r="Z103" s="920">
        <f t="shared" si="35"/>
        <v>27.721296658143398</v>
      </c>
      <c r="AA103" s="920" t="str">
        <f t="shared" si="36"/>
        <v/>
      </c>
      <c r="AB103" s="917">
        <f t="shared" si="37"/>
        <v>11948.834766441119</v>
      </c>
      <c r="AC103" s="918">
        <f t="shared" si="38"/>
        <v>13860.648329071697</v>
      </c>
      <c r="AD103" s="916">
        <f t="shared" si="39"/>
        <v>29498.525073746307</v>
      </c>
      <c r="AE103" s="916">
        <f t="shared" si="40"/>
        <v>500</v>
      </c>
      <c r="AF103" s="919" cm="1">
        <f t="array" ref="AF103">IFERROR(_xlfn.LET(_xlpm.lam,TEXT(B103,"0"),_xlpm.thick,D103,_xlpm.crit,(TEXT(HELPER!$BZ$2:$BZ$250,"0")=_xlpm.lam)*(HELPER!$CC$2:$CC$250=_xlpm.thick)*(HELPER!$BW$2:$BW$250&lt;&gt;""),_xlpm.mats,TRIM(SUBSTITUTE(_xlfn._xlws.FILTER(HELPER!$BW$2:$BW$250,_xlpm.crit),CHAR(160),"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103" s="919">
        <f>IFERROR(IF(N103="Europe to Canada",IF(Q103&lt;1000,VLOOKUP(1000,HELPER!$AG$4:$AH$8,2,FALSE)/Q103,VLOOKUP(Q103,HELPER!$AG$4:$AH$8,2,TRUE)/Q103),IF(N103="Europe to US",HELPER!$AH$2,IF(N103="Europe to Europe",HELPER!$AH$3,0))),0)</f>
        <v>5.4</v>
      </c>
      <c r="AH103" s="919" cm="1">
        <f t="array" ref="AH103">IFERROR(_xlfn.LET(_xlpm.cap,IF(O103="Quantum",760,1220),_xlpm.wUsed,E103*MAX(1,MIN(MAX(2,INT(900/E103)),INT((_xlpm.cap-50)/E103))),_xlpm.kgmUsed,AR103/E103*_xlpm.wUsed,_xlpm.lam,TEXT(B103,"0"),_xlpm.crit,(TEXT(HELPER!$BZ$2:$BZ$250,"0")=_xlpm.lam)*(HELPER!$CC$2:$CC$250=D103)*(HELPER!$BW$2:$BW$250&lt;&gt;""),_xlpm.mats,_xlfn._xlws.FILTER(HELPER!$BW$2:$BW$250,_xlpm.crit),_xlpm.realLayers,SUM((_xlpm.mats&lt;&gt;"")*ISERROR(SEARCH("EPOTAL",_xlpm.mats&amp;""))*ISERROR(SEARCH("BASONAT",_xlpm.mats&amp;""))*ISERROR(SEARCH("ADH",_xlpm.mats&amp;""))*ISERROR(SEARCH("HARDENER",_xlpm.mats&amp;""))),_xlpm.steps,MAX(0,_xlpm.realLayers-1),_xlpm.tier,IF(P103&lt;3000,1,IF(P103&lt;10000,2,IF(P103&lt;25000,3,IF(P103&lt;50000,4,IF(P103&lt;100000,5,IF(P103&lt;250000,6,7)))))),_xlpm.widthRow,IF(_xlpm.wUsed&lt;900,0,5),_xlpm.supplierRow,IF(O103="Marma",3,IF(OR(O103="Bastin",O103="Quantum"),13,0)),_xlpm.rate,INDEX('Lmntn &amp; Prntng- Marma &amp; Bastin '!$D$1:$K$22,_xlpm.supplierRow+_xlpm.widthRow,_xlpm.tier),_xlpm.rate*_xlpm.steps/_xlpm.kgmUsed),"")</f>
        <v>4.4223008849557512</v>
      </c>
      <c r="AI103" s="919" cm="1">
        <f t="array" ref="AI103">IFERROR(_xlfn.LET(_xlpm.cap,IF(O103="Quantum",760,1220),_xlpm.wUsed,E103*MAX(1,MIN(MAX(2,INT(900/E103)),INT((_xlpm.cap-50)/E103))),_xlpm.kgmUsed,AR103/E103*_xlpm.wUsed,_xlpm.tier,IF(P103&lt;3000,1,IF(P103&lt;10000,2,IF(P103&lt;25000,3,IF(P103&lt;50000,4,IF(P103&lt;100000,5,IF(P103&lt;250000,6,IF(P103&lt;500000,7,8))))))),_xlpm.widthRow,IF(_xlpm.wUsed&lt;900,0,5),_xlpm.slitRow,IF(O103="Marma",7,IF(OR(O103="Bastin",O103="Quantum"),17,0)),_xlpm.slitRate,INDEX('Lmntn &amp; Prntng- Marma &amp; Bastin '!$D$1:$K$22,_xlpm.slitRow+_xlpm.widthRow,_xlpm.tier),_xlpm.numColors,IF(ISNUMBER(L103),L103,IFERROR(--RIGHT(L103,LEN(L103)-FIND("-",L103)),0)),_xlpm.printRate,IF(OR(K103&lt;&gt;"Printed",_xlpm.numColors=0),0,IF(O103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103))),MAX(_xlfn._xlws.FILTER(_xlpm.meters,(_xlpm.widths=_xlpm.qWidth)*(_xlpm.bands=_xlpm.band)))),INDEX(_xlpm.rates,_xlfn.XMATCH(1,(_xlpm.widths=_xlpm.qWidth)*(_xlpm.bands=_xlpm.band)*(_xlpm.meters=_xlpm.targetM),0))/HELPER!$AK$2),_xlfn.LET(_xlpm.colorOffset,IF(_xlpm.numColors&lt;=2,1,IF(_xlpm.numColors&lt;=4,2,3)),_xlpm.supplierRow,IF(O103="Marma",3,IF(O103="Bastin",13,0)),INDEX('Lmntn &amp; Prntng- Marma &amp; Bastin '!$D$1:$K$22,_xlpm.supplierRow+_xlpm.widthRow+_xlpm.colorOffset,_xlpm.tier)))),AH103+_xlpm.slitRate/_xlpm.kgmUsed+_xlpm.printRate/_xlpm.kgmUsed+AJ103),"")</f>
        <v>5.0389380530973442</v>
      </c>
      <c r="AJ103" s="919" cm="1">
        <f t="array" ref="AJ103">IF(OR(K103&lt;&gt;"Printed",L103=0,L103="0",L103=""),0,IFERROR(_xlfn.LET(_xlpm.lam,TEXT(B103,"0"),_xlpm.crit,(TEXT(HELPER!$BZ$2:$BZ$250,"0")=_xlpm.lam)*(HELPER!$CC$2:$CC$250=D103)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WHITE"},0)))/ROWS(_xlpm.real),_xlpm.numColors,IF(ISNUMBER(L103),L103,IFERROR(--RIGHT(L103,LEN(L103)-FIND("-",L103)),0)),HELPER!$DB$1*_xlpm.numColors*MAX(1,M103)*1.05*_xlpm.nkRatio/Q103),0))</f>
        <v>0</v>
      </c>
      <c r="AK103" s="919">
        <f t="shared" si="41"/>
        <v>1.0453303189222038</v>
      </c>
      <c r="AL103" s="919">
        <f t="shared" si="42"/>
        <v>405.065498582354</v>
      </c>
      <c r="AM103" s="73" t="str">
        <f t="shared" si="43"/>
        <v>PASS</v>
      </c>
      <c r="AN103" s="908" t="str">
        <f t="shared" si="22"/>
        <v/>
      </c>
      <c r="AO103" s="919">
        <f t="shared" si="23"/>
        <v>55</v>
      </c>
      <c r="AP103" s="919">
        <f t="shared" si="24"/>
        <v>29498.525073746307</v>
      </c>
      <c r="AQ103" s="919"/>
      <c r="AR103" s="919" cm="1">
        <f t="array" ref="AR103">IFERROR(_xlfn.LET(_xlpm.lam,TEXT(B103,"0"),_xlpm.thick,D103,_xlpm.crit,(TEXT(HELPER!$BZ$2:$BZ$250,"0")=_xlpm.lam)*(HELPER!$CC$2:$CC$250=_xlpm.thick)*(HELPER!$BW$2:$BW$250&lt;&gt;""),_xlpm.mats,TRIM(SUBSTITUTE(_xlfn._xlws.FILTER(HELPER!$BW$2:$BW$250,_xlpm.crit),CHAR(160),"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")),HELPER!$AQ$2:$AQ$20,1),_xlpm.mass,IF(ISNUMBER(SEARCH("paper",_xlpm.mats)),42,_xlpm.dens*_xlpm.ths),E103/1000000*SUM(_xlpm.mass)),"")</f>
        <v>1.6950000000000003E-2</v>
      </c>
      <c r="AS103" s="919">
        <f>IFERROR(IF(D103&gt;31,(5%+250/P103)*AF103,VLOOKUP(D103,HELPER!$BH$3:$BI$5,2,TRUE)*AF103),0)</f>
        <v>0.4794785687837389</v>
      </c>
      <c r="AT103" s="919">
        <v>0.19999999999999701</v>
      </c>
      <c r="AU103" s="919"/>
      <c r="AV103" s="919"/>
      <c r="AW103" s="919"/>
      <c r="AX103" s="919"/>
      <c r="AY103" s="919"/>
      <c r="AZ103" s="919">
        <f t="shared" si="25"/>
        <v>0</v>
      </c>
    </row>
    <row r="104" spans="1:52">
      <c r="A104" s="73" t="s">
        <v>1525</v>
      </c>
      <c r="B104" s="73">
        <v>748</v>
      </c>
      <c r="C104" s="908" t="s">
        <v>1434</v>
      </c>
      <c r="D104" s="915" cm="1">
        <f t="array" ref="D10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4" s="915">
        <v>600</v>
      </c>
      <c r="F104" s="73" t="s">
        <v>1040</v>
      </c>
      <c r="G104" s="916">
        <v>100000</v>
      </c>
      <c r="H104" s="916"/>
      <c r="I104" s="916">
        <v>300</v>
      </c>
      <c r="J104" s="916">
        <v>200</v>
      </c>
      <c r="K104" s="73" t="s">
        <v>123</v>
      </c>
      <c r="L104" s="921" t="s">
        <v>122</v>
      </c>
      <c r="M104" s="915">
        <v>4</v>
      </c>
      <c r="N104" s="73" t="s">
        <v>549</v>
      </c>
      <c r="O104" s="73" t="s">
        <v>250</v>
      </c>
      <c r="P104" s="916" cm="1">
        <f t="array" ref="P104">IFERROR(_xlfn.SWITCH(F104,"By Weight",IF(H104&lt;&gt;"",H104,G104)/AR104,"By Length",G104,"By Imp",G104/MAX(1,ROUNDDOWN(E104/I104,0))*J104/1000,"IMP",G104/MAX(1,ROUNDDOWN(E104/I104,0))*J104/1000,""),"")</f>
        <v>10000</v>
      </c>
      <c r="Q104" s="916">
        <f t="shared" si="26"/>
        <v>406.8</v>
      </c>
      <c r="R104" s="917">
        <f t="shared" si="27"/>
        <v>7023.1791178249987</v>
      </c>
      <c r="S104" s="918">
        <f t="shared" si="28"/>
        <v>8146.8877766769983</v>
      </c>
      <c r="T104" s="919">
        <f t="shared" si="29"/>
        <v>17.264452108714352</v>
      </c>
      <c r="U104" s="920">
        <f t="shared" si="30"/>
        <v>20.026764446108647</v>
      </c>
      <c r="V104" s="919">
        <f t="shared" si="31"/>
        <v>0.82625636680294201</v>
      </c>
      <c r="W104" s="919">
        <f t="shared" si="32"/>
        <v>20.311120127899262</v>
      </c>
      <c r="X104" s="919">
        <f t="shared" si="33"/>
        <v>8.2625636680294212E-2</v>
      </c>
      <c r="Y104" s="920">
        <f t="shared" si="34"/>
        <v>0.95845738549141268</v>
      </c>
      <c r="Z104" s="920">
        <f t="shared" si="35"/>
        <v>23.560899348363144</v>
      </c>
      <c r="AA104" s="920">
        <f t="shared" si="36"/>
        <v>9.5845738549141274E-2</v>
      </c>
      <c r="AB104" s="917">
        <f t="shared" si="37"/>
        <v>8262.5636680294192</v>
      </c>
      <c r="AC104" s="918">
        <f t="shared" si="38"/>
        <v>9584.5738549141261</v>
      </c>
      <c r="AD104" s="916">
        <f t="shared" si="39"/>
        <v>12291.052114060964</v>
      </c>
      <c r="AE104" s="916">
        <f t="shared" si="40"/>
        <v>500</v>
      </c>
      <c r="AF104" s="919" cm="1">
        <f t="array" ref="AF104">IFERROR(_xlfn.LET(_xlpm.lam,TEXT(B104,"0"),_xlpm.thick,D104,_xlpm.crit,(TEXT(HELPER!$BZ$2:$BZ$250,"0")=_xlpm.lam)*(HELPER!$CC$2:$CC$250=_xlpm.thick)*(HELPER!$BW$2:$BW$250&lt;&gt;""),_xlpm.mats,TRIM(SUBSTITUTE(_xlfn._xlws.FILTER(HELPER!$BW$2:$BW$250,_xlpm.crit),CHAR(160),"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104" s="919">
        <f>IFERROR(IF(N104="Europe to Canada",IF(Q104&lt;1000,VLOOKUP(1000,HELPER!$AG$4:$AH$8,2,FALSE)/Q104,VLOOKUP(Q104,HELPER!$AG$4:$AH$8,2,TRUE)/Q104),IF(N104="Europe to US",HELPER!$AH$2,IF(N104="Europe to Europe",HELPER!$AH$3,0))),0)</f>
        <v>0.2</v>
      </c>
      <c r="AH104" s="919" cm="1">
        <f t="array" ref="AH104">IFERROR(_xlfn.LET(_xlpm.cap,IF(O104="Quantum",760,1220),_xlpm.wUsed,E104*MAX(1,MIN(MAX(2,INT(900/E104)),INT((_xlpm.cap-50)/E104))),_xlpm.kgmUsed,AR104/E104*_xlpm.wUsed,_xlpm.lam,TEXT(B104,"0"),_xlpm.crit,(TEXT(HELPER!$BZ$2:$BZ$250,"0")=_xlpm.lam)*(HELPER!$CC$2:$CC$250=D104)*(HELPER!$BW$2:$BW$250&lt;&gt;""),_xlpm.mats,_xlfn._xlws.FILTER(HELPER!$BW$2:$BW$250,_xlpm.crit),_xlpm.realLayers,SUM((_xlpm.mats&lt;&gt;"")*ISERROR(SEARCH("EPOTAL",_xlpm.mats&amp;""))*ISERROR(SEARCH("BASONAT",_xlpm.mats&amp;""))*ISERROR(SEARCH("ADH",_xlpm.mats&amp;""))*ISERROR(SEARCH("HARDENER",_xlpm.mats&amp;""))),_xlpm.steps,MAX(0,_xlpm.realLayers-1),_xlpm.tier,IF(P104&lt;3000,1,IF(P104&lt;10000,2,IF(P104&lt;25000,3,IF(P104&lt;50000,4,IF(P104&lt;100000,5,IF(P104&lt;250000,6,7)))))),_xlpm.widthRow,IF(_xlpm.wUsed&lt;900,0,5),_xlpm.supplierRow,IF(O104="Marma",3,IF(OR(O104="Bastin",O104="Quantum"),13,0)),_xlpm.rate,INDEX('Lmntn &amp; Prntng- Marma &amp; Bastin '!$D$1:$K$22,_xlpm.supplierRow+_xlpm.widthRow,_xlpm.tier),_xlpm.rate*_xlpm.steps/_xlpm.kgmUsed),"")</f>
        <v>4.4999999999999991</v>
      </c>
      <c r="AI104" s="919" cm="1">
        <f t="array" ref="AI104">IFERROR(_xlfn.LET(_xlpm.cap,IF(O104="Quantum",760,1220),_xlpm.wUsed,E104*MAX(1,MIN(MAX(2,INT(900/E104)),INT((_xlpm.cap-50)/E104))),_xlpm.kgmUsed,AR104/E104*_xlpm.wUsed,_xlpm.tier,IF(P104&lt;3000,1,IF(P104&lt;10000,2,IF(P104&lt;25000,3,IF(P104&lt;50000,4,IF(P104&lt;100000,5,IF(P104&lt;250000,6,IF(P104&lt;500000,7,8))))))),_xlpm.widthRow,IF(_xlpm.wUsed&lt;900,0,5),_xlpm.slitRow,IF(O104="Marma",7,IF(OR(O104="Bastin",O104="Quantum"),17,0)),_xlpm.slitRate,INDEX('Lmntn &amp; Prntng- Marma &amp; Bastin '!$D$1:$K$22,_xlpm.slitRow+_xlpm.widthRow,_xlpm.tier),_xlpm.numColors,IF(ISNUMBER(L104),L104,IFERROR(--RIGHT(L104,LEN(L104)-FIND("-",L104)),0)),_xlpm.printRate,IF(OR(K104&lt;&gt;"Printed",_xlpm.numColors=0),0,IF(O104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104))),MAX(_xlfn._xlws.FILTER(_xlpm.meters,(_xlpm.widths=_xlpm.qWidth)*(_xlpm.bands=_xlpm.band)))),INDEX(_xlpm.rates,_xlfn.XMATCH(1,(_xlpm.widths=_xlpm.qWidth)*(_xlpm.bands=_xlpm.band)*(_xlpm.meters=_xlpm.targetM),0))/HELPER!$AK$2),_xlfn.LET(_xlpm.colorOffset,IF(_xlpm.numColors&lt;=2,1,IF(_xlpm.numColors&lt;=4,2,3)),_xlpm.supplierRow,IF(O104="Marma",3,IF(O104="Bastin",13,0)),INDEX('Lmntn &amp; Prntng- Marma &amp; Bastin '!$D$1:$K$22,_xlpm.supplierRow+_xlpm.widthRow+_xlpm.colorOffset,_xlpm.tier)))),AH104+_xlpm.slitRate/_xlpm.kgmUsed+_xlpm.printRate/_xlpm.kgmUsed+AJ104),"")</f>
        <v>8.2497541789577173</v>
      </c>
      <c r="AJ104" s="919" cm="1">
        <f t="array" ref="AJ104">IF(OR(K104&lt;&gt;"Printed",L104=0,L104="0",L104=""),0,IFERROR(_xlfn.LET(_xlpm.lam,TEXT(B104,"0"),_xlpm.crit,(TEXT(HELPER!$BZ$2:$BZ$250,"0")=_xlpm.lam)*(HELPER!$CC$2:$CC$250=D104)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WHITE"},0)))/ROWS(_xlpm.real),_xlpm.numColors,IF(ISNUMBER(L104),L104,IFERROR(--RIGHT(L104,LEN(L104)-FIND("-",L104)),0)),HELPER!$DB$1*_xlpm.numColors*MAX(1,M104)*1.05*_xlpm.nkRatio/Q104),0))</f>
        <v>0</v>
      </c>
      <c r="AK104" s="919">
        <f t="shared" si="41"/>
        <v>0.88844770623972269</v>
      </c>
      <c r="AL104" s="919">
        <f t="shared" si="42"/>
        <v>826.25636680294201</v>
      </c>
      <c r="AM104" s="73" t="str">
        <f t="shared" si="43"/>
        <v>PASS</v>
      </c>
      <c r="AN104" s="908" t="str">
        <f t="shared" si="22"/>
        <v/>
      </c>
      <c r="AO104" s="919">
        <f t="shared" si="23"/>
        <v>55</v>
      </c>
      <c r="AP104" s="919">
        <f t="shared" si="24"/>
        <v>10000</v>
      </c>
      <c r="AQ104" s="919"/>
      <c r="AR104" s="919" cm="1">
        <f t="array" ref="AR104">IFERROR(_xlfn.LET(_xlpm.lam,TEXT(B104,"0"),_xlpm.thick,D104,_xlpm.crit,(TEXT(HELPER!$BZ$2:$BZ$250,"0")=_xlpm.lam)*(HELPER!$CC$2:$CC$250=_xlpm.thick)*(HELPER!$BW$2:$BW$250&lt;&gt;""),_xlpm.mats,TRIM(SUBSTITUTE(_xlfn._xlws.FILTER(HELPER!$BW$2:$BW$250,_xlpm.crit),CHAR(160),"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")),HELPER!$AQ$2:$AQ$20,1),_xlpm.mass,IF(ISNUMBER(SEARCH("paper",_xlpm.mats)),42,_xlpm.dens*_xlpm.ths),E104/1000000*SUM(_xlpm.mass)),"")</f>
        <v>4.0680000000000001E-2</v>
      </c>
      <c r="AS104" s="919">
        <f>IFERROR(IF(D104&gt;31,(5%+250/P104)*AF104,VLOOKUP(D104,HELPER!$BH$3:$BI$5,2,TRUE)*AF104),0)</f>
        <v>0.61497892533185838</v>
      </c>
      <c r="AT104" s="919">
        <v>0.15000000000000099</v>
      </c>
      <c r="AU104" s="919"/>
      <c r="AV104" s="919"/>
      <c r="AW104" s="919"/>
      <c r="AX104" s="919"/>
      <c r="AY104" s="919"/>
      <c r="AZ104" s="919">
        <f t="shared" si="25"/>
        <v>0</v>
      </c>
    </row>
    <row r="105" spans="1:52">
      <c r="A105" s="73" t="s">
        <v>1526</v>
      </c>
      <c r="B105" s="73">
        <v>748</v>
      </c>
      <c r="C105" s="908" t="s">
        <v>1436</v>
      </c>
      <c r="D105" s="915" cm="1">
        <f t="array" ref="D10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5" s="915">
        <v>450</v>
      </c>
      <c r="F105" s="73" t="s">
        <v>560</v>
      </c>
      <c r="G105" s="916">
        <v>500</v>
      </c>
      <c r="H105" s="916">
        <v>500</v>
      </c>
      <c r="I105" s="916"/>
      <c r="J105" s="916"/>
      <c r="K105" s="73" t="s">
        <v>123</v>
      </c>
      <c r="L105" s="921" t="s">
        <v>591</v>
      </c>
      <c r="M105" s="915">
        <v>2</v>
      </c>
      <c r="N105" s="73" t="s">
        <v>549</v>
      </c>
      <c r="O105" s="73" t="s">
        <v>1366</v>
      </c>
      <c r="P105" s="916" cm="1">
        <f t="array" ref="P105">IFERROR(_xlfn.SWITCH(F105,"By Weight",IF(H105&lt;&gt;"",H105,G105)/AR105,"By Length",G105,"By Imp",G105/MAX(1,ROUNDDOWN(E105/I105,0))*J105/1000,"IMP",G105/MAX(1,ROUNDDOWN(E105/I105,0))*J105/1000,""),"")</f>
        <v>16388.069485414617</v>
      </c>
      <c r="Q105" s="916">
        <f t="shared" si="26"/>
        <v>500.00000000000006</v>
      </c>
      <c r="R105" s="917">
        <f t="shared" si="27"/>
        <v>20221.725109902633</v>
      </c>
      <c r="S105" s="918">
        <f t="shared" si="28"/>
        <v>23457.201127487053</v>
      </c>
      <c r="T105" s="919">
        <f t="shared" si="29"/>
        <v>40.443450219805257</v>
      </c>
      <c r="U105" s="920">
        <f t="shared" si="30"/>
        <v>46.914402254974092</v>
      </c>
      <c r="V105" s="919">
        <f t="shared" si="31"/>
        <v>1.4516819602426589</v>
      </c>
      <c r="W105" s="919">
        <f t="shared" si="32"/>
        <v>47.580529670359184</v>
      </c>
      <c r="X105" s="919" t="str">
        <f t="shared" si="33"/>
        <v/>
      </c>
      <c r="Y105" s="920">
        <f t="shared" si="34"/>
        <v>1.6839510738814842</v>
      </c>
      <c r="Z105" s="920">
        <f t="shared" si="35"/>
        <v>55.193414417616651</v>
      </c>
      <c r="AA105" s="920" t="str">
        <f t="shared" si="36"/>
        <v/>
      </c>
      <c r="AB105" s="917">
        <f t="shared" si="37"/>
        <v>23790.264835179594</v>
      </c>
      <c r="AC105" s="918">
        <f t="shared" si="38"/>
        <v>27596.707208808326</v>
      </c>
      <c r="AD105" s="916">
        <f t="shared" si="39"/>
        <v>16388.069485414617</v>
      </c>
      <c r="AE105" s="916">
        <f t="shared" si="40"/>
        <v>500</v>
      </c>
      <c r="AF105" s="919" cm="1">
        <f t="array" ref="AF105">IFERROR(_xlfn.LET(_xlpm.lam,TEXT(B105,"0"),_xlpm.thick,D105,_xlpm.crit,(TEXT(HELPER!$BZ$2:$BZ$250,"0")=_xlpm.lam)*(HELPER!$CC$2:$CC$250=_xlpm.thick)*(HELPER!$BW$2:$BW$250&lt;&gt;""),_xlpm.mats,TRIM(SUBSTITUTE(_xlfn._xlws.FILTER(HELPER!$BW$2:$BW$250,_xlpm.crit),CHAR(160),"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105" s="919">
        <f>IFERROR(IF(N105="Europe to Canada",IF(Q105&lt;1000,VLOOKUP(1000,HELPER!$AG$4:$AH$8,2,FALSE)/Q105,VLOOKUP(Q105,HELPER!$AG$4:$AH$8,2,TRUE)/Q105),IF(N105="Europe to US",HELPER!$AH$2,IF(N105="Europe to Europe",HELPER!$AH$3,0))),0)</f>
        <v>0.2</v>
      </c>
      <c r="AH105" s="919" cm="1">
        <f t="array" ref="AH105">IFERROR(_xlfn.LET(_xlpm.cap,IF(O105="Quantum",760,1220),_xlpm.wUsed,E105*MAX(1,MIN(MAX(2,INT(900/E105)),INT((_xlpm.cap-50)/E105))),_xlpm.kgmUsed,AR105/E105*_xlpm.wUsed,_xlpm.lam,TEXT(B105,"0"),_xlpm.crit,(TEXT(HELPER!$BZ$2:$BZ$250,"0")=_xlpm.lam)*(HELPER!$CC$2:$CC$250=D105)*(HELPER!$BW$2:$BW$250&lt;&gt;""),_xlpm.mats,_xlfn._xlws.FILTER(HELPER!$BW$2:$BW$250,_xlpm.crit),_xlpm.realLayers,SUM((_xlpm.mats&lt;&gt;"")*ISERROR(SEARCH("EPOTAL",_xlpm.mats&amp;""))*ISERROR(SEARCH("BASONAT",_xlpm.mats&amp;""))*ISERROR(SEARCH("ADH",_xlpm.mats&amp;""))*ISERROR(SEARCH("HARDENER",_xlpm.mats&amp;""))),_xlpm.steps,MAX(0,_xlpm.realLayers-1),_xlpm.tier,IF(P105&lt;3000,1,IF(P105&lt;10000,2,IF(P105&lt;25000,3,IF(P105&lt;50000,4,IF(P105&lt;100000,5,IF(P105&lt;250000,6,7)))))),_xlpm.widthRow,IF(_xlpm.wUsed&lt;900,0,5),_xlpm.supplierRow,IF(O105="Marma",3,IF(OR(O105="Bastin",O105="Quantum"),13,0)),_xlpm.rate,INDEX('Lmntn &amp; Prntng- Marma &amp; Bastin '!$D$1:$K$22,_xlpm.supplierRow+_xlpm.widthRow,_xlpm.tier),_xlpm.rate*_xlpm.steps/_xlpm.kgmUsed),"")</f>
        <v>7.7999999999999989</v>
      </c>
      <c r="AI105" s="919" cm="1">
        <f t="array" ref="AI105">IFERROR(_xlfn.LET(_xlpm.cap,IF(O105="Quantum",760,1220),_xlpm.wUsed,E105*MAX(1,MIN(MAX(2,INT(900/E105)),INT((_xlpm.cap-50)/E105))),_xlpm.kgmUsed,AR105/E105*_xlpm.wUsed,_xlpm.tier,IF(P105&lt;3000,1,IF(P105&lt;10000,2,IF(P105&lt;25000,3,IF(P105&lt;50000,4,IF(P105&lt;100000,5,IF(P105&lt;250000,6,IF(P105&lt;500000,7,8))))))),_xlpm.widthRow,IF(_xlpm.wUsed&lt;900,0,5),_xlpm.slitRow,IF(O105="Marma",7,IF(OR(O105="Bastin",O105="Quantum"),17,0)),_xlpm.slitRate,INDEX('Lmntn &amp; Prntng- Marma &amp; Bastin '!$D$1:$K$22,_xlpm.slitRow+_xlpm.widthRow,_xlpm.tier),_xlpm.numColors,IF(ISNUMBER(L105),L105,IFERROR(--RIGHT(L105,LEN(L105)-FIND("-",L105)),0)),_xlpm.printRate,IF(OR(K105&lt;&gt;"Printed",_xlpm.numColors=0),0,IF(O105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105))),MAX(_xlfn._xlws.FILTER(_xlpm.meters,(_xlpm.widths=_xlpm.qWidth)*(_xlpm.bands=_xlpm.band)))),INDEX(_xlpm.rates,_xlfn.XMATCH(1,(_xlpm.widths=_xlpm.qWidth)*(_xlpm.bands=_xlpm.band)*(_xlpm.meters=_xlpm.targetM),0))/HELPER!$AK$2),_xlfn.LET(_xlpm.colorOffset,IF(_xlpm.numColors&lt;=2,1,IF(_xlpm.numColors&lt;=4,2,3)),_xlpm.supplierRow,IF(O105="Marma",3,IF(O105="Bastin",13,0)),INDEX('Lmntn &amp; Prntng- Marma &amp; Bastin '!$D$1:$K$22,_xlpm.supplierRow+_xlpm.widthRow+_xlpm.colorOffset,_xlpm.tier)))),AH105+_xlpm.slitRate/_xlpm.kgmUsed+_xlpm.printRate/_xlpm.kgmUsed+AJ105),"")</f>
        <v>31.508658551746741</v>
      </c>
      <c r="AJ105" s="919" cm="1">
        <f t="array" ref="AJ105">IF(OR(K105&lt;&gt;"Printed",L105=0,L105="0",L105=""),0,IFERROR(_xlfn.LET(_xlpm.lam,TEXT(B105,"0"),_xlpm.crit,(TEXT(HELPER!$BZ$2:$BZ$250,"0")=_xlpm.lam)*(HELPER!$CC$2:$CC$250=D105)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WHITE"},0)))/ROWS(_xlpm.real),_xlpm.numColors,IF(ISNUMBER(L105),L105,IFERROR(--RIGHT(L105,LEN(L105)-FIND("-",L105)),0)),HELPER!$DB$1*_xlpm.numColors*MAX(1,M105)*1.05*_xlpm.nkRatio/Q105),0))</f>
        <v>0</v>
      </c>
      <c r="AK105" s="919">
        <f t="shared" si="41"/>
        <v>2.0812644591292599</v>
      </c>
      <c r="AL105" s="919">
        <f t="shared" si="42"/>
        <v>1451.681960242659</v>
      </c>
      <c r="AM105" s="73" t="str">
        <f t="shared" si="43"/>
        <v>PASS</v>
      </c>
      <c r="AN105" s="908" t="str">
        <f t="shared" si="22"/>
        <v/>
      </c>
      <c r="AO105" s="919">
        <f t="shared" si="23"/>
        <v>55</v>
      </c>
      <c r="AP105" s="919">
        <f t="shared" si="24"/>
        <v>16388.069485414617</v>
      </c>
      <c r="AQ105" s="919"/>
      <c r="AR105" s="919" cm="1">
        <f t="array" ref="AR105">IFERROR(_xlfn.LET(_xlpm.lam,TEXT(B105,"0"),_xlpm.thick,D105,_xlpm.crit,(TEXT(HELPER!$BZ$2:$BZ$250,"0")=_xlpm.lam)*(HELPER!$CC$2:$CC$250=_xlpm.thick)*(HELPER!$BW$2:$BW$250&lt;&gt;""),_xlpm.mats,TRIM(SUBSTITUTE(_xlfn._xlws.FILTER(HELPER!$BW$2:$BW$250,_xlpm.crit),CHAR(160),"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")),HELPER!$AQ$2:$AQ$20,1),_xlpm.mass,IF(ISNUMBER(SEARCH("paper",_xlpm.mats)),42,_xlpm.dens*_xlpm.ths),E105/1000000*SUM(_xlpm.mass)),"")</f>
        <v>3.0510000000000006E-2</v>
      </c>
      <c r="AS105" s="919">
        <f>IFERROR(IF(D105&gt;31,(5%+250/P105)*AF105,VLOOKUP(D105,HELPER!$BH$3:$BI$5,2,TRUE)*AF105),0)</f>
        <v>0.53507266363373884</v>
      </c>
      <c r="AT105" s="919">
        <v>0.15000000000000099</v>
      </c>
      <c r="AU105" s="919"/>
      <c r="AV105" s="919"/>
      <c r="AW105" s="919"/>
      <c r="AX105" s="919"/>
      <c r="AY105" s="919"/>
      <c r="AZ105" s="919">
        <f t="shared" si="25"/>
        <v>0</v>
      </c>
    </row>
    <row r="106" spans="1:52">
      <c r="A106" s="73" t="s">
        <v>1527</v>
      </c>
      <c r="B106" s="73" t="s">
        <v>1287</v>
      </c>
      <c r="C106" s="908" t="s">
        <v>1418</v>
      </c>
      <c r="D106" s="915" cm="1">
        <f t="array" ref="D10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6" s="915">
        <v>120</v>
      </c>
      <c r="F106" s="73" t="s">
        <v>560</v>
      </c>
      <c r="G106" s="916">
        <v>100</v>
      </c>
      <c r="H106" s="916">
        <v>100</v>
      </c>
      <c r="I106" s="916"/>
      <c r="J106" s="916"/>
      <c r="K106" s="73" t="s">
        <v>124</v>
      </c>
      <c r="L106" s="921" t="s">
        <v>221</v>
      </c>
      <c r="M106" s="915">
        <v>1</v>
      </c>
      <c r="N106" s="73" t="s">
        <v>549</v>
      </c>
      <c r="O106" s="73" t="s">
        <v>250</v>
      </c>
      <c r="P106" s="916" cm="1">
        <f t="array" ref="P106">IFERROR(_xlfn.SWITCH(F106,"By Weight",IF(H106&lt;&gt;"",H106,G106)/AR106,"By Length",G106,"By Imp",G106/MAX(1,ROUNDDOWN(E106/I106,0))*J106/1000,"IMP",G106/MAX(1,ROUNDDOWN(E106/I106,0))*J106/1000,""),"")</f>
        <v>7482.5656221005056</v>
      </c>
      <c r="Q106" s="916">
        <f t="shared" si="26"/>
        <v>100</v>
      </c>
      <c r="R106" s="917">
        <f t="shared" si="27"/>
        <v>887.96145350697338</v>
      </c>
      <c r="S106" s="918">
        <f t="shared" si="28"/>
        <v>1030.0352860680891</v>
      </c>
      <c r="T106" s="919">
        <f t="shared" si="29"/>
        <v>8.8796145350697344</v>
      </c>
      <c r="U106" s="920">
        <f t="shared" si="30"/>
        <v>10.300352860680892</v>
      </c>
      <c r="V106" s="919">
        <f t="shared" si="31"/>
        <v>0.14833840061560802</v>
      </c>
      <c r="W106" s="919">
        <f t="shared" si="32"/>
        <v>11.099518168837211</v>
      </c>
      <c r="X106" s="919" t="str">
        <f t="shared" si="33"/>
        <v/>
      </c>
      <c r="Y106" s="920">
        <f t="shared" si="34"/>
        <v>0.1720725447141053</v>
      </c>
      <c r="Z106" s="920">
        <f t="shared" si="35"/>
        <v>12.875441075851164</v>
      </c>
      <c r="AA106" s="920" t="str">
        <f t="shared" si="36"/>
        <v/>
      </c>
      <c r="AB106" s="917">
        <f t="shared" si="37"/>
        <v>1109.951816883721</v>
      </c>
      <c r="AC106" s="918">
        <f t="shared" si="38"/>
        <v>1287.5441075851163</v>
      </c>
      <c r="AD106" s="916">
        <f t="shared" si="39"/>
        <v>37412.828110502531</v>
      </c>
      <c r="AE106" s="916">
        <f t="shared" si="40"/>
        <v>500</v>
      </c>
      <c r="AF106" s="919" cm="1">
        <f t="array" ref="AF106">IFERROR(_xlfn.LET(_xlpm.lam,TEXT(B106,"0"),_xlpm.thick,D106,_xlpm.crit,(TEXT(HELPER!$BZ$2:$BZ$250,"0")=_xlpm.lam)*(HELPER!$CC$2:$CC$250=_xlpm.thick)*(HELPER!$BW$2:$BW$250&lt;&gt;""),_xlpm.mats,TRIM(SUBSTITUTE(_xlfn._xlws.FILTER(HELPER!$BW$2:$BW$250,_xlpm.crit),CHAR(160),"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6" s="919">
        <f>IFERROR(IF(N106="Europe to Canada",IF(Q106&lt;1000,VLOOKUP(1000,HELPER!$AG$4:$AH$8,2,FALSE)/Q106,VLOOKUP(Q106,HELPER!$AG$4:$AH$8,2,TRUE)/Q106),IF(N106="Europe to US",HELPER!$AH$2,IF(N106="Europe to Europe",HELPER!$AH$3,0))),0)</f>
        <v>0.2</v>
      </c>
      <c r="AH106" s="919" cm="1">
        <f t="array" ref="AH106">IFERROR(_xlfn.LET(_xlpm.cap,IF(O106="Quantum",760,1220),_xlpm.wUsed,E106*MAX(1,MIN(MAX(2,INT(900/E106)),INT((_xlpm.cap-50)/E106))),_xlpm.kgmUsed,AR106/E106*_xlpm.wUsed,_xlpm.lam,TEXT(B106,"0"),_xlpm.crit,(TEXT(HELPER!$BZ$2:$BZ$250,"0")=_xlpm.lam)*(HELPER!$CC$2:$CC$250=D106)*(HELPER!$BW$2:$BW$250&lt;&gt;""),_xlpm.mats,_xlfn._xlws.FILTER(HELPER!$BW$2:$BW$250,_xlpm.crit),_xlpm.realLayers,SUM((_xlpm.mats&lt;&gt;"")*ISERROR(SEARCH("EPOTAL",_xlpm.mats&amp;""))*ISERROR(SEARCH("BASONAT",_xlpm.mats&amp;""))*ISERROR(SEARCH("ADH",_xlpm.mats&amp;""))*ISERROR(SEARCH("HARDENER",_xlpm.mats&amp;""))),_xlpm.steps,MAX(0,_xlpm.realLayers-1),_xlpm.tier,IF(P106&lt;3000,1,IF(P106&lt;10000,2,IF(P106&lt;25000,3,IF(P106&lt;50000,4,IF(P106&lt;100000,5,IF(P106&lt;250000,6,7)))))),_xlpm.widthRow,IF(_xlpm.wUsed&lt;900,0,5),_xlpm.supplierRow,IF(O106="Marma",3,IF(OR(O106="Bastin",O106="Quantum"),13,0)),_xlpm.rate,INDEX('Lmntn &amp; Prntng- Marma &amp; Bastin '!$D$1:$K$22,_xlpm.supplierRow+_xlpm.widthRow,_xlpm.tier),_xlpm.rate*_xlpm.steps/_xlpm.kgmUsed),"")</f>
        <v>2.2261701663695019</v>
      </c>
      <c r="AI106" s="919" cm="1">
        <f t="array" ref="AI106">IFERROR(_xlfn.LET(_xlpm.cap,IF(O106="Quantum",760,1220),_xlpm.wUsed,E106*MAX(1,MIN(MAX(2,INT(900/E106)),INT((_xlpm.cap-50)/E106))),_xlpm.kgmUsed,AR106/E106*_xlpm.wUsed,_xlpm.tier,IF(P106&lt;3000,1,IF(P106&lt;10000,2,IF(P106&lt;25000,3,IF(P106&lt;50000,4,IF(P106&lt;100000,5,IF(P106&lt;250000,6,IF(P106&lt;500000,7,8))))))),_xlpm.widthRow,IF(_xlpm.wUsed&lt;900,0,5),_xlpm.slitRow,IF(O106="Marma",7,IF(OR(O106="Bastin",O106="Quantum"),17,0)),_xlpm.slitRate,INDEX('Lmntn &amp; Prntng- Marma &amp; Bastin '!$D$1:$K$22,_xlpm.slitRow+_xlpm.widthRow,_xlpm.tier),_xlpm.numColors,IF(ISNUMBER(L106),L106,IFERROR(--RIGHT(L106,LEN(L106)-FIND("-",L106)),0)),_xlpm.printRate,IF(OR(K106&lt;&gt;"Printed",_xlpm.numColors=0),0,IF(O106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106))),MAX(_xlfn._xlws.FILTER(_xlpm.meters,(_xlpm.widths=_xlpm.qWidth)*(_xlpm.bands=_xlpm.band)))),INDEX(_xlpm.rates,_xlfn.XMATCH(1,(_xlpm.widths=_xlpm.qWidth)*(_xlpm.bands=_xlpm.band)*(_xlpm.meters=_xlpm.targetM),0))/HELPER!$AK$2),_xlfn.LET(_xlpm.colorOffset,IF(_xlpm.numColors&lt;=2,1,IF(_xlpm.numColors&lt;=4,2,3)),_xlpm.supplierRow,IF(O106="Marma",3,IF(O106="Bastin",13,0)),INDEX('Lmntn &amp; Prntng- Marma &amp; Bastin '!$D$1:$K$22,_xlpm.supplierRow+_xlpm.widthRow+_xlpm.colorOffset,_xlpm.tier)))),AH106+_xlpm.slitRate/_xlpm.kgmUsed+_xlpm.printRate/_xlpm.kgmUsed+AJ106),"")</f>
        <v>2.5513410895470696</v>
      </c>
      <c r="AJ106" s="919" cm="1">
        <f t="array" ref="AJ106">IF(OR(K106&lt;&gt;"Printed",L106=0,L106="0",L106=""),0,IFERROR(_xlfn.LET(_xlpm.lam,TEXT(B106,"0"),_xlpm.crit,(TEXT(HELPER!$BZ$2:$BZ$250,"0")=_xlpm.lam)*(HELPER!$CC$2:$CC$250=D106)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WHITE"},0)))/ROWS(_xlpm.real),_xlpm.numColors,IF(ISNUMBER(L106),L106,IFERROR(--RIGHT(L106,LEN(L106)-FIND("-",L106)),0)),HELPER!$DB$1*_xlpm.numColors*MAX(1,M106)*1.05*_xlpm.nkRatio/Q106),0))</f>
        <v>0</v>
      </c>
      <c r="AK106" s="919">
        <f t="shared" si="41"/>
        <v>0.79751828287961302</v>
      </c>
      <c r="AL106" s="919">
        <f t="shared" si="42"/>
        <v>148.33840061560801</v>
      </c>
      <c r="AM106" s="73" t="str">
        <f t="shared" si="43"/>
        <v>PASS</v>
      </c>
      <c r="AN106" s="908" t="str">
        <f t="shared" si="22"/>
        <v/>
      </c>
      <c r="AO106" s="919">
        <f t="shared" si="23"/>
        <v>103</v>
      </c>
      <c r="AP106" s="919">
        <f t="shared" si="24"/>
        <v>7482.5656221005056</v>
      </c>
      <c r="AQ106" s="919"/>
      <c r="AR106" s="919" cm="1">
        <f t="array" ref="AR106">IFERROR(_xlfn.LET(_xlpm.lam,TEXT(B106,"0"),_xlpm.thick,D106,_xlpm.crit,(TEXT(HELPER!$BZ$2:$BZ$250,"0")=_xlpm.lam)*(HELPER!$CC$2:$CC$250=_xlpm.thick)*(HELPER!$BW$2:$BW$250&lt;&gt;""),_xlpm.mats,TRIM(SUBSTITUTE(_xlfn._xlws.FILTER(HELPER!$BW$2:$BW$250,_xlpm.crit),CHAR(160),"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")),HELPER!$AQ$2:$AQ$20,1),_xlpm.mass,IF(ISNUMBER(SEARCH("paper",_xlpm.mats)),42,_xlpm.dens*_xlpm.ths),E106/1000000*SUM(_xlpm.mass)),"")</f>
        <v>1.33644E-2</v>
      </c>
      <c r="AS106" s="919">
        <f>IFERROR(IF(D106&gt;31,(5%+250/P106)*AF106,VLOOKUP(D106,HELPER!$BH$3:$BI$5,2,TRUE)*AF106),0)</f>
        <v>0.47181117448917459</v>
      </c>
      <c r="AT106" s="919">
        <v>0.20000000000000301</v>
      </c>
      <c r="AU106" s="919"/>
      <c r="AV106" s="919"/>
      <c r="AW106" s="919"/>
      <c r="AX106" s="919"/>
      <c r="AY106" s="919"/>
      <c r="AZ106" s="919">
        <f t="shared" si="25"/>
        <v>0</v>
      </c>
    </row>
    <row r="107" spans="1:52">
      <c r="A107" s="73" t="s">
        <v>1528</v>
      </c>
      <c r="B107" s="73" t="s">
        <v>1287</v>
      </c>
      <c r="C107" s="908" t="s">
        <v>1420</v>
      </c>
      <c r="D107" s="915" cm="1">
        <f t="array" ref="D10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7" s="915">
        <v>120</v>
      </c>
      <c r="F107" s="73" t="s">
        <v>1040</v>
      </c>
      <c r="G107" s="916">
        <v>1000</v>
      </c>
      <c r="H107" s="916"/>
      <c r="I107" s="916">
        <v>80</v>
      </c>
      <c r="J107" s="916">
        <v>80</v>
      </c>
      <c r="K107" s="73" t="s">
        <v>123</v>
      </c>
      <c r="L107" s="921" t="s">
        <v>591</v>
      </c>
      <c r="M107" s="915">
        <v>1</v>
      </c>
      <c r="N107" s="73" t="s">
        <v>550</v>
      </c>
      <c r="O107" s="73" t="s">
        <v>240</v>
      </c>
      <c r="P107" s="916" cm="1">
        <f t="array" ref="P107">IFERROR(_xlfn.SWITCH(F107,"By Weight",IF(H107&lt;&gt;"",H107,G107)/AR107,"By Length",G107,"By Imp",G107/MAX(1,ROUNDDOWN(E107/I107,0))*J107/1000,"IMP",G107/MAX(1,ROUNDDOWN(E107/I107,0))*J107/1000,""),"")</f>
        <v>80</v>
      </c>
      <c r="Q107" s="916">
        <f t="shared" si="26"/>
        <v>1.0691520000000001</v>
      </c>
      <c r="R107" s="917">
        <f t="shared" si="27"/>
        <v>248.37712859839283</v>
      </c>
      <c r="S107" s="918">
        <f t="shared" si="28"/>
        <v>288.11746917413564</v>
      </c>
      <c r="T107" s="919">
        <f t="shared" si="29"/>
        <v>232.31227047079631</v>
      </c>
      <c r="U107" s="920">
        <f t="shared" si="30"/>
        <v>269.48223374612371</v>
      </c>
      <c r="V107" s="919">
        <f t="shared" si="31"/>
        <v>3.6526048323293105</v>
      </c>
      <c r="W107" s="919">
        <f t="shared" si="32"/>
        <v>273.30855349505481</v>
      </c>
      <c r="X107" s="919">
        <f t="shared" si="33"/>
        <v>0.29220838658634485</v>
      </c>
      <c r="Y107" s="920">
        <f t="shared" si="34"/>
        <v>4.237021605502</v>
      </c>
      <c r="Z107" s="920">
        <f t="shared" si="35"/>
        <v>317.03792205426356</v>
      </c>
      <c r="AA107" s="920">
        <f t="shared" si="36"/>
        <v>0.33896172844015998</v>
      </c>
      <c r="AB107" s="917">
        <f t="shared" si="37"/>
        <v>292.20838658634489</v>
      </c>
      <c r="AC107" s="918">
        <f t="shared" si="38"/>
        <v>338.96172844016007</v>
      </c>
      <c r="AD107" s="916">
        <f t="shared" si="39"/>
        <v>37412.828110502531</v>
      </c>
      <c r="AE107" s="916">
        <f t="shared" si="40"/>
        <v>500</v>
      </c>
      <c r="AF107" s="919" cm="1">
        <f t="array" ref="AF107">IFERROR(_xlfn.LET(_xlpm.lam,TEXT(B107,"0"),_xlpm.thick,D107,_xlpm.crit,(TEXT(HELPER!$BZ$2:$BZ$250,"0")=_xlpm.lam)*(HELPER!$CC$2:$CC$250=_xlpm.thick)*(HELPER!$BW$2:$BW$250&lt;&gt;""),_xlpm.mats,TRIM(SUBSTITUTE(_xlfn._xlws.FILTER(HELPER!$BW$2:$BW$250,_xlpm.crit),CHAR(160),"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7" s="919">
        <f>IFERROR(IF(N107="Europe to Canada",IF(Q107&lt;1000,VLOOKUP(1000,HELPER!$AG$4:$AH$8,2,FALSE)/Q107,VLOOKUP(Q107,HELPER!$AG$4:$AH$8,2,TRUE)/Q107),IF(N107="Europe to US",HELPER!$AH$2,IF(N107="Europe to Europe",HELPER!$AH$3,0))),0)</f>
        <v>5.4</v>
      </c>
      <c r="AH107" s="919" cm="1">
        <f t="array" ref="AH107">IFERROR(_xlfn.LET(_xlpm.cap,IF(O107="Quantum",760,1220),_xlpm.wUsed,E107*MAX(1,MIN(MAX(2,INT(900/E107)),INT((_xlpm.cap-50)/E107))),_xlpm.kgmUsed,AR107/E107*_xlpm.wUsed,_xlpm.lam,TEXT(B107,"0"),_xlpm.crit,(TEXT(HELPER!$BZ$2:$BZ$250,"0")=_xlpm.lam)*(HELPER!$CC$2:$CC$250=D107)*(HELPER!$BW$2:$BW$250&lt;&gt;""),_xlpm.mats,_xlfn._xlws.FILTER(HELPER!$BW$2:$BW$250,_xlpm.crit),_xlpm.realLayers,SUM((_xlpm.mats&lt;&gt;"")*ISERROR(SEARCH("EPOTAL",_xlpm.mats&amp;""))*ISERROR(SEARCH("BASONAT",_xlpm.mats&amp;""))*ISERROR(SEARCH("ADH",_xlpm.mats&amp;""))*ISERROR(SEARCH("HARDENER",_xlpm.mats&amp;""))),_xlpm.steps,MAX(0,_xlpm.realLayers-1),_xlpm.tier,IF(P107&lt;3000,1,IF(P107&lt;10000,2,IF(P107&lt;25000,3,IF(P107&lt;50000,4,IF(P107&lt;100000,5,IF(P107&lt;250000,6,7)))))),_xlpm.widthRow,IF(_xlpm.wUsed&lt;900,0,5),_xlpm.supplierRow,IF(O107="Marma",3,IF(OR(O107="Bastin",O107="Quantum"),13,0)),_xlpm.rate,INDEX('Lmntn &amp; Prntng- Marma &amp; Bastin '!$D$1:$K$22,_xlpm.supplierRow+_xlpm.widthRow,_xlpm.tier),_xlpm.rate*_xlpm.steps/_xlpm.kgmUsed),"")</f>
        <v>3.2442052873946561</v>
      </c>
      <c r="AI107" s="919" cm="1">
        <f t="array" ref="AI107">IFERROR(_xlfn.LET(_xlpm.cap,IF(O107="Quantum",760,1220),_xlpm.wUsed,E107*MAX(1,MIN(MAX(2,INT(900/E107)),INT((_xlpm.cap-50)/E107))),_xlpm.kgmUsed,AR107/E107*_xlpm.wUsed,_xlpm.tier,IF(P107&lt;3000,1,IF(P107&lt;10000,2,IF(P107&lt;25000,3,IF(P107&lt;50000,4,IF(P107&lt;100000,5,IF(P107&lt;250000,6,IF(P107&lt;500000,7,8))))))),_xlpm.widthRow,IF(_xlpm.wUsed&lt;900,0,5),_xlpm.slitRow,IF(O107="Marma",7,IF(OR(O107="Bastin",O107="Quantum"),17,0)),_xlpm.slitRate,INDEX('Lmntn &amp; Prntng- Marma &amp; Bastin '!$D$1:$K$22,_xlpm.slitRow+_xlpm.widthRow,_xlpm.tier),_xlpm.numColors,IF(ISNUMBER(L107),L107,IFERROR(--RIGHT(L107,LEN(L107)-FIND("-",L107)),0)),_xlpm.printRate,IF(OR(K107&lt;&gt;"Printed",_xlpm.numColors=0),0,IF(O107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107))),MAX(_xlfn._xlws.FILTER(_xlpm.meters,(_xlpm.widths=_xlpm.qWidth)*(_xlpm.bands=_xlpm.band)))),INDEX(_xlpm.rates,_xlfn.XMATCH(1,(_xlpm.widths=_xlpm.qWidth)*(_xlpm.bands=_xlpm.band)*(_xlpm.meters=_xlpm.targetM),0))/HELPER!$AK$2),_xlfn.LET(_xlpm.colorOffset,IF(_xlpm.numColors&lt;=2,1,IF(_xlpm.numColors&lt;=4,2,3)),_xlpm.supplierRow,IF(O107="Marma",3,IF(O107="Bastin",13,0)),INDEX('Lmntn &amp; Prntng- Marma &amp; Bastin '!$D$1:$K$22,_xlpm.supplierRow+_xlpm.widthRow+_xlpm.colorOffset,_xlpm.tier)))),AH107+_xlpm.slitRate/_xlpm.kgmUsed+_xlpm.printRate/_xlpm.kgmUsed+AJ107),"")</f>
        <v>203.29654048923149</v>
      </c>
      <c r="AJ107" s="919" cm="1">
        <f t="array" ref="AJ107">IF(OR(K107&lt;&gt;"Printed",L107=0,L107="0",L107=""),0,IFERROR(_xlfn.LET(_xlpm.lam,TEXT(B107,"0"),_xlpm.crit,(TEXT(HELPER!$BZ$2:$BZ$250,"0")=_xlpm.lam)*(HELPER!$CC$2:$CC$250=D107)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WHITE"},0)))/ROWS(_xlpm.real),_xlpm.numColors,IF(ISNUMBER(L107),L107,IFERROR(--RIGHT(L107,LEN(L107)-FIND("-",L107)),0)),HELPER!$DB$1*_xlpm.numColors*MAX(1,M107)*1.05*_xlpm.nkRatio/Q107),0))</f>
        <v>196.41734758013826</v>
      </c>
      <c r="AK107" s="919">
        <f t="shared" si="41"/>
        <v>19.637660388867261</v>
      </c>
      <c r="AL107" s="919">
        <f t="shared" si="42"/>
        <v>3652.6048323293107</v>
      </c>
      <c r="AM107" s="73" t="str">
        <f t="shared" si="43"/>
        <v>PASS</v>
      </c>
      <c r="AN107" s="908" t="str">
        <f t="shared" si="22"/>
        <v/>
      </c>
      <c r="AO107" s="919">
        <f t="shared" si="23"/>
        <v>103</v>
      </c>
      <c r="AP107" s="919">
        <f t="shared" si="24"/>
        <v>80</v>
      </c>
      <c r="AQ107" s="919"/>
      <c r="AR107" s="919" cm="1">
        <f t="array" ref="AR107">IFERROR(_xlfn.LET(_xlpm.lam,TEXT(B107,"0"),_xlpm.thick,D107,_xlpm.crit,(TEXT(HELPER!$BZ$2:$BZ$250,"0")=_xlpm.lam)*(HELPER!$CC$2:$CC$250=_xlpm.thick)*(HELPER!$BW$2:$BW$250&lt;&gt;""),_xlpm.mats,TRIM(SUBSTITUTE(_xlfn._xlws.FILTER(HELPER!$BW$2:$BW$250,_xlpm.crit),CHAR(160),"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")),HELPER!$AQ$2:$AQ$20,1),_xlpm.mass,IF(ISNUMBER(SEARCH("paper",_xlpm.mats)),42,_xlpm.dens*_xlpm.ths),E107/1000000*SUM(_xlpm.mass)),"")</f>
        <v>1.33644E-2</v>
      </c>
      <c r="AS107" s="919">
        <f>IFERROR(IF(D107&gt;31,(5%+250/P107)*AF107,VLOOKUP(D107,HELPER!$BH$3:$BI$5,2,TRUE)*AF107),0)</f>
        <v>17.959267710531332</v>
      </c>
      <c r="AT107" s="919">
        <v>0.15000000000000099</v>
      </c>
      <c r="AU107" s="919"/>
      <c r="AV107" s="919"/>
      <c r="AW107" s="919"/>
      <c r="AX107" s="919"/>
      <c r="AY107" s="919"/>
      <c r="AZ107" s="919">
        <f t="shared" si="25"/>
        <v>210</v>
      </c>
    </row>
    <row r="108" spans="1:52">
      <c r="A108" s="73" t="s">
        <v>1529</v>
      </c>
      <c r="B108" s="73" t="s">
        <v>1287</v>
      </c>
      <c r="C108" s="908" t="s">
        <v>1422</v>
      </c>
      <c r="D108" s="915" cm="1">
        <f t="array" ref="D10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8" s="915">
        <v>350</v>
      </c>
      <c r="F108" s="73" t="s">
        <v>560</v>
      </c>
      <c r="G108" s="916">
        <v>5000</v>
      </c>
      <c r="H108" s="916">
        <v>5000</v>
      </c>
      <c r="I108" s="916"/>
      <c r="J108" s="916"/>
      <c r="K108" s="73" t="s">
        <v>123</v>
      </c>
      <c r="L108" s="921" t="s">
        <v>122</v>
      </c>
      <c r="M108" s="915">
        <v>4</v>
      </c>
      <c r="N108" s="73" t="s">
        <v>549</v>
      </c>
      <c r="O108" s="73" t="s">
        <v>1366</v>
      </c>
      <c r="P108" s="916" cm="1">
        <f t="array" ref="P108">IFERROR(_xlfn.SWITCH(F108,"By Weight",IF(H108&lt;&gt;"",H108,G108)/AR108,"By Length",G108,"By Imp",G108/MAX(1,ROUNDDOWN(E108/I108,0))*J108/1000,"IMP",G108/MAX(1,ROUNDDOWN(E108/I108,0))*J108/1000,""),"")</f>
        <v>128272.55352172296</v>
      </c>
      <c r="Q108" s="916">
        <f t="shared" si="26"/>
        <v>5000</v>
      </c>
      <c r="R108" s="917">
        <f t="shared" si="27"/>
        <v>96029.814726558645</v>
      </c>
      <c r="S108" s="918">
        <f t="shared" si="28"/>
        <v>111394.58508280801</v>
      </c>
      <c r="T108" s="919">
        <f t="shared" si="29"/>
        <v>19.205962945311729</v>
      </c>
      <c r="U108" s="920">
        <f t="shared" si="30"/>
        <v>22.278917016561604</v>
      </c>
      <c r="V108" s="919">
        <f t="shared" si="31"/>
        <v>0.88075156779621</v>
      </c>
      <c r="W108" s="919">
        <f t="shared" si="32"/>
        <v>22.595250523896151</v>
      </c>
      <c r="X108" s="919" t="str">
        <f t="shared" si="33"/>
        <v/>
      </c>
      <c r="Y108" s="920">
        <f t="shared" si="34"/>
        <v>1.0216718186436036</v>
      </c>
      <c r="Z108" s="920">
        <f t="shared" si="35"/>
        <v>26.210490607719535</v>
      </c>
      <c r="AA108" s="920" t="str">
        <f t="shared" si="36"/>
        <v/>
      </c>
      <c r="AB108" s="917">
        <f t="shared" si="37"/>
        <v>112976.25261948076</v>
      </c>
      <c r="AC108" s="918">
        <f t="shared" si="38"/>
        <v>131052.45303859767</v>
      </c>
      <c r="AD108" s="916">
        <f t="shared" si="39"/>
        <v>12827.255352172295</v>
      </c>
      <c r="AE108" s="916">
        <f t="shared" si="40"/>
        <v>500</v>
      </c>
      <c r="AF108" s="919" cm="1">
        <f t="array" ref="AF108">IFERROR(_xlfn.LET(_xlpm.lam,TEXT(B108,"0"),_xlpm.thick,D108,_xlpm.crit,(TEXT(HELPER!$BZ$2:$BZ$250,"0")=_xlpm.lam)*(HELPER!$CC$2:$CC$250=_xlpm.thick)*(HELPER!$BW$2:$BW$250&lt;&gt;""),_xlpm.mats,TRIM(SUBSTITUTE(_xlfn._xlws.FILTER(HELPER!$BW$2:$BW$250,_xlpm.crit),CHAR(160),"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8" s="919">
        <f>IFERROR(IF(N108="Europe to Canada",IF(Q108&lt;1000,VLOOKUP(1000,HELPER!$AG$4:$AH$8,2,FALSE)/Q108,VLOOKUP(Q108,HELPER!$AG$4:$AH$8,2,TRUE)/Q108),IF(N108="Europe to US",HELPER!$AH$2,IF(N108="Europe to Europe",HELPER!$AH$3,0))),0)</f>
        <v>0.2</v>
      </c>
      <c r="AH108" s="919" cm="1">
        <f t="array" ref="AH108">IFERROR(_xlfn.LET(_xlpm.cap,IF(O108="Quantum",760,1220),_xlpm.wUsed,E108*MAX(1,MIN(MAX(2,INT(900/E108)),INT((_xlpm.cap-50)/E108))),_xlpm.kgmUsed,AR108/E108*_xlpm.wUsed,_xlpm.lam,TEXT(B108,"0"),_xlpm.crit,(TEXT(HELPER!$BZ$2:$BZ$250,"0")=_xlpm.lam)*(HELPER!$CC$2:$CC$250=D108)*(HELPER!$BW$2:$BW$250&lt;&gt;""),_xlpm.mats,_xlfn._xlws.FILTER(HELPER!$BW$2:$BW$250,_xlpm.crit),_xlpm.realLayers,SUM((_xlpm.mats&lt;&gt;"")*ISERROR(SEARCH("EPOTAL",_xlpm.mats&amp;""))*ISERROR(SEARCH("BASONAT",_xlpm.mats&amp;""))*ISERROR(SEARCH("ADH",_xlpm.mats&amp;""))*ISERROR(SEARCH("HARDENER",_xlpm.mats&amp;""))),_xlpm.steps,MAX(0,_xlpm.realLayers-1),_xlpm.tier,IF(P108&lt;3000,1,IF(P108&lt;10000,2,IF(P108&lt;25000,3,IF(P108&lt;50000,4,IF(P108&lt;100000,5,IF(P108&lt;250000,6,7)))))),_xlpm.widthRow,IF(_xlpm.wUsed&lt;900,0,5),_xlpm.supplierRow,IF(O108="Marma",3,IF(OR(O108="Bastin",O108="Quantum"),13,0)),_xlpm.rate,INDEX('Lmntn &amp; Prntng- Marma &amp; Bastin '!$D$1:$K$22,_xlpm.supplierRow+_xlpm.widthRow,_xlpm.tier),_xlpm.rate*_xlpm.steps/_xlpm.kgmUsed),"")</f>
        <v>2.8004720429969603</v>
      </c>
      <c r="AI108" s="919" cm="1">
        <f t="array" ref="AI108">IFERROR(_xlfn.LET(_xlpm.cap,IF(O108="Quantum",760,1220),_xlpm.wUsed,E108*MAX(1,MIN(MAX(2,INT(900/E108)),INT((_xlpm.cap-50)/E108))),_xlpm.kgmUsed,AR108/E108*_xlpm.wUsed,_xlpm.tier,IF(P108&lt;3000,1,IF(P108&lt;10000,2,IF(P108&lt;25000,3,IF(P108&lt;50000,4,IF(P108&lt;100000,5,IF(P108&lt;250000,6,IF(P108&lt;500000,7,8))))))),_xlpm.widthRow,IF(_xlpm.wUsed&lt;900,0,5),_xlpm.slitRow,IF(O108="Marma",7,IF(OR(O108="Bastin",O108="Quantum"),17,0)),_xlpm.slitRate,INDEX('Lmntn &amp; Prntng- Marma &amp; Bastin '!$D$1:$K$22,_xlpm.slitRow+_xlpm.widthRow,_xlpm.tier),_xlpm.numColors,IF(ISNUMBER(L108),L108,IFERROR(--RIGHT(L108,LEN(L108)-FIND("-",L108)),0)),_xlpm.printRate,IF(OR(K108&lt;&gt;"Printed",_xlpm.numColors=0),0,IF(O108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108))),MAX(_xlfn._xlws.FILTER(_xlpm.meters,(_xlpm.widths=_xlpm.qWidth)*(_xlpm.bands=_xlpm.band)))),INDEX(_xlpm.rates,_xlfn.XMATCH(1,(_xlpm.widths=_xlpm.qWidth)*(_xlpm.bands=_xlpm.band)*(_xlpm.meters=_xlpm.targetM),0))/HELPER!$AK$2),_xlfn.LET(_xlpm.colorOffset,IF(_xlpm.numColors&lt;=2,1,IF(_xlpm.numColors&lt;=4,2,3)),_xlpm.supplierRow,IF(O108="Marma",3,IF(O108="Bastin",13,0)),INDEX('Lmntn &amp; Prntng- Marma &amp; Bastin '!$D$1:$K$22,_xlpm.supplierRow+_xlpm.widthRow+_xlpm.colorOffset,_xlpm.tier)))),AH108+_xlpm.slitRate/_xlpm.kgmUsed+_xlpm.printRate/_xlpm.kgmUsed+AJ108),"")</f>
        <v>13.055653257171874</v>
      </c>
      <c r="AJ108" s="919" cm="1">
        <f t="array" ref="AJ108">IF(OR(K108&lt;&gt;"Printed",L108=0,L108="0",L108=""),0,IFERROR(_xlfn.LET(_xlpm.lam,TEXT(B108,"0"),_xlpm.crit,(TEXT(HELPER!$BZ$2:$BZ$250,"0")=_xlpm.lam)*(HELPER!$CC$2:$CC$250=D108)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WHITE"},0)))/ROWS(_xlpm.real),_xlpm.numColors,IF(ISNUMBER(L108),L108,IFERROR(--RIGHT(L108,LEN(L108)-FIND("-",L108)),0)),HELPER!$DB$1*_xlpm.numColors*MAX(1,M108)*1.05*_xlpm.nkRatio/Q108),0))</f>
        <v>0.33600000000000002</v>
      </c>
      <c r="AK108" s="919">
        <f t="shared" si="41"/>
        <v>1.6235051940943963</v>
      </c>
      <c r="AL108" s="919">
        <f t="shared" si="42"/>
        <v>880.75156779621</v>
      </c>
      <c r="AM108" s="73" t="str">
        <f t="shared" si="43"/>
        <v>PASS</v>
      </c>
      <c r="AN108" s="908" t="str">
        <f t="shared" si="22"/>
        <v/>
      </c>
      <c r="AO108" s="919">
        <f t="shared" si="23"/>
        <v>103</v>
      </c>
      <c r="AP108" s="919">
        <f t="shared" si="24"/>
        <v>128272.55352172296</v>
      </c>
      <c r="AQ108" s="919"/>
      <c r="AR108" s="919" cm="1">
        <f t="array" ref="AR108">IFERROR(_xlfn.LET(_xlpm.lam,TEXT(B108,"0"),_xlpm.thick,D108,_xlpm.crit,(TEXT(HELPER!$BZ$2:$BZ$250,"0")=_xlpm.lam)*(HELPER!$CC$2:$CC$250=_xlpm.thick)*(HELPER!$BW$2:$BW$250&lt;&gt;""),_xlpm.mats,TRIM(SUBSTITUTE(_xlfn._xlws.FILTER(HELPER!$BW$2:$BW$250,_xlpm.crit),CHAR(160),"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")),HELPER!$AQ$2:$AQ$20,1),_xlpm.mass,IF(ISNUMBER(SEARCH("paper",_xlpm.mats)),42,_xlpm.dens*_xlpm.ths),E108/1000000*SUM(_xlpm.mass)),"")</f>
        <v>3.89795E-2</v>
      </c>
      <c r="AS108" s="919">
        <f>IFERROR(IF(D108&gt;31,(5%+250/P108)*AF108,VLOOKUP(D108,HELPER!$BH$3:$BI$5,2,TRUE)*AF108),0)</f>
        <v>0.29384741710636209</v>
      </c>
      <c r="AT108" s="919">
        <v>0.15</v>
      </c>
      <c r="AU108" s="919"/>
      <c r="AV108" s="919"/>
      <c r="AW108" s="919"/>
      <c r="AX108" s="919"/>
      <c r="AY108" s="919"/>
      <c r="AZ108" s="919">
        <f t="shared" si="25"/>
        <v>1680</v>
      </c>
    </row>
    <row r="109" spans="1:52">
      <c r="A109" s="73" t="s">
        <v>1530</v>
      </c>
      <c r="B109" s="73" t="s">
        <v>1287</v>
      </c>
      <c r="C109" s="908" t="s">
        <v>1424</v>
      </c>
      <c r="D109" s="915" cm="1">
        <f t="array" ref="D10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9" s="915">
        <v>900</v>
      </c>
      <c r="F109" s="73" t="s">
        <v>560</v>
      </c>
      <c r="G109" s="916">
        <v>25000</v>
      </c>
      <c r="H109" s="916">
        <v>25000</v>
      </c>
      <c r="I109" s="916"/>
      <c r="J109" s="916"/>
      <c r="K109" s="73" t="s">
        <v>123</v>
      </c>
      <c r="L109" s="921" t="s">
        <v>592</v>
      </c>
      <c r="M109" s="915">
        <v>8</v>
      </c>
      <c r="N109" s="73" t="s">
        <v>550</v>
      </c>
      <c r="O109" s="73" t="s">
        <v>250</v>
      </c>
      <c r="P109" s="916" cm="1">
        <f t="array" ref="P109">IFERROR(_xlfn.SWITCH(F109,"By Weight",IF(H109&lt;&gt;"",H109,G109)/AR109,"By Length",G109,"By Imp",G109/MAX(1,ROUNDDOWN(E109/I109,0))*J109/1000,"IMP",G109/MAX(1,ROUNDDOWN(E109/I109,0))*J109/1000,""),"")</f>
        <v>249418.85407001685</v>
      </c>
      <c r="Q109" s="916">
        <f t="shared" si="26"/>
        <v>25000</v>
      </c>
      <c r="R109" s="917">
        <f t="shared" si="27"/>
        <v>370058.18760978634</v>
      </c>
      <c r="S109" s="918">
        <f t="shared" si="28"/>
        <v>429267.49762735213</v>
      </c>
      <c r="T109" s="919">
        <f t="shared" si="29"/>
        <v>14.802327504391455</v>
      </c>
      <c r="U109" s="920">
        <f t="shared" si="30"/>
        <v>17.170699905094086</v>
      </c>
      <c r="V109" s="919">
        <f t="shared" si="31"/>
        <v>1.8546021159345882</v>
      </c>
      <c r="W109" s="919">
        <f t="shared" si="32"/>
        <v>18.502909380489342</v>
      </c>
      <c r="X109" s="919" t="str">
        <f t="shared" si="33"/>
        <v/>
      </c>
      <c r="Y109" s="920">
        <f t="shared" si="34"/>
        <v>2.1513384544841223</v>
      </c>
      <c r="Z109" s="920">
        <f t="shared" si="35"/>
        <v>21.463374881367635</v>
      </c>
      <c r="AA109" s="920" t="str">
        <f t="shared" si="36"/>
        <v/>
      </c>
      <c r="AB109" s="917">
        <f t="shared" si="37"/>
        <v>462572.73451223352</v>
      </c>
      <c r="AC109" s="918">
        <f t="shared" si="38"/>
        <v>536584.3720341908</v>
      </c>
      <c r="AD109" s="916">
        <f t="shared" si="39"/>
        <v>4988.3770814003374</v>
      </c>
      <c r="AE109" s="916">
        <f t="shared" si="40"/>
        <v>500</v>
      </c>
      <c r="AF109" s="919" cm="1">
        <f t="array" ref="AF109">IFERROR(_xlfn.LET(_xlpm.lam,TEXT(B109,"0"),_xlpm.thick,D109,_xlpm.crit,(TEXT(HELPER!$BZ$2:$BZ$250,"0")=_xlpm.lam)*(HELPER!$CC$2:$CC$250=_xlpm.thick)*(HELPER!$BW$2:$BW$250&lt;&gt;""),_xlpm.mats,TRIM(SUBSTITUTE(_xlfn._xlws.FILTER(HELPER!$BW$2:$BW$250,_xlpm.crit),CHAR(160),"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9" s="919">
        <f>IFERROR(IF(N109="Europe to Canada",IF(Q109&lt;1000,VLOOKUP(1000,HELPER!$AG$4:$AH$8,2,FALSE)/Q109,VLOOKUP(Q109,HELPER!$AG$4:$AH$8,2,TRUE)/Q109),IF(N109="Europe to US",HELPER!$AH$2,IF(N109="Europe to Europe",HELPER!$AH$3,0))),0)</f>
        <v>5.4</v>
      </c>
      <c r="AH109" s="919" cm="1">
        <f t="array" ref="AH109">IFERROR(_xlfn.LET(_xlpm.cap,IF(O109="Quantum",760,1220),_xlpm.wUsed,E109*MAX(1,MIN(MAX(2,INT(900/E109)),INT((_xlpm.cap-50)/E109))),_xlpm.kgmUsed,AR109/E109*_xlpm.wUsed,_xlpm.lam,TEXT(B109,"0"),_xlpm.crit,(TEXT(HELPER!$BZ$2:$BZ$250,"0")=_xlpm.lam)*(HELPER!$CC$2:$CC$250=D109)*(HELPER!$BW$2:$BW$250&lt;&gt;""),_xlpm.mats,_xlfn._xlws.FILTER(HELPER!$BW$2:$BW$250,_xlpm.crit),_xlpm.realLayers,SUM((_xlpm.mats&lt;&gt;"")*ISERROR(SEARCH("EPOTAL",_xlpm.mats&amp;""))*ISERROR(SEARCH("BASONAT",_xlpm.mats&amp;""))*ISERROR(SEARCH("ADH",_xlpm.mats&amp;""))*ISERROR(SEARCH("HARDENER",_xlpm.mats&amp;""))),_xlpm.steps,MAX(0,_xlpm.realLayers-1),_xlpm.tier,IF(P109&lt;3000,1,IF(P109&lt;10000,2,IF(P109&lt;25000,3,IF(P109&lt;50000,4,IF(P109&lt;100000,5,IF(P109&lt;250000,6,7)))))),_xlpm.widthRow,IF(_xlpm.wUsed&lt;900,0,5),_xlpm.supplierRow,IF(O109="Marma",3,IF(OR(O109="Bastin",O109="Quantum"),13,0)),_xlpm.rate,INDEX('Lmntn &amp; Prntng- Marma &amp; Bastin '!$D$1:$K$22,_xlpm.supplierRow+_xlpm.widthRow,_xlpm.tier),_xlpm.rate*_xlpm.steps/_xlpm.kgmUsed),"")</f>
        <v>1.6754960941007453</v>
      </c>
      <c r="AI109" s="919" cm="1">
        <f t="array" ref="AI109">IFERROR(_xlfn.LET(_xlpm.cap,IF(O109="Quantum",760,1220),_xlpm.wUsed,E109*MAX(1,MIN(MAX(2,INT(900/E109)),INT((_xlpm.cap-50)/E109))),_xlpm.kgmUsed,AR109/E109*_xlpm.wUsed,_xlpm.tier,IF(P109&lt;3000,1,IF(P109&lt;10000,2,IF(P109&lt;25000,3,IF(P109&lt;50000,4,IF(P109&lt;100000,5,IF(P109&lt;250000,6,IF(P109&lt;500000,7,8))))))),_xlpm.widthRow,IF(_xlpm.wUsed&lt;900,0,5),_xlpm.slitRow,IF(O109="Marma",7,IF(OR(O109="Bastin",O109="Quantum"),17,0)),_xlpm.slitRate,INDEX('Lmntn &amp; Prntng- Marma &amp; Bastin '!$D$1:$K$22,_xlpm.slitRow+_xlpm.widthRow,_xlpm.tier),_xlpm.numColors,IF(ISNUMBER(L109),L109,IFERROR(--RIGHT(L109,LEN(L109)-FIND("-",L109)),0)),_xlpm.printRate,IF(OR(K109&lt;&gt;"Printed",_xlpm.numColors=0),0,IF(O109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109))),MAX(_xlfn._xlws.FILTER(_xlpm.meters,(_xlpm.widths=_xlpm.qWidth)*(_xlpm.bands=_xlpm.band)))),INDEX(_xlpm.rates,_xlfn.XMATCH(1,(_xlpm.widths=_xlpm.qWidth)*(_xlpm.bands=_xlpm.band)*(_xlpm.meters=_xlpm.targetM),0))/HELPER!$AK$2),_xlfn.LET(_xlpm.colorOffset,IF(_xlpm.numColors&lt;=2,1,IF(_xlpm.numColors&lt;=4,2,3)),_xlpm.supplierRow,IF(O109="Marma",3,IF(O109="Bastin",13,0)),INDEX('Lmntn &amp; Prntng- Marma &amp; Bastin '!$D$1:$K$22,_xlpm.supplierRow+_xlpm.widthRow+_xlpm.colorOffset,_xlpm.tier)))),AH109+_xlpm.slitRate/_xlpm.kgmUsed+_xlpm.printRate/_xlpm.kgmUsed+AJ109),"")</f>
        <v>3.4573724779781627</v>
      </c>
      <c r="AJ109" s="919" cm="1">
        <f t="array" ref="AJ109">IF(OR(K109&lt;&gt;"Printed",L109=0,L109="0",L109=""),0,IFERROR(_xlfn.LET(_xlpm.lam,TEXT(B109,"0"),_xlpm.crit,(TEXT(HELPER!$BZ$2:$BZ$250,"0")=_xlpm.lam)*(HELPER!$CC$2:$CC$250=D109)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WHITE"},0)))/ROWS(_xlpm.real),_xlpm.numColors,IF(ISNUMBER(L109),L109,IFERROR(--RIGHT(L109,LEN(L109)-FIND("-",L109)),0)),HELPER!$DB$1*_xlpm.numColors*MAX(1,M109)*1.05*_xlpm.nkRatio/Q109),0))</f>
        <v>0.26879999999999998</v>
      </c>
      <c r="AK109" s="919">
        <f t="shared" si="41"/>
        <v>1.3294638823903857</v>
      </c>
      <c r="AL109" s="919">
        <f t="shared" si="42"/>
        <v>1854.6021159345883</v>
      </c>
      <c r="AM109" s="73" t="str">
        <f t="shared" si="43"/>
        <v>PASS</v>
      </c>
      <c r="AN109" s="908" t="str">
        <f t="shared" si="22"/>
        <v/>
      </c>
      <c r="AO109" s="919">
        <f t="shared" si="23"/>
        <v>103</v>
      </c>
      <c r="AP109" s="919">
        <f t="shared" si="24"/>
        <v>249418.85407001685</v>
      </c>
      <c r="AQ109" s="919"/>
      <c r="AR109" s="919" cm="1">
        <f t="array" ref="AR109">IFERROR(_xlfn.LET(_xlpm.lam,TEXT(B109,"0"),_xlpm.thick,D109,_xlpm.crit,(TEXT(HELPER!$BZ$2:$BZ$250,"0")=_xlpm.lam)*(HELPER!$CC$2:$CC$250=_xlpm.thick)*(HELPER!$BW$2:$BW$250&lt;&gt;""),_xlpm.mats,TRIM(SUBSTITUTE(_xlfn._xlws.FILTER(HELPER!$BW$2:$BW$250,_xlpm.crit),CHAR(160),"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")),HELPER!$AQ$2:$AQ$20,1),_xlpm.mass,IF(ISNUMBER(SEARCH("paper",_xlpm.mats)),42,_xlpm.dens*_xlpm.ths),E109/1000000*SUM(_xlpm.mass)),"")</f>
        <v>0.100233</v>
      </c>
      <c r="AS109" s="919">
        <f>IFERROR(IF(D109&gt;31,(5%+250/P109)*AF109,VLOOKUP(D109,HELPER!$BH$3:$BI$5,2,TRUE)*AF109),0)</f>
        <v>0.28849275537979957</v>
      </c>
      <c r="AT109" s="919">
        <v>0.20000000000000101</v>
      </c>
      <c r="AU109" s="919"/>
      <c r="AV109" s="919"/>
      <c r="AW109" s="919"/>
      <c r="AX109" s="919"/>
      <c r="AY109" s="919"/>
      <c r="AZ109" s="919">
        <f t="shared" si="25"/>
        <v>6720</v>
      </c>
    </row>
    <row r="110" spans="1:52">
      <c r="A110" s="73" t="s">
        <v>1531</v>
      </c>
      <c r="B110" s="73" t="s">
        <v>1287</v>
      </c>
      <c r="C110" s="908" t="s">
        <v>1426</v>
      </c>
      <c r="D110" s="915" cm="1">
        <f t="array" ref="D11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0" s="915">
        <v>350</v>
      </c>
      <c r="F110" s="73" t="s">
        <v>561</v>
      </c>
      <c r="G110" s="916">
        <v>2000</v>
      </c>
      <c r="H110" s="916"/>
      <c r="I110" s="916"/>
      <c r="J110" s="916"/>
      <c r="K110" s="73" t="s">
        <v>124</v>
      </c>
      <c r="L110" s="921" t="s">
        <v>221</v>
      </c>
      <c r="M110" s="915">
        <v>1</v>
      </c>
      <c r="N110" s="73" t="s">
        <v>549</v>
      </c>
      <c r="O110" s="73" t="s">
        <v>240</v>
      </c>
      <c r="P110" s="916" cm="1">
        <f t="array" ref="P110">IFERROR(_xlfn.SWITCH(F110,"By Weight",IF(H110&lt;&gt;"",H110,G110)/AR110,"By Length",G110,"By Imp",G110/MAX(1,ROUNDDOWN(E110/I110,0))*J110/1000,"IMP",G110/MAX(1,ROUNDDOWN(E110/I110,0))*J110/1000,""),"")</f>
        <v>2000</v>
      </c>
      <c r="Q110" s="916">
        <f t="shared" si="26"/>
        <v>77.959000000000003</v>
      </c>
      <c r="R110" s="917">
        <f t="shared" si="27"/>
        <v>882.62806707031245</v>
      </c>
      <c r="S110" s="918">
        <f t="shared" si="28"/>
        <v>1023.8485578015624</v>
      </c>
      <c r="T110" s="919">
        <f t="shared" si="29"/>
        <v>11.321695597305153</v>
      </c>
      <c r="U110" s="920">
        <f t="shared" si="30"/>
        <v>13.133166892873977</v>
      </c>
      <c r="V110" s="919">
        <f t="shared" si="31"/>
        <v>0.51919298062959196</v>
      </c>
      <c r="W110" s="919">
        <f t="shared" si="32"/>
        <v>13.31964187918244</v>
      </c>
      <c r="X110" s="919" t="str">
        <f t="shared" si="33"/>
        <v/>
      </c>
      <c r="Y110" s="920">
        <f t="shared" si="34"/>
        <v>0.60226385753032663</v>
      </c>
      <c r="Z110" s="920">
        <f t="shared" si="35"/>
        <v>15.450784579851629</v>
      </c>
      <c r="AA110" s="920" t="str">
        <f t="shared" si="36"/>
        <v/>
      </c>
      <c r="AB110" s="917">
        <f t="shared" si="37"/>
        <v>1038.3859612591839</v>
      </c>
      <c r="AC110" s="918">
        <f t="shared" si="38"/>
        <v>1204.5277150606532</v>
      </c>
      <c r="AD110" s="916">
        <f t="shared" si="39"/>
        <v>12827.255352172295</v>
      </c>
      <c r="AE110" s="916">
        <f t="shared" si="40"/>
        <v>500</v>
      </c>
      <c r="AF110" s="919" cm="1">
        <f t="array" ref="AF110">IFERROR(_xlfn.LET(_xlpm.lam,TEXT(B110,"0"),_xlpm.thick,D110,_xlpm.crit,(TEXT(HELPER!$BZ$2:$BZ$250,"0")=_xlpm.lam)*(HELPER!$CC$2:$CC$250=_xlpm.thick)*(HELPER!$BW$2:$BW$250&lt;&gt;""),_xlpm.mats,TRIM(SUBSTITUTE(_xlfn._xlws.FILTER(HELPER!$BW$2:$BW$250,_xlpm.crit),CHAR(160),"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0" s="919">
        <f>IFERROR(IF(N110="Europe to Canada",IF(Q110&lt;1000,VLOOKUP(1000,HELPER!$AG$4:$AH$8,2,FALSE)/Q110,VLOOKUP(Q110,HELPER!$AG$4:$AH$8,2,TRUE)/Q110),IF(N110="Europe to US",HELPER!$AH$2,IF(N110="Europe to Europe",HELPER!$AH$3,0))),0)</f>
        <v>0.2</v>
      </c>
      <c r="AH110" s="919" cm="1">
        <f t="array" ref="AH110">IFERROR(_xlfn.LET(_xlpm.cap,IF(O110="Quantum",760,1220),_xlpm.wUsed,E110*MAX(1,MIN(MAX(2,INT(900/E110)),INT((_xlpm.cap-50)/E110))),_xlpm.kgmUsed,AR110/E110*_xlpm.wUsed,_xlpm.lam,TEXT(B110,"0"),_xlpm.crit,(TEXT(HELPER!$BZ$2:$BZ$250,"0")=_xlpm.lam)*(HELPER!$CC$2:$CC$250=D110)*(HELPER!$BW$2:$BW$250&lt;&gt;""),_xlpm.mats,_xlfn._xlws.FILTER(HELPER!$BW$2:$BW$250,_xlpm.crit),_xlpm.realLayers,SUM((_xlpm.mats&lt;&gt;"")*ISERROR(SEARCH("EPOTAL",_xlpm.mats&amp;""))*ISERROR(SEARCH("BASONAT",_xlpm.mats&amp;""))*ISERROR(SEARCH("ADH",_xlpm.mats&amp;""))*ISERROR(SEARCH("HARDENER",_xlpm.mats&amp;""))),_xlpm.steps,MAX(0,_xlpm.realLayers-1),_xlpm.tier,IF(P110&lt;3000,1,IF(P110&lt;10000,2,IF(P110&lt;25000,3,IF(P110&lt;50000,4,IF(P110&lt;100000,5,IF(P110&lt;250000,6,7)))))),_xlpm.widthRow,IF(_xlpm.wUsed&lt;900,0,5),_xlpm.supplierRow,IF(O110="Marma",3,IF(OR(O110="Bastin",O110="Quantum"),13,0)),_xlpm.rate,INDEX('Lmntn &amp; Prntng- Marma &amp; Bastin '!$D$1:$K$22,_xlpm.supplierRow+_xlpm.widthRow,_xlpm.tier),_xlpm.rate*_xlpm.steps/_xlpm.kgmUsed),"")</f>
        <v>3.893046344873587</v>
      </c>
      <c r="AI110" s="919" cm="1">
        <f t="array" ref="AI110">IFERROR(_xlfn.LET(_xlpm.cap,IF(O110="Quantum",760,1220),_xlpm.wUsed,E110*MAX(1,MIN(MAX(2,INT(900/E110)),INT((_xlpm.cap-50)/E110))),_xlpm.kgmUsed,AR110/E110*_xlpm.wUsed,_xlpm.tier,IF(P110&lt;3000,1,IF(P110&lt;10000,2,IF(P110&lt;25000,3,IF(P110&lt;50000,4,IF(P110&lt;100000,5,IF(P110&lt;250000,6,IF(P110&lt;500000,7,8))))))),_xlpm.widthRow,IF(_xlpm.wUsed&lt;900,0,5),_xlpm.slitRow,IF(O110="Marma",7,IF(OR(O110="Bastin",O110="Quantum"),17,0)),_xlpm.slitRate,INDEX('Lmntn &amp; Prntng- Marma &amp; Bastin '!$D$1:$K$22,_xlpm.slitRow+_xlpm.widthRow,_xlpm.tier),_xlpm.numColors,IF(ISNUMBER(L110),L110,IFERROR(--RIGHT(L110,LEN(L110)-FIND("-",L110)),0)),_xlpm.printRate,IF(OR(K110&lt;&gt;"Printed",_xlpm.numColors=0),0,IF(O110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110))),MAX(_xlfn._xlws.FILTER(_xlpm.meters,(_xlpm.widths=_xlpm.qWidth)*(_xlpm.bands=_xlpm.band)))),INDEX(_xlpm.rates,_xlfn.XMATCH(1,(_xlpm.widths=_xlpm.qWidth)*(_xlpm.bands=_xlpm.band)*(_xlpm.meters=_xlpm.targetM),0))/HELPER!$AK$2),_xlfn.LET(_xlpm.colorOffset,IF(_xlpm.numColors&lt;=2,1,IF(_xlpm.numColors&lt;=4,2,3)),_xlpm.supplierRow,IF(O110="Marma",3,IF(O110="Bastin",13,0)),INDEX('Lmntn &amp; Prntng- Marma &amp; Bastin '!$D$1:$K$22,_xlpm.supplierRow+_xlpm.widthRow+_xlpm.colorOffset,_xlpm.tier)))),AH110+_xlpm.slitRate/_xlpm.kgmUsed+_xlpm.printRate/_xlpm.kgmUsed+AJ110),"")</f>
        <v>4.4753524288408002</v>
      </c>
      <c r="AJ110" s="919" cm="1">
        <f t="array" ref="AJ110">IF(OR(K110&lt;&gt;"Printed",L110=0,L110="0",L110=""),0,IFERROR(_xlfn.LET(_xlpm.lam,TEXT(B110,"0"),_xlpm.crit,(TEXT(HELPER!$BZ$2:$BZ$250,"0")=_xlpm.lam)*(HELPER!$CC$2:$CC$250=D110)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WHITE"},0)))/ROWS(_xlpm.real),_xlpm.numColors,IF(ISNUMBER(L110),L110,IFERROR(--RIGHT(L110,LEN(L110)-FIND("-",L110)),0)),HELPER!$DB$1*_xlpm.numColors*MAX(1,M110)*1.05*_xlpm.nkRatio/Q110),0))</f>
        <v>0</v>
      </c>
      <c r="AK110" s="919">
        <f t="shared" si="41"/>
        <v>0.9570377523126119</v>
      </c>
      <c r="AL110" s="919">
        <f t="shared" si="42"/>
        <v>519.19298062959194</v>
      </c>
      <c r="AM110" s="73" t="str">
        <f t="shared" si="43"/>
        <v>PASS</v>
      </c>
      <c r="AN110" s="908" t="str">
        <f t="shared" si="22"/>
        <v/>
      </c>
      <c r="AO110" s="919">
        <f t="shared" si="23"/>
        <v>103</v>
      </c>
      <c r="AP110" s="919">
        <f t="shared" si="24"/>
        <v>2000</v>
      </c>
      <c r="AQ110" s="919"/>
      <c r="AR110" s="919" cm="1">
        <f t="array" ref="AR110">IFERROR(_xlfn.LET(_xlpm.lam,TEXT(B110,"0"),_xlpm.thick,D110,_xlpm.crit,(TEXT(HELPER!$BZ$2:$BZ$250,"0")=_xlpm.lam)*(HELPER!$CC$2:$CC$250=_xlpm.thick)*(HELPER!$BW$2:$BW$250&lt;&gt;""),_xlpm.mats,TRIM(SUBSTITUTE(_xlfn._xlws.FILTER(HELPER!$BW$2:$BW$250,_xlpm.crit),CHAR(160),"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")),HELPER!$AQ$2:$AQ$20,1),_xlpm.mass,IF(ISNUMBER(SEARCH("paper",_xlpm.mats)),42,_xlpm.dens*_xlpm.ths),E110/1000000*SUM(_xlpm.mass)),"")</f>
        <v>3.89795E-2</v>
      </c>
      <c r="AS110" s="919">
        <f>IFERROR(IF(D110&gt;31,(5%+250/P110)*AF110,VLOOKUP(D110,HELPER!$BH$3:$BI$5,2,TRUE)*AF110),0)</f>
        <v>0.98988089743086083</v>
      </c>
      <c r="AT110" s="919">
        <v>0.149999999999994</v>
      </c>
      <c r="AU110" s="919"/>
      <c r="AV110" s="919"/>
      <c r="AW110" s="919"/>
      <c r="AX110" s="919"/>
      <c r="AY110" s="919"/>
      <c r="AZ110" s="919">
        <f t="shared" si="25"/>
        <v>0</v>
      </c>
    </row>
    <row r="111" spans="1:52">
      <c r="A111" s="73" t="s">
        <v>1532</v>
      </c>
      <c r="B111" s="73" t="s">
        <v>1287</v>
      </c>
      <c r="C111" s="908" t="s">
        <v>1428</v>
      </c>
      <c r="D111" s="915" cm="1">
        <f t="array" ref="D11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1" s="915">
        <v>600</v>
      </c>
      <c r="F111" s="73" t="s">
        <v>561</v>
      </c>
      <c r="G111" s="916">
        <v>250000</v>
      </c>
      <c r="H111" s="916"/>
      <c r="I111" s="916"/>
      <c r="J111" s="916"/>
      <c r="K111" s="73" t="s">
        <v>123</v>
      </c>
      <c r="L111" s="921" t="s">
        <v>122</v>
      </c>
      <c r="M111" s="915">
        <v>4</v>
      </c>
      <c r="N111" s="73" t="s">
        <v>550</v>
      </c>
      <c r="O111" s="73" t="s">
        <v>1366</v>
      </c>
      <c r="P111" s="916" cm="1">
        <f t="array" ref="P111">IFERROR(_xlfn.SWITCH(F111,"By Weight",IF(H111&lt;&gt;"",H111,G111)/AR111,"By Length",G111,"By Imp",G111/MAX(1,ROUNDDOWN(E111/I111,0))*J111/1000,"IMP",G111/MAX(1,ROUNDDOWN(E111/I111,0))*J111/1000,""),"")</f>
        <v>250000</v>
      </c>
      <c r="Q111" s="916">
        <f t="shared" si="26"/>
        <v>16705.499999999996</v>
      </c>
      <c r="R111" s="917">
        <f t="shared" si="27"/>
        <v>438715.78809162177</v>
      </c>
      <c r="S111" s="918">
        <f t="shared" si="28"/>
        <v>508910.31418628123</v>
      </c>
      <c r="T111" s="919">
        <f t="shared" si="29"/>
        <v>26.2617573907768</v>
      </c>
      <c r="U111" s="920">
        <f t="shared" si="30"/>
        <v>30.463638573301086</v>
      </c>
      <c r="V111" s="919">
        <f t="shared" si="31"/>
        <v>2.0645448851370558</v>
      </c>
      <c r="W111" s="919">
        <f t="shared" si="32"/>
        <v>30.896185165619947</v>
      </c>
      <c r="X111" s="919" t="str">
        <f t="shared" si="33"/>
        <v/>
      </c>
      <c r="Y111" s="920">
        <f t="shared" si="34"/>
        <v>2.3948720667589845</v>
      </c>
      <c r="Z111" s="920">
        <f t="shared" si="35"/>
        <v>35.839574792119137</v>
      </c>
      <c r="AA111" s="920" t="str">
        <f t="shared" si="36"/>
        <v/>
      </c>
      <c r="AB111" s="917">
        <f t="shared" si="37"/>
        <v>516136.22128426394</v>
      </c>
      <c r="AC111" s="918">
        <f t="shared" si="38"/>
        <v>598718.01668974617</v>
      </c>
      <c r="AD111" s="916">
        <f t="shared" si="39"/>
        <v>7482.5656221005065</v>
      </c>
      <c r="AE111" s="916">
        <f t="shared" si="40"/>
        <v>500</v>
      </c>
      <c r="AF111" s="919" cm="1">
        <f t="array" ref="AF111">IFERROR(_xlfn.LET(_xlpm.lam,TEXT(B111,"0"),_xlpm.thick,D111,_xlpm.crit,(TEXT(HELPER!$BZ$2:$BZ$250,"0")=_xlpm.lam)*(HELPER!$CC$2:$CC$250=_xlpm.thick)*(HELPER!$BW$2:$BW$250&lt;&gt;""),_xlpm.mats,TRIM(SUBSTITUTE(_xlfn._xlws.FILTER(HELPER!$BW$2:$BW$250,_xlpm.crit),CHAR(160),"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1" s="919">
        <f>IFERROR(IF(N111="Europe to Canada",IF(Q111&lt;1000,VLOOKUP(1000,HELPER!$AG$4:$AH$8,2,FALSE)/Q111,VLOOKUP(Q111,HELPER!$AG$4:$AH$8,2,TRUE)/Q111),IF(N111="Europe to US",HELPER!$AH$2,IF(N111="Europe to Europe",HELPER!$AH$3,0))),0)</f>
        <v>5.4</v>
      </c>
      <c r="AH111" s="919" cm="1">
        <f t="array" ref="AH111">IFERROR(_xlfn.LET(_xlpm.cap,IF(O111="Quantum",760,1220),_xlpm.wUsed,E111*MAX(1,MIN(MAX(2,INT(900/E111)),INT((_xlpm.cap-50)/E111))),_xlpm.kgmUsed,AR111/E111*_xlpm.wUsed,_xlpm.lam,TEXT(B111,"0"),_xlpm.crit,(TEXT(HELPER!$BZ$2:$BZ$250,"0")=_xlpm.lam)*(HELPER!$CC$2:$CC$250=D111)*(HELPER!$BW$2:$BW$250&lt;&gt;""),_xlpm.mats,_xlfn._xlws.FILTER(HELPER!$BW$2:$BW$250,_xlpm.crit),_xlpm.realLayers,SUM((_xlpm.mats&lt;&gt;"")*ISERROR(SEARCH("EPOTAL",_xlpm.mats&amp;""))*ISERROR(SEARCH("BASONAT",_xlpm.mats&amp;""))*ISERROR(SEARCH("ADH",_xlpm.mats&amp;""))*ISERROR(SEARCH("HARDENER",_xlpm.mats&amp;""))),_xlpm.steps,MAX(0,_xlpm.realLayers-1),_xlpm.tier,IF(P111&lt;3000,1,IF(P111&lt;10000,2,IF(P111&lt;25000,3,IF(P111&lt;50000,4,IF(P111&lt;100000,5,IF(P111&lt;250000,6,7)))))),_xlpm.widthRow,IF(_xlpm.wUsed&lt;900,0,5),_xlpm.supplierRow,IF(O111="Marma",3,IF(OR(O111="Bastin",O111="Quantum"),13,0)),_xlpm.rate,INDEX('Lmntn &amp; Prntng- Marma &amp; Bastin '!$D$1:$K$22,_xlpm.supplierRow+_xlpm.widthRow,_xlpm.tier),_xlpm.rate*_xlpm.steps/_xlpm.kgmUsed),"")</f>
        <v>3.2473736194666429</v>
      </c>
      <c r="AI111" s="919" cm="1">
        <f t="array" ref="AI111">IFERROR(_xlfn.LET(_xlpm.cap,IF(O111="Quantum",760,1220),_xlpm.wUsed,E111*MAX(1,MIN(MAX(2,INT(900/E111)),INT((_xlpm.cap-50)/E111))),_xlpm.kgmUsed,AR111/E111*_xlpm.wUsed,_xlpm.tier,IF(P111&lt;3000,1,IF(P111&lt;10000,2,IF(P111&lt;25000,3,IF(P111&lt;50000,4,IF(P111&lt;100000,5,IF(P111&lt;250000,6,IF(P111&lt;500000,7,8))))))),_xlpm.widthRow,IF(_xlpm.wUsed&lt;900,0,5),_xlpm.slitRow,IF(O111="Marma",7,IF(OR(O111="Bastin",O111="Quantum"),17,0)),_xlpm.slitRate,INDEX('Lmntn &amp; Prntng- Marma &amp; Bastin '!$D$1:$K$22,_xlpm.slitRow+_xlpm.widthRow,_xlpm.tier),_xlpm.numColors,IF(ISNUMBER(L111),L111,IFERROR(--RIGHT(L111,LEN(L111)-FIND("-",L111)),0)),_xlpm.printRate,IF(OR(K111&lt;&gt;"Printed",_xlpm.numColors=0),0,IF(O111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111))),MAX(_xlfn._xlws.FILTER(_xlpm.meters,(_xlpm.widths=_xlpm.qWidth)*(_xlpm.bands=_xlpm.band)))),INDEX(_xlpm.rates,_xlfn.XMATCH(1,(_xlpm.widths=_xlpm.qWidth)*(_xlpm.bands=_xlpm.band)*(_xlpm.meters=_xlpm.targetM),0))/HELPER!$AK$2),_xlfn.LET(_xlpm.colorOffset,IF(_xlpm.numColors&lt;=2,1,IF(_xlpm.numColors&lt;=4,2,3)),_xlpm.supplierRow,IF(O111="Marma",3,IF(O111="Bastin",13,0)),INDEX('Lmntn &amp; Prntng- Marma &amp; Bastin '!$D$1:$K$22,_xlpm.supplierRow+_xlpm.widthRow+_xlpm.colorOffset,_xlpm.tier)))),AH111+_xlpm.slitRate/_xlpm.kgmUsed+_xlpm.printRate/_xlpm.kgmUsed+AJ111),"")</f>
        <v>14.916815543920599</v>
      </c>
      <c r="AJ111" s="919" cm="1">
        <f t="array" ref="AJ111">IF(OR(K111&lt;&gt;"Printed",L111=0,L111="0",L111=""),0,IFERROR(_xlfn.LET(_xlpm.lam,TEXT(B111,"0"),_xlpm.crit,(TEXT(HELPER!$BZ$2:$BZ$250,"0")=_xlpm.lam)*(HELPER!$CC$2:$CC$250=D111)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WHITE"},0)))/ROWS(_xlpm.real),_xlpm.numColors,IF(ISNUMBER(L111),L111,IFERROR(--RIGHT(L111,LEN(L111)-FIND("-",L111)),0)),HELPER!$DB$1*_xlpm.numColors*MAX(1,M111)*1.05*_xlpm.nkRatio/Q111),0))</f>
        <v>0.10056568196103081</v>
      </c>
      <c r="AK111" s="919">
        <f t="shared" si="41"/>
        <v>2.2199407367065116</v>
      </c>
      <c r="AL111" s="919">
        <f t="shared" si="42"/>
        <v>2064.5448851370556</v>
      </c>
      <c r="AM111" s="73" t="str">
        <f t="shared" si="43"/>
        <v>PASS</v>
      </c>
      <c r="AN111" s="908" t="str">
        <f t="shared" si="22"/>
        <v/>
      </c>
      <c r="AO111" s="919">
        <f t="shared" si="23"/>
        <v>103</v>
      </c>
      <c r="AP111" s="919">
        <f t="shared" si="24"/>
        <v>250000</v>
      </c>
      <c r="AQ111" s="919"/>
      <c r="AR111" s="919" cm="1">
        <f t="array" ref="AR111">IFERROR(_xlfn.LET(_xlpm.lam,TEXT(B111,"0"),_xlpm.thick,D111,_xlpm.crit,(TEXT(HELPER!$BZ$2:$BZ$250,"0")=_xlpm.lam)*(HELPER!$CC$2:$CC$250=_xlpm.thick)*(HELPER!$BW$2:$BW$250&lt;&gt;""),_xlpm.mats,TRIM(SUBSTITUTE(_xlfn._xlws.FILTER(HELPER!$BW$2:$BW$250,_xlpm.crit),CHAR(160),"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")),HELPER!$AQ$2:$AQ$20,1),_xlpm.mass,IF(ISNUMBER(SEARCH("paper",_xlpm.mats)),42,_xlpm.dens*_xlpm.ths),E111/1000000*SUM(_xlpm.mass)),"")</f>
        <v>6.6821999999999993E-2</v>
      </c>
      <c r="AS111" s="919">
        <f>IFERROR(IF(D111&gt;31,(5%+250/P111)*AF111,VLOOKUP(D111,HELPER!$BH$3:$BI$5,2,TRUE)*AF111),0)</f>
        <v>0.28847957582270806</v>
      </c>
      <c r="AT111" s="919">
        <v>0.15000000000000499</v>
      </c>
      <c r="AU111" s="919"/>
      <c r="AV111" s="919"/>
      <c r="AW111" s="919"/>
      <c r="AX111" s="919"/>
      <c r="AY111" s="919"/>
      <c r="AZ111" s="919">
        <f t="shared" si="25"/>
        <v>1680</v>
      </c>
    </row>
    <row r="112" spans="1:52">
      <c r="A112" s="73" t="s">
        <v>1533</v>
      </c>
      <c r="B112" s="73" t="s">
        <v>1287</v>
      </c>
      <c r="C112" s="908" t="s">
        <v>1430</v>
      </c>
      <c r="D112" s="915" cm="1">
        <f t="array" ref="D11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2" s="915">
        <v>900</v>
      </c>
      <c r="F112" s="73" t="s">
        <v>1040</v>
      </c>
      <c r="G112" s="916">
        <v>1600000</v>
      </c>
      <c r="H112" s="916"/>
      <c r="I112" s="916">
        <v>140</v>
      </c>
      <c r="J112" s="916">
        <v>80</v>
      </c>
      <c r="K112" s="73" t="s">
        <v>123</v>
      </c>
      <c r="L112" s="921" t="s">
        <v>592</v>
      </c>
      <c r="M112" s="915">
        <v>8</v>
      </c>
      <c r="N112" s="73" t="s">
        <v>549</v>
      </c>
      <c r="O112" s="73" t="s">
        <v>250</v>
      </c>
      <c r="P112" s="916" cm="1">
        <f t="array" ref="P112">IFERROR(_xlfn.SWITCH(F112,"By Weight",IF(H112&lt;&gt;"",H112,G112)/AR112,"By Length",G112,"By Imp",G112/MAX(1,ROUNDDOWN(E112/I112,0))*J112/1000,"IMP",G112/MAX(1,ROUNDDOWN(E112/I112,0))*J112/1000,""),"")</f>
        <v>21333.333333333336</v>
      </c>
      <c r="Q112" s="916">
        <f t="shared" si="26"/>
        <v>2138.3040000000001</v>
      </c>
      <c r="R112" s="917">
        <f t="shared" si="27"/>
        <v>28045.936824653741</v>
      </c>
      <c r="S112" s="918">
        <f t="shared" si="28"/>
        <v>32533.286716598337</v>
      </c>
      <c r="T112" s="919">
        <f t="shared" si="29"/>
        <v>13.115972670234793</v>
      </c>
      <c r="U112" s="920">
        <f t="shared" si="30"/>
        <v>15.214528297472359</v>
      </c>
      <c r="V112" s="919">
        <f t="shared" si="31"/>
        <v>1.6433166108195509</v>
      </c>
      <c r="W112" s="919">
        <f t="shared" si="32"/>
        <v>16.39496583779345</v>
      </c>
      <c r="X112" s="919">
        <f t="shared" si="33"/>
        <v>2.191088814426068E-2</v>
      </c>
      <c r="Y112" s="920">
        <f t="shared" si="34"/>
        <v>1.9062472685506791</v>
      </c>
      <c r="Z112" s="920">
        <f t="shared" si="35"/>
        <v>19.018160371840402</v>
      </c>
      <c r="AA112" s="920">
        <f t="shared" si="36"/>
        <v>2.5416630247342385E-2</v>
      </c>
      <c r="AB112" s="917">
        <f t="shared" si="37"/>
        <v>35057.421030817088</v>
      </c>
      <c r="AC112" s="918">
        <f t="shared" si="38"/>
        <v>40666.608395747819</v>
      </c>
      <c r="AD112" s="916">
        <f t="shared" si="39"/>
        <v>4988.3770814003374</v>
      </c>
      <c r="AE112" s="916">
        <f t="shared" si="40"/>
        <v>500</v>
      </c>
      <c r="AF112" s="919" cm="1">
        <f t="array" ref="AF112">IFERROR(_xlfn.LET(_xlpm.lam,TEXT(B112,"0"),_xlpm.thick,D112,_xlpm.crit,(TEXT(HELPER!$BZ$2:$BZ$250,"0")=_xlpm.lam)*(HELPER!$CC$2:$CC$250=_xlpm.thick)*(HELPER!$BW$2:$BW$250&lt;&gt;""),_xlpm.mats,TRIM(SUBSTITUTE(_xlfn._xlws.FILTER(HELPER!$BW$2:$BW$250,_xlpm.crit),CHAR(160),"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2" s="919">
        <f>IFERROR(IF(N112="Europe to Canada",IF(Q112&lt;1000,VLOOKUP(1000,HELPER!$AG$4:$AH$8,2,FALSE)/Q112,VLOOKUP(Q112,HELPER!$AG$4:$AH$8,2,TRUE)/Q112),IF(N112="Europe to US",HELPER!$AH$2,IF(N112="Europe to Europe",HELPER!$AH$3,0))),0)</f>
        <v>0.2</v>
      </c>
      <c r="AH112" s="919" cm="1">
        <f t="array" ref="AH112">IFERROR(_xlfn.LET(_xlpm.cap,IF(O112="Quantum",760,1220),_xlpm.wUsed,E112*MAX(1,MIN(MAX(2,INT(900/E112)),INT((_xlpm.cap-50)/E112))),_xlpm.kgmUsed,AR112/E112*_xlpm.wUsed,_xlpm.lam,TEXT(B112,"0"),_xlpm.crit,(TEXT(HELPER!$BZ$2:$BZ$250,"0")=_xlpm.lam)*(HELPER!$CC$2:$CC$250=D112)*(HELPER!$BW$2:$BW$250&lt;&gt;""),_xlpm.mats,_xlfn._xlws.FILTER(HELPER!$BW$2:$BW$250,_xlpm.crit),_xlpm.realLayers,SUM((_xlpm.mats&lt;&gt;"")*ISERROR(SEARCH("EPOTAL",_xlpm.mats&amp;""))*ISERROR(SEARCH("BASONAT",_xlpm.mats&amp;""))*ISERROR(SEARCH("ADH",_xlpm.mats&amp;""))*ISERROR(SEARCH("HARDENER",_xlpm.mats&amp;""))),_xlpm.steps,MAX(0,_xlpm.realLayers-1),_xlpm.tier,IF(P112&lt;3000,1,IF(P112&lt;10000,2,IF(P112&lt;25000,3,IF(P112&lt;50000,4,IF(P112&lt;100000,5,IF(P112&lt;250000,6,7)))))),_xlpm.widthRow,IF(_xlpm.wUsed&lt;900,0,5),_xlpm.supplierRow,IF(O112="Marma",3,IF(OR(O112="Bastin",O112="Quantum"),13,0)),_xlpm.rate,INDEX('Lmntn &amp; Prntng- Marma &amp; Bastin '!$D$1:$K$22,_xlpm.supplierRow+_xlpm.widthRow,_xlpm.tier),_xlpm.rate*_xlpm.steps/_xlpm.kgmUsed),"")</f>
        <v>1.8263446170422915</v>
      </c>
      <c r="AI112" s="919" cm="1">
        <f t="array" ref="AI112">IFERROR(_xlfn.LET(_xlpm.cap,IF(O112="Quantum",760,1220),_xlpm.wUsed,E112*MAX(1,MIN(MAX(2,INT(900/E112)),INT((_xlpm.cap-50)/E112))),_xlpm.kgmUsed,AR112/E112*_xlpm.wUsed,_xlpm.tier,IF(P112&lt;3000,1,IF(P112&lt;10000,2,IF(P112&lt;25000,3,IF(P112&lt;50000,4,IF(P112&lt;100000,5,IF(P112&lt;250000,6,IF(P112&lt;500000,7,8))))))),_xlpm.widthRow,IF(_xlpm.wUsed&lt;900,0,5),_xlpm.slitRow,IF(O112="Marma",7,IF(OR(O112="Bastin",O112="Quantum"),17,0)),_xlpm.slitRate,INDEX('Lmntn &amp; Prntng- Marma &amp; Bastin '!$D$1:$K$22,_xlpm.slitRow+_xlpm.widthRow,_xlpm.tier),_xlpm.numColors,IF(ISNUMBER(L112),L112,IFERROR(--RIGHT(L112,LEN(L112)-FIND("-",L112)),0)),_xlpm.printRate,IF(OR(K112&lt;&gt;"Printed",_xlpm.numColors=0),0,IF(O112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112))),MAX(_xlfn._xlws.FILTER(_xlpm.meters,(_xlpm.widths=_xlpm.qWidth)*(_xlpm.bands=_xlpm.band)))),INDEX(_xlpm.rates,_xlfn.XMATCH(1,(_xlpm.widths=_xlpm.qWidth)*(_xlpm.bands=_xlpm.band)*(_xlpm.meters=_xlpm.targetM),0))/HELPER!$AK$2),_xlfn.LET(_xlpm.colorOffset,IF(_xlpm.numColors&lt;=2,1,IF(_xlpm.numColors&lt;=4,2,3)),_xlpm.supplierRow,IF(O112="Marma",3,IF(O112="Bastin",13,0)),INDEX('Lmntn &amp; Prntng- Marma &amp; Bastin '!$D$1:$K$22,_xlpm.supplierRow+_xlpm.widthRow+_xlpm.colorOffset,_xlpm.tier)))),AH112+_xlpm.slitRate/_xlpm.kgmUsed+_xlpm.printRate/_xlpm.kgmUsed+AJ112),"")</f>
        <v>6.9104006184109537</v>
      </c>
      <c r="AJ112" s="919" cm="1">
        <f t="array" ref="AJ112">IF(OR(K112&lt;&gt;"Printed",L112=0,L112="0",L112=""),0,IFERROR(_xlfn.LET(_xlpm.lam,TEXT(B112,"0"),_xlpm.crit,(TEXT(HELPER!$BZ$2:$BZ$250,"0")=_xlpm.lam)*(HELPER!$CC$2:$CC$250=D112)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WHITE"},0)))/ROWS(_xlpm.real),_xlpm.numColors,IF(ISNUMBER(L112),L112,IFERROR(--RIGHT(L112,LEN(L112)-FIND("-",L112)),0)),HELPER!$DB$1*_xlpm.numColors*MAX(1,M112)*1.05*_xlpm.nkRatio/Q112),0))</f>
        <v>3.1426775612822122</v>
      </c>
      <c r="AK112" s="919">
        <f t="shared" si="41"/>
        <v>1.1780047389387462</v>
      </c>
      <c r="AL112" s="919">
        <f t="shared" si="42"/>
        <v>1643.316610819551</v>
      </c>
      <c r="AM112" s="73" t="str">
        <f t="shared" si="43"/>
        <v>PASS</v>
      </c>
      <c r="AN112" s="908" t="str">
        <f t="shared" si="22"/>
        <v/>
      </c>
      <c r="AO112" s="919">
        <f t="shared" si="23"/>
        <v>103</v>
      </c>
      <c r="AP112" s="919">
        <f t="shared" si="24"/>
        <v>21333.333333333336</v>
      </c>
      <c r="AQ112" s="919"/>
      <c r="AR112" s="919" cm="1">
        <f t="array" ref="AR112">IFERROR(_xlfn.LET(_xlpm.lam,TEXT(B112,"0"),_xlpm.thick,D112,_xlpm.crit,(TEXT(HELPER!$BZ$2:$BZ$250,"0")=_xlpm.lam)*(HELPER!$CC$2:$CC$250=_xlpm.thick)*(HELPER!$BW$2:$BW$250&lt;&gt;""),_xlpm.mats,TRIM(SUBSTITUTE(_xlfn._xlws.FILTER(HELPER!$BW$2:$BW$250,_xlpm.crit),CHAR(160),"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")),HELPER!$AQ$2:$AQ$20,1),_xlpm.mass,IF(ISNUMBER(SEARCH("paper",_xlpm.mats)),42,_xlpm.dens*_xlpm.ths),E112/1000000*SUM(_xlpm.mass)),"")</f>
        <v>0.100233</v>
      </c>
      <c r="AS112" s="919">
        <f>IFERROR(IF(D112&gt;31,(5%+250/P112)*AF112,VLOOKUP(D112,HELPER!$BH$3:$BI$5,2,TRUE)*AF112),0)</f>
        <v>0.34910978079034827</v>
      </c>
      <c r="AT112" s="919">
        <v>0.19999999999999801</v>
      </c>
      <c r="AU112" s="919"/>
      <c r="AV112" s="919"/>
      <c r="AW112" s="919"/>
      <c r="AX112" s="919"/>
      <c r="AY112" s="919"/>
      <c r="AZ112" s="919">
        <f t="shared" si="25"/>
        <v>6720</v>
      </c>
    </row>
    <row r="113" spans="1:52">
      <c r="A113" s="73" t="s">
        <v>1534</v>
      </c>
      <c r="B113" s="73" t="s">
        <v>1287</v>
      </c>
      <c r="C113" s="908" t="s">
        <v>1432</v>
      </c>
      <c r="D113" s="915" cm="1">
        <f t="array" ref="D11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3" s="915">
        <v>250</v>
      </c>
      <c r="F113" s="73" t="s">
        <v>560</v>
      </c>
      <c r="G113" s="916">
        <v>500</v>
      </c>
      <c r="H113" s="916">
        <v>500</v>
      </c>
      <c r="I113" s="916"/>
      <c r="J113" s="916"/>
      <c r="K113" s="73" t="s">
        <v>124</v>
      </c>
      <c r="L113" s="921" t="s">
        <v>221</v>
      </c>
      <c r="M113" s="915">
        <v>1</v>
      </c>
      <c r="N113" s="73" t="s">
        <v>550</v>
      </c>
      <c r="O113" s="73" t="s">
        <v>240</v>
      </c>
      <c r="P113" s="916" cm="1">
        <f t="array" ref="P113">IFERROR(_xlfn.SWITCH(F113,"By Weight",IF(H113&lt;&gt;"",H113,G113)/AR113,"By Length",G113,"By Imp",G113/MAX(1,ROUNDDOWN(E113/I113,0))*J113/1000,"IMP",G113/MAX(1,ROUNDDOWN(E113/I113,0))*J113/1000,""),"")</f>
        <v>17958.157493041213</v>
      </c>
      <c r="Q113" s="916">
        <f t="shared" si="26"/>
        <v>500.00000000000006</v>
      </c>
      <c r="R113" s="917">
        <f t="shared" si="27"/>
        <v>7335.2700312427223</v>
      </c>
      <c r="S113" s="918">
        <f t="shared" si="28"/>
        <v>8508.9132362415567</v>
      </c>
      <c r="T113" s="919">
        <f t="shared" si="29"/>
        <v>14.670540062485443</v>
      </c>
      <c r="U113" s="920">
        <f t="shared" si="30"/>
        <v>17.017826472483112</v>
      </c>
      <c r="V113" s="919">
        <f t="shared" si="31"/>
        <v>0.48054648434088693</v>
      </c>
      <c r="W113" s="919">
        <f t="shared" si="32"/>
        <v>17.259458897041821</v>
      </c>
      <c r="X113" s="919" t="str">
        <f t="shared" si="33"/>
        <v/>
      </c>
      <c r="Y113" s="920">
        <f t="shared" si="34"/>
        <v>0.55743392183542884</v>
      </c>
      <c r="Z113" s="920">
        <f t="shared" si="35"/>
        <v>20.020972320568511</v>
      </c>
      <c r="AA113" s="920" t="str">
        <f t="shared" si="36"/>
        <v/>
      </c>
      <c r="AB113" s="917">
        <f t="shared" si="37"/>
        <v>8629.7294485209113</v>
      </c>
      <c r="AC113" s="918">
        <f t="shared" si="38"/>
        <v>10010.486160284256</v>
      </c>
      <c r="AD113" s="916">
        <f t="shared" si="39"/>
        <v>17958.157493041213</v>
      </c>
      <c r="AE113" s="916">
        <f t="shared" si="40"/>
        <v>500</v>
      </c>
      <c r="AF113" s="919" cm="1">
        <f t="array" ref="AF113">IFERROR(_xlfn.LET(_xlpm.lam,TEXT(B113,"0"),_xlpm.thick,D113,_xlpm.crit,(TEXT(HELPER!$BZ$2:$BZ$250,"0")=_xlpm.lam)*(HELPER!$CC$2:$CC$250=_xlpm.thick)*(HELPER!$BW$2:$BW$250&lt;&gt;""),_xlpm.mats,TRIM(SUBSTITUTE(_xlfn._xlws.FILTER(HELPER!$BW$2:$BW$250,_xlpm.crit),CHAR(160),"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3" s="919">
        <f>IFERROR(IF(N113="Europe to Canada",IF(Q113&lt;1000,VLOOKUP(1000,HELPER!$AG$4:$AH$8,2,FALSE)/Q113,VLOOKUP(Q113,HELPER!$AG$4:$AH$8,2,TRUE)/Q113),IF(N113="Europe to US",HELPER!$AH$2,IF(N113="Europe to Europe",HELPER!$AH$3,0))),0)</f>
        <v>5.4</v>
      </c>
      <c r="AH113" s="919" cm="1">
        <f t="array" ref="AH113">IFERROR(_xlfn.LET(_xlpm.cap,IF(O113="Quantum",760,1220),_xlpm.wUsed,E113*MAX(1,MIN(MAX(2,INT(900/E113)),INT((_xlpm.cap-50)/E113))),_xlpm.kgmUsed,AR113/E113*_xlpm.wUsed,_xlpm.lam,TEXT(B113,"0"),_xlpm.crit,(TEXT(HELPER!$BZ$2:$BZ$250,"0")=_xlpm.lam)*(HELPER!$CC$2:$CC$250=D113)*(HELPER!$BW$2:$BW$250&lt;&gt;""),_xlpm.mats,_xlfn._xlws.FILTER(HELPER!$BW$2:$BW$250,_xlpm.crit),_xlpm.realLayers,SUM((_xlpm.mats&lt;&gt;"")*ISERROR(SEARCH("EPOTAL",_xlpm.mats&amp;""))*ISERROR(SEARCH("BASONAT",_xlpm.mats&amp;""))*ISERROR(SEARCH("ADH",_xlpm.mats&amp;""))*ISERROR(SEARCH("HARDENER",_xlpm.mats&amp;""))),_xlpm.steps,MAX(0,_xlpm.realLayers-1),_xlpm.tier,IF(P113&lt;3000,1,IF(P113&lt;10000,2,IF(P113&lt;25000,3,IF(P113&lt;50000,4,IF(P113&lt;100000,5,IF(P113&lt;250000,6,7)))))),_xlpm.widthRow,IF(_xlpm.wUsed&lt;900,0,5),_xlpm.supplierRow,IF(O113="Marma",3,IF(OR(O113="Bastin",O113="Quantum"),13,0)),_xlpm.rate,INDEX('Lmntn &amp; Prntng- Marma &amp; Bastin '!$D$1:$K$22,_xlpm.supplierRow+_xlpm.widthRow,_xlpm.tier),_xlpm.rate*_xlpm.steps/_xlpm.kgmUsed),"")</f>
        <v>2.8490976025859744</v>
      </c>
      <c r="AI113" s="919" cm="1">
        <f t="array" ref="AI113">IFERROR(_xlfn.LET(_xlpm.cap,IF(O113="Quantum",760,1220),_xlpm.wUsed,E113*MAX(1,MIN(MAX(2,INT(900/E113)),INT((_xlpm.cap-50)/E113))),_xlpm.kgmUsed,AR113/E113*_xlpm.wUsed,_xlpm.tier,IF(P113&lt;3000,1,IF(P113&lt;10000,2,IF(P113&lt;25000,3,IF(P113&lt;50000,4,IF(P113&lt;100000,5,IF(P113&lt;250000,6,IF(P113&lt;500000,7,8))))))),_xlpm.widthRow,IF(_xlpm.wUsed&lt;900,0,5),_xlpm.slitRow,IF(O113="Marma",7,IF(OR(O113="Bastin",O113="Quantum"),17,0)),_xlpm.slitRate,INDEX('Lmntn &amp; Prntng- Marma &amp; Bastin '!$D$1:$K$22,_xlpm.slitRow+_xlpm.widthRow,_xlpm.tier),_xlpm.numColors,IF(ISNUMBER(L113),L113,IFERROR(--RIGHT(L113,LEN(L113)-FIND("-",L113)),0)),_xlpm.printRate,IF(OR(K113&lt;&gt;"Printed",_xlpm.numColors=0),0,IF(O113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113))),MAX(_xlfn._xlws.FILTER(_xlpm.meters,(_xlpm.widths=_xlpm.qWidth)*(_xlpm.bands=_xlpm.band)))),INDEX(_xlpm.rates,_xlfn.XMATCH(1,(_xlpm.widths=_xlpm.qWidth)*(_xlpm.bands=_xlpm.band)*(_xlpm.meters=_xlpm.targetM),0))/HELPER!$AK$2),_xlfn.LET(_xlpm.colorOffset,IF(_xlpm.numColors&lt;=2,1,IF(_xlpm.numColors&lt;=4,2,3)),_xlpm.supplierRow,IF(O113="Marma",3,IF(O113="Bastin",13,0)),INDEX('Lmntn &amp; Prntng- Marma &amp; Bastin '!$D$1:$K$22,_xlpm.supplierRow+_xlpm.widthRow+_xlpm.colorOffset,_xlpm.tier)))),AH113+_xlpm.slitRate/_xlpm.kgmUsed+_xlpm.printRate/_xlpm.kgmUsed+AJ113),"")</f>
        <v>3.2525096525096524</v>
      </c>
      <c r="AJ113" s="919" cm="1">
        <f t="array" ref="AJ113">IF(OR(K113&lt;&gt;"Printed",L113=0,L113="0",L113=""),0,IFERROR(_xlfn.LET(_xlpm.lam,TEXT(B113,"0"),_xlpm.crit,(TEXT(HELPER!$BZ$2:$BZ$250,"0")=_xlpm.lam)*(HELPER!$CC$2:$CC$250=D113)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WHITE"},0)))/ROWS(_xlpm.real),_xlpm.numColors,IF(ISNUMBER(L113),L113,IFERROR(--RIGHT(L113,LEN(L113)-FIND("-",L113)),0)),HELPER!$DB$1*_xlpm.numColors*MAX(1,M113)*1.05*_xlpm.nkRatio/Q113),0))</f>
        <v>0</v>
      </c>
      <c r="AK113" s="919">
        <f t="shared" si="41"/>
        <v>1.2401199595893855</v>
      </c>
      <c r="AL113" s="919">
        <f t="shared" si="42"/>
        <v>480.54648434088693</v>
      </c>
      <c r="AM113" s="73" t="str">
        <f t="shared" si="43"/>
        <v>PASS</v>
      </c>
      <c r="AN113" s="908" t="str">
        <f t="shared" si="22"/>
        <v/>
      </c>
      <c r="AO113" s="919">
        <f t="shared" si="23"/>
        <v>103</v>
      </c>
      <c r="AP113" s="919">
        <f t="shared" si="24"/>
        <v>17958.157493041213</v>
      </c>
      <c r="AQ113" s="919"/>
      <c r="AR113" s="919" cm="1">
        <f t="array" ref="AR113">IFERROR(_xlfn.LET(_xlpm.lam,TEXT(B113,"0"),_xlpm.thick,D113,_xlpm.crit,(TEXT(HELPER!$BZ$2:$BZ$250,"0")=_xlpm.lam)*(HELPER!$CC$2:$CC$250=_xlpm.thick)*(HELPER!$BW$2:$BW$250&lt;&gt;""),_xlpm.mats,TRIM(SUBSTITUTE(_xlfn._xlws.FILTER(HELPER!$BW$2:$BW$250,_xlpm.crit),CHAR(160),"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")),HELPER!$AQ$2:$AQ$20,1),_xlpm.mass,IF(ISNUMBER(SEARCH("paper",_xlpm.mats)),42,_xlpm.dens*_xlpm.ths),E113/1000000*SUM(_xlpm.mass)),"")</f>
        <v>2.7842500000000003E-2</v>
      </c>
      <c r="AS113" s="919">
        <f>IFERROR(IF(D113&gt;31,(5%+250/P113)*AF113,VLOOKUP(D113,HELPER!$BH$3:$BI$5,2,TRUE)*AF113),0)</f>
        <v>0.36156813894229956</v>
      </c>
      <c r="AT113" s="919">
        <v>0.15000000000000599</v>
      </c>
      <c r="AU113" s="919"/>
      <c r="AV113" s="919"/>
      <c r="AW113" s="919"/>
      <c r="AX113" s="919"/>
      <c r="AY113" s="919"/>
      <c r="AZ113" s="919">
        <f t="shared" si="25"/>
        <v>0</v>
      </c>
    </row>
    <row r="114" spans="1:52">
      <c r="A114" s="73" t="s">
        <v>1535</v>
      </c>
      <c r="B114" s="73" t="s">
        <v>1287</v>
      </c>
      <c r="C114" s="908" t="s">
        <v>1434</v>
      </c>
      <c r="D114" s="915" cm="1">
        <f t="array" ref="D11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4" s="915">
        <v>600</v>
      </c>
      <c r="F114" s="73" t="s">
        <v>1040</v>
      </c>
      <c r="G114" s="916">
        <v>100000</v>
      </c>
      <c r="H114" s="916"/>
      <c r="I114" s="916">
        <v>300</v>
      </c>
      <c r="J114" s="916">
        <v>200</v>
      </c>
      <c r="K114" s="73" t="s">
        <v>123</v>
      </c>
      <c r="L114" s="921" t="s">
        <v>122</v>
      </c>
      <c r="M114" s="915">
        <v>4</v>
      </c>
      <c r="N114" s="73" t="s">
        <v>549</v>
      </c>
      <c r="O114" s="73" t="s">
        <v>250</v>
      </c>
      <c r="P114" s="916" cm="1">
        <f t="array" ref="P114">IFERROR(_xlfn.SWITCH(F114,"By Weight",IF(H114&lt;&gt;"",H114,G114)/AR114,"By Length",G114,"By Imp",G114/MAX(1,ROUNDDOWN(E114/I114,0))*J114/1000,"IMP",G114/MAX(1,ROUNDDOWN(E114/I114,0))*J114/1000,""),"")</f>
        <v>10000</v>
      </c>
      <c r="Q114" s="916">
        <f t="shared" si="26"/>
        <v>668.21999999999991</v>
      </c>
      <c r="R114" s="917">
        <f t="shared" si="27"/>
        <v>9232.8873101562476</v>
      </c>
      <c r="S114" s="918">
        <f t="shared" si="28"/>
        <v>10710.149279781246</v>
      </c>
      <c r="T114" s="919">
        <f t="shared" si="29"/>
        <v>13.817137035940632</v>
      </c>
      <c r="U114" s="920">
        <f t="shared" si="30"/>
        <v>16.027878961691133</v>
      </c>
      <c r="V114" s="919">
        <f t="shared" si="31"/>
        <v>1.0862220364889767</v>
      </c>
      <c r="W114" s="919">
        <f t="shared" si="32"/>
        <v>16.255455336400839</v>
      </c>
      <c r="X114" s="919">
        <f t="shared" si="33"/>
        <v>0.10862220364889769</v>
      </c>
      <c r="Y114" s="920">
        <f t="shared" si="34"/>
        <v>1.260017562327213</v>
      </c>
      <c r="Z114" s="920">
        <f t="shared" si="35"/>
        <v>18.856328190224971</v>
      </c>
      <c r="AA114" s="920">
        <f t="shared" si="36"/>
        <v>0.12600175623272131</v>
      </c>
      <c r="AB114" s="917">
        <f t="shared" si="37"/>
        <v>10862.220364889767</v>
      </c>
      <c r="AC114" s="918">
        <f t="shared" si="38"/>
        <v>12600.175623272129</v>
      </c>
      <c r="AD114" s="916">
        <f t="shared" si="39"/>
        <v>7482.5656221005065</v>
      </c>
      <c r="AE114" s="916">
        <f t="shared" si="40"/>
        <v>500</v>
      </c>
      <c r="AF114" s="919" cm="1">
        <f t="array" ref="AF114">IFERROR(_xlfn.LET(_xlpm.lam,TEXT(B114,"0"),_xlpm.thick,D114,_xlpm.crit,(TEXT(HELPER!$BZ$2:$BZ$250,"0")=_xlpm.lam)*(HELPER!$CC$2:$CC$250=_xlpm.thick)*(HELPER!$BW$2:$BW$250&lt;&gt;""),_xlpm.mats,TRIM(SUBSTITUTE(_xlfn._xlws.FILTER(HELPER!$BW$2:$BW$250,_xlpm.crit),CHAR(160),"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4" s="919">
        <f>IFERROR(IF(N114="Europe to Canada",IF(Q114&lt;1000,VLOOKUP(1000,HELPER!$AG$4:$AH$8,2,FALSE)/Q114,VLOOKUP(Q114,HELPER!$AG$4:$AH$8,2,TRUE)/Q114),IF(N114="Europe to US",HELPER!$AH$2,IF(N114="Europe to Europe",HELPER!$AH$3,0))),0)</f>
        <v>0.2</v>
      </c>
      <c r="AH114" s="919" cm="1">
        <f t="array" ref="AH114">IFERROR(_xlfn.LET(_xlpm.cap,IF(O114="Quantum",760,1220),_xlpm.wUsed,E114*MAX(1,MIN(MAX(2,INT(900/E114)),INT((_xlpm.cap-50)/E114))),_xlpm.kgmUsed,AR114/E114*_xlpm.wUsed,_xlpm.lam,TEXT(B114,"0"),_xlpm.crit,(TEXT(HELPER!$BZ$2:$BZ$250,"0")=_xlpm.lam)*(HELPER!$CC$2:$CC$250=D114)*(HELPER!$BW$2:$BW$250&lt;&gt;""),_xlpm.mats,_xlfn._xlws.FILTER(HELPER!$BW$2:$BW$250,_xlpm.crit),_xlpm.realLayers,SUM((_xlpm.mats&lt;&gt;"")*ISERROR(SEARCH("EPOTAL",_xlpm.mats&amp;""))*ISERROR(SEARCH("BASONAT",_xlpm.mats&amp;""))*ISERROR(SEARCH("ADH",_xlpm.mats&amp;""))*ISERROR(SEARCH("HARDENER",_xlpm.mats&amp;""))),_xlpm.steps,MAX(0,_xlpm.realLayers-1),_xlpm.tier,IF(P114&lt;3000,1,IF(P114&lt;10000,2,IF(P114&lt;25000,3,IF(P114&lt;50000,4,IF(P114&lt;100000,5,IF(P114&lt;250000,6,7)))))),_xlpm.widthRow,IF(_xlpm.wUsed&lt;900,0,5),_xlpm.supplierRow,IF(O114="Marma",3,IF(OR(O114="Bastin",O114="Quantum"),13,0)),_xlpm.rate,INDEX('Lmntn &amp; Prntng- Marma &amp; Bastin '!$D$1:$K$22,_xlpm.supplierRow+_xlpm.widthRow,_xlpm.tier),_xlpm.rate*_xlpm.steps/_xlpm.kgmUsed),"")</f>
        <v>2.7395169255634375</v>
      </c>
      <c r="AI114" s="919" cm="1">
        <f t="array" ref="AI114">IFERROR(_xlfn.LET(_xlpm.cap,IF(O114="Quantum",760,1220),_xlpm.wUsed,E114*MAX(1,MIN(MAX(2,INT(900/E114)),INT((_xlpm.cap-50)/E114))),_xlpm.kgmUsed,AR114/E114*_xlpm.wUsed,_xlpm.tier,IF(P114&lt;3000,1,IF(P114&lt;10000,2,IF(P114&lt;25000,3,IF(P114&lt;50000,4,IF(P114&lt;100000,5,IF(P114&lt;250000,6,IF(P114&lt;500000,7,8))))))),_xlpm.widthRow,IF(_xlpm.wUsed&lt;900,0,5),_xlpm.slitRow,IF(O114="Marma",7,IF(OR(O114="Bastin",O114="Quantum"),17,0)),_xlpm.slitRate,INDEX('Lmntn &amp; Prntng- Marma &amp; Bastin '!$D$1:$K$22,_xlpm.slitRow+_xlpm.widthRow,_xlpm.tier),_xlpm.numColors,IF(ISNUMBER(L114),L114,IFERROR(--RIGHT(L114,LEN(L114)-FIND("-",L114)),0)),_xlpm.printRate,IF(OR(K114&lt;&gt;"Printed",_xlpm.numColors=0),0,IF(O114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114))),MAX(_xlfn._xlws.FILTER(_xlpm.meters,(_xlpm.widths=_xlpm.qWidth)*(_xlpm.bands=_xlpm.band)))),INDEX(_xlpm.rates,_xlfn.XMATCH(1,(_xlpm.widths=_xlpm.qWidth)*(_xlpm.bands=_xlpm.band)*(_xlpm.meters=_xlpm.targetM),0))/HELPER!$AK$2),_xlfn.LET(_xlpm.colorOffset,IF(_xlpm.numColors&lt;=2,1,IF(_xlpm.numColors&lt;=4,2,3)),_xlpm.supplierRow,IF(O114="Marma",3,IF(O114="Bastin",13,0)),INDEX('Lmntn &amp; Prntng- Marma &amp; Bastin '!$D$1:$K$22,_xlpm.supplierRow+_xlpm.widthRow+_xlpm.colorOffset,_xlpm.tier)))),AH114+_xlpm.slitRate/_xlpm.kgmUsed+_xlpm.printRate/_xlpm.kgmUsed+AJ114),"")</f>
        <v>7.5364400945796302</v>
      </c>
      <c r="AJ114" s="919" cm="1">
        <f t="array" ref="AJ114">IF(OR(K114&lt;&gt;"Printed",L114=0,L114="0",L114=""),0,IFERROR(_xlfn.LET(_xlpm.lam,TEXT(B114,"0"),_xlpm.crit,(TEXT(HELPER!$BZ$2:$BZ$250,"0")=_xlpm.lam)*(HELPER!$CC$2:$CC$250=D114)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WHITE"},0)))/ROWS(_xlpm.real),_xlpm.numColors,IF(ISNUMBER(L114),L114,IFERROR(--RIGHT(L114,LEN(L114)-FIND("-",L114)),0)),HELPER!$DB$1*_xlpm.numColors*MAX(1,M114)*1.05*_xlpm.nkRatio/Q114),0))</f>
        <v>2.5141420490257702</v>
      </c>
      <c r="AK114" s="919">
        <f t="shared" si="41"/>
        <v>1.1679806843967493</v>
      </c>
      <c r="AL114" s="919">
        <f t="shared" si="42"/>
        <v>1086.2220364889768</v>
      </c>
      <c r="AM114" s="73" t="str">
        <f t="shared" si="43"/>
        <v>PASS</v>
      </c>
      <c r="AN114" s="908" t="str">
        <f t="shared" si="22"/>
        <v/>
      </c>
      <c r="AO114" s="919">
        <f t="shared" si="23"/>
        <v>103</v>
      </c>
      <c r="AP114" s="919">
        <f t="shared" si="24"/>
        <v>10000</v>
      </c>
      <c r="AQ114" s="919"/>
      <c r="AR114" s="919" cm="1">
        <f t="array" ref="AR114">IFERROR(_xlfn.LET(_xlpm.lam,TEXT(B114,"0"),_xlpm.thick,D114,_xlpm.crit,(TEXT(HELPER!$BZ$2:$BZ$250,"0")=_xlpm.lam)*(HELPER!$CC$2:$CC$250=_xlpm.thick)*(HELPER!$BW$2:$BW$250&lt;&gt;""),_xlpm.mats,TRIM(SUBSTITUTE(_xlfn._xlws.FILTER(HELPER!$BW$2:$BW$250,_xlpm.crit),CHAR(160),"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")),HELPER!$AQ$2:$AQ$20,1),_xlpm.mass,IF(ISNUMBER(SEARCH("paper",_xlpm.mats)),42,_xlpm.dens*_xlpm.ths),E114/1000000*SUM(_xlpm.mass)),"")</f>
        <v>6.6821999999999993E-2</v>
      </c>
      <c r="AS114" s="919">
        <f>IFERROR(IF(D114&gt;31,(5%+250/P114)*AF114,VLOOKUP(D114,HELPER!$BH$3:$BI$5,2,TRUE)*AF114),0)</f>
        <v>0.42423467032751189</v>
      </c>
      <c r="AT114" s="919">
        <v>0.15000000000000499</v>
      </c>
      <c r="AU114" s="919"/>
      <c r="AV114" s="919"/>
      <c r="AW114" s="919"/>
      <c r="AX114" s="919"/>
      <c r="AY114" s="919"/>
      <c r="AZ114" s="919">
        <f t="shared" si="25"/>
        <v>1680</v>
      </c>
    </row>
    <row r="115" spans="1:52">
      <c r="A115" s="73" t="s">
        <v>1536</v>
      </c>
      <c r="B115" s="73" t="s">
        <v>1287</v>
      </c>
      <c r="C115" s="908" t="s">
        <v>1436</v>
      </c>
      <c r="D115" s="915" cm="1">
        <f t="array" ref="D11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5" s="915">
        <v>450</v>
      </c>
      <c r="F115" s="73" t="s">
        <v>560</v>
      </c>
      <c r="G115" s="916">
        <v>500</v>
      </c>
      <c r="H115" s="916">
        <v>500</v>
      </c>
      <c r="I115" s="916"/>
      <c r="J115" s="916"/>
      <c r="K115" s="73" t="s">
        <v>123</v>
      </c>
      <c r="L115" s="921" t="s">
        <v>591</v>
      </c>
      <c r="M115" s="915">
        <v>2</v>
      </c>
      <c r="N115" s="73" t="s">
        <v>549</v>
      </c>
      <c r="O115" s="73" t="s">
        <v>1366</v>
      </c>
      <c r="P115" s="916" cm="1">
        <f t="array" ref="P115">IFERROR(_xlfn.SWITCH(F115,"By Weight",IF(H115&lt;&gt;"",H115,G115)/AR115,"By Length",G115,"By Imp",G115/MAX(1,ROUNDDOWN(E115/I115,0))*J115/1000,"IMP",G115/MAX(1,ROUNDDOWN(E115/I115,0))*J115/1000,""),"")</f>
        <v>9976.7541628006747</v>
      </c>
      <c r="Q115" s="916">
        <f t="shared" si="26"/>
        <v>500.00000000000006</v>
      </c>
      <c r="R115" s="917">
        <f t="shared" si="27"/>
        <v>14568.738532912368</v>
      </c>
      <c r="S115" s="918">
        <f t="shared" si="28"/>
        <v>16899.736698178345</v>
      </c>
      <c r="T115" s="919">
        <f t="shared" si="29"/>
        <v>29.137477065824733</v>
      </c>
      <c r="U115" s="920">
        <f t="shared" si="30"/>
        <v>33.799473396356689</v>
      </c>
      <c r="V115" s="919">
        <f t="shared" si="31"/>
        <v>1.8253354617117656</v>
      </c>
      <c r="W115" s="919">
        <f t="shared" si="32"/>
        <v>36.421846332281099</v>
      </c>
      <c r="X115" s="919" t="str">
        <f t="shared" si="33"/>
        <v/>
      </c>
      <c r="Y115" s="920">
        <f t="shared" si="34"/>
        <v>2.1173891355856478</v>
      </c>
      <c r="Z115" s="920">
        <f t="shared" si="35"/>
        <v>42.249341745446074</v>
      </c>
      <c r="AA115" s="920" t="str">
        <f t="shared" si="36"/>
        <v/>
      </c>
      <c r="AB115" s="917">
        <f t="shared" si="37"/>
        <v>18210.92316614055</v>
      </c>
      <c r="AC115" s="918">
        <f t="shared" si="38"/>
        <v>21124.670872723036</v>
      </c>
      <c r="AD115" s="916">
        <f t="shared" si="39"/>
        <v>9976.7541628006747</v>
      </c>
      <c r="AE115" s="916">
        <f t="shared" si="40"/>
        <v>500</v>
      </c>
      <c r="AF115" s="919" cm="1">
        <f t="array" ref="AF115">IFERROR(_xlfn.LET(_xlpm.lam,TEXT(B115,"0"),_xlpm.thick,D115,_xlpm.crit,(TEXT(HELPER!$BZ$2:$BZ$250,"0")=_xlpm.lam)*(HELPER!$CC$2:$CC$250=_xlpm.thick)*(HELPER!$BW$2:$BW$250&lt;&gt;""),_xlpm.mats,TRIM(SUBSTITUTE(_xlfn._xlws.FILTER(HELPER!$BW$2:$BW$250,_xlpm.crit),CHAR(160),"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5" s="919">
        <f>IFERROR(IF(N115="Europe to Canada",IF(Q115&lt;1000,VLOOKUP(1000,HELPER!$AG$4:$AH$8,2,FALSE)/Q115,VLOOKUP(Q115,HELPER!$AG$4:$AH$8,2,TRUE)/Q115),IF(N115="Europe to US",HELPER!$AH$2,IF(N115="Europe to Europe",HELPER!$AH$3,0))),0)</f>
        <v>0.2</v>
      </c>
      <c r="AH115" s="919" cm="1">
        <f t="array" ref="AH115">IFERROR(_xlfn.LET(_xlpm.cap,IF(O115="Quantum",760,1220),_xlpm.wUsed,E115*MAX(1,MIN(MAX(2,INT(900/E115)),INT((_xlpm.cap-50)/E115))),_xlpm.kgmUsed,AR115/E115*_xlpm.wUsed,_xlpm.lam,TEXT(B115,"0"),_xlpm.crit,(TEXT(HELPER!$BZ$2:$BZ$250,"0")=_xlpm.lam)*(HELPER!$CC$2:$CC$250=D115)*(HELPER!$BW$2:$BW$250&lt;&gt;""),_xlpm.mats,_xlfn._xlws.FILTER(HELPER!$BW$2:$BW$250,_xlpm.crit),_xlpm.realLayers,SUM((_xlpm.mats&lt;&gt;"")*ISERROR(SEARCH("EPOTAL",_xlpm.mats&amp;""))*ISERROR(SEARCH("BASONAT",_xlpm.mats&amp;""))*ISERROR(SEARCH("ADH",_xlpm.mats&amp;""))*ISERROR(SEARCH("HARDENER",_xlpm.mats&amp;""))),_xlpm.steps,MAX(0,_xlpm.realLayers-1),_xlpm.tier,IF(P115&lt;3000,1,IF(P115&lt;10000,2,IF(P115&lt;25000,3,IF(P115&lt;50000,4,IF(P115&lt;100000,5,IF(P115&lt;250000,6,7)))))),_xlpm.widthRow,IF(_xlpm.wUsed&lt;900,0,5),_xlpm.supplierRow,IF(O115="Marma",3,IF(OR(O115="Bastin",O115="Quantum"),13,0)),_xlpm.rate,INDEX('Lmntn &amp; Prntng- Marma &amp; Bastin '!$D$1:$K$22,_xlpm.supplierRow+_xlpm.widthRow,_xlpm.tier),_xlpm.rate*_xlpm.steps/_xlpm.kgmUsed),"")</f>
        <v>5.4021729370566582</v>
      </c>
      <c r="AI115" s="919" cm="1">
        <f t="array" ref="AI115">IFERROR(_xlfn.LET(_xlpm.cap,IF(O115="Quantum",760,1220),_xlpm.wUsed,E115*MAX(1,MIN(MAX(2,INT(900/E115)),INT((_xlpm.cap-50)/E115))),_xlpm.kgmUsed,AR115/E115*_xlpm.wUsed,_xlpm.tier,IF(P115&lt;3000,1,IF(P115&lt;10000,2,IF(P115&lt;25000,3,IF(P115&lt;50000,4,IF(P115&lt;100000,5,IF(P115&lt;250000,6,IF(P115&lt;500000,7,8))))))),_xlpm.widthRow,IF(_xlpm.wUsed&lt;900,0,5),_xlpm.slitRow,IF(O115="Marma",7,IF(OR(O115="Bastin",O115="Quantum"),17,0)),_xlpm.slitRate,INDEX('Lmntn &amp; Prntng- Marma &amp; Bastin '!$D$1:$K$22,_xlpm.slitRow+_xlpm.widthRow,_xlpm.tier),_xlpm.numColors,IF(ISNUMBER(L115),L115,IFERROR(--RIGHT(L115,LEN(L115)-FIND("-",L115)),0)),_xlpm.printRate,IF(OR(K115&lt;&gt;"Printed",_xlpm.numColors=0),0,IF(O115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115))),MAX(_xlfn._xlws.FILTER(_xlpm.meters,(_xlpm.widths=_xlpm.qWidth)*(_xlpm.bands=_xlpm.band)))),INDEX(_xlpm.rates,_xlfn.XMATCH(1,(_xlpm.widths=_xlpm.qWidth)*(_xlpm.bands=_xlpm.band)*(_xlpm.meters=_xlpm.targetM),0))/HELPER!$AK$2),_xlfn.LET(_xlpm.colorOffset,IF(_xlpm.numColors&lt;=2,1,IF(_xlpm.numColors&lt;=4,2,3)),_xlpm.supplierRow,IF(O115="Marma",3,IF(O115="Bastin",13,0)),INDEX('Lmntn &amp; Prntng- Marma &amp; Bastin '!$D$1:$K$22,_xlpm.supplierRow+_xlpm.widthRow+_xlpm.colorOffset,_xlpm.tier)))),AH115+_xlpm.slitRate/_xlpm.kgmUsed+_xlpm.printRate/_xlpm.kgmUsed+AJ115),"")</f>
        <v>22.856450635536444</v>
      </c>
      <c r="AJ115" s="919" cm="1">
        <f t="array" ref="AJ115">IF(OR(K115&lt;&gt;"Printed",L115=0,L115="0",L115=""),0,IFERROR(_xlfn.LET(_xlpm.lam,TEXT(B115,"0"),_xlpm.crit,(TEXT(HELPER!$BZ$2:$BZ$250,"0")=_xlpm.lam)*(HELPER!$CC$2:$CC$250=D115)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WHITE"},0)))/ROWS(_xlpm.real),_xlpm.numColors,IF(ISNUMBER(L115),L115,IFERROR(--RIGHT(L115,LEN(L115)-FIND("-",L115)),0)),HELPER!$DB$1*_xlpm.numColors*MAX(1,M115)*1.05*_xlpm.nkRatio/Q115),0))</f>
        <v>0.83999999999999986</v>
      </c>
      <c r="AK115" s="919">
        <f t="shared" si="41"/>
        <v>2.616968403887836</v>
      </c>
      <c r="AL115" s="919">
        <f t="shared" si="42"/>
        <v>1825.3354617117657</v>
      </c>
      <c r="AM115" s="73" t="str">
        <f t="shared" si="43"/>
        <v>PASS</v>
      </c>
      <c r="AN115" s="908" t="str">
        <f t="shared" si="22"/>
        <v/>
      </c>
      <c r="AO115" s="919">
        <f t="shared" si="23"/>
        <v>103</v>
      </c>
      <c r="AP115" s="919">
        <f t="shared" si="24"/>
        <v>9976.7541628006747</v>
      </c>
      <c r="AQ115" s="919"/>
      <c r="AR115" s="919" cm="1">
        <f t="array" ref="AR115">IFERROR(_xlfn.LET(_xlpm.lam,TEXT(B115,"0"),_xlpm.thick,D115,_xlpm.crit,(TEXT(HELPER!$BZ$2:$BZ$250,"0")=_xlpm.lam)*(HELPER!$CC$2:$CC$250=_xlpm.thick)*(HELPER!$BW$2:$BW$250&lt;&gt;""),_xlpm.mats,TRIM(SUBSTITUTE(_xlfn._xlws.FILTER(HELPER!$BW$2:$BW$250,_xlpm.crit),CHAR(160),"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")),HELPER!$AQ$2:$AQ$20,1),_xlpm.mass,IF(ISNUMBER(SEARCH("paper",_xlpm.mats)),42,_xlpm.dens*_xlpm.ths),E115/1000000*SUM(_xlpm.mass)),"")</f>
        <v>5.0116500000000001E-2</v>
      </c>
      <c r="AS115" s="919">
        <f>IFERROR(IF(D115&gt;31,(5%+250/P115)*AF115,VLOOKUP(D115,HELPER!$BH$3:$BI$5,2,TRUE)*AF115),0)</f>
        <v>0.42456415925479957</v>
      </c>
      <c r="AT115" s="919">
        <v>0.20000000000000401</v>
      </c>
      <c r="AU115" s="919"/>
      <c r="AV115" s="919"/>
      <c r="AW115" s="919"/>
      <c r="AX115" s="919"/>
      <c r="AY115" s="919"/>
      <c r="AZ115" s="919">
        <f t="shared" si="25"/>
        <v>420</v>
      </c>
    </row>
    <row r="116" spans="1:52">
      <c r="A116" s="73" t="s">
        <v>1537</v>
      </c>
      <c r="B116" s="73">
        <v>819</v>
      </c>
      <c r="C116" s="908" t="s">
        <v>1418</v>
      </c>
      <c r="D116" s="915" cm="1">
        <f t="array" ref="D11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6" s="915">
        <v>120</v>
      </c>
      <c r="F116" s="73" t="s">
        <v>560</v>
      </c>
      <c r="G116" s="916">
        <v>100</v>
      </c>
      <c r="H116" s="916">
        <v>100</v>
      </c>
      <c r="I116" s="916"/>
      <c r="J116" s="916"/>
      <c r="K116" s="73" t="s">
        <v>124</v>
      </c>
      <c r="L116" s="921" t="s">
        <v>221</v>
      </c>
      <c r="M116" s="915">
        <v>1</v>
      </c>
      <c r="N116" s="73" t="s">
        <v>549</v>
      </c>
      <c r="O116" s="73" t="s">
        <v>250</v>
      </c>
      <c r="P116" s="916" cm="1">
        <f t="array" ref="P116">IFERROR(_xlfn.SWITCH(F116,"By Weight",IF(H116&lt;&gt;"",H116,G116)/AR116,"By Length",G116,"By Imp",G116/MAX(1,ROUNDDOWN(E116/I116,0))*J116/1000,"IMP",G116/MAX(1,ROUNDDOWN(E116/I116,0))*J116/1000,""),"")</f>
        <v>7415.9769808074516</v>
      </c>
      <c r="Q116" s="916">
        <f t="shared" si="26"/>
        <v>100</v>
      </c>
      <c r="R116" s="917">
        <f t="shared" si="27"/>
        <v>807.28936035167942</v>
      </c>
      <c r="S116" s="918">
        <f t="shared" si="28"/>
        <v>936.45565800794805</v>
      </c>
      <c r="T116" s="919">
        <f t="shared" si="29"/>
        <v>8.0728936035167944</v>
      </c>
      <c r="U116" s="920">
        <f t="shared" si="30"/>
        <v>9.3645565800794817</v>
      </c>
      <c r="V116" s="919">
        <f t="shared" si="31"/>
        <v>0.12806838412619059</v>
      </c>
      <c r="W116" s="919">
        <f t="shared" si="32"/>
        <v>9.4975218864903574</v>
      </c>
      <c r="X116" s="919" t="str">
        <f t="shared" si="33"/>
        <v/>
      </c>
      <c r="Y116" s="920">
        <f t="shared" si="34"/>
        <v>0.14855932558638107</v>
      </c>
      <c r="Z116" s="920">
        <f t="shared" si="35"/>
        <v>11.017125388328814</v>
      </c>
      <c r="AA116" s="920" t="str">
        <f t="shared" si="36"/>
        <v/>
      </c>
      <c r="AB116" s="917">
        <f t="shared" si="37"/>
        <v>949.7521886490357</v>
      </c>
      <c r="AC116" s="918">
        <f t="shared" si="38"/>
        <v>1101.7125388328814</v>
      </c>
      <c r="AD116" s="916">
        <f t="shared" si="39"/>
        <v>37079.884904037259</v>
      </c>
      <c r="AE116" s="916">
        <f t="shared" si="40"/>
        <v>500</v>
      </c>
      <c r="AF116" s="919" cm="1">
        <f t="array" ref="AF116">IFERROR(_xlfn.LET(_xlpm.lam,TEXT(B116,"0"),_xlpm.thick,D116,_xlpm.crit,(TEXT(HELPER!$BZ$2:$BZ$250,"0")=_xlpm.lam)*(HELPER!$CC$2:$CC$250=_xlpm.thick)*(HELPER!$BW$2:$BW$250&lt;&gt;""),_xlpm.mats,TRIM(SUBSTITUTE(_xlfn._xlws.FILTER(HELPER!$BW$2:$BW$250,_xlpm.crit),CHAR(160),"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6" s="919">
        <f>IFERROR(IF(N116="Europe to Canada",IF(Q116&lt;1000,VLOOKUP(1000,HELPER!$AG$4:$AH$8,2,FALSE)/Q116,VLOOKUP(Q116,HELPER!$AG$4:$AH$8,2,TRUE)/Q116),IF(N116="Europe to US",HELPER!$AH$2,IF(N116="Europe to Europe",HELPER!$AH$3,0))),0)</f>
        <v>0.2</v>
      </c>
      <c r="AH116" s="919" cm="1">
        <f t="array" ref="AH116">IFERROR(_xlfn.LET(_xlpm.cap,IF(O116="Quantum",760,1220),_xlpm.wUsed,E116*MAX(1,MIN(MAX(2,INT(900/E116)),INT((_xlpm.cap-50)/E116))),_xlpm.kgmUsed,AR116/E116*_xlpm.wUsed,_xlpm.lam,TEXT(B116,"0"),_xlpm.crit,(TEXT(HELPER!$BZ$2:$BZ$250,"0")=_xlpm.lam)*(HELPER!$CC$2:$CC$250=D116)*(HELPER!$BW$2:$BW$250&lt;&gt;""),_xlpm.mats,_xlfn._xlws.FILTER(HELPER!$BW$2:$BW$250,_xlpm.crit),_xlpm.realLayers,SUM((_xlpm.mats&lt;&gt;"")*ISERROR(SEARCH("EPOTAL",_xlpm.mats&amp;""))*ISERROR(SEARCH("BASONAT",_xlpm.mats&amp;""))*ISERROR(SEARCH("ADH",_xlpm.mats&amp;""))*ISERROR(SEARCH("HARDENER",_xlpm.mats&amp;""))),_xlpm.steps,MAX(0,_xlpm.realLayers-1),_xlpm.tier,IF(P116&lt;3000,1,IF(P116&lt;10000,2,IF(P116&lt;25000,3,IF(P116&lt;50000,4,IF(P116&lt;100000,5,IF(P116&lt;250000,6,7)))))),_xlpm.widthRow,IF(_xlpm.wUsed&lt;900,0,5),_xlpm.supplierRow,IF(O116="Marma",3,IF(OR(O116="Bastin",O116="Quantum"),13,0)),_xlpm.rate,INDEX('Lmntn &amp; Prntng- Marma &amp; Bastin '!$D$1:$K$22,_xlpm.supplierRow+_xlpm.widthRow,_xlpm.tier),_xlpm.rate*_xlpm.steps/_xlpm.kgmUsed),"")</f>
        <v>2.2063590943185138</v>
      </c>
      <c r="AI116" s="919" cm="1">
        <f t="array" ref="AI116">IFERROR(_xlfn.LET(_xlpm.cap,IF(O116="Quantum",760,1220),_xlpm.wUsed,E116*MAX(1,MIN(MAX(2,INT(900/E116)),INT((_xlpm.cap-50)/E116))),_xlpm.kgmUsed,AR116/E116*_xlpm.wUsed,_xlpm.tier,IF(P116&lt;3000,1,IF(P116&lt;10000,2,IF(P116&lt;25000,3,IF(P116&lt;50000,4,IF(P116&lt;100000,5,IF(P116&lt;250000,6,IF(P116&lt;500000,7,8))))))),_xlpm.widthRow,IF(_xlpm.wUsed&lt;900,0,5),_xlpm.slitRow,IF(O116="Marma",7,IF(OR(O116="Bastin",O116="Quantum"),17,0)),_xlpm.slitRate,INDEX('Lmntn &amp; Prntng- Marma &amp; Bastin '!$D$1:$K$22,_xlpm.slitRow+_xlpm.widthRow,_xlpm.tier),_xlpm.numColors,IF(ISNUMBER(L116),L116,IFERROR(--RIGHT(L116,LEN(L116)-FIND("-",L116)),0)),_xlpm.printRate,IF(OR(K116&lt;&gt;"Printed",_xlpm.numColors=0),0,IF(O116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116))),MAX(_xlfn._xlws.FILTER(_xlpm.meters,(_xlpm.widths=_xlpm.qWidth)*(_xlpm.bands=_xlpm.band)))),INDEX(_xlpm.rates,_xlfn.XMATCH(1,(_xlpm.widths=_xlpm.qWidth)*(_xlpm.bands=_xlpm.band)*(_xlpm.meters=_xlpm.targetM),0))/HELPER!$AK$2),_xlfn.LET(_xlpm.colorOffset,IF(_xlpm.numColors&lt;=2,1,IF(_xlpm.numColors&lt;=4,2,3)),_xlpm.supplierRow,IF(O116="Marma",3,IF(O116="Bastin",13,0)),INDEX('Lmntn &amp; Prntng- Marma &amp; Bastin '!$D$1:$K$22,_xlpm.supplierRow+_xlpm.widthRow+_xlpm.colorOffset,_xlpm.tier)))),AH116+_xlpm.slitRate/_xlpm.kgmUsed+_xlpm.printRate/_xlpm.kgmUsed+AJ116),"")</f>
        <v>2.5286362653987462</v>
      </c>
      <c r="AJ116" s="919" cm="1">
        <f t="array" ref="AJ116">IF(OR(K116&lt;&gt;"Printed",L116=0,L116="0",L116=""),0,IFERROR(_xlfn.LET(_xlpm.lam,TEXT(B116,"0"),_xlpm.crit,(TEXT(HELPER!$BZ$2:$BZ$250,"0")=_xlpm.lam)*(HELPER!$CC$2:$CC$250=D116)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WHITE"},0)))/ROWS(_xlpm.real),_xlpm.numColors,IF(ISNUMBER(L116),L116,IFERROR(--RIGHT(L116,LEN(L116)-FIND("-",L116)),0)),HELPER!$DB$1*_xlpm.numColors*MAX(1,M116)*1.05*_xlpm.nkRatio/Q116),0))</f>
        <v>0</v>
      </c>
      <c r="AK116" s="919">
        <f t="shared" si="41"/>
        <v>0.68853969960317518</v>
      </c>
      <c r="AL116" s="919">
        <f t="shared" si="42"/>
        <v>128.06838412619058</v>
      </c>
      <c r="AM116" s="73" t="str">
        <f t="shared" si="43"/>
        <v>PASS</v>
      </c>
      <c r="AN116" s="908" t="str">
        <f t="shared" si="22"/>
        <v/>
      </c>
      <c r="AO116" s="919">
        <f t="shared" si="23"/>
        <v>121</v>
      </c>
      <c r="AP116" s="919">
        <f t="shared" si="24"/>
        <v>7415.9769808074516</v>
      </c>
      <c r="AQ116" s="919"/>
      <c r="AR116" s="919" cm="1">
        <f t="array" ref="AR116">IFERROR(_xlfn.LET(_xlpm.lam,TEXT(B116,"0"),_xlpm.thick,D116,_xlpm.crit,(TEXT(HELPER!$BZ$2:$BZ$250,"0")=_xlpm.lam)*(HELPER!$CC$2:$CC$250=_xlpm.thick)*(HELPER!$BW$2:$BW$250&lt;&gt;""),_xlpm.mats,TRIM(SUBSTITUTE(_xlfn._xlws.FILTER(HELPER!$BW$2:$BW$250,_xlpm.crit),CHAR(160),"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")),HELPER!$AQ$2:$AQ$20,1),_xlpm.mass,IF(ISNUMBER(SEARCH("paper",_xlpm.mats)),42,_xlpm.dens*_xlpm.ths),E116/1000000*SUM(_xlpm.mass)),"")</f>
        <v>1.3484400000000001E-2</v>
      </c>
      <c r="AS116" s="919">
        <f>IFERROR(IF(D116&gt;31,(5%+250/P116)*AF116,VLOOKUP(D116,HELPER!$BH$3:$BI$5,2,TRUE)*AF116),0)</f>
        <v>0.41281589467228802</v>
      </c>
      <c r="AT116" s="919">
        <v>0.15000000000000099</v>
      </c>
      <c r="AU116" s="919"/>
      <c r="AV116" s="919"/>
      <c r="AW116" s="919"/>
      <c r="AX116" s="919"/>
      <c r="AY116" s="919"/>
      <c r="AZ116" s="919">
        <f t="shared" si="25"/>
        <v>0</v>
      </c>
    </row>
    <row r="117" spans="1:52">
      <c r="A117" s="73" t="s">
        <v>1538</v>
      </c>
      <c r="B117" s="73">
        <v>819</v>
      </c>
      <c r="C117" s="908" t="s">
        <v>1420</v>
      </c>
      <c r="D117" s="915" cm="1">
        <f t="array" ref="D11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7" s="915">
        <v>120</v>
      </c>
      <c r="F117" s="73" t="s">
        <v>1040</v>
      </c>
      <c r="G117" s="916">
        <v>1000</v>
      </c>
      <c r="H117" s="916"/>
      <c r="I117" s="916">
        <v>80</v>
      </c>
      <c r="J117" s="916">
        <v>80</v>
      </c>
      <c r="K117" s="73" t="s">
        <v>123</v>
      </c>
      <c r="L117" s="921" t="s">
        <v>591</v>
      </c>
      <c r="M117" s="915">
        <v>1</v>
      </c>
      <c r="N117" s="73" t="s">
        <v>550</v>
      </c>
      <c r="O117" s="73" t="s">
        <v>240</v>
      </c>
      <c r="P117" s="916" cm="1">
        <f t="array" ref="P117">IFERROR(_xlfn.SWITCH(F117,"By Weight",IF(H117&lt;&gt;"",H117,G117)/AR117,"By Length",G117,"By Imp",G117/MAX(1,ROUNDDOWN(E117/I117,0))*J117/1000,"IMP",G117/MAX(1,ROUNDDOWN(E117/I117,0))*J117/1000,""),"")</f>
        <v>80</v>
      </c>
      <c r="Q117" s="916">
        <f t="shared" si="26"/>
        <v>1.0787520000000002</v>
      </c>
      <c r="R117" s="917">
        <f t="shared" si="27"/>
        <v>245.39033834314284</v>
      </c>
      <c r="S117" s="918">
        <f t="shared" si="28"/>
        <v>284.65279247804568</v>
      </c>
      <c r="T117" s="919">
        <f t="shared" si="29"/>
        <v>227.47613755816241</v>
      </c>
      <c r="U117" s="920">
        <f t="shared" si="30"/>
        <v>263.87231956746837</v>
      </c>
      <c r="V117" s="919">
        <f t="shared" si="31"/>
        <v>3.6086814462226888</v>
      </c>
      <c r="W117" s="919">
        <f t="shared" si="32"/>
        <v>267.61898536254404</v>
      </c>
      <c r="X117" s="919">
        <f t="shared" si="33"/>
        <v>0.28869451569781512</v>
      </c>
      <c r="Y117" s="920">
        <f t="shared" si="34"/>
        <v>4.1860704776183191</v>
      </c>
      <c r="Z117" s="920">
        <f t="shared" si="35"/>
        <v>310.43802302055104</v>
      </c>
      <c r="AA117" s="920">
        <f t="shared" si="36"/>
        <v>0.33488563820946554</v>
      </c>
      <c r="AB117" s="917">
        <f t="shared" si="37"/>
        <v>288.69451569781512</v>
      </c>
      <c r="AC117" s="918">
        <f t="shared" si="38"/>
        <v>334.88563820946553</v>
      </c>
      <c r="AD117" s="916">
        <f t="shared" si="39"/>
        <v>37079.884904037259</v>
      </c>
      <c r="AE117" s="916">
        <f t="shared" si="40"/>
        <v>500</v>
      </c>
      <c r="AF117" s="919" cm="1">
        <f t="array" ref="AF117">IFERROR(_xlfn.LET(_xlpm.lam,TEXT(B117,"0"),_xlpm.thick,D117,_xlpm.crit,(TEXT(HELPER!$BZ$2:$BZ$250,"0")=_xlpm.lam)*(HELPER!$CC$2:$CC$250=_xlpm.thick)*(HELPER!$BW$2:$BW$250&lt;&gt;""),_xlpm.mats,TRIM(SUBSTITUTE(_xlfn._xlws.FILTER(HELPER!$BW$2:$BW$250,_xlpm.crit),CHAR(160),"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7" s="919">
        <f>IFERROR(IF(N117="Europe to Canada",IF(Q117&lt;1000,VLOOKUP(1000,HELPER!$AG$4:$AH$8,2,FALSE)/Q117,VLOOKUP(Q117,HELPER!$AG$4:$AH$8,2,TRUE)/Q117),IF(N117="Europe to US",HELPER!$AH$2,IF(N117="Europe to Europe",HELPER!$AH$3,0))),0)</f>
        <v>5.4</v>
      </c>
      <c r="AH117" s="919" cm="1">
        <f t="array" ref="AH117">IFERROR(_xlfn.LET(_xlpm.cap,IF(O117="Quantum",760,1220),_xlpm.wUsed,E117*MAX(1,MIN(MAX(2,INT(900/E117)),INT((_xlpm.cap-50)/E117))),_xlpm.kgmUsed,AR117/E117*_xlpm.wUsed,_xlpm.lam,TEXT(B117,"0"),_xlpm.crit,(TEXT(HELPER!$BZ$2:$BZ$250,"0")=_xlpm.lam)*(HELPER!$CC$2:$CC$250=D117)*(HELPER!$BW$2:$BW$250&lt;&gt;""),_xlpm.mats,_xlfn._xlws.FILTER(HELPER!$BW$2:$BW$250,_xlpm.crit),_xlpm.realLayers,SUM((_xlpm.mats&lt;&gt;"")*ISERROR(SEARCH("EPOTAL",_xlpm.mats&amp;""))*ISERROR(SEARCH("BASONAT",_xlpm.mats&amp;""))*ISERROR(SEARCH("ADH",_xlpm.mats&amp;""))*ISERROR(SEARCH("HARDENER",_xlpm.mats&amp;""))),_xlpm.steps,MAX(0,_xlpm.realLayers-1),_xlpm.tier,IF(P117&lt;3000,1,IF(P117&lt;10000,2,IF(P117&lt;25000,3,IF(P117&lt;50000,4,IF(P117&lt;100000,5,IF(P117&lt;250000,6,7)))))),_xlpm.widthRow,IF(_xlpm.wUsed&lt;900,0,5),_xlpm.supplierRow,IF(O117="Marma",3,IF(OR(O117="Bastin",O117="Quantum"),13,0)),_xlpm.rate,INDEX('Lmntn &amp; Prntng- Marma &amp; Bastin '!$D$1:$K$22,_xlpm.supplierRow+_xlpm.widthRow,_xlpm.tier),_xlpm.rate*_xlpm.steps/_xlpm.kgmUsed),"")</f>
        <v>3.2153345453158564</v>
      </c>
      <c r="AI117" s="919" cm="1">
        <f t="array" ref="AI117">IFERROR(_xlfn.LET(_xlpm.cap,IF(O117="Quantum",760,1220),_xlpm.wUsed,E117*MAX(1,MIN(MAX(2,INT(900/E117)),INT((_xlpm.cap-50)/E117))),_xlpm.kgmUsed,AR117/E117*_xlpm.wUsed,_xlpm.tier,IF(P117&lt;3000,1,IF(P117&lt;10000,2,IF(P117&lt;25000,3,IF(P117&lt;50000,4,IF(P117&lt;100000,5,IF(P117&lt;250000,6,IF(P117&lt;500000,7,8))))))),_xlpm.widthRow,IF(_xlpm.wUsed&lt;900,0,5),_xlpm.slitRow,IF(O117="Marma",7,IF(OR(O117="Bastin",O117="Quantum"),17,0)),_xlpm.slitRate,INDEX('Lmntn &amp; Prntng- Marma &amp; Bastin '!$D$1:$K$22,_xlpm.slitRow+_xlpm.widthRow,_xlpm.tier),_xlpm.numColors,IF(ISNUMBER(L117),L117,IFERROR(--RIGHT(L117,LEN(L117)-FIND("-",L117)),0)),_xlpm.printRate,IF(OR(K117&lt;&gt;"Printed",_xlpm.numColors=0),0,IF(O117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117))),MAX(_xlfn._xlws.FILTER(_xlpm.meters,(_xlpm.widths=_xlpm.qWidth)*(_xlpm.bands=_xlpm.band)))),INDEX(_xlpm.rates,_xlfn.XMATCH(1,(_xlpm.widths=_xlpm.qWidth)*(_xlpm.bands=_xlpm.band)*(_xlpm.meters=_xlpm.targetM),0))/HELPER!$AK$2),_xlfn.LET(_xlpm.colorOffset,IF(_xlpm.numColors&lt;=2,1,IF(_xlpm.numColors&lt;=4,2,3)),_xlpm.supplierRow,IF(O117="Marma",3,IF(O117="Bastin",13,0)),INDEX('Lmntn &amp; Prntng- Marma &amp; Bastin '!$D$1:$K$22,_xlpm.supplierRow+_xlpm.widthRow+_xlpm.colorOffset,_xlpm.tier)))),AH117+_xlpm.slitRate/_xlpm.kgmUsed+_xlpm.printRate/_xlpm.kgmUsed+AJ117),"")</f>
        <v>201.48736953177635</v>
      </c>
      <c r="AJ117" s="919" cm="1">
        <f t="array" ref="AJ117">IF(OR(K117&lt;&gt;"Printed",L117=0,L117="0",L117=""),0,IFERROR(_xlfn.LET(_xlpm.lam,TEXT(B117,"0"),_xlpm.crit,(TEXT(HELPER!$BZ$2:$BZ$250,"0")=_xlpm.lam)*(HELPER!$CC$2:$CC$250=D117)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WHITE"},0)))/ROWS(_xlpm.real),_xlpm.numColors,IF(ISNUMBER(L117),L117,IFERROR(--RIGHT(L117,LEN(L117)-FIND("-",L117)),0)),HELPER!$DB$1*_xlpm.numColors*MAX(1,M117)*1.05*_xlpm.nkRatio/Q117),0))</f>
        <v>194.66939574619556</v>
      </c>
      <c r="AK117" s="919">
        <f t="shared" si="41"/>
        <v>19.401513151734886</v>
      </c>
      <c r="AL117" s="919">
        <f t="shared" si="42"/>
        <v>3608.6814462226889</v>
      </c>
      <c r="AM117" s="73" t="str">
        <f t="shared" si="43"/>
        <v>PASS</v>
      </c>
      <c r="AN117" s="908" t="str">
        <f t="shared" si="22"/>
        <v/>
      </c>
      <c r="AO117" s="919">
        <f t="shared" si="23"/>
        <v>121</v>
      </c>
      <c r="AP117" s="919">
        <f t="shared" si="24"/>
        <v>80</v>
      </c>
      <c r="AQ117" s="919"/>
      <c r="AR117" s="919" cm="1">
        <f t="array" ref="AR117">IFERROR(_xlfn.LET(_xlpm.lam,TEXT(B117,"0"),_xlpm.thick,D117,_xlpm.crit,(TEXT(HELPER!$BZ$2:$BZ$250,"0")=_xlpm.lam)*(HELPER!$CC$2:$CC$250=_xlpm.thick)*(HELPER!$BW$2:$BW$250&lt;&gt;""),_xlpm.mats,TRIM(SUBSTITUTE(_xlfn._xlws.FILTER(HELPER!$BW$2:$BW$250,_xlpm.crit),CHAR(160),"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")),HELPER!$AQ$2:$AQ$20,1),_xlpm.mass,IF(ISNUMBER(SEARCH("paper",_xlpm.mats)),42,_xlpm.dens*_xlpm.ths),E117/1000000*SUM(_xlpm.mass)),"")</f>
        <v>1.3484400000000001E-2</v>
      </c>
      <c r="AS117" s="919">
        <f>IFERROR(IF(D117&gt;31,(5%+250/P117)*AF117,VLOOKUP(D117,HELPER!$BH$3:$BI$5,2,TRUE)*AF117),0)</f>
        <v>15.657326582940286</v>
      </c>
      <c r="AT117" s="919">
        <v>0.15</v>
      </c>
      <c r="AU117" s="919"/>
      <c r="AV117" s="919"/>
      <c r="AW117" s="919"/>
      <c r="AX117" s="919"/>
      <c r="AY117" s="919"/>
      <c r="AZ117" s="919">
        <f t="shared" si="25"/>
        <v>209.99999999999997</v>
      </c>
    </row>
    <row r="118" spans="1:52">
      <c r="A118" s="73" t="s">
        <v>1539</v>
      </c>
      <c r="B118" s="73">
        <v>819</v>
      </c>
      <c r="C118" s="908" t="s">
        <v>1422</v>
      </c>
      <c r="D118" s="915" cm="1">
        <f t="array" ref="D11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8" s="915">
        <v>350</v>
      </c>
      <c r="F118" s="73" t="s">
        <v>560</v>
      </c>
      <c r="G118" s="916">
        <v>5000</v>
      </c>
      <c r="H118" s="916">
        <v>5000</v>
      </c>
      <c r="I118" s="916"/>
      <c r="J118" s="916"/>
      <c r="K118" s="73" t="s">
        <v>123</v>
      </c>
      <c r="L118" s="921" t="s">
        <v>122</v>
      </c>
      <c r="M118" s="915">
        <v>4</v>
      </c>
      <c r="N118" s="73" t="s">
        <v>549</v>
      </c>
      <c r="O118" s="73" t="s">
        <v>1366</v>
      </c>
      <c r="P118" s="916" cm="1">
        <f t="array" ref="P118">IFERROR(_xlfn.SWITCH(F118,"By Weight",IF(H118&lt;&gt;"",H118,G118)/AR118,"By Length",G118,"By Imp",G118/MAX(1,ROUNDDOWN(E118/I118,0))*J118/1000,"IMP",G118/MAX(1,ROUNDDOWN(E118/I118,0))*J118/1000,""),"")</f>
        <v>127131.03395669916</v>
      </c>
      <c r="Q118" s="916">
        <f t="shared" si="26"/>
        <v>5000</v>
      </c>
      <c r="R118" s="917">
        <f t="shared" si="27"/>
        <v>91650.849710957875</v>
      </c>
      <c r="S118" s="918">
        <f t="shared" si="28"/>
        <v>106314.98566471113</v>
      </c>
      <c r="T118" s="919">
        <f t="shared" si="29"/>
        <v>18.330169942191574</v>
      </c>
      <c r="U118" s="920">
        <f t="shared" si="30"/>
        <v>21.262997132942225</v>
      </c>
      <c r="V118" s="919">
        <f t="shared" si="31"/>
        <v>0.90114552342678078</v>
      </c>
      <c r="W118" s="919">
        <f t="shared" si="32"/>
        <v>22.9127124277395</v>
      </c>
      <c r="X118" s="919" t="str">
        <f t="shared" si="33"/>
        <v/>
      </c>
      <c r="Y118" s="920">
        <f t="shared" si="34"/>
        <v>1.0453288071750657</v>
      </c>
      <c r="Z118" s="920">
        <f t="shared" si="35"/>
        <v>26.578746416177818</v>
      </c>
      <c r="AA118" s="920" t="str">
        <f t="shared" si="36"/>
        <v/>
      </c>
      <c r="AB118" s="917">
        <f t="shared" si="37"/>
        <v>114563.5621386975</v>
      </c>
      <c r="AC118" s="918">
        <f t="shared" si="38"/>
        <v>132893.73208088908</v>
      </c>
      <c r="AD118" s="916">
        <f t="shared" si="39"/>
        <v>12713.103395669916</v>
      </c>
      <c r="AE118" s="916">
        <f t="shared" si="40"/>
        <v>500</v>
      </c>
      <c r="AF118" s="919" cm="1">
        <f t="array" ref="AF118">IFERROR(_xlfn.LET(_xlpm.lam,TEXT(B118,"0"),_xlpm.thick,D118,_xlpm.crit,(TEXT(HELPER!$BZ$2:$BZ$250,"0")=_xlpm.lam)*(HELPER!$CC$2:$CC$250=_xlpm.thick)*(HELPER!$BW$2:$BW$250&lt;&gt;""),_xlpm.mats,TRIM(SUBSTITUTE(_xlfn._xlws.FILTER(HELPER!$BW$2:$BW$250,_xlpm.crit),CHAR(160),"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8" s="919">
        <f>IFERROR(IF(N118="Europe to Canada",IF(Q118&lt;1000,VLOOKUP(1000,HELPER!$AG$4:$AH$8,2,FALSE)/Q118,VLOOKUP(Q118,HELPER!$AG$4:$AH$8,2,TRUE)/Q118),IF(N118="Europe to US",HELPER!$AH$2,IF(N118="Europe to Europe",HELPER!$AH$3,0))),0)</f>
        <v>0.2</v>
      </c>
      <c r="AH118" s="919" cm="1">
        <f t="array" ref="AH118">IFERROR(_xlfn.LET(_xlpm.cap,IF(O118="Quantum",760,1220),_xlpm.wUsed,E118*MAX(1,MIN(MAX(2,INT(900/E118)),INT((_xlpm.cap-50)/E118))),_xlpm.kgmUsed,AR118/E118*_xlpm.wUsed,_xlpm.lam,TEXT(B118,"0"),_xlpm.crit,(TEXT(HELPER!$BZ$2:$BZ$250,"0")=_xlpm.lam)*(HELPER!$CC$2:$CC$250=D118)*(HELPER!$BW$2:$BW$250&lt;&gt;""),_xlpm.mats,_xlfn._xlws.FILTER(HELPER!$BW$2:$BW$250,_xlpm.crit),_xlpm.realLayers,SUM((_xlpm.mats&lt;&gt;"")*ISERROR(SEARCH("EPOTAL",_xlpm.mats&amp;""))*ISERROR(SEARCH("BASONAT",_xlpm.mats&amp;""))*ISERROR(SEARCH("ADH",_xlpm.mats&amp;""))*ISERROR(SEARCH("HARDENER",_xlpm.mats&amp;""))),_xlpm.steps,MAX(0,_xlpm.realLayers-1),_xlpm.tier,IF(P118&lt;3000,1,IF(P118&lt;10000,2,IF(P118&lt;25000,3,IF(P118&lt;50000,4,IF(P118&lt;100000,5,IF(P118&lt;250000,6,7)))))),_xlpm.widthRow,IF(_xlpm.wUsed&lt;900,0,5),_xlpm.supplierRow,IF(O118="Marma",3,IF(OR(O118="Bastin",O118="Quantum"),13,0)),_xlpm.rate,INDEX('Lmntn &amp; Prntng- Marma &amp; Bastin '!$D$1:$K$22,_xlpm.supplierRow+_xlpm.widthRow,_xlpm.tier),_xlpm.rate*_xlpm.steps/_xlpm.kgmUsed),"")</f>
        <v>2.7755501595494474</v>
      </c>
      <c r="AI118" s="919" cm="1">
        <f t="array" ref="AI118">IFERROR(_xlfn.LET(_xlpm.cap,IF(O118="Quantum",760,1220),_xlpm.wUsed,E118*MAX(1,MIN(MAX(2,INT(900/E118)),INT((_xlpm.cap-50)/E118))),_xlpm.kgmUsed,AR118/E118*_xlpm.wUsed,_xlpm.tier,IF(P118&lt;3000,1,IF(P118&lt;10000,2,IF(P118&lt;25000,3,IF(P118&lt;50000,4,IF(P118&lt;100000,5,IF(P118&lt;250000,6,IF(P118&lt;500000,7,8))))))),_xlpm.widthRow,IF(_xlpm.wUsed&lt;900,0,5),_xlpm.slitRow,IF(O118="Marma",7,IF(OR(O118="Bastin",O118="Quantum"),17,0)),_xlpm.slitRate,INDEX('Lmntn &amp; Prntng- Marma &amp; Bastin '!$D$1:$K$22,_xlpm.slitRow+_xlpm.widthRow,_xlpm.tier),_xlpm.numColors,IF(ISNUMBER(L118),L118,IFERROR(--RIGHT(L118,LEN(L118)-FIND("-",L118)),0)),_xlpm.printRate,IF(OR(K118&lt;&gt;"Printed",_xlpm.numColors=0),0,IF(O118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118))),MAX(_xlfn._xlws.FILTER(_xlpm.meters,(_xlpm.widths=_xlpm.qWidth)*(_xlpm.bands=_xlpm.band)))),INDEX(_xlpm.rates,_xlfn.XMATCH(1,(_xlpm.widths=_xlpm.qWidth)*(_xlpm.bands=_xlpm.band)*(_xlpm.meters=_xlpm.targetM),0))/HELPER!$AK$2),_xlfn.LET(_xlpm.colorOffset,IF(_xlpm.numColors&lt;=2,1,IF(_xlpm.numColors&lt;=4,2,3)),_xlpm.supplierRow,IF(O118="Marma",3,IF(O118="Bastin",13,0)),INDEX('Lmntn &amp; Prntng- Marma &amp; Bastin '!$D$1:$K$22,_xlpm.supplierRow+_xlpm.widthRow+_xlpm.colorOffset,_xlpm.tier)))),AH118+_xlpm.slitRate/_xlpm.kgmUsed+_xlpm.printRate/_xlpm.kgmUsed+AJ118),"")</f>
        <v>12.942458870261026</v>
      </c>
      <c r="AJ118" s="919" cm="1">
        <f t="array" ref="AJ118">IF(OR(K118&lt;&gt;"Printed",L118=0,L118="0",L118=""),0,IFERROR(_xlfn.LET(_xlpm.lam,TEXT(B118,"0"),_xlpm.crit,(TEXT(HELPER!$BZ$2:$BZ$250,"0")=_xlpm.lam)*(HELPER!$CC$2:$CC$250=D118)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WHITE"},0)))/ROWS(_xlpm.real),_xlpm.numColors,IF(ISNUMBER(L118),L118,IFERROR(--RIGHT(L118,LEN(L118)-FIND("-",L118)),0)),HELPER!$DB$1*_xlpm.numColors*MAX(1,M118)*1.05*_xlpm.nkRatio/Q118),0))</f>
        <v>0.33600000000000002</v>
      </c>
      <c r="AK118" s="919">
        <f t="shared" si="41"/>
        <v>1.6610977390355406</v>
      </c>
      <c r="AL118" s="919">
        <f t="shared" si="42"/>
        <v>901.14552342678076</v>
      </c>
      <c r="AM118" s="73" t="str">
        <f t="shared" si="43"/>
        <v>PASS</v>
      </c>
      <c r="AN118" s="908" t="str">
        <f t="shared" si="22"/>
        <v/>
      </c>
      <c r="AO118" s="919">
        <f t="shared" si="23"/>
        <v>121</v>
      </c>
      <c r="AP118" s="919">
        <f t="shared" si="24"/>
        <v>127131.03395669916</v>
      </c>
      <c r="AQ118" s="919"/>
      <c r="AR118" s="919" cm="1">
        <f t="array" ref="AR118">IFERROR(_xlfn.LET(_xlpm.lam,TEXT(B118,"0"),_xlpm.thick,D118,_xlpm.crit,(TEXT(HELPER!$BZ$2:$BZ$250,"0")=_xlpm.lam)*(HELPER!$CC$2:$CC$250=_xlpm.thick)*(HELPER!$BW$2:$BW$250&lt;&gt;""),_xlpm.mats,TRIM(SUBSTITUTE(_xlfn._xlws.FILTER(HELPER!$BW$2:$BW$250,_xlpm.crit),CHAR(160),"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")),HELPER!$AQ$2:$AQ$20,1),_xlpm.mass,IF(ISNUMBER(SEARCH("paper",_xlpm.mats)),42,_xlpm.dens*_xlpm.ths),E118/1000000*SUM(_xlpm.mass)),"")</f>
        <v>3.9329500000000003E-2</v>
      </c>
      <c r="AS118" s="919">
        <f>IFERROR(IF(D118&gt;31,(5%+250/P118)*AF118,VLOOKUP(D118,HELPER!$BH$3:$BI$5,2,TRUE)*AF118),0)</f>
        <v>0.25626962848478801</v>
      </c>
      <c r="AT118" s="919">
        <v>0.20000000000000101</v>
      </c>
      <c r="AU118" s="919"/>
      <c r="AV118" s="919"/>
      <c r="AW118" s="919"/>
      <c r="AX118" s="919"/>
      <c r="AY118" s="919"/>
      <c r="AZ118" s="919">
        <f t="shared" si="25"/>
        <v>1680</v>
      </c>
    </row>
    <row r="119" spans="1:52">
      <c r="A119" s="73" t="s">
        <v>1540</v>
      </c>
      <c r="B119" s="73">
        <v>819</v>
      </c>
      <c r="C119" s="908" t="s">
        <v>1424</v>
      </c>
      <c r="D119" s="915" cm="1">
        <f t="array" ref="D11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9" s="915">
        <v>900</v>
      </c>
      <c r="F119" s="73" t="s">
        <v>560</v>
      </c>
      <c r="G119" s="916">
        <v>25000</v>
      </c>
      <c r="H119" s="916">
        <v>25000</v>
      </c>
      <c r="I119" s="916"/>
      <c r="J119" s="916"/>
      <c r="K119" s="73" t="s">
        <v>123</v>
      </c>
      <c r="L119" s="921" t="s">
        <v>592</v>
      </c>
      <c r="M119" s="915">
        <v>8</v>
      </c>
      <c r="N119" s="73" t="s">
        <v>550</v>
      </c>
      <c r="O119" s="73" t="s">
        <v>250</v>
      </c>
      <c r="P119" s="916" cm="1">
        <f t="array" ref="P119">IFERROR(_xlfn.SWITCH(F119,"By Weight",IF(H119&lt;&gt;"",H119,G119)/AR119,"By Length",G119,"By Imp",G119/MAX(1,ROUNDDOWN(E119/I119,0))*J119/1000,"IMP",G119/MAX(1,ROUNDDOWN(E119/I119,0))*J119/1000,""),"")</f>
        <v>247199.23269358173</v>
      </c>
      <c r="Q119" s="916">
        <f t="shared" si="26"/>
        <v>25000</v>
      </c>
      <c r="R119" s="917">
        <f t="shared" si="27"/>
        <v>350299.94130383059</v>
      </c>
      <c r="S119" s="918">
        <f t="shared" si="28"/>
        <v>406347.93191244348</v>
      </c>
      <c r="T119" s="919">
        <f t="shared" si="29"/>
        <v>14.011997652153225</v>
      </c>
      <c r="U119" s="920">
        <f t="shared" si="30"/>
        <v>16.253917276497738</v>
      </c>
      <c r="V119" s="919">
        <f t="shared" si="31"/>
        <v>1.6671474806531927</v>
      </c>
      <c r="W119" s="919">
        <f t="shared" si="32"/>
        <v>16.484703120180285</v>
      </c>
      <c r="X119" s="919" t="str">
        <f t="shared" si="33"/>
        <v/>
      </c>
      <c r="Y119" s="920">
        <f t="shared" si="34"/>
        <v>1.9338910775577034</v>
      </c>
      <c r="Z119" s="920">
        <f t="shared" si="35"/>
        <v>19.122255619409128</v>
      </c>
      <c r="AA119" s="920" t="str">
        <f t="shared" si="36"/>
        <v/>
      </c>
      <c r="AB119" s="917">
        <f t="shared" si="37"/>
        <v>412117.57800450712</v>
      </c>
      <c r="AC119" s="918">
        <f t="shared" si="38"/>
        <v>478056.39048522821</v>
      </c>
      <c r="AD119" s="916">
        <f t="shared" si="39"/>
        <v>4943.9846538716347</v>
      </c>
      <c r="AE119" s="916">
        <f t="shared" si="40"/>
        <v>500</v>
      </c>
      <c r="AF119" s="919" cm="1">
        <f t="array" ref="AF119">IFERROR(_xlfn.LET(_xlpm.lam,TEXT(B119,"0"),_xlpm.thick,D119,_xlpm.crit,(TEXT(HELPER!$BZ$2:$BZ$250,"0")=_xlpm.lam)*(HELPER!$CC$2:$CC$250=_xlpm.thick)*(HELPER!$BW$2:$BW$250&lt;&gt;""),_xlpm.mats,TRIM(SUBSTITUTE(_xlfn._xlws.FILTER(HELPER!$BW$2:$BW$250,_xlpm.crit),CHAR(160),"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9" s="919">
        <f>IFERROR(IF(N119="Europe to Canada",IF(Q119&lt;1000,VLOOKUP(1000,HELPER!$AG$4:$AH$8,2,FALSE)/Q119,VLOOKUP(Q119,HELPER!$AG$4:$AH$8,2,TRUE)/Q119),IF(N119="Europe to US",HELPER!$AH$2,IF(N119="Europe to Europe",HELPER!$AH$3,0))),0)</f>
        <v>5.4</v>
      </c>
      <c r="AH119" s="919" cm="1">
        <f t="array" ref="AH119">IFERROR(_xlfn.LET(_xlpm.cap,IF(O119="Quantum",760,1220),_xlpm.wUsed,E119*MAX(1,MIN(MAX(2,INT(900/E119)),INT((_xlpm.cap-50)/E119))),_xlpm.kgmUsed,AR119/E119*_xlpm.wUsed,_xlpm.lam,TEXT(B119,"0"),_xlpm.crit,(TEXT(HELPER!$BZ$2:$BZ$250,"0")=_xlpm.lam)*(HELPER!$CC$2:$CC$250=D119)*(HELPER!$BW$2:$BW$250&lt;&gt;""),_xlpm.mats,_xlfn._xlws.FILTER(HELPER!$BW$2:$BW$250,_xlpm.crit),_xlpm.realLayers,SUM((_xlpm.mats&lt;&gt;"")*ISERROR(SEARCH("EPOTAL",_xlpm.mats&amp;""))*ISERROR(SEARCH("BASONAT",_xlpm.mats&amp;""))*ISERROR(SEARCH("ADH",_xlpm.mats&amp;""))*ISERROR(SEARCH("HARDENER",_xlpm.mats&amp;""))),_xlpm.steps,MAX(0,_xlpm.realLayers-1),_xlpm.tier,IF(P119&lt;3000,1,IF(P119&lt;10000,2,IF(P119&lt;25000,3,IF(P119&lt;50000,4,IF(P119&lt;100000,5,IF(P119&lt;250000,6,7)))))),_xlpm.widthRow,IF(_xlpm.wUsed&lt;900,0,5),_xlpm.supplierRow,IF(O119="Marma",3,IF(OR(O119="Bastin",O119="Quantum"),13,0)),_xlpm.rate,INDEX('Lmntn &amp; Prntng- Marma &amp; Bastin '!$D$1:$K$22,_xlpm.supplierRow+_xlpm.widthRow,_xlpm.tier),_xlpm.rate*_xlpm.steps/_xlpm.kgmUsed),"")</f>
        <v>1.6605855655424047</v>
      </c>
      <c r="AI119" s="919" cm="1">
        <f t="array" ref="AI119">IFERROR(_xlfn.LET(_xlpm.cap,IF(O119="Quantum",760,1220),_xlpm.wUsed,E119*MAX(1,MIN(MAX(2,INT(900/E119)),INT((_xlpm.cap-50)/E119))),_xlpm.kgmUsed,AR119/E119*_xlpm.wUsed,_xlpm.tier,IF(P119&lt;3000,1,IF(P119&lt;10000,2,IF(P119&lt;25000,3,IF(P119&lt;50000,4,IF(P119&lt;100000,5,IF(P119&lt;250000,6,IF(P119&lt;500000,7,8))))))),_xlpm.widthRow,IF(_xlpm.wUsed&lt;900,0,5),_xlpm.slitRow,IF(O119="Marma",7,IF(OR(O119="Bastin",O119="Quantum"),17,0)),_xlpm.slitRate,INDEX('Lmntn &amp; Prntng- Marma &amp; Bastin '!$D$1:$K$22,_xlpm.slitRow+_xlpm.widthRow,_xlpm.tier),_xlpm.numColors,IF(ISNUMBER(L119),L119,IFERROR(--RIGHT(L119,LEN(L119)-FIND("-",L119)),0)),_xlpm.printRate,IF(OR(K119&lt;&gt;"Printed",_xlpm.numColors=0),0,IF(O119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119))),MAX(_xlfn._xlws.FILTER(_xlpm.meters,(_xlpm.widths=_xlpm.qWidth)*(_xlpm.bands=_xlpm.band)))),INDEX(_xlpm.rates,_xlfn.XMATCH(1,(_xlpm.widths=_xlpm.qWidth)*(_xlpm.bands=_xlpm.band)*(_xlpm.meters=_xlpm.targetM),0))/HELPER!$AK$2),_xlfn.LET(_xlpm.colorOffset,IF(_xlpm.numColors&lt;=2,1,IF(_xlpm.numColors&lt;=4,2,3)),_xlpm.supplierRow,IF(O119="Marma",3,IF(O119="Bastin",13,0)),INDEX('Lmntn &amp; Prntng- Marma &amp; Bastin '!$D$1:$K$22,_xlpm.supplierRow+_xlpm.widthRow+_xlpm.colorOffset,_xlpm.tier)))),AH119+_xlpm.slitRate/_xlpm.kgmUsed+_xlpm.printRate/_xlpm.kgmUsed+AJ119),"")</f>
        <v>3.4289968218601765</v>
      </c>
      <c r="AJ119" s="919" cm="1">
        <f t="array" ref="AJ119">IF(OR(K119&lt;&gt;"Printed",L119=0,L119="0",L119=""),0,IFERROR(_xlfn.LET(_xlpm.lam,TEXT(B119,"0"),_xlpm.crit,(TEXT(HELPER!$BZ$2:$BZ$250,"0")=_xlpm.lam)*(HELPER!$CC$2:$CC$250=D119)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WHITE"},0)))/ROWS(_xlpm.real),_xlpm.numColors,IF(ISNUMBER(L119),L119,IFERROR(--RIGHT(L119,LEN(L119)-FIND("-",L119)),0)),HELPER!$DB$1*_xlpm.numColors*MAX(1,M119)*1.05*_xlpm.nkRatio/Q119),0))</f>
        <v>0.26879999999999998</v>
      </c>
      <c r="AK119" s="919">
        <f t="shared" si="41"/>
        <v>1.1950877997513927</v>
      </c>
      <c r="AL119" s="919">
        <f t="shared" si="42"/>
        <v>1667.1474806531928</v>
      </c>
      <c r="AM119" s="73" t="str">
        <f t="shared" si="43"/>
        <v>PASS</v>
      </c>
      <c r="AN119" s="908" t="str">
        <f t="shared" si="22"/>
        <v/>
      </c>
      <c r="AO119" s="919">
        <f t="shared" si="23"/>
        <v>121</v>
      </c>
      <c r="AP119" s="919">
        <f t="shared" si="24"/>
        <v>247199.23269358173</v>
      </c>
      <c r="AQ119" s="919"/>
      <c r="AR119" s="919" cm="1">
        <f t="array" ref="AR119">IFERROR(_xlfn.LET(_xlpm.lam,TEXT(B119,"0"),_xlpm.thick,D119,_xlpm.crit,(TEXT(HELPER!$BZ$2:$BZ$250,"0")=_xlpm.lam)*(HELPER!$CC$2:$CC$250=_xlpm.thick)*(HELPER!$BW$2:$BW$250&lt;&gt;""),_xlpm.mats,TRIM(SUBSTITUTE(_xlfn._xlws.FILTER(HELPER!$BW$2:$BW$250,_xlpm.crit),CHAR(160),"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")),HELPER!$AQ$2:$AQ$20,1),_xlpm.mass,IF(ISNUMBER(SEARCH("paper",_xlpm.mats)),42,_xlpm.dens*_xlpm.ths),E119/1000000*SUM(_xlpm.mass)),"")</f>
        <v>0.101133</v>
      </c>
      <c r="AS119" s="919">
        <f>IFERROR(IF(D119&gt;31,(5%+250/P119)*AF119,VLOOKUP(D119,HELPER!$BH$3:$BI$5,2,TRUE)*AF119),0)</f>
        <v>0.25155938684728796</v>
      </c>
      <c r="AT119" s="919">
        <v>0.15000000000000099</v>
      </c>
      <c r="AU119" s="919"/>
      <c r="AV119" s="919"/>
      <c r="AW119" s="919"/>
      <c r="AX119" s="919"/>
      <c r="AY119" s="919"/>
      <c r="AZ119" s="919">
        <f t="shared" si="25"/>
        <v>6720</v>
      </c>
    </row>
    <row r="120" spans="1:52">
      <c r="A120" s="73" t="s">
        <v>1541</v>
      </c>
      <c r="B120" s="73">
        <v>819</v>
      </c>
      <c r="C120" s="908" t="s">
        <v>1426</v>
      </c>
      <c r="D120" s="915" cm="1">
        <f t="array" ref="D12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0" s="915">
        <v>350</v>
      </c>
      <c r="F120" s="73" t="s">
        <v>561</v>
      </c>
      <c r="G120" s="916">
        <v>2000</v>
      </c>
      <c r="H120" s="916"/>
      <c r="I120" s="916"/>
      <c r="J120" s="916"/>
      <c r="K120" s="73" t="s">
        <v>124</v>
      </c>
      <c r="L120" s="921" t="s">
        <v>221</v>
      </c>
      <c r="M120" s="915">
        <v>1</v>
      </c>
      <c r="N120" s="73" t="s">
        <v>549</v>
      </c>
      <c r="O120" s="73" t="s">
        <v>240</v>
      </c>
      <c r="P120" s="916" cm="1">
        <f t="array" ref="P120">IFERROR(_xlfn.SWITCH(F120,"By Weight",IF(H120&lt;&gt;"",H120,G120)/AR120,"By Length",G120,"By Imp",G120/MAX(1,ROUNDDOWN(E120/I120,0))*J120/1000,"IMP",G120/MAX(1,ROUNDDOWN(E120/I120,0))*J120/1000,""),"")</f>
        <v>2000</v>
      </c>
      <c r="Q120" s="916">
        <f t="shared" si="26"/>
        <v>78.659000000000006</v>
      </c>
      <c r="R120" s="917">
        <f t="shared" si="27"/>
        <v>820.41094668750009</v>
      </c>
      <c r="S120" s="918">
        <f t="shared" si="28"/>
        <v>951.67669815750003</v>
      </c>
      <c r="T120" s="919">
        <f t="shared" si="29"/>
        <v>10.429969192177628</v>
      </c>
      <c r="U120" s="920">
        <f t="shared" si="30"/>
        <v>12.098764262926048</v>
      </c>
      <c r="V120" s="919">
        <f t="shared" si="31"/>
        <v>0.48259467452205607</v>
      </c>
      <c r="W120" s="919">
        <f t="shared" si="32"/>
        <v>12.270551990797138</v>
      </c>
      <c r="X120" s="919" t="str">
        <f t="shared" si="33"/>
        <v/>
      </c>
      <c r="Y120" s="920">
        <f t="shared" si="34"/>
        <v>0.55980982244558497</v>
      </c>
      <c r="Z120" s="920">
        <f t="shared" si="35"/>
        <v>14.233840309324679</v>
      </c>
      <c r="AA120" s="920" t="str">
        <f t="shared" si="36"/>
        <v/>
      </c>
      <c r="AB120" s="917">
        <f t="shared" si="37"/>
        <v>965.18934904411219</v>
      </c>
      <c r="AC120" s="918">
        <f t="shared" si="38"/>
        <v>1119.6196448911701</v>
      </c>
      <c r="AD120" s="916">
        <f t="shared" si="39"/>
        <v>12713.103395669916</v>
      </c>
      <c r="AE120" s="916">
        <f t="shared" si="40"/>
        <v>500</v>
      </c>
      <c r="AF120" s="919" cm="1">
        <f t="array" ref="AF120">IFERROR(_xlfn.LET(_xlpm.lam,TEXT(B120,"0"),_xlpm.thick,D120,_xlpm.crit,(TEXT(HELPER!$BZ$2:$BZ$250,"0")=_xlpm.lam)*(HELPER!$CC$2:$CC$250=_xlpm.thick)*(HELPER!$BW$2:$BW$250&lt;&gt;""),_xlpm.mats,TRIM(SUBSTITUTE(_xlfn._xlws.FILTER(HELPER!$BW$2:$BW$250,_xlpm.crit),CHAR(160),"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0" s="919">
        <f>IFERROR(IF(N120="Europe to Canada",IF(Q120&lt;1000,VLOOKUP(1000,HELPER!$AG$4:$AH$8,2,FALSE)/Q120,VLOOKUP(Q120,HELPER!$AG$4:$AH$8,2,TRUE)/Q120),IF(N120="Europe to US",HELPER!$AH$2,IF(N120="Europe to Europe",HELPER!$AH$3,0))),0)</f>
        <v>0.2</v>
      </c>
      <c r="AH120" s="919" cm="1">
        <f t="array" ref="AH120">IFERROR(_xlfn.LET(_xlpm.cap,IF(O120="Quantum",760,1220),_xlpm.wUsed,E120*MAX(1,MIN(MAX(2,INT(900/E120)),INT((_xlpm.cap-50)/E120))),_xlpm.kgmUsed,AR120/E120*_xlpm.wUsed,_xlpm.lam,TEXT(B120,"0"),_xlpm.crit,(TEXT(HELPER!$BZ$2:$BZ$250,"0")=_xlpm.lam)*(HELPER!$CC$2:$CC$250=D120)*(HELPER!$BW$2:$BW$250&lt;&gt;""),_xlpm.mats,_xlfn._xlws.FILTER(HELPER!$BW$2:$BW$250,_xlpm.crit),_xlpm.realLayers,SUM((_xlpm.mats&lt;&gt;"")*ISERROR(SEARCH("EPOTAL",_xlpm.mats&amp;""))*ISERROR(SEARCH("BASONAT",_xlpm.mats&amp;""))*ISERROR(SEARCH("ADH",_xlpm.mats&amp;""))*ISERROR(SEARCH("HARDENER",_xlpm.mats&amp;""))),_xlpm.steps,MAX(0,_xlpm.realLayers-1),_xlpm.tier,IF(P120&lt;3000,1,IF(P120&lt;10000,2,IF(P120&lt;25000,3,IF(P120&lt;50000,4,IF(P120&lt;100000,5,IF(P120&lt;250000,6,7)))))),_xlpm.widthRow,IF(_xlpm.wUsed&lt;900,0,5),_xlpm.supplierRow,IF(O120="Marma",3,IF(OR(O120="Bastin",O120="Quantum"),13,0)),_xlpm.rate,INDEX('Lmntn &amp; Prntng- Marma &amp; Bastin '!$D$1:$K$22,_xlpm.supplierRow+_xlpm.widthRow,_xlpm.tier),_xlpm.rate*_xlpm.steps/_xlpm.kgmUsed),"")</f>
        <v>3.8584014543790279</v>
      </c>
      <c r="AI120" s="919" cm="1">
        <f t="array" ref="AI120">IFERROR(_xlfn.LET(_xlpm.cap,IF(O120="Quantum",760,1220),_xlpm.wUsed,E120*MAX(1,MIN(MAX(2,INT(900/E120)),INT((_xlpm.cap-50)/E120))),_xlpm.kgmUsed,AR120/E120*_xlpm.wUsed,_xlpm.tier,IF(P120&lt;3000,1,IF(P120&lt;10000,2,IF(P120&lt;25000,3,IF(P120&lt;50000,4,IF(P120&lt;100000,5,IF(P120&lt;250000,6,IF(P120&lt;500000,7,8))))))),_xlpm.widthRow,IF(_xlpm.wUsed&lt;900,0,5),_xlpm.slitRow,IF(O120="Marma",7,IF(OR(O120="Bastin",O120="Quantum"),17,0)),_xlpm.slitRate,INDEX('Lmntn &amp; Prntng- Marma &amp; Bastin '!$D$1:$K$22,_xlpm.slitRow+_xlpm.widthRow,_xlpm.tier),_xlpm.numColors,IF(ISNUMBER(L120),L120,IFERROR(--RIGHT(L120,LEN(L120)-FIND("-",L120)),0)),_xlpm.printRate,IF(OR(K120&lt;&gt;"Printed",_xlpm.numColors=0),0,IF(O120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120))),MAX(_xlfn._xlws.FILTER(_xlpm.meters,(_xlpm.widths=_xlpm.qWidth)*(_xlpm.bands=_xlpm.band)))),INDEX(_xlpm.rates,_xlfn.XMATCH(1,(_xlpm.widths=_xlpm.qWidth)*(_xlpm.bands=_xlpm.band)*(_xlpm.meters=_xlpm.targetM),0))/HELPER!$AK$2),_xlfn.LET(_xlpm.colorOffset,IF(_xlpm.numColors&lt;=2,1,IF(_xlpm.numColors&lt;=4,2,3)),_xlpm.supplierRow,IF(O120="Marma",3,IF(O120="Bastin",13,0)),INDEX('Lmntn &amp; Prntng- Marma &amp; Bastin '!$D$1:$K$22,_xlpm.supplierRow+_xlpm.widthRow+_xlpm.colorOffset,_xlpm.tier)))),AH120+_xlpm.slitRate/_xlpm.kgmUsed+_xlpm.printRate/_xlpm.kgmUsed+AJ120),"")</f>
        <v>4.435525496128859</v>
      </c>
      <c r="AJ120" s="919" cm="1">
        <f t="array" ref="AJ120">IF(OR(K120&lt;&gt;"Printed",L120=0,L120="0",L120=""),0,IFERROR(_xlfn.LET(_xlpm.lam,TEXT(B120,"0"),_xlpm.crit,(TEXT(HELPER!$BZ$2:$BZ$250,"0")=_xlpm.lam)*(HELPER!$CC$2:$CC$250=D120)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WHITE"},0)))/ROWS(_xlpm.real),_xlpm.numColors,IF(ISNUMBER(L120),L120,IFERROR(--RIGHT(L120,LEN(L120)-FIND("-",L120)),0)),HELPER!$DB$1*_xlpm.numColors*MAX(1,M120)*1.05*_xlpm.nkRatio/Q120),0))</f>
        <v>0</v>
      </c>
      <c r="AK120" s="919">
        <f t="shared" si="41"/>
        <v>0.88957543690701579</v>
      </c>
      <c r="AL120" s="919">
        <f t="shared" si="42"/>
        <v>482.59467452205604</v>
      </c>
      <c r="AM120" s="73" t="str">
        <f t="shared" si="43"/>
        <v>PASS</v>
      </c>
      <c r="AN120" s="908" t="str">
        <f t="shared" si="22"/>
        <v/>
      </c>
      <c r="AO120" s="919">
        <f t="shared" si="23"/>
        <v>121</v>
      </c>
      <c r="AP120" s="919">
        <f t="shared" si="24"/>
        <v>2000</v>
      </c>
      <c r="AQ120" s="919"/>
      <c r="AR120" s="919" cm="1">
        <f t="array" ref="AR120">IFERROR(_xlfn.LET(_xlpm.lam,TEXT(B120,"0"),_xlpm.thick,D120,_xlpm.crit,(TEXT(HELPER!$BZ$2:$BZ$250,"0")=_xlpm.lam)*(HELPER!$CC$2:$CC$250=_xlpm.thick)*(HELPER!$BW$2:$BW$250&lt;&gt;""),_xlpm.mats,TRIM(SUBSTITUTE(_xlfn._xlws.FILTER(HELPER!$BW$2:$BW$250,_xlpm.crit),CHAR(160),"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")),HELPER!$AQ$2:$AQ$20,1),_xlpm.mass,IF(ISNUMBER(SEARCH("paper",_xlpm.mats)),42,_xlpm.dens*_xlpm.ths),E120/1000000*SUM(_xlpm.mass)),"")</f>
        <v>3.9329500000000003E-2</v>
      </c>
      <c r="AS120" s="919">
        <f>IFERROR(IF(D120&gt;31,(5%+250/P120)*AF120,VLOOKUP(D120,HELPER!$BH$3:$BI$5,2,TRUE)*AF120),0)</f>
        <v>0.86300225260300789</v>
      </c>
      <c r="AT120" s="919">
        <v>0.149999999999995</v>
      </c>
      <c r="AU120" s="919"/>
      <c r="AV120" s="919"/>
      <c r="AW120" s="919"/>
      <c r="AX120" s="919"/>
      <c r="AY120" s="919"/>
      <c r="AZ120" s="919">
        <f t="shared" si="25"/>
        <v>0</v>
      </c>
    </row>
    <row r="121" spans="1:52">
      <c r="A121" s="73" t="s">
        <v>1542</v>
      </c>
      <c r="B121" s="73">
        <v>819</v>
      </c>
      <c r="C121" s="908" t="s">
        <v>1428</v>
      </c>
      <c r="D121" s="915" cm="1">
        <f t="array" ref="D12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1" s="915">
        <v>600</v>
      </c>
      <c r="F121" s="73" t="s">
        <v>561</v>
      </c>
      <c r="G121" s="916">
        <v>250000</v>
      </c>
      <c r="H121" s="916"/>
      <c r="I121" s="916"/>
      <c r="J121" s="916"/>
      <c r="K121" s="73" t="s">
        <v>123</v>
      </c>
      <c r="L121" s="921" t="s">
        <v>122</v>
      </c>
      <c r="M121" s="915">
        <v>4</v>
      </c>
      <c r="N121" s="73" t="s">
        <v>550</v>
      </c>
      <c r="O121" s="73" t="s">
        <v>1366</v>
      </c>
      <c r="P121" s="916" cm="1">
        <f t="array" ref="P121">IFERROR(_xlfn.SWITCH(F121,"By Weight",IF(H121&lt;&gt;"",H121,G121)/AR121,"By Length",G121,"By Imp",G121/MAX(1,ROUNDDOWN(E121/I121,0))*J121/1000,"IMP",G121/MAX(1,ROUNDDOWN(E121/I121,0))*J121/1000,""),"")</f>
        <v>250000</v>
      </c>
      <c r="Q121" s="916">
        <f t="shared" si="26"/>
        <v>16855.5</v>
      </c>
      <c r="R121" s="917">
        <f t="shared" si="27"/>
        <v>427573.69079271553</v>
      </c>
      <c r="S121" s="918">
        <f t="shared" si="28"/>
        <v>495985.48131954996</v>
      </c>
      <c r="T121" s="919">
        <f t="shared" si="29"/>
        <v>25.367013188141289</v>
      </c>
      <c r="U121" s="920">
        <f t="shared" si="30"/>
        <v>29.425735298243893</v>
      </c>
      <c r="V121" s="919">
        <f t="shared" si="31"/>
        <v>2.1378684539635802</v>
      </c>
      <c r="W121" s="919">
        <f t="shared" si="32"/>
        <v>31.708766485176653</v>
      </c>
      <c r="X121" s="919" t="str">
        <f t="shared" si="33"/>
        <v/>
      </c>
      <c r="Y121" s="920">
        <f t="shared" si="34"/>
        <v>2.4799274065977528</v>
      </c>
      <c r="Z121" s="920">
        <f t="shared" si="35"/>
        <v>36.782169122804916</v>
      </c>
      <c r="AA121" s="920" t="str">
        <f t="shared" si="36"/>
        <v/>
      </c>
      <c r="AB121" s="917">
        <f t="shared" si="37"/>
        <v>534467.11349089514</v>
      </c>
      <c r="AC121" s="918">
        <f t="shared" si="38"/>
        <v>619981.85164943826</v>
      </c>
      <c r="AD121" s="916">
        <f t="shared" si="39"/>
        <v>7415.9769808074516</v>
      </c>
      <c r="AE121" s="916">
        <f t="shared" si="40"/>
        <v>500</v>
      </c>
      <c r="AF121" s="919" cm="1">
        <f t="array" ref="AF121">IFERROR(_xlfn.LET(_xlpm.lam,TEXT(B121,"0"),_xlpm.thick,D121,_xlpm.crit,(TEXT(HELPER!$BZ$2:$BZ$250,"0")=_xlpm.lam)*(HELPER!$CC$2:$CC$250=_xlpm.thick)*(HELPER!$BW$2:$BW$250&lt;&gt;""),_xlpm.mats,TRIM(SUBSTITUTE(_xlfn._xlws.FILTER(HELPER!$BW$2:$BW$250,_xlpm.crit),CHAR(160),"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1" s="919">
        <f>IFERROR(IF(N121="Europe to Canada",IF(Q121&lt;1000,VLOOKUP(1000,HELPER!$AG$4:$AH$8,2,FALSE)/Q121,VLOOKUP(Q121,HELPER!$AG$4:$AH$8,2,TRUE)/Q121),IF(N121="Europe to US",HELPER!$AH$2,IF(N121="Europe to Europe",HELPER!$AH$3,0))),0)</f>
        <v>5.4</v>
      </c>
      <c r="AH121" s="919" cm="1">
        <f t="array" ref="AH121">IFERROR(_xlfn.LET(_xlpm.cap,IF(O121="Quantum",760,1220),_xlpm.wUsed,E121*MAX(1,MIN(MAX(2,INT(900/E121)),INT((_xlpm.cap-50)/E121))),_xlpm.kgmUsed,AR121/E121*_xlpm.wUsed,_xlpm.lam,TEXT(B121,"0"),_xlpm.crit,(TEXT(HELPER!$BZ$2:$BZ$250,"0")=_xlpm.lam)*(HELPER!$CC$2:$CC$250=D121)*(HELPER!$BW$2:$BW$250&lt;&gt;""),_xlpm.mats,_xlfn._xlws.FILTER(HELPER!$BW$2:$BW$250,_xlpm.crit),_xlpm.realLayers,SUM((_xlpm.mats&lt;&gt;"")*ISERROR(SEARCH("EPOTAL",_xlpm.mats&amp;""))*ISERROR(SEARCH("BASONAT",_xlpm.mats&amp;""))*ISERROR(SEARCH("ADH",_xlpm.mats&amp;""))*ISERROR(SEARCH("HARDENER",_xlpm.mats&amp;""))),_xlpm.steps,MAX(0,_xlpm.realLayers-1),_xlpm.tier,IF(P121&lt;3000,1,IF(P121&lt;10000,2,IF(P121&lt;25000,3,IF(P121&lt;50000,4,IF(P121&lt;100000,5,IF(P121&lt;250000,6,7)))))),_xlpm.widthRow,IF(_xlpm.wUsed&lt;900,0,5),_xlpm.supplierRow,IF(O121="Marma",3,IF(OR(O121="Bastin",O121="Quantum"),13,0)),_xlpm.rate,INDEX('Lmntn &amp; Prntng- Marma &amp; Bastin '!$D$1:$K$22,_xlpm.supplierRow+_xlpm.widthRow,_xlpm.tier),_xlpm.rate*_xlpm.steps/_xlpm.kgmUsed),"")</f>
        <v>3.2184746818545875</v>
      </c>
      <c r="AI121" s="919" cm="1">
        <f t="array" ref="AI121">IFERROR(_xlfn.LET(_xlpm.cap,IF(O121="Quantum",760,1220),_xlpm.wUsed,E121*MAX(1,MIN(MAX(2,INT(900/E121)),INT((_xlpm.cap-50)/E121))),_xlpm.kgmUsed,AR121/E121*_xlpm.wUsed,_xlpm.tier,IF(P121&lt;3000,1,IF(P121&lt;10000,2,IF(P121&lt;25000,3,IF(P121&lt;50000,4,IF(P121&lt;100000,5,IF(P121&lt;250000,6,IF(P121&lt;500000,7,8))))))),_xlpm.widthRow,IF(_xlpm.wUsed&lt;900,0,5),_xlpm.slitRow,IF(O121="Marma",7,IF(OR(O121="Bastin",O121="Quantum"),17,0)),_xlpm.slitRate,INDEX('Lmntn &amp; Prntng- Marma &amp; Bastin '!$D$1:$K$22,_xlpm.slitRow+_xlpm.widthRow,_xlpm.tier),_xlpm.numColors,IF(ISNUMBER(L121),L121,IFERROR(--RIGHT(L121,LEN(L121)-FIND("-",L121)),0)),_xlpm.printRate,IF(OR(K121&lt;&gt;"Printed",_xlpm.numColors=0),0,IF(O121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121))),MAX(_xlfn._xlws.FILTER(_xlpm.meters,(_xlpm.widths=_xlpm.qWidth)*(_xlpm.bands=_xlpm.band)))),INDEX(_xlpm.rates,_xlfn.XMATCH(1,(_xlpm.widths=_xlpm.qWidth)*(_xlpm.bands=_xlpm.band)*(_xlpm.meters=_xlpm.targetM),0))/HELPER!$AK$2),_xlfn.LET(_xlpm.colorOffset,IF(_xlpm.numColors&lt;=2,1,IF(_xlpm.numColors&lt;=4,2,3)),_xlpm.supplierRow,IF(O121="Marma",3,IF(O121="Bastin",13,0)),INDEX('Lmntn &amp; Prntng- Marma &amp; Bastin '!$D$1:$K$22,_xlpm.supplierRow+_xlpm.widthRow+_xlpm.colorOffset,_xlpm.tier)))),AH121+_xlpm.slitRate/_xlpm.kgmUsed+_xlpm.printRate/_xlpm.kgmUsed+AJ121),"")</f>
        <v>14.784068231079797</v>
      </c>
      <c r="AJ121" s="919" cm="1">
        <f t="array" ref="AJ121">IF(OR(K121&lt;&gt;"Printed",L121=0,L121="0",L121=""),0,IFERROR(_xlfn.LET(_xlpm.lam,TEXT(B121,"0"),_xlpm.crit,(TEXT(HELPER!$BZ$2:$BZ$250,"0")=_xlpm.lam)*(HELPER!$CC$2:$CC$250=D121)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WHITE"},0)))/ROWS(_xlpm.real),_xlpm.numColors,IF(ISNUMBER(L121),L121,IFERROR(--RIGHT(L121,LEN(L121)-FIND("-",L121)),0)),HELPER!$DB$1*_xlpm.numColors*MAX(1,M121)*1.05*_xlpm.nkRatio/Q121),0))</f>
        <v>9.9670730622052145E-2</v>
      </c>
      <c r="AK121" s="919">
        <f t="shared" si="41"/>
        <v>2.2987832838318067</v>
      </c>
      <c r="AL121" s="919">
        <f t="shared" si="42"/>
        <v>2137.8684539635801</v>
      </c>
      <c r="AM121" s="73" t="str">
        <f t="shared" si="43"/>
        <v>PASS</v>
      </c>
      <c r="AN121" s="908" t="str">
        <f t="shared" si="22"/>
        <v/>
      </c>
      <c r="AO121" s="919">
        <f t="shared" si="23"/>
        <v>121</v>
      </c>
      <c r="AP121" s="919">
        <f t="shared" si="24"/>
        <v>250000</v>
      </c>
      <c r="AQ121" s="919"/>
      <c r="AR121" s="919" cm="1">
        <f t="array" ref="AR121">IFERROR(_xlfn.LET(_xlpm.lam,TEXT(B121,"0"),_xlpm.thick,D121,_xlpm.crit,(TEXT(HELPER!$BZ$2:$BZ$250,"0")=_xlpm.lam)*(HELPER!$CC$2:$CC$250=_xlpm.thick)*(HELPER!$BW$2:$BW$250&lt;&gt;""),_xlpm.mats,TRIM(SUBSTITUTE(_xlfn._xlws.FILTER(HELPER!$BW$2:$BW$250,_xlpm.crit),CHAR(160),"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")),HELPER!$AQ$2:$AQ$20,1),_xlpm.mass,IF(ISNUMBER(SEARCH("paper",_xlpm.mats)),42,_xlpm.dens*_xlpm.ths),E121/1000000*SUM(_xlpm.mass)),"")</f>
        <v>6.7421999999999996E-2</v>
      </c>
      <c r="AS121" s="919">
        <f>IFERROR(IF(D121&gt;31,(5%+250/P121)*AF121,VLOOKUP(D121,HELPER!$BH$3:$BI$5,2,TRUE)*AF121),0)</f>
        <v>0.25150351361573375</v>
      </c>
      <c r="AT121" s="919">
        <v>0.20000000000000101</v>
      </c>
      <c r="AU121" s="919"/>
      <c r="AV121" s="919"/>
      <c r="AW121" s="919"/>
      <c r="AX121" s="919"/>
      <c r="AY121" s="919"/>
      <c r="AZ121" s="919">
        <f t="shared" si="25"/>
        <v>1680</v>
      </c>
    </row>
    <row r="122" spans="1:52">
      <c r="A122" s="73" t="s">
        <v>1543</v>
      </c>
      <c r="B122" s="73">
        <v>819</v>
      </c>
      <c r="C122" s="908" t="s">
        <v>1430</v>
      </c>
      <c r="D122" s="915" cm="1">
        <f t="array" ref="D12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2" s="915">
        <v>900</v>
      </c>
      <c r="F122" s="73" t="s">
        <v>1040</v>
      </c>
      <c r="G122" s="916">
        <v>1600000</v>
      </c>
      <c r="H122" s="916"/>
      <c r="I122" s="916">
        <v>140</v>
      </c>
      <c r="J122" s="916">
        <v>80</v>
      </c>
      <c r="K122" s="73" t="s">
        <v>123</v>
      </c>
      <c r="L122" s="921" t="s">
        <v>592</v>
      </c>
      <c r="M122" s="915">
        <v>8</v>
      </c>
      <c r="N122" s="73" t="s">
        <v>549</v>
      </c>
      <c r="O122" s="73" t="s">
        <v>250</v>
      </c>
      <c r="P122" s="916" cm="1">
        <f t="array" ref="P122">IFERROR(_xlfn.SWITCH(F122,"By Weight",IF(H122&lt;&gt;"",H122,G122)/AR122,"By Length",G122,"By Imp",G122/MAX(1,ROUNDDOWN(E122/I122,0))*J122/1000,"IMP",G122/MAX(1,ROUNDDOWN(E122/I122,0))*J122/1000,""),"")</f>
        <v>21333.333333333336</v>
      </c>
      <c r="Q122" s="916">
        <f t="shared" si="26"/>
        <v>2157.5040000000004</v>
      </c>
      <c r="R122" s="917">
        <f t="shared" si="27"/>
        <v>26504.305822825623</v>
      </c>
      <c r="S122" s="918">
        <f t="shared" si="28"/>
        <v>30744.994754477721</v>
      </c>
      <c r="T122" s="919">
        <f t="shared" si="29"/>
        <v>12.28470761714723</v>
      </c>
      <c r="U122" s="920">
        <f t="shared" si="30"/>
        <v>14.250260835890787</v>
      </c>
      <c r="V122" s="919">
        <f t="shared" si="31"/>
        <v>1.4616345122881758</v>
      </c>
      <c r="W122" s="919">
        <f t="shared" si="32"/>
        <v>14.452597196643783</v>
      </c>
      <c r="X122" s="919">
        <f t="shared" si="33"/>
        <v>1.9488460163842345E-2</v>
      </c>
      <c r="Y122" s="920">
        <f t="shared" si="34"/>
        <v>1.6954960342542837</v>
      </c>
      <c r="Z122" s="920">
        <f t="shared" si="35"/>
        <v>16.765012748106788</v>
      </c>
      <c r="AA122" s="920">
        <f t="shared" si="36"/>
        <v>2.2606613790057118E-2</v>
      </c>
      <c r="AB122" s="917">
        <f t="shared" si="37"/>
        <v>31181.536262147754</v>
      </c>
      <c r="AC122" s="918">
        <f t="shared" si="38"/>
        <v>36170.582064091395</v>
      </c>
      <c r="AD122" s="916">
        <f t="shared" si="39"/>
        <v>4943.9846538716347</v>
      </c>
      <c r="AE122" s="916">
        <f t="shared" si="40"/>
        <v>500</v>
      </c>
      <c r="AF122" s="919" cm="1">
        <f t="array" ref="AF122">IFERROR(_xlfn.LET(_xlpm.lam,TEXT(B122,"0"),_xlpm.thick,D122,_xlpm.crit,(TEXT(HELPER!$BZ$2:$BZ$250,"0")=_xlpm.lam)*(HELPER!$CC$2:$CC$250=_xlpm.thick)*(HELPER!$BW$2:$BW$250&lt;&gt;""),_xlpm.mats,TRIM(SUBSTITUTE(_xlfn._xlws.FILTER(HELPER!$BW$2:$BW$250,_xlpm.crit),CHAR(160),"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2" s="919">
        <f>IFERROR(IF(N122="Europe to Canada",IF(Q122&lt;1000,VLOOKUP(1000,HELPER!$AG$4:$AH$8,2,FALSE)/Q122,VLOOKUP(Q122,HELPER!$AG$4:$AH$8,2,TRUE)/Q122),IF(N122="Europe to US",HELPER!$AH$2,IF(N122="Europe to Europe",HELPER!$AH$3,0))),0)</f>
        <v>0.2</v>
      </c>
      <c r="AH122" s="919" cm="1">
        <f t="array" ref="AH122">IFERROR(_xlfn.LET(_xlpm.cap,IF(O122="Quantum",760,1220),_xlpm.wUsed,E122*MAX(1,MIN(MAX(2,INT(900/E122)),INT((_xlpm.cap-50)/E122))),_xlpm.kgmUsed,AR122/E122*_xlpm.wUsed,_xlpm.lam,TEXT(B122,"0"),_xlpm.crit,(TEXT(HELPER!$BZ$2:$BZ$250,"0")=_xlpm.lam)*(HELPER!$CC$2:$CC$250=D122)*(HELPER!$BW$2:$BW$250&lt;&gt;""),_xlpm.mats,_xlfn._xlws.FILTER(HELPER!$BW$2:$BW$250,_xlpm.crit),_xlpm.realLayers,SUM((_xlpm.mats&lt;&gt;"")*ISERROR(SEARCH("EPOTAL",_xlpm.mats&amp;""))*ISERROR(SEARCH("BASONAT",_xlpm.mats&amp;""))*ISERROR(SEARCH("ADH",_xlpm.mats&amp;""))*ISERROR(SEARCH("HARDENER",_xlpm.mats&amp;""))),_xlpm.steps,MAX(0,_xlpm.realLayers-1),_xlpm.tier,IF(P122&lt;3000,1,IF(P122&lt;10000,2,IF(P122&lt;25000,3,IF(P122&lt;50000,4,IF(P122&lt;100000,5,IF(P122&lt;250000,6,7)))))),_xlpm.widthRow,IF(_xlpm.wUsed&lt;900,0,5),_xlpm.supplierRow,IF(O122="Marma",3,IF(OR(O122="Bastin",O122="Quantum"),13,0)),_xlpm.rate,INDEX('Lmntn &amp; Prntng- Marma &amp; Bastin '!$D$1:$K$22,_xlpm.supplierRow+_xlpm.widthRow,_xlpm.tier),_xlpm.rate*_xlpm.steps/_xlpm.kgmUsed),"")</f>
        <v>1.8100916614754827</v>
      </c>
      <c r="AI122" s="919" cm="1">
        <f t="array" ref="AI122">IFERROR(_xlfn.LET(_xlpm.cap,IF(O122="Quantum",760,1220),_xlpm.wUsed,E122*MAX(1,MIN(MAX(2,INT(900/E122)),INT((_xlpm.cap-50)/E122))),_xlpm.kgmUsed,AR122/E122*_xlpm.wUsed,_xlpm.tier,IF(P122&lt;3000,1,IF(P122&lt;10000,2,IF(P122&lt;25000,3,IF(P122&lt;50000,4,IF(P122&lt;100000,5,IF(P122&lt;250000,6,IF(P122&lt;500000,7,8))))))),_xlpm.widthRow,IF(_xlpm.wUsed&lt;900,0,5),_xlpm.slitRow,IF(O122="Marma",7,IF(OR(O122="Bastin",O122="Quantum"),17,0)),_xlpm.slitRate,INDEX('Lmntn &amp; Prntng- Marma &amp; Bastin '!$D$1:$K$22,_xlpm.slitRow+_xlpm.widthRow,_xlpm.tier),_xlpm.numColors,IF(ISNUMBER(L122),L122,IFERROR(--RIGHT(L122,LEN(L122)-FIND("-",L122)),0)),_xlpm.printRate,IF(OR(K122&lt;&gt;"Printed",_xlpm.numColors=0),0,IF(O122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122))),MAX(_xlfn._xlws.FILTER(_xlpm.meters,(_xlpm.widths=_xlpm.qWidth)*(_xlpm.bands=_xlpm.band)))),INDEX(_xlpm.rates,_xlfn.XMATCH(1,(_xlpm.widths=_xlpm.qWidth)*(_xlpm.bands=_xlpm.band)*(_xlpm.meters=_xlpm.targetM),0))/HELPER!$AK$2),_xlfn.LET(_xlpm.colorOffset,IF(_xlpm.numColors&lt;=2,1,IF(_xlpm.numColors&lt;=4,2,3)),_xlpm.supplierRow,IF(O122="Marma",3,IF(O122="Bastin",13,0)),INDEX('Lmntn &amp; Prntng- Marma &amp; Bastin '!$D$1:$K$22,_xlpm.supplierRow+_xlpm.widthRow+_xlpm.colorOffset,_xlpm.tier)))),AH122+_xlpm.slitRate/_xlpm.kgmUsed+_xlpm.printRate/_xlpm.kgmUsed+AJ122),"")</f>
        <v>6.8489037721138022</v>
      </c>
      <c r="AJ122" s="919" cm="1">
        <f t="array" ref="AJ122">IF(OR(K122&lt;&gt;"Printed",L122=0,L122="0",L122=""),0,IFERROR(_xlfn.LET(_xlpm.lam,TEXT(B122,"0"),_xlpm.crit,(TEXT(HELPER!$BZ$2:$BZ$250,"0")=_xlpm.lam)*(HELPER!$CC$2:$CC$250=D122)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WHITE"},0)))/ROWS(_xlpm.real),_xlpm.numColors,IF(ISNUMBER(L122),L122,IFERROR(--RIGHT(L122,LEN(L122)-FIND("-",L122)),0)),HELPER!$DB$1*_xlpm.numColors*MAX(1,M122)*1.05*_xlpm.nkRatio/Q122),0))</f>
        <v>3.1147103319391292</v>
      </c>
      <c r="AK122" s="919">
        <f t="shared" si="41"/>
        <v>1.0477666754753947</v>
      </c>
      <c r="AL122" s="919">
        <f t="shared" si="42"/>
        <v>1461.6345122881758</v>
      </c>
      <c r="AM122" s="73" t="str">
        <f t="shared" si="43"/>
        <v>PASS</v>
      </c>
      <c r="AN122" s="908" t="str">
        <f t="shared" si="22"/>
        <v/>
      </c>
      <c r="AO122" s="919">
        <f t="shared" si="23"/>
        <v>121</v>
      </c>
      <c r="AP122" s="919">
        <f t="shared" si="24"/>
        <v>21333.333333333336</v>
      </c>
      <c r="AQ122" s="919"/>
      <c r="AR122" s="919" cm="1">
        <f t="array" ref="AR122">IFERROR(_xlfn.LET(_xlpm.lam,TEXT(B122,"0"),_xlpm.thick,D122,_xlpm.crit,(TEXT(HELPER!$BZ$2:$BZ$250,"0")=_xlpm.lam)*(HELPER!$CC$2:$CC$250=_xlpm.thick)*(HELPER!$BW$2:$BW$250&lt;&gt;""),_xlpm.mats,TRIM(SUBSTITUTE(_xlfn._xlws.FILTER(HELPER!$BW$2:$BW$250,_xlpm.crit),CHAR(160),"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")),HELPER!$AQ$2:$AQ$20,1),_xlpm.mass,IF(ISNUMBER(SEARCH("paper",_xlpm.mats)),42,_xlpm.dens*_xlpm.ths),E122/1000000*SUM(_xlpm.mass)),"")</f>
        <v>0.101133</v>
      </c>
      <c r="AS122" s="919">
        <f>IFERROR(IF(D122&gt;31,(5%+250/P122)*AF122,VLOOKUP(D122,HELPER!$BH$3:$BI$5,2,TRUE)*AF122),0)</f>
        <v>0.30436240158766797</v>
      </c>
      <c r="AT122" s="919">
        <v>0.149999999999999</v>
      </c>
      <c r="AU122" s="919"/>
      <c r="AV122" s="919"/>
      <c r="AW122" s="919"/>
      <c r="AX122" s="919"/>
      <c r="AY122" s="919"/>
      <c r="AZ122" s="919">
        <f t="shared" si="25"/>
        <v>6720</v>
      </c>
    </row>
    <row r="123" spans="1:52">
      <c r="A123" s="73" t="s">
        <v>1544</v>
      </c>
      <c r="B123" s="73">
        <v>819</v>
      </c>
      <c r="C123" s="908" t="s">
        <v>1432</v>
      </c>
      <c r="D123" s="915" cm="1">
        <f t="array" ref="D12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3" s="915">
        <v>250</v>
      </c>
      <c r="F123" s="73" t="s">
        <v>560</v>
      </c>
      <c r="G123" s="916">
        <v>500</v>
      </c>
      <c r="H123" s="916">
        <v>500</v>
      </c>
      <c r="I123" s="916"/>
      <c r="J123" s="916"/>
      <c r="K123" s="73" t="s">
        <v>124</v>
      </c>
      <c r="L123" s="921" t="s">
        <v>221</v>
      </c>
      <c r="M123" s="915">
        <v>1</v>
      </c>
      <c r="N123" s="73" t="s">
        <v>550</v>
      </c>
      <c r="O123" s="73" t="s">
        <v>240</v>
      </c>
      <c r="P123" s="916" cm="1">
        <f t="array" ref="P123">IFERROR(_xlfn.SWITCH(F123,"By Weight",IF(H123&lt;&gt;"",H123,G123)/AR123,"By Length",G123,"By Imp",G123/MAX(1,ROUNDDOWN(E123/I123,0))*J123/1000,"IMP",G123/MAX(1,ROUNDDOWN(E123/I123,0))*J123/1000,""),"")</f>
        <v>17798.344753937883</v>
      </c>
      <c r="Q123" s="916">
        <f t="shared" si="26"/>
        <v>500.00000000000006</v>
      </c>
      <c r="R123" s="917">
        <f t="shared" si="27"/>
        <v>6935.4233917236324</v>
      </c>
      <c r="S123" s="918">
        <f t="shared" si="28"/>
        <v>8045.091134399413</v>
      </c>
      <c r="T123" s="919">
        <f t="shared" si="29"/>
        <v>13.870846783447263</v>
      </c>
      <c r="U123" s="920">
        <f t="shared" si="30"/>
        <v>16.090182268798824</v>
      </c>
      <c r="V123" s="919">
        <f t="shared" si="31"/>
        <v>0.4584314861929315</v>
      </c>
      <c r="W123" s="919">
        <f t="shared" si="32"/>
        <v>16.318643274643819</v>
      </c>
      <c r="X123" s="919" t="str">
        <f t="shared" si="33"/>
        <v/>
      </c>
      <c r="Y123" s="920">
        <f t="shared" si="34"/>
        <v>0.53178052398380049</v>
      </c>
      <c r="Z123" s="920">
        <f t="shared" si="35"/>
        <v>18.929626198586828</v>
      </c>
      <c r="AA123" s="920" t="str">
        <f t="shared" si="36"/>
        <v/>
      </c>
      <c r="AB123" s="917">
        <f t="shared" si="37"/>
        <v>8159.3216373219102</v>
      </c>
      <c r="AC123" s="918">
        <f t="shared" si="38"/>
        <v>9464.8130992934148</v>
      </c>
      <c r="AD123" s="916">
        <f t="shared" si="39"/>
        <v>17798.344753937883</v>
      </c>
      <c r="AE123" s="916">
        <f t="shared" si="40"/>
        <v>500</v>
      </c>
      <c r="AF123" s="919" cm="1">
        <f t="array" ref="AF123">IFERROR(_xlfn.LET(_xlpm.lam,TEXT(B123,"0"),_xlpm.thick,D123,_xlpm.crit,(TEXT(HELPER!$BZ$2:$BZ$250,"0")=_xlpm.lam)*(HELPER!$CC$2:$CC$250=_xlpm.thick)*(HELPER!$BW$2:$BW$250&lt;&gt;""),_xlpm.mats,TRIM(SUBSTITUTE(_xlfn._xlws.FILTER(HELPER!$BW$2:$BW$250,_xlpm.crit),CHAR(160),"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3" s="919">
        <f>IFERROR(IF(N123="Europe to Canada",IF(Q123&lt;1000,VLOOKUP(1000,HELPER!$AG$4:$AH$8,2,FALSE)/Q123,VLOOKUP(Q123,HELPER!$AG$4:$AH$8,2,TRUE)/Q123),IF(N123="Europe to US",HELPER!$AH$2,IF(N123="Europe to Europe",HELPER!$AH$3,0))),0)</f>
        <v>5.4</v>
      </c>
      <c r="AH123" s="919" cm="1">
        <f t="array" ref="AH123">IFERROR(_xlfn.LET(_xlpm.cap,IF(O123="Quantum",760,1220),_xlpm.wUsed,E123*MAX(1,MIN(MAX(2,INT(900/E123)),INT((_xlpm.cap-50)/E123))),_xlpm.kgmUsed,AR123/E123*_xlpm.wUsed,_xlpm.lam,TEXT(B123,"0"),_xlpm.crit,(TEXT(HELPER!$BZ$2:$BZ$250,"0")=_xlpm.lam)*(HELPER!$CC$2:$CC$250=D123)*(HELPER!$BW$2:$BW$250&lt;&gt;""),_xlpm.mats,_xlfn._xlws.FILTER(HELPER!$BW$2:$BW$250,_xlpm.crit),_xlpm.realLayers,SUM((_xlpm.mats&lt;&gt;"")*ISERROR(SEARCH("EPOTAL",_xlpm.mats&amp;""))*ISERROR(SEARCH("BASONAT",_xlpm.mats&amp;""))*ISERROR(SEARCH("ADH",_xlpm.mats&amp;""))*ISERROR(SEARCH("HARDENER",_xlpm.mats&amp;""))),_xlpm.steps,MAX(0,_xlpm.realLayers-1),_xlpm.tier,IF(P123&lt;3000,1,IF(P123&lt;10000,2,IF(P123&lt;25000,3,IF(P123&lt;50000,4,IF(P123&lt;100000,5,IF(P123&lt;250000,6,7)))))),_xlpm.widthRow,IF(_xlpm.wUsed&lt;900,0,5),_xlpm.supplierRow,IF(O123="Marma",3,IF(OR(O123="Bastin",O123="Quantum"),13,0)),_xlpm.rate,INDEX('Lmntn &amp; Prntng- Marma &amp; Bastin '!$D$1:$K$22,_xlpm.supplierRow+_xlpm.widthRow,_xlpm.tier),_xlpm.rate*_xlpm.steps/_xlpm.kgmUsed),"")</f>
        <v>2.8237429919017529</v>
      </c>
      <c r="AI123" s="919" cm="1">
        <f t="array" ref="AI123">IFERROR(_xlfn.LET(_xlpm.cap,IF(O123="Quantum",760,1220),_xlpm.wUsed,E123*MAX(1,MIN(MAX(2,INT(900/E123)),INT((_xlpm.cap-50)/E123))),_xlpm.kgmUsed,AR123/E123*_xlpm.wUsed,_xlpm.tier,IF(P123&lt;3000,1,IF(P123&lt;10000,2,IF(P123&lt;25000,3,IF(P123&lt;50000,4,IF(P123&lt;100000,5,IF(P123&lt;250000,6,IF(P123&lt;500000,7,8))))))),_xlpm.widthRow,IF(_xlpm.wUsed&lt;900,0,5),_xlpm.slitRow,IF(O123="Marma",7,IF(OR(O123="Bastin",O123="Quantum"),17,0)),_xlpm.slitRate,INDEX('Lmntn &amp; Prntng- Marma &amp; Bastin '!$D$1:$K$22,_xlpm.slitRow+_xlpm.widthRow,_xlpm.tier),_xlpm.numColors,IF(ISNUMBER(L123),L123,IFERROR(--RIGHT(L123,LEN(L123)-FIND("-",L123)),0)),_xlpm.printRate,IF(OR(K123&lt;&gt;"Printed",_xlpm.numColors=0),0,IF(O123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123))),MAX(_xlfn._xlws.FILTER(_xlpm.meters,(_xlpm.widths=_xlpm.qWidth)*(_xlpm.bands=_xlpm.band)))),INDEX(_xlpm.rates,_xlfn.XMATCH(1,(_xlpm.widths=_xlpm.qWidth)*(_xlpm.bands=_xlpm.band)*(_xlpm.meters=_xlpm.targetM),0))/HELPER!$AK$2),_xlfn.LET(_xlpm.colorOffset,IF(_xlpm.numColors&lt;=2,1,IF(_xlpm.numColors&lt;=4,2,3)),_xlpm.supplierRow,IF(O123="Marma",3,IF(O123="Bastin",13,0)),INDEX('Lmntn &amp; Prntng- Marma &amp; Bastin '!$D$1:$K$22,_xlpm.supplierRow+_xlpm.widthRow+_xlpm.colorOffset,_xlpm.tier)))),AH123+_xlpm.slitRate/_xlpm.kgmUsed+_xlpm.printRate/_xlpm.kgmUsed+AJ123),"")</f>
        <v>3.2235650084542136</v>
      </c>
      <c r="AJ123" s="919" cm="1">
        <f t="array" ref="AJ123">IF(OR(K123&lt;&gt;"Printed",L123=0,L123="0",L123=""),0,IFERROR(_xlfn.LET(_xlpm.lam,TEXT(B123,"0"),_xlpm.crit,(TEXT(HELPER!$BZ$2:$BZ$250,"0")=_xlpm.lam)*(HELPER!$CC$2:$CC$250=D123)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WHITE"},0)))/ROWS(_xlpm.real),_xlpm.numColors,IF(ISNUMBER(L123),L123,IFERROR(--RIGHT(L123,LEN(L123)-FIND("-",L123)),0)),HELPER!$DB$1*_xlpm.numColors*MAX(1,M123)*1.05*_xlpm.nkRatio/Q123),0))</f>
        <v>0</v>
      </c>
      <c r="AK123" s="919">
        <f t="shared" si="41"/>
        <v>1.18304899662692</v>
      </c>
      <c r="AL123" s="919">
        <f t="shared" si="42"/>
        <v>458.43148619293152</v>
      </c>
      <c r="AM123" s="73" t="str">
        <f t="shared" si="43"/>
        <v>PASS</v>
      </c>
      <c r="AN123" s="908" t="str">
        <f t="shared" si="22"/>
        <v/>
      </c>
      <c r="AO123" s="919">
        <f t="shared" si="23"/>
        <v>121</v>
      </c>
      <c r="AP123" s="919">
        <f t="shared" si="24"/>
        <v>17798.344753937883</v>
      </c>
      <c r="AQ123" s="919"/>
      <c r="AR123" s="919" cm="1">
        <f t="array" ref="AR123">IFERROR(_xlfn.LET(_xlpm.lam,TEXT(B123,"0"),_xlpm.thick,D123,_xlpm.crit,(TEXT(HELPER!$BZ$2:$BZ$250,"0")=_xlpm.lam)*(HELPER!$CC$2:$CC$250=_xlpm.thick)*(HELPER!$BW$2:$BW$250&lt;&gt;""),_xlpm.mats,TRIM(SUBSTITUTE(_xlfn._xlws.FILTER(HELPER!$BW$2:$BW$250,_xlpm.crit),CHAR(160),"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")),HELPER!$AQ$2:$AQ$20,1),_xlpm.mass,IF(ISNUMBER(SEARCH("paper",_xlpm.mats)),42,_xlpm.dens*_xlpm.ths),E123/1000000*SUM(_xlpm.mass)),"")</f>
        <v>2.8092500000000003E-2</v>
      </c>
      <c r="AS123" s="919">
        <f>IFERROR(IF(D123&gt;31,(5%+250/P123)*AF123,VLOOKUP(D123,HELPER!$BH$3:$BI$5,2,TRUE)*AF123),0)</f>
        <v>0.31584033154728797</v>
      </c>
      <c r="AT123" s="919">
        <v>0.149999999999999</v>
      </c>
      <c r="AU123" s="919"/>
      <c r="AV123" s="919"/>
      <c r="AW123" s="919"/>
      <c r="AX123" s="919"/>
      <c r="AY123" s="919"/>
      <c r="AZ123" s="919">
        <f t="shared" si="25"/>
        <v>0</v>
      </c>
    </row>
    <row r="124" spans="1:52">
      <c r="A124" s="73" t="s">
        <v>1545</v>
      </c>
      <c r="B124" s="73">
        <v>819</v>
      </c>
      <c r="C124" s="908" t="s">
        <v>1434</v>
      </c>
      <c r="D124" s="915" cm="1">
        <f t="array" ref="D12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4" s="915">
        <v>600</v>
      </c>
      <c r="F124" s="73" t="s">
        <v>1040</v>
      </c>
      <c r="G124" s="916">
        <v>100000</v>
      </c>
      <c r="H124" s="916"/>
      <c r="I124" s="916">
        <v>300</v>
      </c>
      <c r="J124" s="916">
        <v>200</v>
      </c>
      <c r="K124" s="73" t="s">
        <v>123</v>
      </c>
      <c r="L124" s="921" t="s">
        <v>122</v>
      </c>
      <c r="M124" s="915">
        <v>4</v>
      </c>
      <c r="N124" s="73" t="s">
        <v>549</v>
      </c>
      <c r="O124" s="73" t="s">
        <v>250</v>
      </c>
      <c r="P124" s="916" cm="1">
        <f t="array" ref="P124">IFERROR(_xlfn.SWITCH(F124,"By Weight",IF(H124&lt;&gt;"",H124,G124)/AR124,"By Length",G124,"By Imp",G124/MAX(1,ROUNDDOWN(E124/I124,0))*J124/1000,"IMP",G124/MAX(1,ROUNDDOWN(E124/I124,0))*J124/1000,""),"")</f>
        <v>10000</v>
      </c>
      <c r="Q124" s="916">
        <f t="shared" si="26"/>
        <v>674.21999999999991</v>
      </c>
      <c r="R124" s="917">
        <f t="shared" si="27"/>
        <v>8745.0861837499997</v>
      </c>
      <c r="S124" s="918">
        <f t="shared" si="28"/>
        <v>10144.299973149999</v>
      </c>
      <c r="T124" s="919">
        <f t="shared" si="29"/>
        <v>12.970671566773458</v>
      </c>
      <c r="U124" s="920">
        <f t="shared" si="30"/>
        <v>15.04597901745721</v>
      </c>
      <c r="V124" s="919">
        <f t="shared" si="31"/>
        <v>1.0931357729687514</v>
      </c>
      <c r="W124" s="919">
        <f t="shared" si="32"/>
        <v>16.213339458466844</v>
      </c>
      <c r="X124" s="919">
        <f t="shared" si="33"/>
        <v>0.10931357729687514</v>
      </c>
      <c r="Y124" s="920">
        <f t="shared" si="34"/>
        <v>1.2680374966437515</v>
      </c>
      <c r="Z124" s="920">
        <f t="shared" si="35"/>
        <v>18.807473771821538</v>
      </c>
      <c r="AA124" s="920">
        <f t="shared" si="36"/>
        <v>0.12680374966437516</v>
      </c>
      <c r="AB124" s="917">
        <f t="shared" si="37"/>
        <v>10931.357729687514</v>
      </c>
      <c r="AC124" s="918">
        <f t="shared" si="38"/>
        <v>12680.374966437515</v>
      </c>
      <c r="AD124" s="916">
        <f t="shared" si="39"/>
        <v>7415.9769808074516</v>
      </c>
      <c r="AE124" s="916">
        <f t="shared" si="40"/>
        <v>500</v>
      </c>
      <c r="AF124" s="919" cm="1">
        <f t="array" ref="AF124">IFERROR(_xlfn.LET(_xlpm.lam,TEXT(B124,"0"),_xlpm.thick,D124,_xlpm.crit,(TEXT(HELPER!$BZ$2:$BZ$250,"0")=_xlpm.lam)*(HELPER!$CC$2:$CC$250=_xlpm.thick)*(HELPER!$BW$2:$BW$250&lt;&gt;""),_xlpm.mats,TRIM(SUBSTITUTE(_xlfn._xlws.FILTER(HELPER!$BW$2:$BW$250,_xlpm.crit),CHAR(160),"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4" s="919">
        <f>IFERROR(IF(N124="Europe to Canada",IF(Q124&lt;1000,VLOOKUP(1000,HELPER!$AG$4:$AH$8,2,FALSE)/Q124,VLOOKUP(Q124,HELPER!$AG$4:$AH$8,2,TRUE)/Q124),IF(N124="Europe to US",HELPER!$AH$2,IF(N124="Europe to Europe",HELPER!$AH$3,0))),0)</f>
        <v>0.2</v>
      </c>
      <c r="AH124" s="919" cm="1">
        <f t="array" ref="AH124">IFERROR(_xlfn.LET(_xlpm.cap,IF(O124="Quantum",760,1220),_xlpm.wUsed,E124*MAX(1,MIN(MAX(2,INT(900/E124)),INT((_xlpm.cap-50)/E124))),_xlpm.kgmUsed,AR124/E124*_xlpm.wUsed,_xlpm.lam,TEXT(B124,"0"),_xlpm.crit,(TEXT(HELPER!$BZ$2:$BZ$250,"0")=_xlpm.lam)*(HELPER!$CC$2:$CC$250=D124)*(HELPER!$BW$2:$BW$250&lt;&gt;""),_xlpm.mats,_xlfn._xlws.FILTER(HELPER!$BW$2:$BW$250,_xlpm.crit),_xlpm.realLayers,SUM((_xlpm.mats&lt;&gt;"")*ISERROR(SEARCH("EPOTAL",_xlpm.mats&amp;""))*ISERROR(SEARCH("BASONAT",_xlpm.mats&amp;""))*ISERROR(SEARCH("ADH",_xlpm.mats&amp;""))*ISERROR(SEARCH("HARDENER",_xlpm.mats&amp;""))),_xlpm.steps,MAX(0,_xlpm.realLayers-1),_xlpm.tier,IF(P124&lt;3000,1,IF(P124&lt;10000,2,IF(P124&lt;25000,3,IF(P124&lt;50000,4,IF(P124&lt;100000,5,IF(P124&lt;250000,6,7)))))),_xlpm.widthRow,IF(_xlpm.wUsed&lt;900,0,5),_xlpm.supplierRow,IF(O124="Marma",3,IF(OR(O124="Bastin",O124="Quantum"),13,0)),_xlpm.rate,INDEX('Lmntn &amp; Prntng- Marma &amp; Bastin '!$D$1:$K$22,_xlpm.supplierRow+_xlpm.widthRow,_xlpm.tier),_xlpm.rate*_xlpm.steps/_xlpm.kgmUsed),"")</f>
        <v>2.7151374922132243</v>
      </c>
      <c r="AI124" s="919" cm="1">
        <f t="array" ref="AI124">IFERROR(_xlfn.LET(_xlpm.cap,IF(O124="Quantum",760,1220),_xlpm.wUsed,E124*MAX(1,MIN(MAX(2,INT(900/E124)),INT((_xlpm.cap-50)/E124))),_xlpm.kgmUsed,AR124/E124*_xlpm.wUsed,_xlpm.tier,IF(P124&lt;3000,1,IF(P124&lt;10000,2,IF(P124&lt;25000,3,IF(P124&lt;50000,4,IF(P124&lt;100000,5,IF(P124&lt;250000,6,IF(P124&lt;500000,7,8))))))),_xlpm.widthRow,IF(_xlpm.wUsed&lt;900,0,5),_xlpm.slitRow,IF(O124="Marma",7,IF(OR(O124="Bastin",O124="Quantum"),17,0)),_xlpm.slitRate,INDEX('Lmntn &amp; Prntng- Marma &amp; Bastin '!$D$1:$K$22,_xlpm.slitRow+_xlpm.widthRow,_xlpm.tier),_xlpm.numColors,IF(ISNUMBER(L124),L124,IFERROR(--RIGHT(L124,LEN(L124)-FIND("-",L124)),0)),_xlpm.printRate,IF(OR(K124&lt;&gt;"Printed",_xlpm.numColors=0),0,IF(O124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124))),MAX(_xlfn._xlws.FILTER(_xlpm.meters,(_xlpm.widths=_xlpm.qWidth)*(_xlpm.bands=_xlpm.band)))),INDEX(_xlpm.rates,_xlfn.XMATCH(1,(_xlpm.widths=_xlpm.qWidth)*(_xlpm.bands=_xlpm.band)*(_xlpm.meters=_xlpm.targetM),0))/HELPER!$AK$2),_xlfn.LET(_xlpm.colorOffset,IF(_xlpm.numColors&lt;=2,1,IF(_xlpm.numColors&lt;=4,2,3)),_xlpm.supplierRow,IF(O124="Marma",3,IF(O124="Bastin",13,0)),INDEX('Lmntn &amp; Prntng- Marma &amp; Bastin '!$D$1:$K$22,_xlpm.supplierRow+_xlpm.widthRow+_xlpm.colorOffset,_xlpm.tier)))),AH124+_xlpm.slitRate/_xlpm.kgmUsed+_xlpm.printRate/_xlpm.kgmUsed+AJ124),"")</f>
        <v>7.4693720150692657</v>
      </c>
      <c r="AJ124" s="919" cm="1">
        <f t="array" ref="AJ124">IF(OR(K124&lt;&gt;"Printed",L124=0,L124="0",L124=""),0,IFERROR(_xlfn.LET(_xlpm.lam,TEXT(B124,"0"),_xlpm.crit,(TEXT(HELPER!$BZ$2:$BZ$250,"0")=_xlpm.lam)*(HELPER!$CC$2:$CC$250=D124)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WHITE"},0)))/ROWS(_xlpm.real),_xlpm.numColors,IF(ISNUMBER(L124),L124,IFERROR(--RIGHT(L124,LEN(L124)-FIND("-",L124)),0)),HELPER!$DB$1*_xlpm.numColors*MAX(1,M124)*1.05*_xlpm.nkRatio/Q124),0))</f>
        <v>2.491768265551304</v>
      </c>
      <c r="AK124" s="919">
        <f t="shared" si="41"/>
        <v>1.1754148096438188</v>
      </c>
      <c r="AL124" s="919">
        <f t="shared" si="42"/>
        <v>1093.1357729687513</v>
      </c>
      <c r="AM124" s="73" t="str">
        <f t="shared" si="43"/>
        <v>PASS</v>
      </c>
      <c r="AN124" s="908" t="str">
        <f t="shared" si="22"/>
        <v/>
      </c>
      <c r="AO124" s="919">
        <f t="shared" si="23"/>
        <v>121</v>
      </c>
      <c r="AP124" s="919">
        <f t="shared" si="24"/>
        <v>10000</v>
      </c>
      <c r="AQ124" s="919"/>
      <c r="AR124" s="919" cm="1">
        <f t="array" ref="AR124">IFERROR(_xlfn.LET(_xlpm.lam,TEXT(B124,"0"),_xlpm.thick,D124,_xlpm.crit,(TEXT(HELPER!$BZ$2:$BZ$250,"0")=_xlpm.lam)*(HELPER!$CC$2:$CC$250=_xlpm.thick)*(HELPER!$BW$2:$BW$250&lt;&gt;""),_xlpm.mats,TRIM(SUBSTITUTE(_xlfn._xlws.FILTER(HELPER!$BW$2:$BW$250,_xlpm.crit),CHAR(160),"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")),HELPER!$AQ$2:$AQ$20,1),_xlpm.mass,IF(ISNUMBER(SEARCH("paper",_xlpm.mats)),42,_xlpm.dens*_xlpm.ths),E124/1000000*SUM(_xlpm.mass)),"")</f>
        <v>6.7421999999999996E-2</v>
      </c>
      <c r="AS124" s="919">
        <f>IFERROR(IF(D124&gt;31,(5%+250/P124)*AF124,VLOOKUP(D124,HELPER!$BH$3:$BI$5,2,TRUE)*AF124),0)</f>
        <v>0.36985810825843202</v>
      </c>
      <c r="AT124" s="919">
        <v>0.20000000000000101</v>
      </c>
      <c r="AU124" s="919"/>
      <c r="AV124" s="919"/>
      <c r="AW124" s="919"/>
      <c r="AX124" s="919"/>
      <c r="AY124" s="919"/>
      <c r="AZ124" s="919">
        <f t="shared" si="25"/>
        <v>1680</v>
      </c>
    </row>
    <row r="125" spans="1:52">
      <c r="A125" s="73" t="s">
        <v>1546</v>
      </c>
      <c r="B125" s="73">
        <v>819</v>
      </c>
      <c r="C125" s="908" t="s">
        <v>1436</v>
      </c>
      <c r="D125" s="915" cm="1">
        <f t="array" ref="D12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5" s="915">
        <v>450</v>
      </c>
      <c r="F125" s="73" t="s">
        <v>560</v>
      </c>
      <c r="G125" s="916">
        <v>500</v>
      </c>
      <c r="H125" s="916">
        <v>500</v>
      </c>
      <c r="I125" s="916"/>
      <c r="J125" s="916"/>
      <c r="K125" s="73" t="s">
        <v>123</v>
      </c>
      <c r="L125" s="921" t="s">
        <v>591</v>
      </c>
      <c r="M125" s="915">
        <v>2</v>
      </c>
      <c r="N125" s="73" t="s">
        <v>549</v>
      </c>
      <c r="O125" s="73" t="s">
        <v>1366</v>
      </c>
      <c r="P125" s="916" cm="1">
        <f t="array" ref="P125">IFERROR(_xlfn.SWITCH(F125,"By Weight",IF(H125&lt;&gt;"",H125,G125)/AR125,"By Length",G125,"By Imp",G125/MAX(1,ROUNDDOWN(E125/I125,0))*J125/1000,"IMP",G125/MAX(1,ROUNDDOWN(E125/I125,0))*J125/1000,""),"")</f>
        <v>9887.9693077432694</v>
      </c>
      <c r="Q125" s="916">
        <f t="shared" si="26"/>
        <v>500.00000000000006</v>
      </c>
      <c r="R125" s="917">
        <f t="shared" si="27"/>
        <v>14081.609414347413</v>
      </c>
      <c r="S125" s="918">
        <f t="shared" si="28"/>
        <v>16334.666920642998</v>
      </c>
      <c r="T125" s="919">
        <f t="shared" si="29"/>
        <v>28.163218828694824</v>
      </c>
      <c r="U125" s="920">
        <f t="shared" si="30"/>
        <v>32.66933384128599</v>
      </c>
      <c r="V125" s="919">
        <f t="shared" si="31"/>
        <v>1.675429888119053</v>
      </c>
      <c r="W125" s="919">
        <f t="shared" si="32"/>
        <v>33.13319862199387</v>
      </c>
      <c r="X125" s="919" t="str">
        <f t="shared" si="33"/>
        <v/>
      </c>
      <c r="Y125" s="920">
        <f t="shared" si="34"/>
        <v>1.9434986702181014</v>
      </c>
      <c r="Z125" s="920">
        <f t="shared" si="35"/>
        <v>38.434510401512888</v>
      </c>
      <c r="AA125" s="920" t="str">
        <f t="shared" si="36"/>
        <v/>
      </c>
      <c r="AB125" s="917">
        <f t="shared" si="37"/>
        <v>16566.599310996939</v>
      </c>
      <c r="AC125" s="918">
        <f t="shared" si="38"/>
        <v>19217.255200756448</v>
      </c>
      <c r="AD125" s="916">
        <f t="shared" si="39"/>
        <v>9887.9693077432694</v>
      </c>
      <c r="AE125" s="916">
        <f t="shared" si="40"/>
        <v>500</v>
      </c>
      <c r="AF125" s="919" cm="1">
        <f t="array" ref="AF125">IFERROR(_xlfn.LET(_xlpm.lam,TEXT(B125,"0"),_xlpm.thick,D125,_xlpm.crit,(TEXT(HELPER!$BZ$2:$BZ$250,"0")=_xlpm.lam)*(HELPER!$CC$2:$CC$250=_xlpm.thick)*(HELPER!$BW$2:$BW$250&lt;&gt;""),_xlpm.mats,TRIM(SUBSTITUTE(_xlfn._xlws.FILTER(HELPER!$BW$2:$BW$250,_xlpm.crit),CHAR(160),"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5" s="919">
        <f>IFERROR(IF(N125="Europe to Canada",IF(Q125&lt;1000,VLOOKUP(1000,HELPER!$AG$4:$AH$8,2,FALSE)/Q125,VLOOKUP(Q125,HELPER!$AG$4:$AH$8,2,TRUE)/Q125),IF(N125="Europe to US",HELPER!$AH$2,IF(N125="Europe to Europe",HELPER!$AH$3,0))),0)</f>
        <v>0.2</v>
      </c>
      <c r="AH125" s="919" cm="1">
        <f t="array" ref="AH125">IFERROR(_xlfn.LET(_xlpm.cap,IF(O125="Quantum",760,1220),_xlpm.wUsed,E125*MAX(1,MIN(MAX(2,INT(900/E125)),INT((_xlpm.cap-50)/E125))),_xlpm.kgmUsed,AR125/E125*_xlpm.wUsed,_xlpm.lam,TEXT(B125,"0"),_xlpm.crit,(TEXT(HELPER!$BZ$2:$BZ$250,"0")=_xlpm.lam)*(HELPER!$CC$2:$CC$250=D125)*(HELPER!$BW$2:$BW$250&lt;&gt;""),_xlpm.mats,_xlfn._xlws.FILTER(HELPER!$BW$2:$BW$250,_xlpm.crit),_xlpm.realLayers,SUM((_xlpm.mats&lt;&gt;"")*ISERROR(SEARCH("EPOTAL",_xlpm.mats&amp;""))*ISERROR(SEARCH("BASONAT",_xlpm.mats&amp;""))*ISERROR(SEARCH("ADH",_xlpm.mats&amp;""))*ISERROR(SEARCH("HARDENER",_xlpm.mats&amp;""))),_xlpm.steps,MAX(0,_xlpm.realLayers-1),_xlpm.tier,IF(P125&lt;3000,1,IF(P125&lt;10000,2,IF(P125&lt;25000,3,IF(P125&lt;50000,4,IF(P125&lt;100000,5,IF(P125&lt;250000,6,7)))))),_xlpm.widthRow,IF(_xlpm.wUsed&lt;900,0,5),_xlpm.supplierRow,IF(O125="Marma",3,IF(OR(O125="Bastin",O125="Quantum"),13,0)),_xlpm.rate,INDEX('Lmntn &amp; Prntng- Marma &amp; Bastin '!$D$1:$K$22,_xlpm.supplierRow+_xlpm.widthRow,_xlpm.tier),_xlpm.rate*_xlpm.steps/_xlpm.kgmUsed),"")</f>
        <v>5.3540980688795949</v>
      </c>
      <c r="AI125" s="919" cm="1">
        <f t="array" ref="AI125">IFERROR(_xlfn.LET(_xlpm.cap,IF(O125="Quantum",760,1220),_xlpm.wUsed,E125*MAX(1,MIN(MAX(2,INT(900/E125)),INT((_xlpm.cap-50)/E125))),_xlpm.kgmUsed,AR125/E125*_xlpm.wUsed,_xlpm.tier,IF(P125&lt;3000,1,IF(P125&lt;10000,2,IF(P125&lt;25000,3,IF(P125&lt;50000,4,IF(P125&lt;100000,5,IF(P125&lt;250000,6,IF(P125&lt;500000,7,8))))))),_xlpm.widthRow,IF(_xlpm.wUsed&lt;900,0,5),_xlpm.slitRow,IF(O125="Marma",7,IF(OR(O125="Bastin",O125="Quantum"),17,0)),_xlpm.slitRate,INDEX('Lmntn &amp; Prntng- Marma &amp; Bastin '!$D$1:$K$22,_xlpm.slitRow+_xlpm.widthRow,_xlpm.tier),_xlpm.numColors,IF(ISNUMBER(L125),L125,IFERROR(--RIGHT(L125,LEN(L125)-FIND("-",L125)),0)),_xlpm.printRate,IF(OR(K125&lt;&gt;"Printed",_xlpm.numColors=0),0,IF(O125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125))),MAX(_xlfn._xlws.FILTER(_xlpm.meters,(_xlpm.widths=_xlpm.qWidth)*(_xlpm.bands=_xlpm.band)))),INDEX(_xlpm.rates,_xlfn.XMATCH(1,(_xlpm.widths=_xlpm.qWidth)*(_xlpm.bands=_xlpm.band)*(_xlpm.meters=_xlpm.targetM),0))/HELPER!$AK$2),_xlfn.LET(_xlpm.colorOffset,IF(_xlpm.numColors&lt;=2,1,IF(_xlpm.numColors&lt;=4,2,3)),_xlpm.supplierRow,IF(O125="Marma",3,IF(O125="Bastin",13,0)),INDEX('Lmntn &amp; Prntng- Marma &amp; Bastin '!$D$1:$K$22,_xlpm.supplierRow+_xlpm.widthRow+_xlpm.colorOffset,_xlpm.tier)))),AH125+_xlpm.slitRate/_xlpm.kgmUsed+_xlpm.printRate/_xlpm.kgmUsed+AJ125),"")</f>
        <v>22.660522446201778</v>
      </c>
      <c r="AJ125" s="919" cm="1">
        <f t="array" ref="AJ125">IF(OR(K125&lt;&gt;"Printed",L125=0,L125="0",L125=""),0,IFERROR(_xlfn.LET(_xlpm.lam,TEXT(B125,"0"),_xlpm.crit,(TEXT(HELPER!$BZ$2:$BZ$250,"0")=_xlpm.lam)*(HELPER!$CC$2:$CC$250=D125)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WHITE"},0)))/ROWS(_xlpm.real),_xlpm.numColors,IF(ISNUMBER(L125),L125,IFERROR(--RIGHT(L125,LEN(L125)-FIND("-",L125)),0)),HELPER!$DB$1*_xlpm.numColors*MAX(1,M125)*1.05*_xlpm.nkRatio/Q125),0))</f>
        <v>0.83999999999999986</v>
      </c>
      <c r="AK125" s="919">
        <f t="shared" si="41"/>
        <v>2.4020500188086782</v>
      </c>
      <c r="AL125" s="919">
        <f t="shared" si="42"/>
        <v>1675.429888119053</v>
      </c>
      <c r="AM125" s="73" t="str">
        <f t="shared" si="43"/>
        <v>PASS</v>
      </c>
      <c r="AN125" s="908" t="str">
        <f t="shared" si="22"/>
        <v/>
      </c>
      <c r="AO125" s="919">
        <f t="shared" si="23"/>
        <v>121</v>
      </c>
      <c r="AP125" s="919">
        <f t="shared" si="24"/>
        <v>9887.9693077432694</v>
      </c>
      <c r="AQ125" s="919"/>
      <c r="AR125" s="919" cm="1">
        <f t="array" ref="AR125">IFERROR(_xlfn.LET(_xlpm.lam,TEXT(B125,"0"),_xlpm.thick,D125,_xlpm.crit,(TEXT(HELPER!$BZ$2:$BZ$250,"0")=_xlpm.lam)*(HELPER!$CC$2:$CC$250=_xlpm.thick)*(HELPER!$BW$2:$BW$250&lt;&gt;""),_xlpm.mats,TRIM(SUBSTITUTE(_xlfn._xlws.FILTER(HELPER!$BW$2:$BW$250,_xlpm.crit),CHAR(160),"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")),HELPER!$AQ$2:$AQ$20,1),_xlpm.mass,IF(ISNUMBER(SEARCH("paper",_xlpm.mats)),42,_xlpm.dens*_xlpm.ths),E125/1000000*SUM(_xlpm.mass)),"")</f>
        <v>5.05665E-2</v>
      </c>
      <c r="AS125" s="919">
        <f>IFERROR(IF(D125&gt;31,(5%+250/P125)*AF125,VLOOKUP(D125,HELPER!$BH$3:$BI$5,2,TRUE)*AF125),0)</f>
        <v>0.37125493904728796</v>
      </c>
      <c r="AT125" s="919">
        <v>0.149999999999999</v>
      </c>
      <c r="AU125" s="919"/>
      <c r="AV125" s="919"/>
      <c r="AW125" s="919"/>
      <c r="AX125" s="919"/>
      <c r="AY125" s="919"/>
      <c r="AZ125" s="919">
        <f t="shared" si="25"/>
        <v>420</v>
      </c>
    </row>
    <row r="126" spans="1:52">
      <c r="A126" s="73" t="s">
        <v>1547</v>
      </c>
      <c r="B126" s="73" t="s">
        <v>1053</v>
      </c>
      <c r="C126" s="908" t="s">
        <v>1418</v>
      </c>
      <c r="D126" s="915" cm="1">
        <f t="array" ref="D12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6" s="915">
        <v>120</v>
      </c>
      <c r="F126" s="73" t="s">
        <v>560</v>
      </c>
      <c r="G126" s="916">
        <v>100</v>
      </c>
      <c r="H126" s="916">
        <v>100</v>
      </c>
      <c r="I126" s="916"/>
      <c r="J126" s="916"/>
      <c r="K126" s="73" t="s">
        <v>124</v>
      </c>
      <c r="L126" s="921" t="s">
        <v>221</v>
      </c>
      <c r="M126" s="915">
        <v>1</v>
      </c>
      <c r="N126" s="73" t="s">
        <v>549</v>
      </c>
      <c r="O126" s="73" t="s">
        <v>250</v>
      </c>
      <c r="P126" s="916" cm="1">
        <f t="array" ref="P126">IFERROR(_xlfn.SWITCH(F126,"By Weight",IF(H126&lt;&gt;"",H126,G126)/AR126,"By Length",G126,"By Imp",G126/MAX(1,ROUNDDOWN(E126/I126,0))*J126/1000,"IMP",G126/MAX(1,ROUNDDOWN(E126/I126,0))*J126/1000,""),"")</f>
        <v>7941.8024714889279</v>
      </c>
      <c r="Q126" s="916">
        <f t="shared" si="26"/>
        <v>100</v>
      </c>
      <c r="R126" s="917">
        <f t="shared" si="27"/>
        <v>1160.8156512019268</v>
      </c>
      <c r="S126" s="918">
        <f t="shared" si="28"/>
        <v>1346.546155394235</v>
      </c>
      <c r="T126" s="919">
        <f t="shared" si="29"/>
        <v>11.608156512019269</v>
      </c>
      <c r="U126" s="920">
        <f t="shared" si="30"/>
        <v>13.465461553942351</v>
      </c>
      <c r="V126" s="919">
        <f t="shared" si="31"/>
        <v>0.17195913357263748</v>
      </c>
      <c r="W126" s="919">
        <f t="shared" si="32"/>
        <v>13.65665472002267</v>
      </c>
      <c r="X126" s="919" t="str">
        <f t="shared" si="33"/>
        <v/>
      </c>
      <c r="Y126" s="920">
        <f t="shared" si="34"/>
        <v>0.19947259494425945</v>
      </c>
      <c r="Z126" s="920">
        <f t="shared" si="35"/>
        <v>15.841719475226297</v>
      </c>
      <c r="AA126" s="920" t="str">
        <f t="shared" si="36"/>
        <v/>
      </c>
      <c r="AB126" s="917">
        <f t="shared" si="37"/>
        <v>1365.6654720022671</v>
      </c>
      <c r="AC126" s="918">
        <f t="shared" si="38"/>
        <v>1584.1719475226296</v>
      </c>
      <c r="AD126" s="916">
        <f t="shared" si="39"/>
        <v>39709.012357444641</v>
      </c>
      <c r="AE126" s="916">
        <f t="shared" si="40"/>
        <v>500</v>
      </c>
      <c r="AF126" s="919" cm="1">
        <f t="array" ref="AF126">IFERROR(_xlfn.LET(_xlpm.lam,TEXT(B126,"0"),_xlpm.thick,D126,_xlpm.crit,(TEXT(HELPER!$BZ$2:$BZ$250,"0")=_xlpm.lam)*(HELPER!$CC$2:$CC$250=_xlpm.thick)*(HELPER!$BW$2:$BW$250&lt;&gt;""),_xlpm.mats,TRIM(SUBSTITUTE(_xlfn._xlws.FILTER(HELPER!$BW$2:$BW$250,_xlpm.crit),CHAR(160),"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6" s="919">
        <f>IFERROR(IF(N126="Europe to Canada",IF(Q126&lt;1000,VLOOKUP(1000,HELPER!$AG$4:$AH$8,2,FALSE)/Q126,VLOOKUP(Q126,HELPER!$AG$4:$AH$8,2,TRUE)/Q126),IF(N126="Europe to US",HELPER!$AH$2,IF(N126="Europe to Europe",HELPER!$AH$3,0))),0)</f>
        <v>0.2</v>
      </c>
      <c r="AH126" s="919" cm="1">
        <f t="array" ref="AH126">IFERROR(_xlfn.LET(_xlpm.cap,IF(O126="Quantum",760,1220),_xlpm.wUsed,E126*MAX(1,MIN(MAX(2,INT(900/E126)),INT((_xlpm.cap-50)/E126))),_xlpm.kgmUsed,AR126/E126*_xlpm.wUsed,_xlpm.lam,TEXT(B126,"0"),_xlpm.crit,(TEXT(HELPER!$BZ$2:$BZ$250,"0")=_xlpm.lam)*(HELPER!$CC$2:$CC$250=D126)*(HELPER!$BW$2:$BW$250&lt;&gt;""),_xlpm.mats,_xlfn._xlws.FILTER(HELPER!$BW$2:$BW$250,_xlpm.crit),_xlpm.realLayers,SUM((_xlpm.mats&lt;&gt;"")*ISERROR(SEARCH("EPOTAL",_xlpm.mats&amp;""))*ISERROR(SEARCH("BASONAT",_xlpm.mats&amp;""))*ISERROR(SEARCH("ADH",_xlpm.mats&amp;""))*ISERROR(SEARCH("HARDENER",_xlpm.mats&amp;""))),_xlpm.steps,MAX(0,_xlpm.realLayers-1),_xlpm.tier,IF(P126&lt;3000,1,IF(P126&lt;10000,2,IF(P126&lt;25000,3,IF(P126&lt;50000,4,IF(P126&lt;100000,5,IF(P126&lt;250000,6,7)))))),_xlpm.widthRow,IF(_xlpm.wUsed&lt;900,0,5),_xlpm.supplierRow,IF(O126="Marma",3,IF(OR(O126="Bastin",O126="Quantum"),13,0)),_xlpm.rate,INDEX('Lmntn &amp; Prntng- Marma &amp; Bastin '!$D$1:$K$22,_xlpm.supplierRow+_xlpm.widthRow,_xlpm.tier),_xlpm.rate*_xlpm.steps/_xlpm.kgmUsed),"")</f>
        <v>2.3627996895889773</v>
      </c>
      <c r="AI126" s="919" cm="1">
        <f t="array" ref="AI126">IFERROR(_xlfn.LET(_xlpm.cap,IF(O126="Quantum",760,1220),_xlpm.wUsed,E126*MAX(1,MIN(MAX(2,INT(900/E126)),INT((_xlpm.cap-50)/E126))),_xlpm.kgmUsed,AR126/E126*_xlpm.wUsed,_xlpm.tier,IF(P126&lt;3000,1,IF(P126&lt;10000,2,IF(P126&lt;25000,3,IF(P126&lt;50000,4,IF(P126&lt;100000,5,IF(P126&lt;250000,6,IF(P126&lt;500000,7,8))))))),_xlpm.widthRow,IF(_xlpm.wUsed&lt;900,0,5),_xlpm.slitRow,IF(O126="Marma",7,IF(OR(O126="Bastin",O126="Quantum"),17,0)),_xlpm.slitRate,INDEX('Lmntn &amp; Prntng- Marma &amp; Bastin '!$D$1:$K$22,_xlpm.slitRow+_xlpm.widthRow,_xlpm.tier),_xlpm.numColors,IF(ISNUMBER(L126),L126,IFERROR(--RIGHT(L126,LEN(L126)-FIND("-",L126)),0)),_xlpm.printRate,IF(OR(K126&lt;&gt;"Printed",_xlpm.numColors=0),0,IF(O126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126))),MAX(_xlfn._xlws.FILTER(_xlpm.meters,(_xlpm.widths=_xlpm.qWidth)*(_xlpm.bands=_xlpm.band)))),INDEX(_xlpm.rates,_xlfn.XMATCH(1,(_xlpm.widths=_xlpm.qWidth)*(_xlpm.bands=_xlpm.band)*(_xlpm.meters=_xlpm.targetM),0))/HELPER!$AK$2),_xlfn.LET(_xlpm.colorOffset,IF(_xlpm.numColors&lt;=2,1,IF(_xlpm.numColors&lt;=4,2,3)),_xlpm.supplierRow,IF(O126="Marma",3,IF(O126="Bastin",13,0)),INDEX('Lmntn &amp; Prntng- Marma &amp; Bastin '!$D$1:$K$22,_xlpm.supplierRow+_xlpm.widthRow+_xlpm.colorOffset,_xlpm.tier)))),AH126+_xlpm.slitRate/_xlpm.kgmUsed+_xlpm.printRate/_xlpm.kgmUsed+AJ126),"")</f>
        <v>2.7079277341356818</v>
      </c>
      <c r="AJ126" s="919" cm="1">
        <f t="array" ref="AJ126">IF(OR(K126&lt;&gt;"Printed",L126=0,L126="0",L126=""),0,IFERROR(_xlfn.LET(_xlpm.lam,TEXT(B126,"0"),_xlpm.crit,(TEXT(HELPER!$BZ$2:$BZ$250,"0")=_xlpm.lam)*(HELPER!$CC$2:$CC$250=D126)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WHITE"},0)))/ROWS(_xlpm.real),_xlpm.numColors,IF(ISNUMBER(L126),L126,IFERROR(--RIGHT(L126,LEN(L126)-FIND("-",L126)),0)),HELPER!$DB$1*_xlpm.numColors*MAX(1,M126)*1.05*_xlpm.nkRatio/Q126),0))</f>
        <v>0</v>
      </c>
      <c r="AK126" s="919">
        <f t="shared" si="41"/>
        <v>0.92451147082063156</v>
      </c>
      <c r="AL126" s="919">
        <f t="shared" si="42"/>
        <v>171.95913357263748</v>
      </c>
      <c r="AM126" s="73" t="str">
        <f t="shared" si="43"/>
        <v>PASS</v>
      </c>
      <c r="AN126" s="908" t="str">
        <f t="shared" si="22"/>
        <v/>
      </c>
      <c r="AO126" s="919">
        <f t="shared" si="23"/>
        <v>79</v>
      </c>
      <c r="AP126" s="919">
        <f t="shared" si="24"/>
        <v>7941.8024714889279</v>
      </c>
      <c r="AQ126" s="919"/>
      <c r="AR126" s="919" cm="1">
        <f t="array" ref="AR126">IFERROR(_xlfn.LET(_xlpm.lam,TEXT(B126,"0"),_xlpm.thick,D126,_xlpm.crit,(TEXT(HELPER!$BZ$2:$BZ$250,"0")=_xlpm.lam)*(HELPER!$CC$2:$CC$250=_xlpm.thick)*(HELPER!$BW$2:$BW$250&lt;&gt;""),_xlpm.mats,TRIM(SUBSTITUTE(_xlfn._xlws.FILTER(HELPER!$BW$2:$BW$250,_xlpm.crit),CHAR(160),"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")),HELPER!$AQ$2:$AQ$20,1),_xlpm.mass,IF(ISNUMBER(SEARCH("paper",_xlpm.mats)),42,_xlpm.dens*_xlpm.ths),E126/1000000*SUM(_xlpm.mass)),"")</f>
        <v>1.2591600000000001E-2</v>
      </c>
      <c r="AS126" s="919">
        <f>IFERROR(IF(D126&gt;31,(5%+250/P126)*AF126,VLOOKUP(D126,HELPER!$BH$3:$BI$5,2,TRUE)*AF126),0)</f>
        <v>0.65547822989921856</v>
      </c>
      <c r="AT126" s="919">
        <v>0.15</v>
      </c>
      <c r="AU126" s="919"/>
      <c r="AV126" s="919"/>
      <c r="AW126" s="919"/>
      <c r="AX126" s="919"/>
      <c r="AY126" s="919"/>
      <c r="AZ126" s="919">
        <f t="shared" si="25"/>
        <v>0</v>
      </c>
    </row>
    <row r="127" spans="1:52">
      <c r="A127" s="73" t="s">
        <v>1548</v>
      </c>
      <c r="B127" s="73" t="s">
        <v>1053</v>
      </c>
      <c r="C127" s="908" t="s">
        <v>1420</v>
      </c>
      <c r="D127" s="915" cm="1">
        <f t="array" ref="D12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7" s="915">
        <v>120</v>
      </c>
      <c r="F127" s="73" t="s">
        <v>1040</v>
      </c>
      <c r="G127" s="916">
        <v>1000</v>
      </c>
      <c r="H127" s="916"/>
      <c r="I127" s="916">
        <v>80</v>
      </c>
      <c r="J127" s="916">
        <v>80</v>
      </c>
      <c r="K127" s="73" t="s">
        <v>123</v>
      </c>
      <c r="L127" s="921" t="s">
        <v>591</v>
      </c>
      <c r="M127" s="915">
        <v>1</v>
      </c>
      <c r="N127" s="73" t="s">
        <v>550</v>
      </c>
      <c r="O127" s="73" t="s">
        <v>240</v>
      </c>
      <c r="P127" s="916" cm="1">
        <f t="array" ref="P127">IFERROR(_xlfn.SWITCH(F127,"By Weight",IF(H127&lt;&gt;"",H127,G127)/AR127,"By Length",G127,"By Imp",G127/MAX(1,ROUNDDOWN(E127/I127,0))*J127/1000,"IMP",G127/MAX(1,ROUNDDOWN(E127/I127,0))*J127/1000,""),"")</f>
        <v>80</v>
      </c>
      <c r="Q127" s="916">
        <f t="shared" si="26"/>
        <v>1.0073280000000002</v>
      </c>
      <c r="R127" s="917">
        <f t="shared" si="27"/>
        <v>466.62743191114288</v>
      </c>
      <c r="S127" s="918">
        <f t="shared" si="28"/>
        <v>541.2878210169257</v>
      </c>
      <c r="T127" s="919">
        <f t="shared" si="29"/>
        <v>463.2328615020557</v>
      </c>
      <c r="U127" s="920">
        <f t="shared" si="30"/>
        <v>537.35011934238457</v>
      </c>
      <c r="V127" s="919">
        <f t="shared" si="31"/>
        <v>7.2910536236116057</v>
      </c>
      <c r="W127" s="919">
        <f t="shared" si="32"/>
        <v>579.04107687756959</v>
      </c>
      <c r="X127" s="919">
        <f t="shared" si="33"/>
        <v>0.58328428988892844</v>
      </c>
      <c r="Y127" s="920">
        <f t="shared" si="34"/>
        <v>8.4576222033894624</v>
      </c>
      <c r="Z127" s="920">
        <f t="shared" si="35"/>
        <v>671.68764917798069</v>
      </c>
      <c r="AA127" s="920">
        <f t="shared" si="36"/>
        <v>0.67660977627115693</v>
      </c>
      <c r="AB127" s="917">
        <f t="shared" si="37"/>
        <v>583.28428988892858</v>
      </c>
      <c r="AC127" s="918">
        <f t="shared" si="38"/>
        <v>676.6097762711571</v>
      </c>
      <c r="AD127" s="916">
        <f t="shared" si="39"/>
        <v>39709.012357444641</v>
      </c>
      <c r="AE127" s="916">
        <f t="shared" si="40"/>
        <v>500</v>
      </c>
      <c r="AF127" s="919" cm="1">
        <f t="array" ref="AF127">IFERROR(_xlfn.LET(_xlpm.lam,TEXT(B127,"0"),_xlpm.thick,D127,_xlpm.crit,(TEXT(HELPER!$BZ$2:$BZ$250,"0")=_xlpm.lam)*(HELPER!$CC$2:$CC$250=_xlpm.thick)*(HELPER!$BW$2:$BW$250&lt;&gt;""),_xlpm.mats,TRIM(SUBSTITUTE(_xlfn._xlws.FILTER(HELPER!$BW$2:$BW$250,_xlpm.crit),CHAR(160),"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7" s="919">
        <f>IFERROR(IF(N127="Europe to Canada",IF(Q127&lt;1000,VLOOKUP(1000,HELPER!$AG$4:$AH$8,2,FALSE)/Q127,VLOOKUP(Q127,HELPER!$AG$4:$AH$8,2,TRUE)/Q127),IF(N127="Europe to US",HELPER!$AH$2,IF(N127="Europe to Europe",HELPER!$AH$3,0))),0)</f>
        <v>5.4</v>
      </c>
      <c r="AH127" s="919" cm="1">
        <f t="array" ref="AH127">IFERROR(_xlfn.LET(_xlpm.cap,IF(O127="Quantum",760,1220),_xlpm.wUsed,E127*MAX(1,MIN(MAX(2,INT(900/E127)),INT((_xlpm.cap-50)/E127))),_xlpm.kgmUsed,AR127/E127*_xlpm.wUsed,_xlpm.lam,TEXT(B127,"0"),_xlpm.crit,(TEXT(HELPER!$BZ$2:$BZ$250,"0")=_xlpm.lam)*(HELPER!$CC$2:$CC$250=D127)*(HELPER!$BW$2:$BW$250&lt;&gt;""),_xlpm.mats,_xlfn._xlws.FILTER(HELPER!$BW$2:$BW$250,_xlpm.crit),_xlpm.realLayers,SUM((_xlpm.mats&lt;&gt;"")*ISERROR(SEARCH("EPOTAL",_xlpm.mats&amp;""))*ISERROR(SEARCH("BASONAT",_xlpm.mats&amp;""))*ISERROR(SEARCH("ADH",_xlpm.mats&amp;""))*ISERROR(SEARCH("HARDENER",_xlpm.mats&amp;""))),_xlpm.steps,MAX(0,_xlpm.realLayers-1),_xlpm.tier,IF(P127&lt;3000,1,IF(P127&lt;10000,2,IF(P127&lt;25000,3,IF(P127&lt;50000,4,IF(P127&lt;100000,5,IF(P127&lt;250000,6,7)))))),_xlpm.widthRow,IF(_xlpm.wUsed&lt;900,0,5),_xlpm.supplierRow,IF(O127="Marma",3,IF(OR(O127="Bastin",O127="Quantum"),13,0)),_xlpm.rate,INDEX('Lmntn &amp; Prntng- Marma &amp; Bastin '!$D$1:$K$22,_xlpm.supplierRow+_xlpm.widthRow,_xlpm.tier),_xlpm.rate*_xlpm.steps/_xlpm.kgmUsed),"")</f>
        <v>3.4433159521313521</v>
      </c>
      <c r="AI127" s="919" cm="1">
        <f t="array" ref="AI127">IFERROR(_xlfn.LET(_xlpm.cap,IF(O127="Quantum",760,1220),_xlpm.wUsed,E127*MAX(1,MIN(MAX(2,INT(900/E127)),INT((_xlpm.cap-50)/E127))),_xlpm.kgmUsed,AR127/E127*_xlpm.wUsed,_xlpm.tier,IF(P127&lt;3000,1,IF(P127&lt;10000,2,IF(P127&lt;25000,3,IF(P127&lt;50000,4,IF(P127&lt;100000,5,IF(P127&lt;250000,6,IF(P127&lt;500000,7,8))))))),_xlpm.widthRow,IF(_xlpm.wUsed&lt;900,0,5),_xlpm.slitRow,IF(O127="Marma",7,IF(OR(O127="Bastin",O127="Quantum"),17,0)),_xlpm.slitRate,INDEX('Lmntn &amp; Prntng- Marma &amp; Bastin '!$D$1:$K$22,_xlpm.slitRow+_xlpm.widthRow,_xlpm.tier),_xlpm.numColors,IF(ISNUMBER(L127),L127,IFERROR(--RIGHT(L127,LEN(L127)-FIND("-",L127)),0)),_xlpm.printRate,IF(OR(K127&lt;&gt;"Printed",_xlpm.numColors=0),0,IF(O127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127))),MAX(_xlfn._xlws.FILTER(_xlpm.meters,(_xlpm.widths=_xlpm.qWidth)*(_xlpm.bands=_xlpm.band)))),INDEX(_xlpm.rates,_xlfn.XMATCH(1,(_xlpm.widths=_xlpm.qWidth)*(_xlpm.bands=_xlpm.band)*(_xlpm.meters=_xlpm.targetM),0))/HELPER!$AK$2),_xlfn.LET(_xlpm.colorOffset,IF(_xlpm.numColors&lt;=2,1,IF(_xlpm.numColors&lt;=4,2,3)),_xlpm.supplierRow,IF(O127="Marma",3,IF(O127="Bastin",13,0)),INDEX('Lmntn &amp; Prntng- Marma &amp; Bastin '!$D$1:$K$22,_xlpm.supplierRow+_xlpm.widthRow+_xlpm.colorOffset,_xlpm.tier)))),AH127+_xlpm.slitRate/_xlpm.kgmUsed+_xlpm.printRate/_xlpm.kgmUsed+AJ127),"")</f>
        <v>424.24602796422096</v>
      </c>
      <c r="AJ127" s="919" cm="1">
        <f t="array" ref="AJ127">IF(OR(K127&lt;&gt;"Printed",L127=0,L127="0",L127=""),0,IFERROR(_xlfn.LET(_xlpm.lam,TEXT(B127,"0"),_xlpm.crit,(TEXT(HELPER!$BZ$2:$BZ$250,"0")=_xlpm.lam)*(HELPER!$CC$2:$CC$250=D127)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WHITE"},0)))/ROWS(_xlpm.real),_xlpm.numColors,IF(ISNUMBER(L127),L127,IFERROR(--RIGHT(L127,LEN(L127)-FIND("-",L127)),0)),HELPER!$DB$1*_xlpm.numColors*MAX(1,M127)*1.05*_xlpm.nkRatio/Q127),0))</f>
        <v>416.94462975316867</v>
      </c>
      <c r="AK127" s="919">
        <f t="shared" si="41"/>
        <v>39.199213030169922</v>
      </c>
      <c r="AL127" s="919">
        <f t="shared" si="42"/>
        <v>7291.0536236116059</v>
      </c>
      <c r="AM127" s="73" t="str">
        <f t="shared" si="43"/>
        <v>PASS</v>
      </c>
      <c r="AN127" s="908" t="str">
        <f t="shared" si="22"/>
        <v/>
      </c>
      <c r="AO127" s="919">
        <f t="shared" si="23"/>
        <v>79</v>
      </c>
      <c r="AP127" s="919">
        <f t="shared" si="24"/>
        <v>80</v>
      </c>
      <c r="AQ127" s="919"/>
      <c r="AR127" s="919" cm="1">
        <f t="array" ref="AR127">IFERROR(_xlfn.LET(_xlpm.lam,TEXT(B127,"0"),_xlpm.thick,D127,_xlpm.crit,(TEXT(HELPER!$BZ$2:$BZ$250,"0")=_xlpm.lam)*(HELPER!$CC$2:$CC$250=_xlpm.thick)*(HELPER!$BW$2:$BW$250&lt;&gt;""),_xlpm.mats,TRIM(SUBSTITUTE(_xlfn._xlws.FILTER(HELPER!$BW$2:$BW$250,_xlpm.crit),CHAR(160),"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")),HELPER!$AQ$2:$AQ$20,1),_xlpm.mass,IF(ISNUMBER(SEARCH("paper",_xlpm.mats)),42,_xlpm.dens*_xlpm.ths),E127/1000000*SUM(_xlpm.mass)),"")</f>
        <v>1.2591600000000001E-2</v>
      </c>
      <c r="AS127" s="919">
        <f>IFERROR(IF(D127&gt;31,(5%+250/P127)*AF127,VLOOKUP(D127,HELPER!$BH$3:$BI$5,2,TRUE)*AF127),0)</f>
        <v>25.542082989850371</v>
      </c>
      <c r="AT127" s="919">
        <v>0.2</v>
      </c>
      <c r="AU127" s="919"/>
      <c r="AV127" s="919"/>
      <c r="AW127" s="919"/>
      <c r="AX127" s="919"/>
      <c r="AY127" s="919"/>
      <c r="AZ127" s="919">
        <f t="shared" si="25"/>
        <v>420</v>
      </c>
    </row>
    <row r="128" spans="1:52">
      <c r="A128" s="73" t="s">
        <v>1549</v>
      </c>
      <c r="B128" s="73" t="s">
        <v>1053</v>
      </c>
      <c r="C128" s="908" t="s">
        <v>1422</v>
      </c>
      <c r="D128" s="915" cm="1">
        <f t="array" ref="D12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8" s="915">
        <v>350</v>
      </c>
      <c r="F128" s="73" t="s">
        <v>560</v>
      </c>
      <c r="G128" s="916">
        <v>5000</v>
      </c>
      <c r="H128" s="916">
        <v>5000</v>
      </c>
      <c r="I128" s="916"/>
      <c r="J128" s="916"/>
      <c r="K128" s="73" t="s">
        <v>123</v>
      </c>
      <c r="L128" s="921" t="s">
        <v>122</v>
      </c>
      <c r="M128" s="915">
        <v>4</v>
      </c>
      <c r="N128" s="73" t="s">
        <v>549</v>
      </c>
      <c r="O128" s="73" t="s">
        <v>1366</v>
      </c>
      <c r="P128" s="916" cm="1">
        <f t="array" ref="P128">IFERROR(_xlfn.SWITCH(F128,"By Weight",IF(H128&lt;&gt;"",H128,G128)/AR128,"By Length",G128,"By Imp",G128/MAX(1,ROUNDDOWN(E128/I128,0))*J128/1000,"IMP",G128/MAX(1,ROUNDDOWN(E128/I128,0))*J128/1000,""),"")</f>
        <v>136145.1852255245</v>
      </c>
      <c r="Q128" s="916">
        <f t="shared" si="26"/>
        <v>5000</v>
      </c>
      <c r="R128" s="917">
        <f t="shared" si="27"/>
        <v>114170.36439711436</v>
      </c>
      <c r="S128" s="918">
        <f t="shared" si="28"/>
        <v>132437.62270065266</v>
      </c>
      <c r="T128" s="919">
        <f t="shared" si="29"/>
        <v>22.834072879422873</v>
      </c>
      <c r="U128" s="920">
        <f t="shared" si="30"/>
        <v>26.487524540130529</v>
      </c>
      <c r="V128" s="919">
        <f t="shared" si="31"/>
        <v>0.98657969827440328</v>
      </c>
      <c r="W128" s="919">
        <f t="shared" si="32"/>
        <v>26.863615152262142</v>
      </c>
      <c r="X128" s="919" t="str">
        <f t="shared" si="33"/>
        <v/>
      </c>
      <c r="Y128" s="920">
        <f t="shared" si="34"/>
        <v>1.1444324499983076</v>
      </c>
      <c r="Z128" s="920">
        <f t="shared" si="35"/>
        <v>31.161793576624081</v>
      </c>
      <c r="AA128" s="920" t="str">
        <f t="shared" si="36"/>
        <v/>
      </c>
      <c r="AB128" s="917">
        <f t="shared" si="37"/>
        <v>134318.0757613107</v>
      </c>
      <c r="AC128" s="918">
        <f t="shared" si="38"/>
        <v>155808.96788312041</v>
      </c>
      <c r="AD128" s="916">
        <f t="shared" si="39"/>
        <v>13614.518522552449</v>
      </c>
      <c r="AE128" s="916">
        <f t="shared" si="40"/>
        <v>500</v>
      </c>
      <c r="AF128" s="919" cm="1">
        <f t="array" ref="AF128">IFERROR(_xlfn.LET(_xlpm.lam,TEXT(B128,"0"),_xlpm.thick,D128,_xlpm.crit,(TEXT(HELPER!$BZ$2:$BZ$250,"0")=_xlpm.lam)*(HELPER!$CC$2:$CC$250=_xlpm.thick)*(HELPER!$BW$2:$BW$250&lt;&gt;""),_xlpm.mats,TRIM(SUBSTITUTE(_xlfn._xlws.FILTER(HELPER!$BW$2:$BW$250,_xlpm.crit),CHAR(160),"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8" s="919">
        <f>IFERROR(IF(N128="Europe to Canada",IF(Q128&lt;1000,VLOOKUP(1000,HELPER!$AG$4:$AH$8,2,FALSE)/Q128,VLOOKUP(Q128,HELPER!$AG$4:$AH$8,2,TRUE)/Q128),IF(N128="Europe to US",HELPER!$AH$2,IF(N128="Europe to Europe",HELPER!$AH$3,0))),0)</f>
        <v>0.2</v>
      </c>
      <c r="AH128" s="919" cm="1">
        <f t="array" ref="AH128">IFERROR(_xlfn.LET(_xlpm.cap,IF(O128="Quantum",760,1220),_xlpm.wUsed,E128*MAX(1,MIN(MAX(2,INT(900/E128)),INT((_xlpm.cap-50)/E128))),_xlpm.kgmUsed,AR128/E128*_xlpm.wUsed,_xlpm.lam,TEXT(B128,"0"),_xlpm.crit,(TEXT(HELPER!$BZ$2:$BZ$250,"0")=_xlpm.lam)*(HELPER!$CC$2:$CC$250=D128)*(HELPER!$BW$2:$BW$250&lt;&gt;""),_xlpm.mats,_xlfn._xlws.FILTER(HELPER!$BW$2:$BW$250,_xlpm.crit),_xlpm.realLayers,SUM((_xlpm.mats&lt;&gt;"")*ISERROR(SEARCH("EPOTAL",_xlpm.mats&amp;""))*ISERROR(SEARCH("BASONAT",_xlpm.mats&amp;""))*ISERROR(SEARCH("ADH",_xlpm.mats&amp;""))*ISERROR(SEARCH("HARDENER",_xlpm.mats&amp;""))),_xlpm.steps,MAX(0,_xlpm.realLayers-1),_xlpm.tier,IF(P128&lt;3000,1,IF(P128&lt;10000,2,IF(P128&lt;25000,3,IF(P128&lt;50000,4,IF(P128&lt;100000,5,IF(P128&lt;250000,6,7)))))),_xlpm.widthRow,IF(_xlpm.wUsed&lt;900,0,5),_xlpm.supplierRow,IF(O128="Marma",3,IF(OR(O128="Bastin",O128="Quantum"),13,0)),_xlpm.rate,INDEX('Lmntn &amp; Prntng- Marma &amp; Bastin '!$D$1:$K$22,_xlpm.supplierRow+_xlpm.widthRow,_xlpm.tier),_xlpm.rate*_xlpm.steps/_xlpm.kgmUsed),"")</f>
        <v>2.9723489128806961</v>
      </c>
      <c r="AI128" s="919" cm="1">
        <f t="array" ref="AI128">IFERROR(_xlfn.LET(_xlpm.cap,IF(O128="Quantum",760,1220),_xlpm.wUsed,E128*MAX(1,MIN(MAX(2,INT(900/E128)),INT((_xlpm.cap-50)/E128))),_xlpm.kgmUsed,AR128/E128*_xlpm.wUsed,_xlpm.tier,IF(P128&lt;3000,1,IF(P128&lt;10000,2,IF(P128&lt;25000,3,IF(P128&lt;50000,4,IF(P128&lt;100000,5,IF(P128&lt;250000,6,IF(P128&lt;500000,7,8))))))),_xlpm.widthRow,IF(_xlpm.wUsed&lt;900,0,5),_xlpm.slitRow,IF(O128="Marma",7,IF(OR(O128="Bastin",O128="Quantum"),17,0)),_xlpm.slitRate,INDEX('Lmntn &amp; Prntng- Marma &amp; Bastin '!$D$1:$K$22,_xlpm.slitRow+_xlpm.widthRow,_xlpm.tier),_xlpm.numColors,IF(ISNUMBER(L128),L128,IFERROR(--RIGHT(L128,LEN(L128)-FIND("-",L128)),0)),_xlpm.printRate,IF(OR(K128&lt;&gt;"Printed",_xlpm.numColors=0),0,IF(O128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128))),MAX(_xlfn._xlws.FILTER(_xlpm.meters,(_xlpm.widths=_xlpm.qWidth)*(_xlpm.bands=_xlpm.band)))),INDEX(_xlpm.rates,_xlfn.XMATCH(1,(_xlpm.widths=_xlpm.qWidth)*(_xlpm.bands=_xlpm.band)*(_xlpm.meters=_xlpm.targetM),0))/HELPER!$AK$2),_xlfn.LET(_xlpm.colorOffset,IF(_xlpm.numColors&lt;=2,1,IF(_xlpm.numColors&lt;=4,2,3)),_xlpm.supplierRow,IF(O128="Marma",3,IF(O128="Bastin",13,0)),INDEX('Lmntn &amp; Prntng- Marma &amp; Bastin '!$D$1:$K$22,_xlpm.supplierRow+_xlpm.widthRow+_xlpm.colorOffset,_xlpm.tier)))),AH128+_xlpm.slitRate/_xlpm.kgmUsed+_xlpm.printRate/_xlpm.kgmUsed+AJ128),"")</f>
        <v>14.172312429726786</v>
      </c>
      <c r="AJ128" s="919" cm="1">
        <f t="array" ref="AJ128">IF(OR(K128&lt;&gt;"Printed",L128=0,L128="0",L128=""),0,IFERROR(_xlfn.LET(_xlpm.lam,TEXT(B128,"0"),_xlpm.crit,(TEXT(HELPER!$BZ$2:$BZ$250,"0")=_xlpm.lam)*(HELPER!$CC$2:$CC$250=D128)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WHITE"},0)))/ROWS(_xlpm.real),_xlpm.numColors,IF(ISNUMBER(L128),L128,IFERROR(--RIGHT(L128,LEN(L128)-FIND("-",L128)),0)),HELPER!$DB$1*_xlpm.numColors*MAX(1,M128)*1.05*_xlpm.nkRatio/Q128),0))</f>
        <v>0.67200000000000004</v>
      </c>
      <c r="AK128" s="919">
        <f t="shared" si="41"/>
        <v>1.8185800889850752</v>
      </c>
      <c r="AL128" s="919">
        <f t="shared" si="42"/>
        <v>986.57969827440331</v>
      </c>
      <c r="AM128" s="73" t="str">
        <f t="shared" si="43"/>
        <v>PASS</v>
      </c>
      <c r="AN128" s="908" t="str">
        <f t="shared" si="22"/>
        <v/>
      </c>
      <c r="AO128" s="919">
        <f t="shared" si="23"/>
        <v>79</v>
      </c>
      <c r="AP128" s="919">
        <f t="shared" si="24"/>
        <v>136145.1852255245</v>
      </c>
      <c r="AQ128" s="919"/>
      <c r="AR128" s="919" cm="1">
        <f t="array" ref="AR128">IFERROR(_xlfn.LET(_xlpm.lam,TEXT(B128,"0"),_xlpm.thick,D128,_xlpm.crit,(TEXT(HELPER!$BZ$2:$BZ$250,"0")=_xlpm.lam)*(HELPER!$CC$2:$CC$250=_xlpm.thick)*(HELPER!$BW$2:$BW$250&lt;&gt;""),_xlpm.mats,TRIM(SUBSTITUTE(_xlfn._xlws.FILTER(HELPER!$BW$2:$BW$250,_xlpm.crit),CHAR(160),"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")),HELPER!$AQ$2:$AQ$20,1),_xlpm.mass,IF(ISNUMBER(SEARCH("paper",_xlpm.mats)),42,_xlpm.dens*_xlpm.ths),E128/1000000*SUM(_xlpm.mass)),"")</f>
        <v>3.6725500000000001E-2</v>
      </c>
      <c r="AS128" s="919">
        <f>IFERROR(IF(D128&gt;31,(5%+250/P128)*AF128,VLOOKUP(D128,HELPER!$BH$3:$BI$5,2,TRUE)*AF128),0)</f>
        <v>0.41700990171171848</v>
      </c>
      <c r="AT128" s="919">
        <v>0.149999999999998</v>
      </c>
      <c r="AU128" s="919"/>
      <c r="AV128" s="919"/>
      <c r="AW128" s="919"/>
      <c r="AX128" s="919"/>
      <c r="AY128" s="919"/>
      <c r="AZ128" s="919">
        <f t="shared" si="25"/>
        <v>3360</v>
      </c>
    </row>
    <row r="129" spans="1:52">
      <c r="A129" s="73" t="s">
        <v>1550</v>
      </c>
      <c r="B129" s="73" t="s">
        <v>1053</v>
      </c>
      <c r="C129" s="908" t="s">
        <v>1424</v>
      </c>
      <c r="D129" s="915" cm="1">
        <f t="array" ref="D12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9" s="915">
        <v>900</v>
      </c>
      <c r="F129" s="73" t="s">
        <v>560</v>
      </c>
      <c r="G129" s="916">
        <v>25000</v>
      </c>
      <c r="H129" s="916">
        <v>25000</v>
      </c>
      <c r="I129" s="916"/>
      <c r="J129" s="916"/>
      <c r="K129" s="73" t="s">
        <v>123</v>
      </c>
      <c r="L129" s="921" t="s">
        <v>592</v>
      </c>
      <c r="M129" s="915">
        <v>8</v>
      </c>
      <c r="N129" s="73" t="s">
        <v>550</v>
      </c>
      <c r="O129" s="73" t="s">
        <v>250</v>
      </c>
      <c r="P129" s="916" cm="1">
        <f t="array" ref="P129">IFERROR(_xlfn.SWITCH(F129,"By Weight",IF(H129&lt;&gt;"",H129,G129)/AR129,"By Length",G129,"By Imp",G129/MAX(1,ROUNDDOWN(E129/I129,0))*J129/1000,"IMP",G129/MAX(1,ROUNDDOWN(E129/I129,0))*J129/1000,""),"")</f>
        <v>264726.74904963095</v>
      </c>
      <c r="Q129" s="916">
        <f t="shared" si="26"/>
        <v>25000</v>
      </c>
      <c r="R129" s="917">
        <f t="shared" si="27"/>
        <v>443383.68119138811</v>
      </c>
      <c r="S129" s="918">
        <f t="shared" si="28"/>
        <v>514325.07018201018</v>
      </c>
      <c r="T129" s="919">
        <f t="shared" si="29"/>
        <v>17.735347247655525</v>
      </c>
      <c r="U129" s="920">
        <f t="shared" si="30"/>
        <v>20.573002807280407</v>
      </c>
      <c r="V129" s="919">
        <f t="shared" si="31"/>
        <v>1.9704388094433563</v>
      </c>
      <c r="W129" s="919">
        <f t="shared" si="32"/>
        <v>20.865114409006598</v>
      </c>
      <c r="X129" s="919" t="str">
        <f t="shared" si="33"/>
        <v/>
      </c>
      <c r="Y129" s="920">
        <f t="shared" si="34"/>
        <v>2.285709018954293</v>
      </c>
      <c r="Z129" s="920">
        <f t="shared" si="35"/>
        <v>24.20353271444765</v>
      </c>
      <c r="AA129" s="920" t="str">
        <f t="shared" si="36"/>
        <v/>
      </c>
      <c r="AB129" s="917">
        <f t="shared" si="37"/>
        <v>521627.86022516491</v>
      </c>
      <c r="AC129" s="918">
        <f t="shared" si="38"/>
        <v>605088.31786119123</v>
      </c>
      <c r="AD129" s="916">
        <f t="shared" si="39"/>
        <v>5294.5349809926192</v>
      </c>
      <c r="AE129" s="916">
        <f t="shared" si="40"/>
        <v>500</v>
      </c>
      <c r="AF129" s="919" cm="1">
        <f t="array" ref="AF129">IFERROR(_xlfn.LET(_xlpm.lam,TEXT(B129,"0"),_xlpm.thick,D129,_xlpm.crit,(TEXT(HELPER!$BZ$2:$BZ$250,"0")=_xlpm.lam)*(HELPER!$CC$2:$CC$250=_xlpm.thick)*(HELPER!$BW$2:$BW$250&lt;&gt;""),_xlpm.mats,TRIM(SUBSTITUTE(_xlfn._xlws.FILTER(HELPER!$BW$2:$BW$250,_xlpm.crit),CHAR(160),"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9" s="919">
        <f>IFERROR(IF(N129="Europe to Canada",IF(Q129&lt;1000,VLOOKUP(1000,HELPER!$AG$4:$AH$8,2,FALSE)/Q129,VLOOKUP(Q129,HELPER!$AG$4:$AH$8,2,TRUE)/Q129),IF(N129="Europe to US",HELPER!$AH$2,IF(N129="Europe to Europe",HELPER!$AH$3,0))),0)</f>
        <v>5.4</v>
      </c>
      <c r="AH129" s="919" cm="1">
        <f t="array" ref="AH129">IFERROR(_xlfn.LET(_xlpm.cap,IF(O129="Quantum",760,1220),_xlpm.wUsed,E129*MAX(1,MIN(MAX(2,INT(900/E129)),INT((_xlpm.cap-50)/E129))),_xlpm.kgmUsed,AR129/E129*_xlpm.wUsed,_xlpm.lam,TEXT(B129,"0"),_xlpm.crit,(TEXT(HELPER!$BZ$2:$BZ$250,"0")=_xlpm.lam)*(HELPER!$CC$2:$CC$250=D129)*(HELPER!$BW$2:$BW$250&lt;&gt;""),_xlpm.mats,_xlfn._xlws.FILTER(HELPER!$BW$2:$BW$250,_xlpm.crit),_xlpm.realLayers,SUM((_xlpm.mats&lt;&gt;"")*ISERROR(SEARCH("EPOTAL",_xlpm.mats&amp;""))*ISERROR(SEARCH("BASONAT",_xlpm.mats&amp;""))*ISERROR(SEARCH("ADH",_xlpm.mats&amp;""))*ISERROR(SEARCH("HARDENER",_xlpm.mats&amp;""))),_xlpm.steps,MAX(0,_xlpm.realLayers-1),_xlpm.tier,IF(P129&lt;3000,1,IF(P129&lt;10000,2,IF(P129&lt;25000,3,IF(P129&lt;50000,4,IF(P129&lt;100000,5,IF(P129&lt;250000,6,7)))))),_xlpm.widthRow,IF(_xlpm.wUsed&lt;900,0,5),_xlpm.supplierRow,IF(O129="Marma",3,IF(OR(O129="Bastin",O129="Quantum"),13,0)),_xlpm.rate,INDEX('Lmntn &amp; Prntng- Marma &amp; Bastin '!$D$1:$K$22,_xlpm.supplierRow+_xlpm.widthRow,_xlpm.tier),_xlpm.rate*_xlpm.steps/_xlpm.kgmUsed),"")</f>
        <v>1.7675275580545757</v>
      </c>
      <c r="AI129" s="919" cm="1">
        <f t="array" ref="AI129">IFERROR(_xlfn.LET(_xlpm.cap,IF(O129="Quantum",760,1220),_xlpm.wUsed,E129*MAX(1,MIN(MAX(2,INT(900/E129)),INT((_xlpm.cap-50)/E129))),_xlpm.kgmUsed,AR129/E129*_xlpm.wUsed,_xlpm.tier,IF(P129&lt;3000,1,IF(P129&lt;10000,2,IF(P129&lt;25000,3,IF(P129&lt;50000,4,IF(P129&lt;100000,5,IF(P129&lt;250000,6,IF(P129&lt;500000,7,8))))))),_xlpm.widthRow,IF(_xlpm.wUsed&lt;900,0,5),_xlpm.slitRow,IF(O129="Marma",7,IF(OR(O129="Bastin",O129="Quantum"),17,0)),_xlpm.slitRate,INDEX('Lmntn &amp; Prntng- Marma &amp; Bastin '!$D$1:$K$22,_xlpm.slitRow+_xlpm.widthRow,_xlpm.tier),_xlpm.numColors,IF(ISNUMBER(L129),L129,IFERROR(--RIGHT(L129,LEN(L129)-FIND("-",L129)),0)),_xlpm.printRate,IF(OR(K129&lt;&gt;"Printed",_xlpm.numColors=0),0,IF(O129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129))),MAX(_xlfn._xlws.FILTER(_xlpm.meters,(_xlpm.widths=_xlpm.qWidth)*(_xlpm.bands=_xlpm.band)))),INDEX(_xlpm.rates,_xlfn.XMATCH(1,(_xlpm.widths=_xlpm.qWidth)*(_xlpm.bands=_xlpm.band)*(_xlpm.meters=_xlpm.targetM),0))/HELPER!$AK$2),_xlfn.LET(_xlpm.colorOffset,IF(_xlpm.numColors&lt;=2,1,IF(_xlpm.numColors&lt;=4,2,3)),_xlpm.supplierRow,IF(O129="Marma",3,IF(O129="Bastin",13,0)),INDEX('Lmntn &amp; Prntng- Marma &amp; Bastin '!$D$1:$K$22,_xlpm.supplierRow+_xlpm.widthRow+_xlpm.colorOffset,_xlpm.tier)))),AH129+_xlpm.slitRate/_xlpm.kgmUsed+_xlpm.printRate/_xlpm.kgmUsed+AJ129),"")</f>
        <v>3.8807619511969369</v>
      </c>
      <c r="AJ129" s="919" cm="1">
        <f t="array" ref="AJ129">IF(OR(K129&lt;&gt;"Printed",L129=0,L129="0",L129=""),0,IFERROR(_xlfn.LET(_xlpm.lam,TEXT(B129,"0"),_xlpm.crit,(TEXT(HELPER!$BZ$2:$BZ$250,"0")=_xlpm.lam)*(HELPER!$CC$2:$CC$250=D129)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WHITE"},0)))/ROWS(_xlpm.real),_xlpm.numColors,IF(ISNUMBER(L129),L129,IFERROR(--RIGHT(L129,LEN(L129)-FIND("-",L129)),0)),HELPER!$DB$1*_xlpm.numColors*MAX(1,M129)*1.05*_xlpm.nkRatio/Q129),0))</f>
        <v>0.53759999999999997</v>
      </c>
      <c r="AK129" s="919">
        <f t="shared" si="41"/>
        <v>1.4125009386690726</v>
      </c>
      <c r="AL129" s="919">
        <f t="shared" si="42"/>
        <v>1970.4388094433561</v>
      </c>
      <c r="AM129" s="73" t="str">
        <f t="shared" si="43"/>
        <v>PASS</v>
      </c>
      <c r="AN129" s="908" t="str">
        <f t="shared" si="22"/>
        <v/>
      </c>
      <c r="AO129" s="919">
        <f t="shared" si="23"/>
        <v>79</v>
      </c>
      <c r="AP129" s="919">
        <f t="shared" si="24"/>
        <v>264726.74904963095</v>
      </c>
      <c r="AQ129" s="919"/>
      <c r="AR129" s="919" cm="1">
        <f t="array" ref="AR129">IFERROR(_xlfn.LET(_xlpm.lam,TEXT(B129,"0"),_xlpm.thick,D129,_xlpm.crit,(TEXT(HELPER!$BZ$2:$BZ$250,"0")=_xlpm.lam)*(HELPER!$CC$2:$CC$250=_xlpm.thick)*(HELPER!$BW$2:$BW$250&lt;&gt;""),_xlpm.mats,TRIM(SUBSTITUTE(_xlfn._xlws.FILTER(HELPER!$BW$2:$BW$250,_xlpm.crit),CHAR(160),"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")),HELPER!$AQ$2:$AQ$20,1),_xlpm.mass,IF(ISNUMBER(SEARCH("paper",_xlpm.mats)),42,_xlpm.dens*_xlpm.ths),E129/1000000*SUM(_xlpm.mass)),"")</f>
        <v>9.4437000000000007E-2</v>
      </c>
      <c r="AS129" s="919">
        <f>IFERROR(IF(D129&gt;31,(5%+250/P129)*AF129,VLOOKUP(D129,HELPER!$BH$3:$BI$5,2,TRUE)*AF129),0)</f>
        <v>0.40983474847421847</v>
      </c>
      <c r="AT129" s="919">
        <v>0.15000000000000399</v>
      </c>
      <c r="AU129" s="919"/>
      <c r="AV129" s="919"/>
      <c r="AW129" s="919"/>
      <c r="AX129" s="919"/>
      <c r="AY129" s="919"/>
      <c r="AZ129" s="919">
        <f t="shared" si="25"/>
        <v>13440</v>
      </c>
    </row>
    <row r="130" spans="1:52">
      <c r="A130" s="73" t="s">
        <v>1551</v>
      </c>
      <c r="B130" s="73" t="s">
        <v>1053</v>
      </c>
      <c r="C130" s="908" t="s">
        <v>1426</v>
      </c>
      <c r="D130" s="915" cm="1">
        <f t="array" ref="D13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0" s="915">
        <v>350</v>
      </c>
      <c r="F130" s="73" t="s">
        <v>561</v>
      </c>
      <c r="G130" s="916">
        <v>2000</v>
      </c>
      <c r="H130" s="916"/>
      <c r="I130" s="916"/>
      <c r="J130" s="916"/>
      <c r="K130" s="73" t="s">
        <v>124</v>
      </c>
      <c r="L130" s="921" t="s">
        <v>221</v>
      </c>
      <c r="M130" s="915">
        <v>1</v>
      </c>
      <c r="N130" s="73" t="s">
        <v>549</v>
      </c>
      <c r="O130" s="73" t="s">
        <v>240</v>
      </c>
      <c r="P130" s="916" cm="1">
        <f t="array" ref="P130">IFERROR(_xlfn.SWITCH(F130,"By Weight",IF(H130&lt;&gt;"",H130,G130)/AR130,"By Length",G130,"By Imp",G130/MAX(1,ROUNDDOWN(E130/I130,0))*J130/1000,"IMP",G130/MAX(1,ROUNDDOWN(E130/I130,0))*J130/1000,""),"")</f>
        <v>2000</v>
      </c>
      <c r="Q130" s="916">
        <f t="shared" si="26"/>
        <v>73.451000000000008</v>
      </c>
      <c r="R130" s="917">
        <f t="shared" si="27"/>
        <v>1057.8857926874998</v>
      </c>
      <c r="S130" s="918">
        <f t="shared" si="28"/>
        <v>1227.1475195174996</v>
      </c>
      <c r="T130" s="919">
        <f t="shared" si="29"/>
        <v>14.402605719289047</v>
      </c>
      <c r="U130" s="920">
        <f t="shared" si="30"/>
        <v>16.707022634375292</v>
      </c>
      <c r="V130" s="919">
        <f t="shared" si="31"/>
        <v>0.661178620429689</v>
      </c>
      <c r="W130" s="919">
        <f t="shared" si="32"/>
        <v>18.003257149111352</v>
      </c>
      <c r="X130" s="919" t="str">
        <f t="shared" si="33"/>
        <v/>
      </c>
      <c r="Y130" s="920">
        <f t="shared" si="34"/>
        <v>0.76696719969843918</v>
      </c>
      <c r="Z130" s="920">
        <f t="shared" si="35"/>
        <v>20.883778292969168</v>
      </c>
      <c r="AA130" s="920" t="str">
        <f t="shared" si="36"/>
        <v/>
      </c>
      <c r="AB130" s="917">
        <f t="shared" si="37"/>
        <v>1322.3572408593782</v>
      </c>
      <c r="AC130" s="918">
        <f t="shared" si="38"/>
        <v>1533.9343993968787</v>
      </c>
      <c r="AD130" s="916">
        <f t="shared" si="39"/>
        <v>13614.518522552449</v>
      </c>
      <c r="AE130" s="916">
        <f t="shared" si="40"/>
        <v>500</v>
      </c>
      <c r="AF130" s="919" cm="1">
        <f t="array" ref="AF130">IFERROR(_xlfn.LET(_xlpm.lam,TEXT(B130,"0"),_xlpm.thick,D130,_xlpm.crit,(TEXT(HELPER!$BZ$2:$BZ$250,"0")=_xlpm.lam)*(HELPER!$CC$2:$CC$250=_xlpm.thick)*(HELPER!$BW$2:$BW$250&lt;&gt;""),_xlpm.mats,TRIM(SUBSTITUTE(_xlfn._xlws.FILTER(HELPER!$BW$2:$BW$250,_xlpm.crit),CHAR(160),"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0" s="919">
        <f>IFERROR(IF(N130="Europe to Canada",IF(Q130&lt;1000,VLOOKUP(1000,HELPER!$AG$4:$AH$8,2,FALSE)/Q130,VLOOKUP(Q130,HELPER!$AG$4:$AH$8,2,TRUE)/Q130),IF(N130="Europe to US",HELPER!$AH$2,IF(N130="Europe to Europe",HELPER!$AH$3,0))),0)</f>
        <v>0.2</v>
      </c>
      <c r="AH130" s="919" cm="1">
        <f t="array" ref="AH130">IFERROR(_xlfn.LET(_xlpm.cap,IF(O130="Quantum",760,1220),_xlpm.wUsed,E130*MAX(1,MIN(MAX(2,INT(900/E130)),INT((_xlpm.cap-50)/E130))),_xlpm.kgmUsed,AR130/E130*_xlpm.wUsed,_xlpm.lam,TEXT(B130,"0"),_xlpm.crit,(TEXT(HELPER!$BZ$2:$BZ$250,"0")=_xlpm.lam)*(HELPER!$CC$2:$CC$250=D130)*(HELPER!$BW$2:$BW$250&lt;&gt;""),_xlpm.mats,_xlfn._xlws.FILTER(HELPER!$BW$2:$BW$250,_xlpm.crit),_xlpm.realLayers,SUM((_xlpm.mats&lt;&gt;"")*ISERROR(SEARCH("EPOTAL",_xlpm.mats&amp;""))*ISERROR(SEARCH("BASONAT",_xlpm.mats&amp;""))*ISERROR(SEARCH("ADH",_xlpm.mats&amp;""))*ISERROR(SEARCH("HARDENER",_xlpm.mats&amp;""))),_xlpm.steps,MAX(0,_xlpm.realLayers-1),_xlpm.tier,IF(P130&lt;3000,1,IF(P130&lt;10000,2,IF(P130&lt;25000,3,IF(P130&lt;50000,4,IF(P130&lt;100000,5,IF(P130&lt;250000,6,7)))))),_xlpm.widthRow,IF(_xlpm.wUsed&lt;900,0,5),_xlpm.supplierRow,IF(O130="Marma",3,IF(OR(O130="Bastin",O130="Quantum"),13,0)),_xlpm.rate,INDEX('Lmntn &amp; Prntng- Marma &amp; Bastin '!$D$1:$K$22,_xlpm.supplierRow+_xlpm.widthRow,_xlpm.tier),_xlpm.rate*_xlpm.steps/_xlpm.kgmUsed),"")</f>
        <v>4.1319791425576229</v>
      </c>
      <c r="AI130" s="919" cm="1">
        <f t="array" ref="AI130">IFERROR(_xlfn.LET(_xlpm.cap,IF(O130="Quantum",760,1220),_xlpm.wUsed,E130*MAX(1,MIN(MAX(2,INT(900/E130)),INT((_xlpm.cap-50)/E130))),_xlpm.kgmUsed,AR130/E130*_xlpm.wUsed,_xlpm.tier,IF(P130&lt;3000,1,IF(P130&lt;10000,2,IF(P130&lt;25000,3,IF(P130&lt;50000,4,IF(P130&lt;100000,5,IF(P130&lt;250000,6,IF(P130&lt;500000,7,8))))))),_xlpm.widthRow,IF(_xlpm.wUsed&lt;900,0,5),_xlpm.slitRow,IF(O130="Marma",7,IF(OR(O130="Bastin",O130="Quantum"),17,0)),_xlpm.slitRate,INDEX('Lmntn &amp; Prntng- Marma &amp; Bastin '!$D$1:$K$22,_xlpm.slitRow+_xlpm.widthRow,_xlpm.tier),_xlpm.numColors,IF(ISNUMBER(L130),L130,IFERROR(--RIGHT(L130,LEN(L130)-FIND("-",L130)),0)),_xlpm.printRate,IF(OR(K130&lt;&gt;"Printed",_xlpm.numColors=0),0,IF(O130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130))),MAX(_xlfn._xlws.FILTER(_xlpm.meters,(_xlpm.widths=_xlpm.qWidth)*(_xlpm.bands=_xlpm.band)))),INDEX(_xlpm.rates,_xlfn.XMATCH(1,(_xlpm.widths=_xlpm.qWidth)*(_xlpm.bands=_xlpm.band)*(_xlpm.meters=_xlpm.targetM),0))/HELPER!$AK$2),_xlfn.LET(_xlpm.colorOffset,IF(_xlpm.numColors&lt;=2,1,IF(_xlpm.numColors&lt;=4,2,3)),_xlpm.supplierRow,IF(O130="Marma",3,IF(O130="Bastin",13,0)),INDEX('Lmntn &amp; Prntng- Marma &amp; Bastin '!$D$1:$K$22,_xlpm.supplierRow+_xlpm.widthRow+_xlpm.colorOffset,_xlpm.tier)))),AH130+_xlpm.slitRate/_xlpm.kgmUsed+_xlpm.printRate/_xlpm.kgmUsed+AJ130),"")</f>
        <v>4.7500238254074141</v>
      </c>
      <c r="AJ130" s="919" cm="1">
        <f t="array" ref="AJ130">IF(OR(K130&lt;&gt;"Printed",L130=0,L130="0",L130=""),0,IFERROR(_xlfn.LET(_xlpm.lam,TEXT(B130,"0"),_xlpm.crit,(TEXT(HELPER!$BZ$2:$BZ$250,"0")=_xlpm.lam)*(HELPER!$CC$2:$CC$250=D130)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WHITE"},0)))/ROWS(_xlpm.real),_xlpm.numColors,IF(ISNUMBER(L130),L130,IFERROR(--RIGHT(L130,LEN(L130)-FIND("-",L130)),0)),HELPER!$DB$1*_xlpm.numColors*MAX(1,M130)*1.05*_xlpm.nkRatio/Q130),0))</f>
        <v>0</v>
      </c>
      <c r="AK130" s="919">
        <f t="shared" si="41"/>
        <v>1.2187624339717771</v>
      </c>
      <c r="AL130" s="919">
        <f t="shared" si="42"/>
        <v>661.17862042968898</v>
      </c>
      <c r="AM130" s="73" t="str">
        <f t="shared" si="43"/>
        <v>PASS</v>
      </c>
      <c r="AN130" s="908" t="str">
        <f t="shared" si="22"/>
        <v/>
      </c>
      <c r="AO130" s="919">
        <f t="shared" si="23"/>
        <v>79</v>
      </c>
      <c r="AP130" s="919">
        <f t="shared" si="24"/>
        <v>2000</v>
      </c>
      <c r="AQ130" s="919"/>
      <c r="AR130" s="919" cm="1">
        <f t="array" ref="AR130">IFERROR(_xlfn.LET(_xlpm.lam,TEXT(B130,"0"),_xlpm.thick,D130,_xlpm.crit,(TEXT(HELPER!$BZ$2:$BZ$250,"0")=_xlpm.lam)*(HELPER!$CC$2:$CC$250=_xlpm.thick)*(HELPER!$BW$2:$BW$250&lt;&gt;""),_xlpm.mats,TRIM(SUBSTITUTE(_xlfn._xlws.FILTER(HELPER!$BW$2:$BW$250,_xlpm.crit),CHAR(160),"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")),HELPER!$AQ$2:$AQ$20,1),_xlpm.mass,IF(ISNUMBER(SEARCH("paper",_xlpm.mats)),42,_xlpm.dens*_xlpm.ths),E130/1000000*SUM(_xlpm.mass)),"")</f>
        <v>3.6725500000000001E-2</v>
      </c>
      <c r="AS130" s="919">
        <f>IFERROR(IF(D130&gt;31,(5%+250/P130)*AF130,VLOOKUP(D130,HELPER!$BH$3:$BI$5,2,TRUE)*AF130),0)</f>
        <v>1.4078313458972647</v>
      </c>
      <c r="AT130" s="919">
        <v>0.20000000000000201</v>
      </c>
      <c r="AU130" s="919"/>
      <c r="AV130" s="919"/>
      <c r="AW130" s="919"/>
      <c r="AX130" s="919"/>
      <c r="AY130" s="919"/>
      <c r="AZ130" s="919">
        <f t="shared" si="25"/>
        <v>0</v>
      </c>
    </row>
    <row r="131" spans="1:52">
      <c r="A131" s="73" t="s">
        <v>1552</v>
      </c>
      <c r="B131" s="73" t="s">
        <v>1053</v>
      </c>
      <c r="C131" s="908" t="s">
        <v>1428</v>
      </c>
      <c r="D131" s="915" cm="1">
        <f t="array" ref="D13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1" s="915">
        <v>600</v>
      </c>
      <c r="F131" s="73" t="s">
        <v>561</v>
      </c>
      <c r="G131" s="916">
        <v>250000</v>
      </c>
      <c r="H131" s="916"/>
      <c r="I131" s="916"/>
      <c r="J131" s="916"/>
      <c r="K131" s="73" t="s">
        <v>123</v>
      </c>
      <c r="L131" s="921" t="s">
        <v>122</v>
      </c>
      <c r="M131" s="915">
        <v>4</v>
      </c>
      <c r="N131" s="73" t="s">
        <v>550</v>
      </c>
      <c r="O131" s="73" t="s">
        <v>1366</v>
      </c>
      <c r="P131" s="916" cm="1">
        <f t="array" ref="P131">IFERROR(_xlfn.SWITCH(F131,"By Weight",IF(H131&lt;&gt;"",H131,G131)/AR131,"By Length",G131,"By Imp",G131/MAX(1,ROUNDDOWN(E131/I131,0))*J131/1000,"IMP",G131/MAX(1,ROUNDDOWN(E131/I131,0))*J131/1000,""),"")</f>
        <v>250000</v>
      </c>
      <c r="Q131" s="916">
        <f t="shared" si="26"/>
        <v>15739.5</v>
      </c>
      <c r="R131" s="917">
        <f t="shared" si="27"/>
        <v>468944.15123271552</v>
      </c>
      <c r="S131" s="918">
        <f t="shared" si="28"/>
        <v>543975.21542994992</v>
      </c>
      <c r="T131" s="919">
        <f t="shared" si="29"/>
        <v>29.794094554002065</v>
      </c>
      <c r="U131" s="920">
        <f t="shared" si="30"/>
        <v>34.561149682642395</v>
      </c>
      <c r="V131" s="919">
        <f t="shared" si="31"/>
        <v>2.2067960058010092</v>
      </c>
      <c r="W131" s="919">
        <f t="shared" si="32"/>
        <v>35.051875945884703</v>
      </c>
      <c r="X131" s="919" t="str">
        <f t="shared" si="33"/>
        <v/>
      </c>
      <c r="Y131" s="920">
        <f t="shared" si="34"/>
        <v>2.5598833667291707</v>
      </c>
      <c r="Z131" s="920">
        <f t="shared" si="35"/>
        <v>40.660176097226255</v>
      </c>
      <c r="AA131" s="920" t="str">
        <f t="shared" si="36"/>
        <v/>
      </c>
      <c r="AB131" s="917">
        <f t="shared" si="37"/>
        <v>551699.00145025225</v>
      </c>
      <c r="AC131" s="918">
        <f t="shared" si="38"/>
        <v>639970.84168229252</v>
      </c>
      <c r="AD131" s="916">
        <f t="shared" si="39"/>
        <v>7941.8024714889289</v>
      </c>
      <c r="AE131" s="916">
        <f t="shared" si="40"/>
        <v>500</v>
      </c>
      <c r="AF131" s="919" cm="1">
        <f t="array" ref="AF131">IFERROR(_xlfn.LET(_xlpm.lam,TEXT(B131,"0"),_xlpm.thick,D131,_xlpm.crit,(TEXT(HELPER!$BZ$2:$BZ$250,"0")=_xlpm.lam)*(HELPER!$CC$2:$CC$250=_xlpm.thick)*(HELPER!$BW$2:$BW$250&lt;&gt;""),_xlpm.mats,TRIM(SUBSTITUTE(_xlfn._xlws.FILTER(HELPER!$BW$2:$BW$250,_xlpm.crit),CHAR(160),"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1" s="919">
        <f>IFERROR(IF(N131="Europe to Canada",IF(Q131&lt;1000,VLOOKUP(1000,HELPER!$AG$4:$AH$8,2,FALSE)/Q131,VLOOKUP(Q131,HELPER!$AG$4:$AH$8,2,TRUE)/Q131),IF(N131="Europe to US",HELPER!$AH$2,IF(N131="Europe to Europe",HELPER!$AH$3,0))),0)</f>
        <v>5.4</v>
      </c>
      <c r="AH131" s="919" cm="1">
        <f t="array" ref="AH131">IFERROR(_xlfn.LET(_xlpm.cap,IF(O131="Quantum",760,1220),_xlpm.wUsed,E131*MAX(1,MIN(MAX(2,INT(900/E131)),INT((_xlpm.cap-50)/E131))),_xlpm.kgmUsed,AR131/E131*_xlpm.wUsed,_xlpm.lam,TEXT(B131,"0"),_xlpm.crit,(TEXT(HELPER!$BZ$2:$BZ$250,"0")=_xlpm.lam)*(HELPER!$CC$2:$CC$250=D131)*(HELPER!$BW$2:$BW$250&lt;&gt;""),_xlpm.mats,_xlfn._xlws.FILTER(HELPER!$BW$2:$BW$250,_xlpm.crit),_xlpm.realLayers,SUM((_xlpm.mats&lt;&gt;"")*ISERROR(SEARCH("EPOTAL",_xlpm.mats&amp;""))*ISERROR(SEARCH("BASONAT",_xlpm.mats&amp;""))*ISERROR(SEARCH("ADH",_xlpm.mats&amp;""))*ISERROR(SEARCH("HARDENER",_xlpm.mats&amp;""))),_xlpm.steps,MAX(0,_xlpm.realLayers-1),_xlpm.tier,IF(P131&lt;3000,1,IF(P131&lt;10000,2,IF(P131&lt;25000,3,IF(P131&lt;50000,4,IF(P131&lt;100000,5,IF(P131&lt;250000,6,7)))))),_xlpm.widthRow,IF(_xlpm.wUsed&lt;900,0,5),_xlpm.supplierRow,IF(O131="Marma",3,IF(OR(O131="Bastin",O131="Quantum"),13,0)),_xlpm.rate,INDEX('Lmntn &amp; Prntng- Marma &amp; Bastin '!$D$1:$K$22,_xlpm.supplierRow+_xlpm.widthRow,_xlpm.tier),_xlpm.rate*_xlpm.steps/_xlpm.kgmUsed),"")</f>
        <v>3.4466787382064235</v>
      </c>
      <c r="AI131" s="919" cm="1">
        <f t="array" ref="AI131">IFERROR(_xlfn.LET(_xlpm.cap,IF(O131="Quantum",760,1220),_xlpm.wUsed,E131*MAX(1,MIN(MAX(2,INT(900/E131)),INT((_xlpm.cap-50)/E131))),_xlpm.kgmUsed,AR131/E131*_xlpm.wUsed,_xlpm.tier,IF(P131&lt;3000,1,IF(P131&lt;10000,2,IF(P131&lt;25000,3,IF(P131&lt;50000,4,IF(P131&lt;100000,5,IF(P131&lt;250000,6,IF(P131&lt;500000,7,8))))))),_xlpm.widthRow,IF(_xlpm.wUsed&lt;900,0,5),_xlpm.slitRow,IF(O131="Marma",7,IF(OR(O131="Bastin",O131="Quantum"),17,0)),_xlpm.slitRate,INDEX('Lmntn &amp; Prntng- Marma &amp; Bastin '!$D$1:$K$22,_xlpm.slitRow+_xlpm.widthRow,_xlpm.tier),_xlpm.numColors,IF(ISNUMBER(L131),L131,IFERROR(--RIGHT(L131,LEN(L131)-FIND("-",L131)),0)),_xlpm.printRate,IF(OR(K131&lt;&gt;"Printed",_xlpm.numColors=0),0,IF(O131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131))),MAX(_xlfn._xlws.FILTER(_xlpm.meters,(_xlpm.widths=_xlpm.qWidth)*(_xlpm.bands=_xlpm.band)))),INDEX(_xlpm.rates,_xlfn.XMATCH(1,(_xlpm.widths=_xlpm.qWidth)*(_xlpm.bands=_xlpm.band)*(_xlpm.meters=_xlpm.targetM),0))/HELPER!$AK$2),_xlfn.LET(_xlpm.colorOffset,IF(_xlpm.numColors&lt;=2,1,IF(_xlpm.numColors&lt;=4,2,3)),_xlpm.supplierRow,IF(O131="Marma",3,IF(O131="Bastin",13,0)),INDEX('Lmntn &amp; Prntng- Marma &amp; Bastin '!$D$1:$K$22,_xlpm.supplierRow+_xlpm.widthRow+_xlpm.colorOffset,_xlpm.tier)))),AH131+_xlpm.slitRate/_xlpm.kgmUsed+_xlpm.printRate/_xlpm.kgmUsed+AJ131),"")</f>
        <v>15.939061728070493</v>
      </c>
      <c r="AJ131" s="919" cm="1">
        <f t="array" ref="AJ131">IF(OR(K131&lt;&gt;"Printed",L131=0,L131="0",L131=""),0,IFERROR(_xlfn.LET(_xlpm.lam,TEXT(B131,"0"),_xlpm.crit,(TEXT(HELPER!$BZ$2:$BZ$250,"0")=_xlpm.lam)*(HELPER!$CC$2:$CC$250=D131)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WHITE"},0)))/ROWS(_xlpm.real),_xlpm.numColors,IF(ISNUMBER(L131),L131,IFERROR(--RIGHT(L131,LEN(L131)-FIND("-",L131)),0)),HELPER!$DB$1*_xlpm.numColors*MAX(1,M131)*1.05*_xlpm.nkRatio/Q131),0))</f>
        <v>0.2134756504336224</v>
      </c>
      <c r="AK131" s="919">
        <f t="shared" si="41"/>
        <v>2.3728989309688271</v>
      </c>
      <c r="AL131" s="919">
        <f t="shared" si="42"/>
        <v>2206.7960058010094</v>
      </c>
      <c r="AM131" s="73" t="str">
        <f t="shared" si="43"/>
        <v>PASS</v>
      </c>
      <c r="AN131" s="908" t="str">
        <f t="shared" si="22"/>
        <v/>
      </c>
      <c r="AO131" s="919">
        <f t="shared" si="23"/>
        <v>79</v>
      </c>
      <c r="AP131" s="919">
        <f t="shared" si="24"/>
        <v>250000</v>
      </c>
      <c r="AQ131" s="919"/>
      <c r="AR131" s="919" cm="1">
        <f t="array" ref="AR131">IFERROR(_xlfn.LET(_xlpm.lam,TEXT(B131,"0"),_xlpm.thick,D131,_xlpm.crit,(TEXT(HELPER!$BZ$2:$BZ$250,"0")=_xlpm.lam)*(HELPER!$CC$2:$CC$250=_xlpm.thick)*(HELPER!$BW$2:$BW$250&lt;&gt;""),_xlpm.mats,TRIM(SUBSTITUTE(_xlfn._xlws.FILTER(HELPER!$BW$2:$BW$250,_xlpm.crit),CHAR(160),"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")),HELPER!$AQ$2:$AQ$20,1),_xlpm.mass,IF(ISNUMBER(SEARCH("paper",_xlpm.mats)),42,_xlpm.dens*_xlpm.ths),E131/1000000*SUM(_xlpm.mass)),"")</f>
        <v>6.2958E-2</v>
      </c>
      <c r="AS131" s="919">
        <f>IFERROR(IF(D131&gt;31,(5%+250/P131)*AF131,VLOOKUP(D131,HELPER!$BH$3:$BI$5,2,TRUE)*AF131),0)</f>
        <v>0.4102822779472029</v>
      </c>
      <c r="AT131" s="919">
        <v>0.149999999999998</v>
      </c>
      <c r="AU131" s="919"/>
      <c r="AV131" s="919"/>
      <c r="AW131" s="919"/>
      <c r="AX131" s="919"/>
      <c r="AY131" s="919"/>
      <c r="AZ131" s="919">
        <f t="shared" si="25"/>
        <v>3360</v>
      </c>
    </row>
    <row r="132" spans="1:52">
      <c r="A132" s="73" t="s">
        <v>1553</v>
      </c>
      <c r="B132" s="73" t="s">
        <v>1053</v>
      </c>
      <c r="C132" s="908" t="s">
        <v>1430</v>
      </c>
      <c r="D132" s="915" cm="1">
        <f t="array" ref="D13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2" s="915">
        <v>900</v>
      </c>
      <c r="F132" s="73" t="s">
        <v>1040</v>
      </c>
      <c r="G132" s="916">
        <v>1600000</v>
      </c>
      <c r="H132" s="916"/>
      <c r="I132" s="916">
        <v>140</v>
      </c>
      <c r="J132" s="916">
        <v>80</v>
      </c>
      <c r="K132" s="73" t="s">
        <v>123</v>
      </c>
      <c r="L132" s="921" t="s">
        <v>592</v>
      </c>
      <c r="M132" s="915">
        <v>8</v>
      </c>
      <c r="N132" s="73" t="s">
        <v>549</v>
      </c>
      <c r="O132" s="73" t="s">
        <v>250</v>
      </c>
      <c r="P132" s="916" cm="1">
        <f t="array" ref="P132">IFERROR(_xlfn.SWITCH(F132,"By Weight",IF(H132&lt;&gt;"",H132,G132)/AR132,"By Length",G132,"By Imp",G132/MAX(1,ROUNDDOWN(E132/I132,0))*J132/1000,"IMP",G132/MAX(1,ROUNDDOWN(E132/I132,0))*J132/1000,""),"")</f>
        <v>21333.333333333336</v>
      </c>
      <c r="Q132" s="916">
        <f t="shared" si="26"/>
        <v>2014.6560000000004</v>
      </c>
      <c r="R132" s="917">
        <f t="shared" si="27"/>
        <v>39107.17421882561</v>
      </c>
      <c r="S132" s="918">
        <f t="shared" si="28"/>
        <v>45364.322093837705</v>
      </c>
      <c r="T132" s="919">
        <f t="shared" si="29"/>
        <v>19.411340804001082</v>
      </c>
      <c r="U132" s="920">
        <f t="shared" si="30"/>
        <v>22.517155332641252</v>
      </c>
      <c r="V132" s="919">
        <f t="shared" si="31"/>
        <v>2.1566456370676037</v>
      </c>
      <c r="W132" s="919">
        <f t="shared" si="32"/>
        <v>22.83687153411908</v>
      </c>
      <c r="X132" s="919">
        <f t="shared" si="33"/>
        <v>2.8755275160901383E-2</v>
      </c>
      <c r="Y132" s="920">
        <f t="shared" si="34"/>
        <v>2.5017089389984202</v>
      </c>
      <c r="Z132" s="920">
        <f t="shared" si="35"/>
        <v>26.49077097957813</v>
      </c>
      <c r="AA132" s="920">
        <f t="shared" si="36"/>
        <v>3.3356119186645598E-2</v>
      </c>
      <c r="AB132" s="917">
        <f t="shared" si="37"/>
        <v>46008.44025744222</v>
      </c>
      <c r="AC132" s="918">
        <f t="shared" si="38"/>
        <v>53369.790698632969</v>
      </c>
      <c r="AD132" s="916">
        <f t="shared" si="39"/>
        <v>5294.5349809926192</v>
      </c>
      <c r="AE132" s="916">
        <f t="shared" si="40"/>
        <v>500</v>
      </c>
      <c r="AF132" s="919" cm="1">
        <f t="array" ref="AF132">IFERROR(_xlfn.LET(_xlpm.lam,TEXT(B132,"0"),_xlpm.thick,D132,_xlpm.crit,(TEXT(HELPER!$BZ$2:$BZ$250,"0")=_xlpm.lam)*(HELPER!$CC$2:$CC$250=_xlpm.thick)*(HELPER!$BW$2:$BW$250&lt;&gt;""),_xlpm.mats,TRIM(SUBSTITUTE(_xlfn._xlws.FILTER(HELPER!$BW$2:$BW$250,_xlpm.crit),CHAR(160),"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2" s="919">
        <f>IFERROR(IF(N132="Europe to Canada",IF(Q132&lt;1000,VLOOKUP(1000,HELPER!$AG$4:$AH$8,2,FALSE)/Q132,VLOOKUP(Q132,HELPER!$AG$4:$AH$8,2,TRUE)/Q132),IF(N132="Europe to US",HELPER!$AH$2,IF(N132="Europe to Europe",HELPER!$AH$3,0))),0)</f>
        <v>0.2</v>
      </c>
      <c r="AH132" s="919" cm="1">
        <f t="array" ref="AH132">IFERROR(_xlfn.LET(_xlpm.cap,IF(O132="Quantum",760,1220),_xlpm.wUsed,E132*MAX(1,MIN(MAX(2,INT(900/E132)),INT((_xlpm.cap-50)/E132))),_xlpm.kgmUsed,AR132/E132*_xlpm.wUsed,_xlpm.lam,TEXT(B132,"0"),_xlpm.crit,(TEXT(HELPER!$BZ$2:$BZ$250,"0")=_xlpm.lam)*(HELPER!$CC$2:$CC$250=D132)*(HELPER!$BW$2:$BW$250&lt;&gt;""),_xlpm.mats,_xlfn._xlws.FILTER(HELPER!$BW$2:$BW$250,_xlpm.crit),_xlpm.realLayers,SUM((_xlpm.mats&lt;&gt;"")*ISERROR(SEARCH("EPOTAL",_xlpm.mats&amp;""))*ISERROR(SEARCH("BASONAT",_xlpm.mats&amp;""))*ISERROR(SEARCH("ADH",_xlpm.mats&amp;""))*ISERROR(SEARCH("HARDENER",_xlpm.mats&amp;""))),_xlpm.steps,MAX(0,_xlpm.realLayers-1),_xlpm.tier,IF(P132&lt;3000,1,IF(P132&lt;10000,2,IF(P132&lt;25000,3,IF(P132&lt;50000,4,IF(P132&lt;100000,5,IF(P132&lt;250000,6,7)))))),_xlpm.widthRow,IF(_xlpm.wUsed&lt;900,0,5),_xlpm.supplierRow,IF(O132="Marma",3,IF(OR(O132="Bastin",O132="Quantum"),13,0)),_xlpm.rate,INDEX('Lmntn &amp; Prntng- Marma &amp; Bastin '!$D$1:$K$22,_xlpm.supplierRow+_xlpm.widthRow,_xlpm.tier),_xlpm.rate*_xlpm.steps/_xlpm.kgmUsed),"")</f>
        <v>1.9384351472410177</v>
      </c>
      <c r="AI132" s="919" cm="1">
        <f t="array" ref="AI132">IFERROR(_xlfn.LET(_xlpm.cap,IF(O132="Quantum",760,1220),_xlpm.wUsed,E132*MAX(1,MIN(MAX(2,INT(900/E132)),INT((_xlpm.cap-50)/E132))),_xlpm.kgmUsed,AR132/E132*_xlpm.wUsed,_xlpm.tier,IF(P132&lt;3000,1,IF(P132&lt;10000,2,IF(P132&lt;25000,3,IF(P132&lt;50000,4,IF(P132&lt;100000,5,IF(P132&lt;250000,6,IF(P132&lt;500000,7,8))))))),_xlpm.widthRow,IF(_xlpm.wUsed&lt;900,0,5),_xlpm.slitRow,IF(O132="Marma",7,IF(OR(O132="Bastin",O132="Quantum"),17,0)),_xlpm.slitRate,INDEX('Lmntn &amp; Prntng- Marma &amp; Bastin '!$D$1:$K$22,_xlpm.slitRow+_xlpm.widthRow,_xlpm.tier),_xlpm.numColors,IF(ISNUMBER(L132),L132,IFERROR(--RIGHT(L132,LEN(L132)-FIND("-",L132)),0)),_xlpm.printRate,IF(OR(K132&lt;&gt;"Printed",_xlpm.numColors=0),0,IF(O132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132))),MAX(_xlfn._xlws.FILTER(_xlpm.meters,(_xlpm.widths=_xlpm.qWidth)*(_xlpm.bands=_xlpm.band)))),INDEX(_xlpm.rates,_xlfn.XMATCH(1,(_xlpm.widths=_xlpm.qWidth)*(_xlpm.bands=_xlpm.band)*(_xlpm.meters=_xlpm.targetM),0))/HELPER!$AK$2),_xlfn.LET(_xlpm.colorOffset,IF(_xlpm.numColors&lt;=2,1,IF(_xlpm.numColors&lt;=4,2,3)),_xlpm.supplierRow,IF(O132="Marma",3,IF(O132="Bastin",13,0)),INDEX('Lmntn &amp; Prntng- Marma &amp; Bastin '!$D$1:$K$22,_xlpm.supplierRow+_xlpm.widthRow+_xlpm.colorOffset,_xlpm.tier)))),AH132+_xlpm.slitRate/_xlpm.kgmUsed+_xlpm.printRate/_xlpm.kgmUsed+AJ132),"")</f>
        <v>10.670078308133306</v>
      </c>
      <c r="AJ132" s="919" cm="1">
        <f t="array" ref="AJ132">IF(OR(K132&lt;&gt;"Printed",L132=0,L132="0",L132=""),0,IFERROR(_xlfn.LET(_xlpm.lam,TEXT(B132,"0"),_xlpm.crit,(TEXT(HELPER!$BZ$2:$BZ$250,"0")=_xlpm.lam)*(HELPER!$CC$2:$CC$250=D132)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WHITE"},0)))/ROWS(_xlpm.real),_xlpm.numColors,IF(ISNUMBER(L132),L132,IFERROR(--RIGHT(L132,LEN(L132)-FIND("-",L132)),0)),HELPER!$DB$1*_xlpm.numColors*MAX(1,M132)*1.05*_xlpm.nkRatio/Q132),0))</f>
        <v>6.6711140760506993</v>
      </c>
      <c r="AK132" s="919">
        <f t="shared" si="41"/>
        <v>1.5459825355323324</v>
      </c>
      <c r="AL132" s="919">
        <f t="shared" si="42"/>
        <v>2156.6456370676037</v>
      </c>
      <c r="AM132" s="73" t="str">
        <f t="shared" si="43"/>
        <v>PASS</v>
      </c>
      <c r="AN132" s="908" t="str">
        <f t="shared" si="22"/>
        <v/>
      </c>
      <c r="AO132" s="919">
        <f t="shared" si="23"/>
        <v>79</v>
      </c>
      <c r="AP132" s="919">
        <f t="shared" si="24"/>
        <v>21333.333333333336</v>
      </c>
      <c r="AQ132" s="919"/>
      <c r="AR132" s="919" cm="1">
        <f t="array" ref="AR132">IFERROR(_xlfn.LET(_xlpm.lam,TEXT(B132,"0"),_xlpm.thick,D132,_xlpm.crit,(TEXT(HELPER!$BZ$2:$BZ$250,"0")=_xlpm.lam)*(HELPER!$CC$2:$CC$250=_xlpm.thick)*(HELPER!$BW$2:$BW$250&lt;&gt;""),_xlpm.mats,TRIM(SUBSTITUTE(_xlfn._xlws.FILTER(HELPER!$BW$2:$BW$250,_xlpm.crit),CHAR(160),"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")),HELPER!$AQ$2:$AQ$20,1),_xlpm.mass,IF(ISNUMBER(SEARCH("paper",_xlpm.mats)),42,_xlpm.dens*_xlpm.ths),E132/1000000*SUM(_xlpm.mass)),"")</f>
        <v>9.4437000000000007E-2</v>
      </c>
      <c r="AS132" s="919">
        <f>IFERROR(IF(D132&gt;31,(5%+250/P132)*AF132,VLOOKUP(D132,HELPER!$BH$3:$BI$5,2,TRUE)*AF132),0)</f>
        <v>0.49651194788341035</v>
      </c>
      <c r="AT132" s="919">
        <v>0.15000000000000599</v>
      </c>
      <c r="AU132" s="919"/>
      <c r="AV132" s="919"/>
      <c r="AW132" s="919"/>
      <c r="AX132" s="919"/>
      <c r="AY132" s="919"/>
      <c r="AZ132" s="919">
        <f t="shared" si="25"/>
        <v>13440</v>
      </c>
    </row>
    <row r="133" spans="1:52">
      <c r="A133" s="73" t="s">
        <v>1554</v>
      </c>
      <c r="B133" s="73" t="s">
        <v>1053</v>
      </c>
      <c r="C133" s="908" t="s">
        <v>1432</v>
      </c>
      <c r="D133" s="915" cm="1">
        <f t="array" ref="D13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3" s="915">
        <v>250</v>
      </c>
      <c r="F133" s="73" t="s">
        <v>560</v>
      </c>
      <c r="G133" s="916">
        <v>500</v>
      </c>
      <c r="H133" s="916">
        <v>500</v>
      </c>
      <c r="I133" s="916"/>
      <c r="J133" s="916"/>
      <c r="K133" s="73" t="s">
        <v>124</v>
      </c>
      <c r="L133" s="921" t="s">
        <v>221</v>
      </c>
      <c r="M133" s="915">
        <v>1</v>
      </c>
      <c r="N133" s="73" t="s">
        <v>550</v>
      </c>
      <c r="O133" s="73" t="s">
        <v>240</v>
      </c>
      <c r="P133" s="916" cm="1">
        <f t="array" ref="P133">IFERROR(_xlfn.SWITCH(F133,"By Weight",IF(H133&lt;&gt;"",H133,G133)/AR133,"By Length",G133,"By Imp",G133/MAX(1,ROUNDDOWN(E133/I133,0))*J133/1000,"IMP",G133/MAX(1,ROUNDDOWN(E133/I133,0))*J133/1000,""),"")</f>
        <v>19060.325931573429</v>
      </c>
      <c r="Q133" s="916">
        <f t="shared" si="26"/>
        <v>500</v>
      </c>
      <c r="R133" s="917">
        <f t="shared" si="27"/>
        <v>8702.3175130907202</v>
      </c>
      <c r="S133" s="918">
        <f t="shared" si="28"/>
        <v>10094.688315185234</v>
      </c>
      <c r="T133" s="919">
        <f t="shared" si="29"/>
        <v>17.404635026181442</v>
      </c>
      <c r="U133" s="920">
        <f t="shared" si="30"/>
        <v>20.189376630370472</v>
      </c>
      <c r="V133" s="919">
        <f t="shared" si="31"/>
        <v>0.57070886040538227</v>
      </c>
      <c r="W133" s="919">
        <f t="shared" si="32"/>
        <v>21.755793782726855</v>
      </c>
      <c r="X133" s="919" t="str">
        <f t="shared" si="33"/>
        <v/>
      </c>
      <c r="Y133" s="920">
        <f t="shared" si="34"/>
        <v>0.66202227807024339</v>
      </c>
      <c r="Z133" s="920">
        <f t="shared" si="35"/>
        <v>25.236720787963151</v>
      </c>
      <c r="AA133" s="920" t="str">
        <f t="shared" si="36"/>
        <v/>
      </c>
      <c r="AB133" s="917">
        <f t="shared" si="37"/>
        <v>10877.896891363427</v>
      </c>
      <c r="AC133" s="918">
        <f t="shared" si="38"/>
        <v>12618.360393981575</v>
      </c>
      <c r="AD133" s="916">
        <f t="shared" si="39"/>
        <v>19060.325931573429</v>
      </c>
      <c r="AE133" s="916">
        <f t="shared" si="40"/>
        <v>500</v>
      </c>
      <c r="AF133" s="919" cm="1">
        <f t="array" ref="AF133">IFERROR(_xlfn.LET(_xlpm.lam,TEXT(B133,"0"),_xlpm.thick,D133,_xlpm.crit,(TEXT(HELPER!$BZ$2:$BZ$250,"0")=_xlpm.lam)*(HELPER!$CC$2:$CC$250=_xlpm.thick)*(HELPER!$BW$2:$BW$250&lt;&gt;""),_xlpm.mats,TRIM(SUBSTITUTE(_xlfn._xlws.FILTER(HELPER!$BW$2:$BW$250,_xlpm.crit),CHAR(160),"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3" s="919">
        <f>IFERROR(IF(N133="Europe to Canada",IF(Q133&lt;1000,VLOOKUP(1000,HELPER!$AG$4:$AH$8,2,FALSE)/Q133,VLOOKUP(Q133,HELPER!$AG$4:$AH$8,2,TRUE)/Q133),IF(N133="Europe to US",HELPER!$AH$2,IF(N133="Europe to Europe",HELPER!$AH$3,0))),0)</f>
        <v>5.4</v>
      </c>
      <c r="AH133" s="919" cm="1">
        <f t="array" ref="AH133">IFERROR(_xlfn.LET(_xlpm.cap,IF(O133="Quantum",760,1220),_xlpm.wUsed,E133*MAX(1,MIN(MAX(2,INT(900/E133)),INT((_xlpm.cap-50)/E133))),_xlpm.kgmUsed,AR133/E133*_xlpm.wUsed,_xlpm.lam,TEXT(B133,"0"),_xlpm.crit,(TEXT(HELPER!$BZ$2:$BZ$250,"0")=_xlpm.lam)*(HELPER!$CC$2:$CC$250=D133)*(HELPER!$BW$2:$BW$250&lt;&gt;""),_xlpm.mats,_xlfn._xlws.FILTER(HELPER!$BW$2:$BW$250,_xlpm.crit),_xlpm.realLayers,SUM((_xlpm.mats&lt;&gt;"")*ISERROR(SEARCH("EPOTAL",_xlpm.mats&amp;""))*ISERROR(SEARCH("BASONAT",_xlpm.mats&amp;""))*ISERROR(SEARCH("ADH",_xlpm.mats&amp;""))*ISERROR(SEARCH("HARDENER",_xlpm.mats&amp;""))),_xlpm.steps,MAX(0,_xlpm.realLayers-1),_xlpm.tier,IF(P133&lt;3000,1,IF(P133&lt;10000,2,IF(P133&lt;25000,3,IF(P133&lt;50000,4,IF(P133&lt;100000,5,IF(P133&lt;250000,6,7)))))),_xlpm.widthRow,IF(_xlpm.wUsed&lt;900,0,5),_xlpm.supplierRow,IF(O133="Marma",3,IF(OR(O133="Bastin",O133="Quantum"),13,0)),_xlpm.rate,INDEX('Lmntn &amp; Prntng- Marma &amp; Bastin '!$D$1:$K$22,_xlpm.supplierRow+_xlpm.widthRow,_xlpm.tier),_xlpm.rate*_xlpm.steps/_xlpm.kgmUsed),"")</f>
        <v>3.0239588296959874</v>
      </c>
      <c r="AI133" s="919" cm="1">
        <f t="array" ref="AI133">IFERROR(_xlfn.LET(_xlpm.cap,IF(O133="Quantum",760,1220),_xlpm.wUsed,E133*MAX(1,MIN(MAX(2,INT(900/E133)),INT((_xlpm.cap-50)/E133))),_xlpm.kgmUsed,AR133/E133*_xlpm.wUsed,_xlpm.tier,IF(P133&lt;3000,1,IF(P133&lt;10000,2,IF(P133&lt;25000,3,IF(P133&lt;50000,4,IF(P133&lt;100000,5,IF(P133&lt;250000,6,IF(P133&lt;500000,7,8))))))),_xlpm.widthRow,IF(_xlpm.wUsed&lt;900,0,5),_xlpm.slitRow,IF(O133="Marma",7,IF(OR(O133="Bastin",O133="Quantum"),17,0)),_xlpm.slitRate,INDEX('Lmntn &amp; Prntng- Marma &amp; Bastin '!$D$1:$K$22,_xlpm.slitRow+_xlpm.widthRow,_xlpm.tier),_xlpm.numColors,IF(ISNUMBER(L133),L133,IFERROR(--RIGHT(L133,LEN(L133)-FIND("-",L133)),0)),_xlpm.printRate,IF(OR(K133&lt;&gt;"Printed",_xlpm.numColors=0),0,IF(O133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133))),MAX(_xlfn._xlws.FILTER(_xlpm.meters,(_xlpm.widths=_xlpm.qWidth)*(_xlpm.bands=_xlpm.band)))),INDEX(_xlpm.rates,_xlfn.XMATCH(1,(_xlpm.widths=_xlpm.qWidth)*(_xlpm.bands=_xlpm.band)*(_xlpm.meters=_xlpm.targetM),0))/HELPER!$AK$2),_xlfn.LET(_xlpm.colorOffset,IF(_xlpm.numColors&lt;=2,1,IF(_xlpm.numColors&lt;=4,2,3)),_xlpm.supplierRow,IF(O133="Marma",3,IF(O133="Bastin",13,0)),INDEX('Lmntn &amp; Prntng- Marma &amp; Bastin '!$D$1:$K$22,_xlpm.supplierRow+_xlpm.widthRow+_xlpm.colorOffset,_xlpm.tier)))),AH133+_xlpm.slitRate/_xlpm.kgmUsed+_xlpm.printRate/_xlpm.kgmUsed+AJ133),"")</f>
        <v>3.4521299914228529</v>
      </c>
      <c r="AJ133" s="919" cm="1">
        <f t="array" ref="AJ133">IF(OR(K133&lt;&gt;"Printed",L133=0,L133="0",L133=""),0,IFERROR(_xlfn.LET(_xlpm.lam,TEXT(B133,"0"),_xlpm.crit,(TEXT(HELPER!$BZ$2:$BZ$250,"0")=_xlpm.lam)*(HELPER!$CC$2:$CC$250=D133)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WHITE"},0)))/ROWS(_xlpm.real),_xlpm.numColors,IF(ISNUMBER(L133),L133,IFERROR(--RIGHT(L133,LEN(L133)-FIND("-",L133)),0)),HELPER!$DB$1*_xlpm.numColors*MAX(1,M133)*1.05*_xlpm.nkRatio/Q133),0))</f>
        <v>0</v>
      </c>
      <c r="AK133" s="919">
        <f t="shared" si="41"/>
        <v>1.4727970591106638</v>
      </c>
      <c r="AL133" s="919">
        <f t="shared" si="42"/>
        <v>570.70886040538221</v>
      </c>
      <c r="AM133" s="73" t="str">
        <f t="shared" si="43"/>
        <v>PASS</v>
      </c>
      <c r="AN133" s="908" t="str">
        <f t="shared" si="22"/>
        <v/>
      </c>
      <c r="AO133" s="919">
        <f t="shared" si="23"/>
        <v>79</v>
      </c>
      <c r="AP133" s="919">
        <f t="shared" si="24"/>
        <v>19060.325931573429</v>
      </c>
      <c r="AQ133" s="919"/>
      <c r="AR133" s="919" cm="1">
        <f t="array" ref="AR133">IFERROR(_xlfn.LET(_xlpm.lam,TEXT(B133,"0"),_xlpm.thick,D133,_xlpm.crit,(TEXT(HELPER!$BZ$2:$BZ$250,"0")=_xlpm.lam)*(HELPER!$CC$2:$CC$250=_xlpm.thick)*(HELPER!$BW$2:$BW$250&lt;&gt;""),_xlpm.mats,TRIM(SUBSTITUTE(_xlfn._xlws.FILTER(HELPER!$BW$2:$BW$250,_xlpm.crit),CHAR(160),"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")),HELPER!$AQ$2:$AQ$20,1),_xlpm.mass,IF(ISNUMBER(SEARCH("paper",_xlpm.mats)),42,_xlpm.dens*_xlpm.ths),E133/1000000*SUM(_xlpm.mass)),"")</f>
        <v>2.6232500000000002E-2</v>
      </c>
      <c r="AS133" s="919">
        <f>IFERROR(IF(D133&gt;31,(5%+250/P133)*AF133,VLOOKUP(D133,HELPER!$BH$3:$BI$5,2,TRUE)*AF133),0)</f>
        <v>0.50775448677421842</v>
      </c>
      <c r="AT133" s="919">
        <v>0.20000000000000201</v>
      </c>
      <c r="AU133" s="919"/>
      <c r="AV133" s="919"/>
      <c r="AW133" s="919"/>
      <c r="AX133" s="919"/>
      <c r="AY133" s="919"/>
      <c r="AZ133" s="919">
        <f t="shared" si="25"/>
        <v>0</v>
      </c>
    </row>
    <row r="134" spans="1:52">
      <c r="A134" s="73" t="s">
        <v>1555</v>
      </c>
      <c r="B134" s="73" t="s">
        <v>1053</v>
      </c>
      <c r="C134" s="908" t="s">
        <v>1434</v>
      </c>
      <c r="D134" s="915" cm="1">
        <f t="array" ref="D13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4" s="915">
        <v>600</v>
      </c>
      <c r="F134" s="73" t="s">
        <v>1040</v>
      </c>
      <c r="G134" s="916">
        <v>100000</v>
      </c>
      <c r="H134" s="916"/>
      <c r="I134" s="916">
        <v>300</v>
      </c>
      <c r="J134" s="916">
        <v>200</v>
      </c>
      <c r="K134" s="73" t="s">
        <v>123</v>
      </c>
      <c r="L134" s="921" t="s">
        <v>122</v>
      </c>
      <c r="M134" s="915">
        <v>4</v>
      </c>
      <c r="N134" s="73" t="s">
        <v>549</v>
      </c>
      <c r="O134" s="73" t="s">
        <v>250</v>
      </c>
      <c r="P134" s="916" cm="1">
        <f t="array" ref="P134">IFERROR(_xlfn.SWITCH(F134,"By Weight",IF(H134&lt;&gt;"",H134,G134)/AR134,"By Length",G134,"By Imp",G134/MAX(1,ROUNDDOWN(E134/I134,0))*J134/1000,"IMP",G134/MAX(1,ROUNDDOWN(E134/I134,0))*J134/1000,""),"")</f>
        <v>10000</v>
      </c>
      <c r="Q134" s="916">
        <f t="shared" si="26"/>
        <v>629.58000000000004</v>
      </c>
      <c r="R134" s="917">
        <f t="shared" si="27"/>
        <v>12286.591103749997</v>
      </c>
      <c r="S134" s="918">
        <f t="shared" si="28"/>
        <v>14252.445680349996</v>
      </c>
      <c r="T134" s="919">
        <f t="shared" si="29"/>
        <v>19.515535918787123</v>
      </c>
      <c r="U134" s="920">
        <f t="shared" si="30"/>
        <v>22.638021665793062</v>
      </c>
      <c r="V134" s="919">
        <f t="shared" si="31"/>
        <v>1.4454813063235308</v>
      </c>
      <c r="W134" s="919">
        <f t="shared" si="32"/>
        <v>22.959454022102523</v>
      </c>
      <c r="X134" s="919">
        <f t="shared" si="33"/>
        <v>0.14454813063235308</v>
      </c>
      <c r="Y134" s="920">
        <f t="shared" si="34"/>
        <v>1.6767583153352956</v>
      </c>
      <c r="Z134" s="920">
        <f t="shared" si="35"/>
        <v>26.632966665638925</v>
      </c>
      <c r="AA134" s="920">
        <f t="shared" si="36"/>
        <v>0.16767583153352958</v>
      </c>
      <c r="AB134" s="917">
        <f t="shared" si="37"/>
        <v>14454.813063235308</v>
      </c>
      <c r="AC134" s="918">
        <f t="shared" si="38"/>
        <v>16767.583153352956</v>
      </c>
      <c r="AD134" s="916">
        <f t="shared" si="39"/>
        <v>7941.8024714889289</v>
      </c>
      <c r="AE134" s="916">
        <f t="shared" si="40"/>
        <v>500</v>
      </c>
      <c r="AF134" s="919" cm="1">
        <f t="array" ref="AF134">IFERROR(_xlfn.LET(_xlpm.lam,TEXT(B134,"0"),_xlpm.thick,D134,_xlpm.crit,(TEXT(HELPER!$BZ$2:$BZ$250,"0")=_xlpm.lam)*(HELPER!$CC$2:$CC$250=_xlpm.thick)*(HELPER!$BW$2:$BW$250&lt;&gt;""),_xlpm.mats,TRIM(SUBSTITUTE(_xlfn._xlws.FILTER(HELPER!$BW$2:$BW$250,_xlpm.crit),CHAR(160),"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4" s="919">
        <f>IFERROR(IF(N134="Europe to Canada",IF(Q134&lt;1000,VLOOKUP(1000,HELPER!$AG$4:$AH$8,2,FALSE)/Q134,VLOOKUP(Q134,HELPER!$AG$4:$AH$8,2,TRUE)/Q134),IF(N134="Europe to US",HELPER!$AH$2,IF(N134="Europe to Europe",HELPER!$AH$3,0))),0)</f>
        <v>0.2</v>
      </c>
      <c r="AH134" s="919" cm="1">
        <f t="array" ref="AH134">IFERROR(_xlfn.LET(_xlpm.cap,IF(O134="Quantum",760,1220),_xlpm.wUsed,E134*MAX(1,MIN(MAX(2,INT(900/E134)),INT((_xlpm.cap-50)/E134))),_xlpm.kgmUsed,AR134/E134*_xlpm.wUsed,_xlpm.lam,TEXT(B134,"0"),_xlpm.crit,(TEXT(HELPER!$BZ$2:$BZ$250,"0")=_xlpm.lam)*(HELPER!$CC$2:$CC$250=D134)*(HELPER!$BW$2:$BW$250&lt;&gt;""),_xlpm.mats,_xlfn._xlws.FILTER(HELPER!$BW$2:$BW$250,_xlpm.crit),_xlpm.realLayers,SUM((_xlpm.mats&lt;&gt;"")*ISERROR(SEARCH("EPOTAL",_xlpm.mats&amp;""))*ISERROR(SEARCH("BASONAT",_xlpm.mats&amp;""))*ISERROR(SEARCH("ADH",_xlpm.mats&amp;""))*ISERROR(SEARCH("HARDENER",_xlpm.mats&amp;""))),_xlpm.steps,MAX(0,_xlpm.realLayers-1),_xlpm.tier,IF(P134&lt;3000,1,IF(P134&lt;10000,2,IF(P134&lt;25000,3,IF(P134&lt;50000,4,IF(P134&lt;100000,5,IF(P134&lt;250000,6,7)))))),_xlpm.widthRow,IF(_xlpm.wUsed&lt;900,0,5),_xlpm.supplierRow,IF(O134="Marma",3,IF(OR(O134="Bastin",O134="Quantum"),13,0)),_xlpm.rate,INDEX('Lmntn &amp; Prntng- Marma &amp; Bastin '!$D$1:$K$22,_xlpm.supplierRow+_xlpm.widthRow,_xlpm.tier),_xlpm.rate*_xlpm.steps/_xlpm.kgmUsed),"")</f>
        <v>2.9076527208615266</v>
      </c>
      <c r="AI134" s="919" cm="1">
        <f t="array" ref="AI134">IFERROR(_xlfn.LET(_xlpm.cap,IF(O134="Quantum",760,1220),_xlpm.wUsed,E134*MAX(1,MIN(MAX(2,INT(900/E134)),INT((_xlpm.cap-50)/E134))),_xlpm.kgmUsed,AR134/E134*_xlpm.wUsed,_xlpm.tier,IF(P134&lt;3000,1,IF(P134&lt;10000,2,IF(P134&lt;25000,3,IF(P134&lt;50000,4,IF(P134&lt;100000,5,IF(P134&lt;250000,6,IF(P134&lt;500000,7,8))))))),_xlpm.widthRow,IF(_xlpm.wUsed&lt;900,0,5),_xlpm.slitRow,IF(O134="Marma",7,IF(OR(O134="Bastin",O134="Quantum"),17,0)),_xlpm.slitRate,INDEX('Lmntn &amp; Prntng- Marma &amp; Bastin '!$D$1:$K$22,_xlpm.slitRow+_xlpm.widthRow,_xlpm.tier),_xlpm.numColors,IF(ISNUMBER(L134),L134,IFERROR(--RIGHT(L134,LEN(L134)-FIND("-",L134)),0)),_xlpm.printRate,IF(OR(K134&lt;&gt;"Printed",_xlpm.numColors=0),0,IF(O134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134))),MAX(_xlfn._xlws.FILTER(_xlpm.meters,(_xlpm.widths=_xlpm.qWidth)*(_xlpm.bands=_xlpm.band)))),INDEX(_xlpm.rates,_xlfn.XMATCH(1,(_xlpm.widths=_xlpm.qWidth)*(_xlpm.bands=_xlpm.band)*(_xlpm.meters=_xlpm.targetM),0))/HELPER!$AK$2),_xlfn.LET(_xlpm.colorOffset,IF(_xlpm.numColors&lt;=2,1,IF(_xlpm.numColors&lt;=4,2,3)),_xlpm.supplierRow,IF(O134="Marma",3,IF(O134="Bastin",13,0)),INDEX('Lmntn &amp; Prntng- Marma &amp; Bastin '!$D$1:$K$22,_xlpm.supplierRow+_xlpm.widthRow+_xlpm.colorOffset,_xlpm.tier)))),AH134+_xlpm.slitRate/_xlpm.kgmUsed+_xlpm.printRate/_xlpm.kgmUsed+AJ134),"")</f>
        <v>10.667429079703929</v>
      </c>
      <c r="AJ134" s="919" cm="1">
        <f t="array" ref="AJ134">IF(OR(K134&lt;&gt;"Printed",L134=0,L134="0",L134=""),0,IFERROR(_xlfn.LET(_xlpm.lam,TEXT(B134,"0"),_xlpm.crit,(TEXT(HELPER!$BZ$2:$BZ$250,"0")=_xlpm.lam)*(HELPER!$CC$2:$CC$250=D134)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WHITE"},0)))/ROWS(_xlpm.real),_xlpm.numColors,IF(ISNUMBER(L134),L134,IFERROR(--RIGHT(L134,LEN(L134)-FIND("-",L134)),0)),HELPER!$DB$1*_xlpm.numColors*MAX(1,M134)*1.05*_xlpm.nkRatio/Q134),0))</f>
        <v>5.3368912608405603</v>
      </c>
      <c r="AK134" s="919">
        <f t="shared" si="41"/>
        <v>1.554280974541431</v>
      </c>
      <c r="AL134" s="919">
        <f t="shared" si="42"/>
        <v>1445.4813063235308</v>
      </c>
      <c r="AM134" s="73" t="str">
        <f t="shared" si="43"/>
        <v>PASS</v>
      </c>
      <c r="AN134" s="908" t="str">
        <f t="shared" ref="AN134:AN197" si="44">_xlfn.TEXTJOIN("; ",TRUE,IF(AF134="","Missing BOM/price mapping",""),IF(AR134="","Missing thickness mapping",""),IF(E134+50&gt;IF(O134="Quantum",760,1220),"Lamination width exceeds supplier maximum",""))</f>
        <v/>
      </c>
      <c r="AO134" s="919">
        <f t="shared" ref="AO134:AO197" si="45">D134</f>
        <v>79</v>
      </c>
      <c r="AP134" s="919">
        <f t="shared" ref="AP134:AP197" si="46">P134</f>
        <v>10000</v>
      </c>
      <c r="AQ134" s="919"/>
      <c r="AR134" s="919" cm="1">
        <f t="array" ref="AR134">IFERROR(_xlfn.LET(_xlpm.lam,TEXT(B134,"0"),_xlpm.thick,D134,_xlpm.crit,(TEXT(HELPER!$BZ$2:$BZ$250,"0")=_xlpm.lam)*(HELPER!$CC$2:$CC$250=_xlpm.thick)*(HELPER!$BW$2:$BW$250&lt;&gt;""),_xlpm.mats,TRIM(SUBSTITUTE(_xlfn._xlws.FILTER(HELPER!$BW$2:$BW$250,_xlpm.crit),CHAR(160),"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")),HELPER!$AQ$2:$AQ$20,1),_xlpm.mass,IF(ISNUMBER(SEARCH("paper",_xlpm.mats)),42,_xlpm.dens*_xlpm.ths),E134/1000000*SUM(_xlpm.mass)),"")</f>
        <v>6.2958E-2</v>
      </c>
      <c r="AS134" s="919">
        <f>IFERROR(IF(D134&gt;31,(5%+250/P134)*AF134,VLOOKUP(D134,HELPER!$BH$3:$BI$5,2,TRUE)*AF134),0)</f>
        <v>0.60335629109882782</v>
      </c>
      <c r="AT134" s="919">
        <v>0.15000000000000099</v>
      </c>
      <c r="AU134" s="919"/>
      <c r="AV134" s="919"/>
      <c r="AW134" s="919"/>
      <c r="AX134" s="919"/>
      <c r="AY134" s="919"/>
      <c r="AZ134" s="919">
        <f t="shared" ref="AZ134:AZ197" si="47">IFERROR(AJ134*Q134,0)</f>
        <v>3360</v>
      </c>
    </row>
    <row r="135" spans="1:52">
      <c r="A135" s="73" t="s">
        <v>1556</v>
      </c>
      <c r="B135" s="73" t="s">
        <v>1053</v>
      </c>
      <c r="C135" s="908" t="s">
        <v>1436</v>
      </c>
      <c r="D135" s="915" cm="1">
        <f t="array" ref="D13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5" s="915">
        <v>450</v>
      </c>
      <c r="F135" s="73" t="s">
        <v>560</v>
      </c>
      <c r="G135" s="916">
        <v>500</v>
      </c>
      <c r="H135" s="916">
        <v>500</v>
      </c>
      <c r="I135" s="916"/>
      <c r="J135" s="916"/>
      <c r="K135" s="73" t="s">
        <v>123</v>
      </c>
      <c r="L135" s="921" t="s">
        <v>591</v>
      </c>
      <c r="M135" s="915">
        <v>2</v>
      </c>
      <c r="N135" s="73" t="s">
        <v>549</v>
      </c>
      <c r="O135" s="73" t="s">
        <v>1366</v>
      </c>
      <c r="P135" s="916" cm="1">
        <f t="array" ref="P135">IFERROR(_xlfn.SWITCH(F135,"By Weight",IF(H135&lt;&gt;"",H135,G135)/AR135,"By Length",G135,"By Imp",G135/MAX(1,ROUNDDOWN(E135/I135,0))*J135/1000,"IMP",G135/MAX(1,ROUNDDOWN(E135/I135,0))*J135/1000,""),"")</f>
        <v>10589.069961985238</v>
      </c>
      <c r="Q135" s="916">
        <f t="shared" ref="Q135:Q185" si="48">IFERROR(P135*AR135,"")</f>
        <v>500</v>
      </c>
      <c r="R135" s="917">
        <f t="shared" ref="R135:R185" si="49">IFERROR(Q135*T135,"")</f>
        <v>15438.041164316317</v>
      </c>
      <c r="S135" s="918">
        <f t="shared" ref="S135:S185" si="50">IFERROR(R135*1.16,"")</f>
        <v>17908.127750606927</v>
      </c>
      <c r="T135" s="919">
        <f t="shared" ref="T135:T185" si="51">IFERROR(AF135+AG135+AI135+AS135,"")</f>
        <v>30.876082328632634</v>
      </c>
      <c r="U135" s="920">
        <f t="shared" ref="U135:U185" si="52">IFERROR(T135*1.16,"")</f>
        <v>35.816255501213853</v>
      </c>
      <c r="V135" s="919">
        <f t="shared" ref="V135:V185" si="53">IFERROR(W135*AR135,"")</f>
        <v>1.7152026981582826</v>
      </c>
      <c r="W135" s="919">
        <f t="shared" ref="W135:W185" si="54">IFERROR(T135/(1-AT135),"")</f>
        <v>36.324802739567808</v>
      </c>
      <c r="X135" s="919" t="str">
        <f t="shared" ref="X135:X185" si="55">IF(OR(I135="",J135=""),"",IFERROR(V135*(J135/1000)/MAX(1,ROUNDDOWN(E135/I135,0)),""))</f>
        <v/>
      </c>
      <c r="Y135" s="920">
        <f t="shared" ref="Y135:Y185" si="56">IFERROR(V135*1.16,"")</f>
        <v>1.9896351298636077</v>
      </c>
      <c r="Z135" s="920">
        <f t="shared" ref="Z135:Z185" si="57">IFERROR(W135*1.16,"")</f>
        <v>42.136771177898652</v>
      </c>
      <c r="AA135" s="920" t="str">
        <f t="shared" ref="AA135:AA185" si="58">IFERROR(X135*1.16,"")</f>
        <v/>
      </c>
      <c r="AB135" s="917">
        <f t="shared" ref="AB135:AB185" si="59">IFERROR(W135*Q135,"")</f>
        <v>18162.401369783904</v>
      </c>
      <c r="AC135" s="918">
        <f t="shared" ref="AC135:AC185" si="60">IFERROR(AB135*1.16,"")</f>
        <v>21068.385588949328</v>
      </c>
      <c r="AD135" s="916">
        <f t="shared" ref="AD135:AD185" si="61">IFERROR(AE135/AR135,"")</f>
        <v>10589.069961985238</v>
      </c>
      <c r="AE135" s="916">
        <f t="shared" ref="AE135:AE185" si="62">_xlfn.LET(_xlpm.lam,UPPER(SUBSTITUTE(B135&amp;"","LAMINATE","")),IF(_xlpm.lam="608W",2000,IF(_xlpm.lam="608",750,500)))</f>
        <v>500</v>
      </c>
      <c r="AF135" s="919" cm="1">
        <f t="array" ref="AF135">IFERROR(_xlfn.LET(_xlpm.lam,TEXT(B135,"0"),_xlpm.thick,D135,_xlpm.crit,(TEXT(HELPER!$BZ$2:$BZ$250,"0")=_xlpm.lam)*(HELPER!$CC$2:$CC$250=_xlpm.thick)*(HELPER!$BW$2:$BW$250&lt;&gt;""),_xlpm.mats,TRIM(SUBSTITUTE(_xlfn._xlws.FILTER(HELPER!$BW$2:$BW$250,_xlpm.crit),CHAR(160),"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5" s="919">
        <f>IFERROR(IF(N135="Europe to Canada",IF(Q135&lt;1000,VLOOKUP(1000,HELPER!$AG$4:$AH$8,2,FALSE)/Q135,VLOOKUP(Q135,HELPER!$AG$4:$AH$8,2,TRUE)/Q135),IF(N135="Europe to US",HELPER!$AH$2,IF(N135="Europe to Europe",HELPER!$AH$3,0))),0)</f>
        <v>0.2</v>
      </c>
      <c r="AH135" s="919" cm="1">
        <f t="array" ref="AH135">IFERROR(_xlfn.LET(_xlpm.cap,IF(O135="Quantum",760,1220),_xlpm.wUsed,E135*MAX(1,MIN(MAX(2,INT(900/E135)),INT((_xlpm.cap-50)/E135))),_xlpm.kgmUsed,AR135/E135*_xlpm.wUsed,_xlpm.lam,TEXT(B135,"0"),_xlpm.crit,(TEXT(HELPER!$BZ$2:$BZ$250,"0")=_xlpm.lam)*(HELPER!$CC$2:$CC$250=D135)*(HELPER!$BW$2:$BW$250&lt;&gt;""),_xlpm.mats,_xlfn._xlws.FILTER(HELPER!$BW$2:$BW$250,_xlpm.crit),_xlpm.realLayers,SUM((_xlpm.mats&lt;&gt;"")*ISERROR(SEARCH("EPOTAL",_xlpm.mats&amp;""))*ISERROR(SEARCH("BASONAT",_xlpm.mats&amp;""))*ISERROR(SEARCH("ADH",_xlpm.mats&amp;""))*ISERROR(SEARCH("HARDENER",_xlpm.mats&amp;""))),_xlpm.steps,MAX(0,_xlpm.realLayers-1),_xlpm.tier,IF(P135&lt;3000,1,IF(P135&lt;10000,2,IF(P135&lt;25000,3,IF(P135&lt;50000,4,IF(P135&lt;100000,5,IF(P135&lt;250000,6,7)))))),_xlpm.widthRow,IF(_xlpm.wUsed&lt;900,0,5),_xlpm.supplierRow,IF(O135="Marma",3,IF(OR(O135="Bastin",O135="Quantum"),13,0)),_xlpm.rate,INDEX('Lmntn &amp; Prntng- Marma &amp; Bastin '!$D$1:$K$22,_xlpm.supplierRow+_xlpm.widthRow,_xlpm.tier),_xlpm.rate*_xlpm.steps/_xlpm.kgmUsed),"")</f>
        <v>5.0399313828266461</v>
      </c>
      <c r="AI135" s="919" cm="1">
        <f t="array" ref="AI135">IFERROR(_xlfn.LET(_xlpm.cap,IF(O135="Quantum",760,1220),_xlpm.wUsed,E135*MAX(1,MIN(MAX(2,INT(900/E135)),INT((_xlpm.cap-50)/E135))),_xlpm.kgmUsed,AR135/E135*_xlpm.wUsed,_xlpm.tier,IF(P135&lt;3000,1,IF(P135&lt;10000,2,IF(P135&lt;25000,3,IF(P135&lt;50000,4,IF(P135&lt;100000,5,IF(P135&lt;250000,6,IF(P135&lt;500000,7,8))))))),_xlpm.widthRow,IF(_xlpm.wUsed&lt;900,0,5),_xlpm.slitRow,IF(O135="Marma",7,IF(OR(O135="Bastin",O135="Quantum"),17,0)),_xlpm.slitRate,INDEX('Lmntn &amp; Prntng- Marma &amp; Bastin '!$D$1:$K$22,_xlpm.slitRow+_xlpm.widthRow,_xlpm.tier),_xlpm.numColors,IF(ISNUMBER(L135),L135,IFERROR(--RIGHT(L135,LEN(L135)-FIND("-",L135)),0)),_xlpm.printRate,IF(OR(K135&lt;&gt;"Printed",_xlpm.numColors=0),0,IF(O135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135))),MAX(_xlfn._xlws.FILTER(_xlpm.meters,(_xlpm.widths=_xlpm.qWidth)*(_xlpm.bands=_xlpm.band)))),INDEX(_xlpm.rates,_xlfn.XMATCH(1,(_xlpm.widths=_xlpm.qWidth)*(_xlpm.bands=_xlpm.band)*(_xlpm.meters=_xlpm.targetM),0))/HELPER!$AK$2),_xlfn.LET(_xlpm.colorOffset,IF(_xlpm.numColors&lt;=2,1,IF(_xlpm.numColors&lt;=4,2,3)),_xlpm.supplierRow,IF(O135="Marma",3,IF(O135="Bastin",13,0)),INDEX('Lmntn &amp; Prntng- Marma &amp; Bastin '!$D$1:$K$22,_xlpm.supplierRow+_xlpm.widthRow+_xlpm.colorOffset,_xlpm.tier)))),AH135+_xlpm.slitRate/_xlpm.kgmUsed+_xlpm.printRate/_xlpm.kgmUsed+AJ135),"")</f>
        <v>22.039163726374049</v>
      </c>
      <c r="AJ135" s="919" cm="1">
        <f t="array" ref="AJ135">IF(OR(K135&lt;&gt;"Printed",L135=0,L135="0",L135=""),0,IFERROR(_xlfn.LET(_xlpm.lam,TEXT(B135,"0"),_xlpm.crit,(TEXT(HELPER!$BZ$2:$BZ$250,"0")=_xlpm.lam)*(HELPER!$CC$2:$CC$250=D135)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WHITE"},0)))/ROWS(_xlpm.real),_xlpm.numColors,IF(ISNUMBER(L135),L135,IFERROR(--RIGHT(L135,LEN(L135)-FIND("-",L135)),0)),HELPER!$DB$1*_xlpm.numColors*MAX(1,M135)*1.05*_xlpm.nkRatio/Q135),0))</f>
        <v>1.68</v>
      </c>
      <c r="AK135" s="919">
        <f t="shared" ref="AK135:AK185" si="63">IFERROR(V135/(E135/1000*1.55),"")</f>
        <v>2.4590719686857097</v>
      </c>
      <c r="AL135" s="919">
        <f t="shared" ref="AL135:AL185" si="64">IFERROR(V135*1000,"")</f>
        <v>1715.2026981582826</v>
      </c>
      <c r="AM135" s="73" t="str">
        <f t="shared" ref="AM135:AM185" si="65">IF(AND(ISNUMBER(P135),ISNUMBER(Q135),ISNUMBER(R135),ISNUMBER(T135),Q135&gt;0),IF(ABS(T135-R135/Q135)&lt;0.02,IF(AN135="","PASS","CHECK"),"CHECK"),"CHECK")</f>
        <v>PASS</v>
      </c>
      <c r="AN135" s="908" t="str">
        <f t="shared" si="44"/>
        <v/>
      </c>
      <c r="AO135" s="919">
        <f t="shared" si="45"/>
        <v>79</v>
      </c>
      <c r="AP135" s="919">
        <f t="shared" si="46"/>
        <v>10589.069961985238</v>
      </c>
      <c r="AQ135" s="919"/>
      <c r="AR135" s="919" cm="1">
        <f t="array" ref="AR135">IFERROR(_xlfn.LET(_xlpm.lam,TEXT(B135,"0"),_xlpm.thick,D135,_xlpm.crit,(TEXT(HELPER!$BZ$2:$BZ$250,"0")=_xlpm.lam)*(HELPER!$CC$2:$CC$250=_xlpm.thick)*(HELPER!$BW$2:$BW$250&lt;&gt;""),_xlpm.mats,TRIM(SUBSTITUTE(_xlfn._xlws.FILTER(HELPER!$BW$2:$BW$250,_xlpm.crit),CHAR(160),"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")),HELPER!$AQ$2:$AQ$20,1),_xlpm.mass,IF(ISNUMBER(SEARCH("paper",_xlpm.mats)),42,_xlpm.dens*_xlpm.ths),E135/1000000*SUM(_xlpm.mass)),"")</f>
        <v>4.7218500000000004E-2</v>
      </c>
      <c r="AS135" s="919">
        <f>IFERROR(IF(D135&gt;31,(5%+250/P135)*AF135,VLOOKUP(D135,HELPER!$BH$3:$BI$5,2,TRUE)*AF135),0)</f>
        <v>0.59216805427421848</v>
      </c>
      <c r="AT135" s="919">
        <v>0.15</v>
      </c>
      <c r="AU135" s="919"/>
      <c r="AV135" s="919"/>
      <c r="AW135" s="919"/>
      <c r="AX135" s="919"/>
      <c r="AY135" s="919"/>
      <c r="AZ135" s="919">
        <f t="shared" si="47"/>
        <v>840</v>
      </c>
    </row>
    <row r="136" spans="1:52">
      <c r="A136" s="73" t="s">
        <v>1557</v>
      </c>
      <c r="B136" s="73">
        <v>823</v>
      </c>
      <c r="C136" s="908" t="s">
        <v>1418</v>
      </c>
      <c r="D136" s="915" cm="1">
        <f t="array" ref="D13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6" s="915">
        <v>120</v>
      </c>
      <c r="F136" s="73" t="s">
        <v>560</v>
      </c>
      <c r="G136" s="916">
        <v>100</v>
      </c>
      <c r="H136" s="916">
        <v>100</v>
      </c>
      <c r="I136" s="916"/>
      <c r="J136" s="916"/>
      <c r="K136" s="73" t="s">
        <v>124</v>
      </c>
      <c r="L136" s="921" t="s">
        <v>221</v>
      </c>
      <c r="M136" s="915">
        <v>1</v>
      </c>
      <c r="N136" s="73" t="s">
        <v>549</v>
      </c>
      <c r="O136" s="73" t="s">
        <v>250</v>
      </c>
      <c r="P136" s="916" cm="1">
        <f t="array" ref="P136">IFERROR(_xlfn.SWITCH(F136,"By Weight",IF(H136&lt;&gt;"",H136,G136)/AR136,"By Length",G136,"By Imp",G136/MAX(1,ROUNDDOWN(E136/I136,0))*J136/1000,"IMP",G136/MAX(1,ROUNDDOWN(E136/I136,0))*J136/1000,""),"")</f>
        <v>7415.9769808074516</v>
      </c>
      <c r="Q136" s="916">
        <f t="shared" si="48"/>
        <v>100</v>
      </c>
      <c r="R136" s="917">
        <f t="shared" si="49"/>
        <v>876.62983944668088</v>
      </c>
      <c r="S136" s="918">
        <f t="shared" si="50"/>
        <v>1016.8906137581497</v>
      </c>
      <c r="T136" s="919">
        <f t="shared" si="51"/>
        <v>8.7662983944668085</v>
      </c>
      <c r="U136" s="920">
        <f t="shared" si="52"/>
        <v>10.168906137581498</v>
      </c>
      <c r="V136" s="919">
        <f t="shared" si="53"/>
        <v>0.14776034258793513</v>
      </c>
      <c r="W136" s="919">
        <f t="shared" si="54"/>
        <v>10.957872993083498</v>
      </c>
      <c r="X136" s="919" t="str">
        <f t="shared" si="55"/>
        <v/>
      </c>
      <c r="Y136" s="920">
        <f t="shared" si="56"/>
        <v>0.17140199740200474</v>
      </c>
      <c r="Z136" s="920">
        <f t="shared" si="57"/>
        <v>12.711132671976857</v>
      </c>
      <c r="AA136" s="920" t="str">
        <f t="shared" si="58"/>
        <v/>
      </c>
      <c r="AB136" s="917">
        <f t="shared" si="59"/>
        <v>1095.7872993083497</v>
      </c>
      <c r="AC136" s="918">
        <f t="shared" si="60"/>
        <v>1271.1132671976857</v>
      </c>
      <c r="AD136" s="916">
        <f t="shared" si="61"/>
        <v>37079.884904037259</v>
      </c>
      <c r="AE136" s="916">
        <f t="shared" si="62"/>
        <v>500</v>
      </c>
      <c r="AF136" s="919" cm="1">
        <f t="array" ref="AF136">IFERROR(_xlfn.LET(_xlpm.lam,TEXT(B136,"0"),_xlpm.thick,D136,_xlpm.crit,(TEXT(HELPER!$BZ$2:$BZ$250,"0")=_xlpm.lam)*(HELPER!$CC$2:$CC$250=_xlpm.thick)*(HELPER!$BW$2:$BW$250&lt;&gt;""),_xlpm.mats,TRIM(SUBSTITUTE(_xlfn._xlws.FILTER(HELPER!$BW$2:$BW$250,_xlpm.crit),CHAR(160),"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6" s="919">
        <f>IFERROR(IF(N136="Europe to Canada",IF(Q136&lt;1000,VLOOKUP(1000,HELPER!$AG$4:$AH$8,2,FALSE)/Q136,VLOOKUP(Q136,HELPER!$AG$4:$AH$8,2,TRUE)/Q136),IF(N136="Europe to US",HELPER!$AH$2,IF(N136="Europe to Europe",HELPER!$AH$3,0))),0)</f>
        <v>0.2</v>
      </c>
      <c r="AH136" s="919" cm="1">
        <f t="array" ref="AH136">IFERROR(_xlfn.LET(_xlpm.cap,IF(O136="Quantum",760,1220),_xlpm.wUsed,E136*MAX(1,MIN(MAX(2,INT(900/E136)),INT((_xlpm.cap-50)/E136))),_xlpm.kgmUsed,AR136/E136*_xlpm.wUsed,_xlpm.lam,TEXT(B136,"0"),_xlpm.crit,(TEXT(HELPER!$BZ$2:$BZ$250,"0")=_xlpm.lam)*(HELPER!$CC$2:$CC$250=D136)*(HELPER!$BW$2:$BW$250&lt;&gt;""),_xlpm.mats,_xlfn._xlws.FILTER(HELPER!$BW$2:$BW$250,_xlpm.crit),_xlpm.realLayers,SUM((_xlpm.mats&lt;&gt;"")*ISERROR(SEARCH("EPOTAL",_xlpm.mats&amp;""))*ISERROR(SEARCH("BASONAT",_xlpm.mats&amp;""))*ISERROR(SEARCH("ADH",_xlpm.mats&amp;""))*ISERROR(SEARCH("HARDENER",_xlpm.mats&amp;""))),_xlpm.steps,MAX(0,_xlpm.realLayers-1),_xlpm.tier,IF(P136&lt;3000,1,IF(P136&lt;10000,2,IF(P136&lt;25000,3,IF(P136&lt;50000,4,IF(P136&lt;100000,5,IF(P136&lt;250000,6,7)))))),_xlpm.widthRow,IF(_xlpm.wUsed&lt;900,0,5),_xlpm.supplierRow,IF(O136="Marma",3,IF(OR(O136="Bastin",O136="Quantum"),13,0)),_xlpm.rate,INDEX('Lmntn &amp; Prntng- Marma &amp; Bastin '!$D$1:$K$22,_xlpm.supplierRow+_xlpm.widthRow,_xlpm.tier),_xlpm.rate*_xlpm.steps/_xlpm.kgmUsed),"")</f>
        <v>2.2063590943185138</v>
      </c>
      <c r="AI136" s="919" cm="1">
        <f t="array" ref="AI136">IFERROR(_xlfn.LET(_xlpm.cap,IF(O136="Quantum",760,1220),_xlpm.wUsed,E136*MAX(1,MIN(MAX(2,INT(900/E136)),INT((_xlpm.cap-50)/E136))),_xlpm.kgmUsed,AR136/E136*_xlpm.wUsed,_xlpm.tier,IF(P136&lt;3000,1,IF(P136&lt;10000,2,IF(P136&lt;25000,3,IF(P136&lt;50000,4,IF(P136&lt;100000,5,IF(P136&lt;250000,6,IF(P136&lt;500000,7,8))))))),_xlpm.widthRow,IF(_xlpm.wUsed&lt;900,0,5),_xlpm.slitRow,IF(O136="Marma",7,IF(OR(O136="Bastin",O136="Quantum"),17,0)),_xlpm.slitRate,INDEX('Lmntn &amp; Prntng- Marma &amp; Bastin '!$D$1:$K$22,_xlpm.slitRow+_xlpm.widthRow,_xlpm.tier),_xlpm.numColors,IF(ISNUMBER(L136),L136,IFERROR(--RIGHT(L136,LEN(L136)-FIND("-",L136)),0)),_xlpm.printRate,IF(OR(K136&lt;&gt;"Printed",_xlpm.numColors=0),0,IF(O136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136))),MAX(_xlfn._xlws.FILTER(_xlpm.meters,(_xlpm.widths=_xlpm.qWidth)*(_xlpm.bands=_xlpm.band)))),INDEX(_xlpm.rates,_xlfn.XMATCH(1,(_xlpm.widths=_xlpm.qWidth)*(_xlpm.bands=_xlpm.band)*(_xlpm.meters=_xlpm.targetM),0))/HELPER!$AK$2),_xlfn.LET(_xlpm.colorOffset,IF(_xlpm.numColors&lt;=2,1,IF(_xlpm.numColors&lt;=4,2,3)),_xlpm.supplierRow,IF(O136="Marma",3,IF(O136="Bastin",13,0)),INDEX('Lmntn &amp; Prntng- Marma &amp; Bastin '!$D$1:$K$22,_xlpm.supplierRow+_xlpm.widthRow+_xlpm.colorOffset,_xlpm.tier)))),AH136+_xlpm.slitRate/_xlpm.kgmUsed+_xlpm.printRate/_xlpm.kgmUsed+AJ136),"")</f>
        <v>2.5286362653987462</v>
      </c>
      <c r="AJ136" s="919" cm="1">
        <f t="array" ref="AJ136">IF(OR(K136&lt;&gt;"Printed",L136=0,L136="0",L136=""),0,IFERROR(_xlfn.LET(_xlpm.lam,TEXT(B136,"0"),_xlpm.crit,(TEXT(HELPER!$BZ$2:$BZ$250,"0")=_xlpm.lam)*(HELPER!$CC$2:$CC$250=D136)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WHITE"},0)))/ROWS(_xlpm.real),_xlpm.numColors,IF(ISNUMBER(L136),L136,IFERROR(--RIGHT(L136,LEN(L136)-FIND("-",L136)),0)),HELPER!$DB$1*_xlpm.numColors*MAX(1,M136)*1.05*_xlpm.nkRatio/Q136),0))</f>
        <v>0</v>
      </c>
      <c r="AK136" s="919">
        <f t="shared" si="63"/>
        <v>0.79441044402115668</v>
      </c>
      <c r="AL136" s="919">
        <f t="shared" si="64"/>
        <v>147.76034258793513</v>
      </c>
      <c r="AM136" s="73" t="str">
        <f t="shared" si="65"/>
        <v>PASS</v>
      </c>
      <c r="AN136" s="908" t="str">
        <f t="shared" si="44"/>
        <v/>
      </c>
      <c r="AO136" s="919">
        <f t="shared" si="45"/>
        <v>121</v>
      </c>
      <c r="AP136" s="919">
        <f t="shared" si="46"/>
        <v>7415.9769808074516</v>
      </c>
      <c r="AQ136" s="919"/>
      <c r="AR136" s="919" cm="1">
        <f t="array" ref="AR136">IFERROR(_xlfn.LET(_xlpm.lam,TEXT(B136,"0"),_xlpm.thick,D136,_xlpm.crit,(TEXT(HELPER!$BZ$2:$BZ$250,"0")=_xlpm.lam)*(HELPER!$CC$2:$CC$250=_xlpm.thick)*(HELPER!$BW$2:$BW$250&lt;&gt;""),_xlpm.mats,TRIM(SUBSTITUTE(_xlfn._xlws.FILTER(HELPER!$BW$2:$BW$250,_xlpm.crit),CHAR(160),"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")),HELPER!$AQ$2:$AQ$20,1),_xlpm.mass,IF(ISNUMBER(SEARCH("paper",_xlpm.mats)),42,_xlpm.dens*_xlpm.ths),E136/1000000*SUM(_xlpm.mass)),"")</f>
        <v>1.3484400000000001E-2</v>
      </c>
      <c r="AS136" s="919">
        <f>IFERROR(IF(D136&gt;31,(5%+250/P136)*AF136,VLOOKUP(D136,HELPER!$BH$3:$BI$5,2,TRUE)*AF136),0)</f>
        <v>0.46637778382466966</v>
      </c>
      <c r="AT136" s="919">
        <v>0.19999999999999901</v>
      </c>
      <c r="AU136" s="919"/>
      <c r="AV136" s="919"/>
      <c r="AW136" s="919"/>
      <c r="AX136" s="919"/>
      <c r="AY136" s="919"/>
      <c r="AZ136" s="919">
        <f t="shared" si="47"/>
        <v>0</v>
      </c>
    </row>
    <row r="137" spans="1:52">
      <c r="A137" s="73" t="s">
        <v>1558</v>
      </c>
      <c r="B137" s="73">
        <v>823</v>
      </c>
      <c r="C137" s="908" t="s">
        <v>1420</v>
      </c>
      <c r="D137" s="915" cm="1">
        <f t="array" ref="D13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7" s="915">
        <v>120</v>
      </c>
      <c r="F137" s="73" t="s">
        <v>1040</v>
      </c>
      <c r="G137" s="916">
        <v>1000</v>
      </c>
      <c r="H137" s="916"/>
      <c r="I137" s="916">
        <v>80</v>
      </c>
      <c r="J137" s="916">
        <v>80</v>
      </c>
      <c r="K137" s="73" t="s">
        <v>123</v>
      </c>
      <c r="L137" s="921" t="s">
        <v>591</v>
      </c>
      <c r="M137" s="915">
        <v>1</v>
      </c>
      <c r="N137" s="73" t="s">
        <v>550</v>
      </c>
      <c r="O137" s="73" t="s">
        <v>240</v>
      </c>
      <c r="P137" s="916" cm="1">
        <f t="array" ref="P137">IFERROR(_xlfn.SWITCH(F137,"By Weight",IF(H137&lt;&gt;"",H137,G137)/AR137,"By Length",G137,"By Imp",G137/MAX(1,ROUNDDOWN(E137/I137,0))*J137/1000,"IMP",G137/MAX(1,ROUNDDOWN(E137/I137,0))*J137/1000,""),"")</f>
        <v>80</v>
      </c>
      <c r="Q137" s="916">
        <f t="shared" si="48"/>
        <v>1.0787520000000002</v>
      </c>
      <c r="R137" s="917">
        <f t="shared" si="49"/>
        <v>248.27205614989282</v>
      </c>
      <c r="S137" s="918">
        <f t="shared" si="50"/>
        <v>287.99558513387564</v>
      </c>
      <c r="T137" s="919">
        <f t="shared" si="51"/>
        <v>230.1474816731675</v>
      </c>
      <c r="U137" s="920">
        <f t="shared" si="52"/>
        <v>266.9710787408743</v>
      </c>
      <c r="V137" s="919">
        <f t="shared" si="53"/>
        <v>3.6510596492631291</v>
      </c>
      <c r="W137" s="919">
        <f t="shared" si="54"/>
        <v>270.76174314490294</v>
      </c>
      <c r="X137" s="919">
        <f t="shared" si="55"/>
        <v>0.29208477194105031</v>
      </c>
      <c r="Y137" s="920">
        <f t="shared" si="56"/>
        <v>4.2352291931452291</v>
      </c>
      <c r="Z137" s="920">
        <f t="shared" si="57"/>
        <v>314.08362204808736</v>
      </c>
      <c r="AA137" s="920">
        <f t="shared" si="58"/>
        <v>0.33881833545161832</v>
      </c>
      <c r="AB137" s="917">
        <f t="shared" si="59"/>
        <v>292.08477194105035</v>
      </c>
      <c r="AC137" s="918">
        <f t="shared" si="60"/>
        <v>338.8183354516184</v>
      </c>
      <c r="AD137" s="916">
        <f t="shared" si="61"/>
        <v>37079.884904037259</v>
      </c>
      <c r="AE137" s="916">
        <f t="shared" si="62"/>
        <v>500</v>
      </c>
      <c r="AF137" s="919" cm="1">
        <f t="array" ref="AF137">IFERROR(_xlfn.LET(_xlpm.lam,TEXT(B137,"0"),_xlpm.thick,D137,_xlpm.crit,(TEXT(HELPER!$BZ$2:$BZ$250,"0")=_xlpm.lam)*(HELPER!$CC$2:$CC$250=_xlpm.thick)*(HELPER!$BW$2:$BW$250&lt;&gt;""),_xlpm.mats,TRIM(SUBSTITUTE(_xlfn._xlws.FILTER(HELPER!$BW$2:$BW$250,_xlpm.crit),CHAR(160),"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7" s="919">
        <f>IFERROR(IF(N137="Europe to Canada",IF(Q137&lt;1000,VLOOKUP(1000,HELPER!$AG$4:$AH$8,2,FALSE)/Q137,VLOOKUP(Q137,HELPER!$AG$4:$AH$8,2,TRUE)/Q137),IF(N137="Europe to US",HELPER!$AH$2,IF(N137="Europe to Europe",HELPER!$AH$3,0))),0)</f>
        <v>5.4</v>
      </c>
      <c r="AH137" s="919" cm="1">
        <f t="array" ref="AH137">IFERROR(_xlfn.LET(_xlpm.cap,IF(O137="Quantum",760,1220),_xlpm.wUsed,E137*MAX(1,MIN(MAX(2,INT(900/E137)),INT((_xlpm.cap-50)/E137))),_xlpm.kgmUsed,AR137/E137*_xlpm.wUsed,_xlpm.lam,TEXT(B137,"0"),_xlpm.crit,(TEXT(HELPER!$BZ$2:$BZ$250,"0")=_xlpm.lam)*(HELPER!$CC$2:$CC$250=D137)*(HELPER!$BW$2:$BW$250&lt;&gt;""),_xlpm.mats,_xlfn._xlws.FILTER(HELPER!$BW$2:$BW$250,_xlpm.crit),_xlpm.realLayers,SUM((_xlpm.mats&lt;&gt;"")*ISERROR(SEARCH("EPOTAL",_xlpm.mats&amp;""))*ISERROR(SEARCH("BASONAT",_xlpm.mats&amp;""))*ISERROR(SEARCH("ADH",_xlpm.mats&amp;""))*ISERROR(SEARCH("HARDENER",_xlpm.mats&amp;""))),_xlpm.steps,MAX(0,_xlpm.realLayers-1),_xlpm.tier,IF(P137&lt;3000,1,IF(P137&lt;10000,2,IF(P137&lt;25000,3,IF(P137&lt;50000,4,IF(P137&lt;100000,5,IF(P137&lt;250000,6,7)))))),_xlpm.widthRow,IF(_xlpm.wUsed&lt;900,0,5),_xlpm.supplierRow,IF(O137="Marma",3,IF(OR(O137="Bastin",O137="Quantum"),13,0)),_xlpm.rate,INDEX('Lmntn &amp; Prntng- Marma &amp; Bastin '!$D$1:$K$22,_xlpm.supplierRow+_xlpm.widthRow,_xlpm.tier),_xlpm.rate*_xlpm.steps/_xlpm.kgmUsed),"")</f>
        <v>3.2153345453158564</v>
      </c>
      <c r="AI137" s="919" cm="1">
        <f t="array" ref="AI137">IFERROR(_xlfn.LET(_xlpm.cap,IF(O137="Quantum",760,1220),_xlpm.wUsed,E137*MAX(1,MIN(MAX(2,INT(900/E137)),INT((_xlpm.cap-50)/E137))),_xlpm.kgmUsed,AR137/E137*_xlpm.wUsed,_xlpm.tier,IF(P137&lt;3000,1,IF(P137&lt;10000,2,IF(P137&lt;25000,3,IF(P137&lt;50000,4,IF(P137&lt;100000,5,IF(P137&lt;250000,6,IF(P137&lt;500000,7,8))))))),_xlpm.widthRow,IF(_xlpm.wUsed&lt;900,0,5),_xlpm.slitRow,IF(O137="Marma",7,IF(OR(O137="Bastin",O137="Quantum"),17,0)),_xlpm.slitRate,INDEX('Lmntn &amp; Prntng- Marma &amp; Bastin '!$D$1:$K$22,_xlpm.slitRow+_xlpm.widthRow,_xlpm.tier),_xlpm.numColors,IF(ISNUMBER(L137),L137,IFERROR(--RIGHT(L137,LEN(L137)-FIND("-",L137)),0)),_xlpm.printRate,IF(OR(K137&lt;&gt;"Printed",_xlpm.numColors=0),0,IF(O137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137))),MAX(_xlfn._xlws.FILTER(_xlpm.meters,(_xlpm.widths=_xlpm.qWidth)*(_xlpm.bands=_xlpm.band)))),INDEX(_xlpm.rates,_xlfn.XMATCH(1,(_xlpm.widths=_xlpm.qWidth)*(_xlpm.bands=_xlpm.band)*(_xlpm.meters=_xlpm.targetM),0))/HELPER!$AK$2),_xlfn.LET(_xlpm.colorOffset,IF(_xlpm.numColors&lt;=2,1,IF(_xlpm.numColors&lt;=4,2,3)),_xlpm.supplierRow,IF(O137="Marma",3,IF(O137="Bastin",13,0)),INDEX('Lmntn &amp; Prntng- Marma &amp; Bastin '!$D$1:$K$22,_xlpm.supplierRow+_xlpm.widthRow+_xlpm.colorOffset,_xlpm.tier)))),AH137+_xlpm.slitRate/_xlpm.kgmUsed+_xlpm.printRate/_xlpm.kgmUsed+AJ137),"")</f>
        <v>201.48736953177635</v>
      </c>
      <c r="AJ137" s="919" cm="1">
        <f t="array" ref="AJ137">IF(OR(K137&lt;&gt;"Printed",L137=0,L137="0",L137=""),0,IFERROR(_xlfn.LET(_xlpm.lam,TEXT(B137,"0"),_xlpm.crit,(TEXT(HELPER!$BZ$2:$BZ$250,"0")=_xlpm.lam)*(HELPER!$CC$2:$CC$250=D137)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WHITE"},0)))/ROWS(_xlpm.real),_xlpm.numColors,IF(ISNUMBER(L137),L137,IFERROR(--RIGHT(L137,LEN(L137)-FIND("-",L137)),0)),HELPER!$DB$1*_xlpm.numColors*MAX(1,M137)*1.05*_xlpm.nkRatio/Q137),0))</f>
        <v>194.66939574619556</v>
      </c>
      <c r="AK137" s="919">
        <f t="shared" si="63"/>
        <v>19.629352953027578</v>
      </c>
      <c r="AL137" s="919">
        <f t="shared" si="64"/>
        <v>3651.0596492631289</v>
      </c>
      <c r="AM137" s="73" t="str">
        <f t="shared" si="65"/>
        <v>PASS</v>
      </c>
      <c r="AN137" s="908" t="str">
        <f t="shared" si="44"/>
        <v/>
      </c>
      <c r="AO137" s="919">
        <f t="shared" si="45"/>
        <v>121</v>
      </c>
      <c r="AP137" s="919">
        <f t="shared" si="46"/>
        <v>80</v>
      </c>
      <c r="AQ137" s="919"/>
      <c r="AR137" s="919" cm="1">
        <f t="array" ref="AR137">IFERROR(_xlfn.LET(_xlpm.lam,TEXT(B137,"0"),_xlpm.thick,D137,_xlpm.crit,(TEXT(HELPER!$BZ$2:$BZ$250,"0")=_xlpm.lam)*(HELPER!$CC$2:$CC$250=_xlpm.thick)*(HELPER!$BW$2:$BW$250&lt;&gt;""),_xlpm.mats,TRIM(SUBSTITUTE(_xlfn._xlws.FILTER(HELPER!$BW$2:$BW$250,_xlpm.crit),CHAR(160),"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")),HELPER!$AQ$2:$AQ$20,1),_xlpm.mass,IF(ISNUMBER(SEARCH("paper",_xlpm.mats)),42,_xlpm.dens*_xlpm.ths),E137/1000000*SUM(_xlpm.mass)),"")</f>
        <v>1.3484400000000001E-2</v>
      </c>
      <c r="AS137" s="919">
        <f>IFERROR(IF(D137&gt;31,(5%+250/P137)*AF137,VLOOKUP(D137,HELPER!$BH$3:$BI$5,2,TRUE)*AF137),0)</f>
        <v>17.68882779614777</v>
      </c>
      <c r="AT137" s="919">
        <v>0.15</v>
      </c>
      <c r="AU137" s="919"/>
      <c r="AV137" s="919"/>
      <c r="AW137" s="919"/>
      <c r="AX137" s="919"/>
      <c r="AY137" s="919"/>
      <c r="AZ137" s="919">
        <f t="shared" si="47"/>
        <v>209.99999999999997</v>
      </c>
    </row>
    <row r="138" spans="1:52">
      <c r="A138" s="73" t="s">
        <v>1559</v>
      </c>
      <c r="B138" s="73">
        <v>823</v>
      </c>
      <c r="C138" s="908" t="s">
        <v>1422</v>
      </c>
      <c r="D138" s="915" cm="1">
        <f t="array" ref="D13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8" s="915">
        <v>350</v>
      </c>
      <c r="F138" s="73" t="s">
        <v>560</v>
      </c>
      <c r="G138" s="916">
        <v>5000</v>
      </c>
      <c r="H138" s="916">
        <v>5000</v>
      </c>
      <c r="I138" s="916"/>
      <c r="J138" s="916"/>
      <c r="K138" s="73" t="s">
        <v>123</v>
      </c>
      <c r="L138" s="921" t="s">
        <v>122</v>
      </c>
      <c r="M138" s="915">
        <v>4</v>
      </c>
      <c r="N138" s="73" t="s">
        <v>549</v>
      </c>
      <c r="O138" s="73" t="s">
        <v>1366</v>
      </c>
      <c r="P138" s="916" cm="1">
        <f t="array" ref="P138">IFERROR(_xlfn.SWITCH(F138,"By Weight",IF(H138&lt;&gt;"",H138,G138)/AR138,"By Length",G138,"By Imp",G138/MAX(1,ROUNDDOWN(E138/I138,0))*J138/1000,"IMP",G138/MAX(1,ROUNDDOWN(E138/I138,0))*J138/1000,""),"")</f>
        <v>127131.03395669916</v>
      </c>
      <c r="Q138" s="916">
        <f t="shared" si="48"/>
        <v>5000</v>
      </c>
      <c r="R138" s="917">
        <f t="shared" si="49"/>
        <v>95016.316120746997</v>
      </c>
      <c r="S138" s="918">
        <f t="shared" si="50"/>
        <v>110218.92670006651</v>
      </c>
      <c r="T138" s="919">
        <f t="shared" si="51"/>
        <v>19.0032632241494</v>
      </c>
      <c r="U138" s="920">
        <f t="shared" si="52"/>
        <v>22.043785340013301</v>
      </c>
      <c r="V138" s="919">
        <f t="shared" si="53"/>
        <v>0.87928098938139487</v>
      </c>
      <c r="W138" s="919">
        <f t="shared" si="54"/>
        <v>22.356780263705229</v>
      </c>
      <c r="X138" s="919" t="str">
        <f t="shared" si="55"/>
        <v/>
      </c>
      <c r="Y138" s="920">
        <f t="shared" si="56"/>
        <v>1.0199659476824179</v>
      </c>
      <c r="Z138" s="920">
        <f t="shared" si="57"/>
        <v>25.933865105898064</v>
      </c>
      <c r="AA138" s="920" t="str">
        <f t="shared" si="58"/>
        <v/>
      </c>
      <c r="AB138" s="917">
        <f t="shared" si="59"/>
        <v>111783.90131852614</v>
      </c>
      <c r="AC138" s="918">
        <f t="shared" si="60"/>
        <v>129669.32552949032</v>
      </c>
      <c r="AD138" s="916">
        <f t="shared" si="61"/>
        <v>12713.103395669916</v>
      </c>
      <c r="AE138" s="916">
        <f t="shared" si="62"/>
        <v>500</v>
      </c>
      <c r="AF138" s="919" cm="1">
        <f t="array" ref="AF138">IFERROR(_xlfn.LET(_xlpm.lam,TEXT(B138,"0"),_xlpm.thick,D138,_xlpm.crit,(TEXT(HELPER!$BZ$2:$BZ$250,"0")=_xlpm.lam)*(HELPER!$CC$2:$CC$250=_xlpm.thick)*(HELPER!$BW$2:$BW$250&lt;&gt;""),_xlpm.mats,TRIM(SUBSTITUTE(_xlfn._xlws.FILTER(HELPER!$BW$2:$BW$250,_xlpm.crit),CHAR(160),"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8" s="919">
        <f>IFERROR(IF(N138="Europe to Canada",IF(Q138&lt;1000,VLOOKUP(1000,HELPER!$AG$4:$AH$8,2,FALSE)/Q138,VLOOKUP(Q138,HELPER!$AG$4:$AH$8,2,TRUE)/Q138),IF(N138="Europe to US",HELPER!$AH$2,IF(N138="Europe to Europe",HELPER!$AH$3,0))),0)</f>
        <v>0.2</v>
      </c>
      <c r="AH138" s="919" cm="1">
        <f t="array" ref="AH138">IFERROR(_xlfn.LET(_xlpm.cap,IF(O138="Quantum",760,1220),_xlpm.wUsed,E138*MAX(1,MIN(MAX(2,INT(900/E138)),INT((_xlpm.cap-50)/E138))),_xlpm.kgmUsed,AR138/E138*_xlpm.wUsed,_xlpm.lam,TEXT(B138,"0"),_xlpm.crit,(TEXT(HELPER!$BZ$2:$BZ$250,"0")=_xlpm.lam)*(HELPER!$CC$2:$CC$250=D138)*(HELPER!$BW$2:$BW$250&lt;&gt;""),_xlpm.mats,_xlfn._xlws.FILTER(HELPER!$BW$2:$BW$250,_xlpm.crit),_xlpm.realLayers,SUM((_xlpm.mats&lt;&gt;"")*ISERROR(SEARCH("EPOTAL",_xlpm.mats&amp;""))*ISERROR(SEARCH("BASONAT",_xlpm.mats&amp;""))*ISERROR(SEARCH("ADH",_xlpm.mats&amp;""))*ISERROR(SEARCH("HARDENER",_xlpm.mats&amp;""))),_xlpm.steps,MAX(0,_xlpm.realLayers-1),_xlpm.tier,IF(P138&lt;3000,1,IF(P138&lt;10000,2,IF(P138&lt;25000,3,IF(P138&lt;50000,4,IF(P138&lt;100000,5,IF(P138&lt;250000,6,7)))))),_xlpm.widthRow,IF(_xlpm.wUsed&lt;900,0,5),_xlpm.supplierRow,IF(O138="Marma",3,IF(OR(O138="Bastin",O138="Quantum"),13,0)),_xlpm.rate,INDEX('Lmntn &amp; Prntng- Marma &amp; Bastin '!$D$1:$K$22,_xlpm.supplierRow+_xlpm.widthRow,_xlpm.tier),_xlpm.rate*_xlpm.steps/_xlpm.kgmUsed),"")</f>
        <v>2.7755501595494474</v>
      </c>
      <c r="AI138" s="919" cm="1">
        <f t="array" ref="AI138">IFERROR(_xlfn.LET(_xlpm.cap,IF(O138="Quantum",760,1220),_xlpm.wUsed,E138*MAX(1,MIN(MAX(2,INT(900/E138)),INT((_xlpm.cap-50)/E138))),_xlpm.kgmUsed,AR138/E138*_xlpm.wUsed,_xlpm.tier,IF(P138&lt;3000,1,IF(P138&lt;10000,2,IF(P138&lt;25000,3,IF(P138&lt;50000,4,IF(P138&lt;100000,5,IF(P138&lt;250000,6,IF(P138&lt;500000,7,8))))))),_xlpm.widthRow,IF(_xlpm.wUsed&lt;900,0,5),_xlpm.slitRow,IF(O138="Marma",7,IF(OR(O138="Bastin",O138="Quantum"),17,0)),_xlpm.slitRate,INDEX('Lmntn &amp; Prntng- Marma &amp; Bastin '!$D$1:$K$22,_xlpm.slitRow+_xlpm.widthRow,_xlpm.tier),_xlpm.numColors,IF(ISNUMBER(L138),L138,IFERROR(--RIGHT(L138,LEN(L138)-FIND("-",L138)),0)),_xlpm.printRate,IF(OR(K138&lt;&gt;"Printed",_xlpm.numColors=0),0,IF(O138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138))),MAX(_xlfn._xlws.FILTER(_xlpm.meters,(_xlpm.widths=_xlpm.qWidth)*(_xlpm.bands=_xlpm.band)))),INDEX(_xlpm.rates,_xlfn.XMATCH(1,(_xlpm.widths=_xlpm.qWidth)*(_xlpm.bands=_xlpm.band)*(_xlpm.meters=_xlpm.targetM),0))/HELPER!$AK$2),_xlfn.LET(_xlpm.colorOffset,IF(_xlpm.numColors&lt;=2,1,IF(_xlpm.numColors&lt;=4,2,3)),_xlpm.supplierRow,IF(O138="Marma",3,IF(O138="Bastin",13,0)),INDEX('Lmntn &amp; Prntng- Marma &amp; Bastin '!$D$1:$K$22,_xlpm.supplierRow+_xlpm.widthRow+_xlpm.colorOffset,_xlpm.tier)))),AH138+_xlpm.slitRate/_xlpm.kgmUsed+_xlpm.printRate/_xlpm.kgmUsed+AJ138),"")</f>
        <v>12.942458870261026</v>
      </c>
      <c r="AJ138" s="919" cm="1">
        <f t="array" ref="AJ138">IF(OR(K138&lt;&gt;"Printed",L138=0,L138="0",L138=""),0,IFERROR(_xlfn.LET(_xlpm.lam,TEXT(B138,"0"),_xlpm.crit,(TEXT(HELPER!$BZ$2:$BZ$250,"0")=_xlpm.lam)*(HELPER!$CC$2:$CC$250=D138)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WHITE"},0)))/ROWS(_xlpm.real),_xlpm.numColors,IF(ISNUMBER(L138),L138,IFERROR(--RIGHT(L138,LEN(L138)-FIND("-",L138)),0)),HELPER!$DB$1*_xlpm.numColors*MAX(1,M138)*1.05*_xlpm.nkRatio/Q138),0))</f>
        <v>0.33600000000000002</v>
      </c>
      <c r="AK138" s="919">
        <f t="shared" si="63"/>
        <v>1.6207944504726173</v>
      </c>
      <c r="AL138" s="919">
        <f t="shared" si="64"/>
        <v>879.28098938139487</v>
      </c>
      <c r="AM138" s="73" t="str">
        <f t="shared" si="65"/>
        <v>PASS</v>
      </c>
      <c r="AN138" s="908" t="str">
        <f t="shared" si="44"/>
        <v/>
      </c>
      <c r="AO138" s="919">
        <f t="shared" si="45"/>
        <v>121</v>
      </c>
      <c r="AP138" s="919">
        <f t="shared" si="46"/>
        <v>127131.03395669916</v>
      </c>
      <c r="AQ138" s="919"/>
      <c r="AR138" s="919" cm="1">
        <f t="array" ref="AR138">IFERROR(_xlfn.LET(_xlpm.lam,TEXT(B138,"0"),_xlpm.thick,D138,_xlpm.crit,(TEXT(HELPER!$BZ$2:$BZ$250,"0")=_xlpm.lam)*(HELPER!$CC$2:$CC$250=_xlpm.thick)*(HELPER!$BW$2:$BW$250&lt;&gt;""),_xlpm.mats,TRIM(SUBSTITUTE(_xlfn._xlws.FILTER(HELPER!$BW$2:$BW$250,_xlpm.crit),CHAR(160),"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")),HELPER!$AQ$2:$AQ$20,1),_xlpm.mass,IF(ISNUMBER(SEARCH("paper",_xlpm.mats)),42,_xlpm.dens*_xlpm.ths),E138/1000000*SUM(_xlpm.mass)),"")</f>
        <v>3.9329500000000003E-2</v>
      </c>
      <c r="AS138" s="919">
        <f>IFERROR(IF(D138&gt;31,(5%+250/P138)*AF138,VLOOKUP(D138,HELPER!$BH$3:$BI$5,2,TRUE)*AF138),0)</f>
        <v>0.28952000864498217</v>
      </c>
      <c r="AT138" s="919">
        <v>0.15000000000000199</v>
      </c>
      <c r="AU138" s="919"/>
      <c r="AV138" s="919"/>
      <c r="AW138" s="919"/>
      <c r="AX138" s="919"/>
      <c r="AY138" s="919"/>
      <c r="AZ138" s="919">
        <f t="shared" si="47"/>
        <v>1680</v>
      </c>
    </row>
    <row r="139" spans="1:52">
      <c r="A139" s="73" t="s">
        <v>1560</v>
      </c>
      <c r="B139" s="73">
        <v>823</v>
      </c>
      <c r="C139" s="908" t="s">
        <v>1424</v>
      </c>
      <c r="D139" s="915" cm="1">
        <f t="array" ref="D13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9" s="915">
        <v>900</v>
      </c>
      <c r="F139" s="73" t="s">
        <v>560</v>
      </c>
      <c r="G139" s="916">
        <v>25000</v>
      </c>
      <c r="H139" s="916">
        <v>25000</v>
      </c>
      <c r="I139" s="916"/>
      <c r="J139" s="916"/>
      <c r="K139" s="73" t="s">
        <v>123</v>
      </c>
      <c r="L139" s="921" t="s">
        <v>592</v>
      </c>
      <c r="M139" s="915">
        <v>8</v>
      </c>
      <c r="N139" s="73" t="s">
        <v>550</v>
      </c>
      <c r="O139" s="73" t="s">
        <v>250</v>
      </c>
      <c r="P139" s="916" cm="1">
        <f t="array" ref="P139">IFERROR(_xlfn.SWITCH(F139,"By Weight",IF(H139&lt;&gt;"",H139,G139)/AR139,"By Length",G139,"By Imp",G139/MAX(1,ROUNDDOWN(E139/I139,0))*J139/1000,"IMP",G139/MAX(1,ROUNDDOWN(E139/I139,0))*J139/1000,""),"")</f>
        <v>247199.23269358173</v>
      </c>
      <c r="Q139" s="916">
        <f t="shared" si="48"/>
        <v>25000</v>
      </c>
      <c r="R139" s="917">
        <f t="shared" si="49"/>
        <v>367111.99478406535</v>
      </c>
      <c r="S139" s="918">
        <f t="shared" si="50"/>
        <v>425849.91394951579</v>
      </c>
      <c r="T139" s="919">
        <f t="shared" si="51"/>
        <v>14.684479791362614</v>
      </c>
      <c r="U139" s="920">
        <f t="shared" si="52"/>
        <v>17.033996557980633</v>
      </c>
      <c r="V139" s="919">
        <f t="shared" si="53"/>
        <v>1.8563568684248393</v>
      </c>
      <c r="W139" s="919">
        <f t="shared" si="54"/>
        <v>18.355599739203221</v>
      </c>
      <c r="X139" s="919" t="str">
        <f t="shared" si="55"/>
        <v/>
      </c>
      <c r="Y139" s="920">
        <f t="shared" si="56"/>
        <v>2.1533739673728136</v>
      </c>
      <c r="Z139" s="920">
        <f t="shared" si="57"/>
        <v>21.292495697475736</v>
      </c>
      <c r="AA139" s="920" t="str">
        <f t="shared" si="58"/>
        <v/>
      </c>
      <c r="AB139" s="917">
        <f t="shared" si="59"/>
        <v>458889.99348008051</v>
      </c>
      <c r="AC139" s="918">
        <f t="shared" si="60"/>
        <v>532312.39243689331</v>
      </c>
      <c r="AD139" s="916">
        <f t="shared" si="61"/>
        <v>4943.9846538716347</v>
      </c>
      <c r="AE139" s="916">
        <f t="shared" si="62"/>
        <v>500</v>
      </c>
      <c r="AF139" s="919" cm="1">
        <f t="array" ref="AF139">IFERROR(_xlfn.LET(_xlpm.lam,TEXT(B139,"0"),_xlpm.thick,D139,_xlpm.crit,(TEXT(HELPER!$BZ$2:$BZ$250,"0")=_xlpm.lam)*(HELPER!$CC$2:$CC$250=_xlpm.thick)*(HELPER!$BW$2:$BW$250&lt;&gt;""),_xlpm.mats,TRIM(SUBSTITUTE(_xlfn._xlws.FILTER(HELPER!$BW$2:$BW$250,_xlpm.crit),CHAR(160),"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9" s="919">
        <f>IFERROR(IF(N139="Europe to Canada",IF(Q139&lt;1000,VLOOKUP(1000,HELPER!$AG$4:$AH$8,2,FALSE)/Q139,VLOOKUP(Q139,HELPER!$AG$4:$AH$8,2,TRUE)/Q139),IF(N139="Europe to US",HELPER!$AH$2,IF(N139="Europe to Europe",HELPER!$AH$3,0))),0)</f>
        <v>5.4</v>
      </c>
      <c r="AH139" s="919" cm="1">
        <f t="array" ref="AH139">IFERROR(_xlfn.LET(_xlpm.cap,IF(O139="Quantum",760,1220),_xlpm.wUsed,E139*MAX(1,MIN(MAX(2,INT(900/E139)),INT((_xlpm.cap-50)/E139))),_xlpm.kgmUsed,AR139/E139*_xlpm.wUsed,_xlpm.lam,TEXT(B139,"0"),_xlpm.crit,(TEXT(HELPER!$BZ$2:$BZ$250,"0")=_xlpm.lam)*(HELPER!$CC$2:$CC$250=D139)*(HELPER!$BW$2:$BW$250&lt;&gt;""),_xlpm.mats,_xlfn._xlws.FILTER(HELPER!$BW$2:$BW$250,_xlpm.crit),_xlpm.realLayers,SUM((_xlpm.mats&lt;&gt;"")*ISERROR(SEARCH("EPOTAL",_xlpm.mats&amp;""))*ISERROR(SEARCH("BASONAT",_xlpm.mats&amp;""))*ISERROR(SEARCH("ADH",_xlpm.mats&amp;""))*ISERROR(SEARCH("HARDENER",_xlpm.mats&amp;""))),_xlpm.steps,MAX(0,_xlpm.realLayers-1),_xlpm.tier,IF(P139&lt;3000,1,IF(P139&lt;10000,2,IF(P139&lt;25000,3,IF(P139&lt;50000,4,IF(P139&lt;100000,5,IF(P139&lt;250000,6,7)))))),_xlpm.widthRow,IF(_xlpm.wUsed&lt;900,0,5),_xlpm.supplierRow,IF(O139="Marma",3,IF(OR(O139="Bastin",O139="Quantum"),13,0)),_xlpm.rate,INDEX('Lmntn &amp; Prntng- Marma &amp; Bastin '!$D$1:$K$22,_xlpm.supplierRow+_xlpm.widthRow,_xlpm.tier),_xlpm.rate*_xlpm.steps/_xlpm.kgmUsed),"")</f>
        <v>1.6605855655424047</v>
      </c>
      <c r="AI139" s="919" cm="1">
        <f t="array" ref="AI139">IFERROR(_xlfn.LET(_xlpm.cap,IF(O139="Quantum",760,1220),_xlpm.wUsed,E139*MAX(1,MIN(MAX(2,INT(900/E139)),INT((_xlpm.cap-50)/E139))),_xlpm.kgmUsed,AR139/E139*_xlpm.wUsed,_xlpm.tier,IF(P139&lt;3000,1,IF(P139&lt;10000,2,IF(P139&lt;25000,3,IF(P139&lt;50000,4,IF(P139&lt;100000,5,IF(P139&lt;250000,6,IF(P139&lt;500000,7,8))))))),_xlpm.widthRow,IF(_xlpm.wUsed&lt;900,0,5),_xlpm.slitRow,IF(O139="Marma",7,IF(OR(O139="Bastin",O139="Quantum"),17,0)),_xlpm.slitRate,INDEX('Lmntn &amp; Prntng- Marma &amp; Bastin '!$D$1:$K$22,_xlpm.slitRow+_xlpm.widthRow,_xlpm.tier),_xlpm.numColors,IF(ISNUMBER(L139),L139,IFERROR(--RIGHT(L139,LEN(L139)-FIND("-",L139)),0)),_xlpm.printRate,IF(OR(K139&lt;&gt;"Printed",_xlpm.numColors=0),0,IF(O139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139))),MAX(_xlfn._xlws.FILTER(_xlpm.meters,(_xlpm.widths=_xlpm.qWidth)*(_xlpm.bands=_xlpm.band)))),INDEX(_xlpm.rates,_xlfn.XMATCH(1,(_xlpm.widths=_xlpm.qWidth)*(_xlpm.bands=_xlpm.band)*(_xlpm.meters=_xlpm.targetM),0))/HELPER!$AK$2),_xlfn.LET(_xlpm.colorOffset,IF(_xlpm.numColors&lt;=2,1,IF(_xlpm.numColors&lt;=4,2,3)),_xlpm.supplierRow,IF(O139="Marma",3,IF(O139="Bastin",13,0)),INDEX('Lmntn &amp; Prntng- Marma &amp; Bastin '!$D$1:$K$22,_xlpm.supplierRow+_xlpm.widthRow+_xlpm.colorOffset,_xlpm.tier)))),AH139+_xlpm.slitRate/_xlpm.kgmUsed+_xlpm.printRate/_xlpm.kgmUsed+AJ139),"")</f>
        <v>3.4289968218601765</v>
      </c>
      <c r="AJ139" s="919" cm="1">
        <f t="array" ref="AJ139">IF(OR(K139&lt;&gt;"Printed",L139=0,L139="0",L139=""),0,IFERROR(_xlfn.LET(_xlpm.lam,TEXT(B139,"0"),_xlpm.crit,(TEXT(HELPER!$BZ$2:$BZ$250,"0")=_xlpm.lam)*(HELPER!$CC$2:$CC$250=D139)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WHITE"},0)))/ROWS(_xlpm.real),_xlpm.numColors,IF(ISNUMBER(L139),L139,IFERROR(--RIGHT(L139,LEN(L139)-FIND("-",L139)),0)),HELPER!$DB$1*_xlpm.numColors*MAX(1,M139)*1.05*_xlpm.nkRatio/Q139),0))</f>
        <v>0.26879999999999998</v>
      </c>
      <c r="AK139" s="919">
        <f t="shared" si="63"/>
        <v>1.3307217694801714</v>
      </c>
      <c r="AL139" s="919">
        <f t="shared" si="64"/>
        <v>1856.3568684248394</v>
      </c>
      <c r="AM139" s="73" t="str">
        <f t="shared" si="65"/>
        <v>PASS</v>
      </c>
      <c r="AN139" s="908" t="str">
        <f t="shared" si="44"/>
        <v/>
      </c>
      <c r="AO139" s="919">
        <f t="shared" si="45"/>
        <v>121</v>
      </c>
      <c r="AP139" s="919">
        <f t="shared" si="46"/>
        <v>247199.23269358173</v>
      </c>
      <c r="AQ139" s="919"/>
      <c r="AR139" s="919" cm="1">
        <f t="array" ref="AR139">IFERROR(_xlfn.LET(_xlpm.lam,TEXT(B139,"0"),_xlpm.thick,D139,_xlpm.crit,(TEXT(HELPER!$BZ$2:$BZ$250,"0")=_xlpm.lam)*(HELPER!$CC$2:$CC$250=_xlpm.thick)*(HELPER!$BW$2:$BW$250&lt;&gt;""),_xlpm.mats,TRIM(SUBSTITUTE(_xlfn._xlws.FILTER(HELPER!$BW$2:$BW$250,_xlpm.crit),CHAR(160),"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")),HELPER!$AQ$2:$AQ$20,1),_xlpm.mass,IF(ISNUMBER(SEARCH("paper",_xlpm.mats)),42,_xlpm.dens*_xlpm.ths),E139/1000000*SUM(_xlpm.mass)),"")</f>
        <v>0.101133</v>
      </c>
      <c r="AS139" s="919">
        <f>IFERROR(IF(D139&gt;31,(5%+250/P139)*AF139,VLOOKUP(D139,HELPER!$BH$3:$BI$5,2,TRUE)*AF139),0)</f>
        <v>0.28419862425904463</v>
      </c>
      <c r="AT139" s="919">
        <v>0.19999999999999801</v>
      </c>
      <c r="AU139" s="919"/>
      <c r="AV139" s="919"/>
      <c r="AW139" s="919"/>
      <c r="AX139" s="919"/>
      <c r="AY139" s="919"/>
      <c r="AZ139" s="919">
        <f t="shared" si="47"/>
        <v>6720</v>
      </c>
    </row>
    <row r="140" spans="1:52">
      <c r="A140" s="73" t="s">
        <v>1561</v>
      </c>
      <c r="B140" s="73">
        <v>823</v>
      </c>
      <c r="C140" s="908" t="s">
        <v>1426</v>
      </c>
      <c r="D140" s="915" cm="1">
        <f t="array" ref="D14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0" s="915">
        <v>350</v>
      </c>
      <c r="F140" s="73" t="s">
        <v>561</v>
      </c>
      <c r="G140" s="916">
        <v>2000</v>
      </c>
      <c r="H140" s="916"/>
      <c r="I140" s="916"/>
      <c r="J140" s="916"/>
      <c r="K140" s="73" t="s">
        <v>124</v>
      </c>
      <c r="L140" s="921" t="s">
        <v>221</v>
      </c>
      <c r="M140" s="915">
        <v>1</v>
      </c>
      <c r="N140" s="73" t="s">
        <v>549</v>
      </c>
      <c r="O140" s="73" t="s">
        <v>240</v>
      </c>
      <c r="P140" s="916" cm="1">
        <f t="array" ref="P140">IFERROR(_xlfn.SWITCH(F140,"By Weight",IF(H140&lt;&gt;"",H140,G140)/AR140,"By Length",G140,"By Imp",G140/MAX(1,ROUNDDOWN(E140/I140,0))*J140/1000,"IMP",G140/MAX(1,ROUNDDOWN(E140/I140,0))*J140/1000,""),"")</f>
        <v>2000</v>
      </c>
      <c r="Q140" s="916">
        <f t="shared" si="48"/>
        <v>78.659000000000006</v>
      </c>
      <c r="R140" s="917">
        <f t="shared" si="49"/>
        <v>879.54799499218745</v>
      </c>
      <c r="S140" s="918">
        <f t="shared" si="50"/>
        <v>1020.2756741909374</v>
      </c>
      <c r="T140" s="919">
        <f t="shared" si="51"/>
        <v>11.181784601789845</v>
      </c>
      <c r="U140" s="920">
        <f t="shared" si="52"/>
        <v>12.970870138076219</v>
      </c>
      <c r="V140" s="919">
        <f t="shared" si="53"/>
        <v>0.51738117352481983</v>
      </c>
      <c r="W140" s="919">
        <f t="shared" si="54"/>
        <v>13.155040707988146</v>
      </c>
      <c r="X140" s="919" t="str">
        <f t="shared" si="55"/>
        <v/>
      </c>
      <c r="Y140" s="920">
        <f t="shared" si="56"/>
        <v>0.60016216128879096</v>
      </c>
      <c r="Z140" s="920">
        <f t="shared" si="57"/>
        <v>15.259847221266249</v>
      </c>
      <c r="AA140" s="920" t="str">
        <f t="shared" si="58"/>
        <v/>
      </c>
      <c r="AB140" s="917">
        <f t="shared" si="59"/>
        <v>1034.7623470496396</v>
      </c>
      <c r="AC140" s="918">
        <f t="shared" si="60"/>
        <v>1200.3243225775818</v>
      </c>
      <c r="AD140" s="916">
        <f t="shared" si="61"/>
        <v>12713.103395669916</v>
      </c>
      <c r="AE140" s="916">
        <f t="shared" si="62"/>
        <v>500</v>
      </c>
      <c r="AF140" s="919" cm="1">
        <f t="array" ref="AF140">IFERROR(_xlfn.LET(_xlpm.lam,TEXT(B140,"0"),_xlpm.thick,D140,_xlpm.crit,(TEXT(HELPER!$BZ$2:$BZ$250,"0")=_xlpm.lam)*(HELPER!$CC$2:$CC$250=_xlpm.thick)*(HELPER!$BW$2:$BW$250&lt;&gt;""),_xlpm.mats,TRIM(SUBSTITUTE(_xlfn._xlws.FILTER(HELPER!$BW$2:$BW$250,_xlpm.crit),CHAR(160),"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0" s="919">
        <f>IFERROR(IF(N140="Europe to Canada",IF(Q140&lt;1000,VLOOKUP(1000,HELPER!$AG$4:$AH$8,2,FALSE)/Q140,VLOOKUP(Q140,HELPER!$AG$4:$AH$8,2,TRUE)/Q140),IF(N140="Europe to US",HELPER!$AH$2,IF(N140="Europe to Europe",HELPER!$AH$3,0))),0)</f>
        <v>0.2</v>
      </c>
      <c r="AH140" s="919" cm="1">
        <f t="array" ref="AH140">IFERROR(_xlfn.LET(_xlpm.cap,IF(O140="Quantum",760,1220),_xlpm.wUsed,E140*MAX(1,MIN(MAX(2,INT(900/E140)),INT((_xlpm.cap-50)/E140))),_xlpm.kgmUsed,AR140/E140*_xlpm.wUsed,_xlpm.lam,TEXT(B140,"0"),_xlpm.crit,(TEXT(HELPER!$BZ$2:$BZ$250,"0")=_xlpm.lam)*(HELPER!$CC$2:$CC$250=D140)*(HELPER!$BW$2:$BW$250&lt;&gt;""),_xlpm.mats,_xlfn._xlws.FILTER(HELPER!$BW$2:$BW$250,_xlpm.crit),_xlpm.realLayers,SUM((_xlpm.mats&lt;&gt;"")*ISERROR(SEARCH("EPOTAL",_xlpm.mats&amp;""))*ISERROR(SEARCH("BASONAT",_xlpm.mats&amp;""))*ISERROR(SEARCH("ADH",_xlpm.mats&amp;""))*ISERROR(SEARCH("HARDENER",_xlpm.mats&amp;""))),_xlpm.steps,MAX(0,_xlpm.realLayers-1),_xlpm.tier,IF(P140&lt;3000,1,IF(P140&lt;10000,2,IF(P140&lt;25000,3,IF(P140&lt;50000,4,IF(P140&lt;100000,5,IF(P140&lt;250000,6,7)))))),_xlpm.widthRow,IF(_xlpm.wUsed&lt;900,0,5),_xlpm.supplierRow,IF(O140="Marma",3,IF(OR(O140="Bastin",O140="Quantum"),13,0)),_xlpm.rate,INDEX('Lmntn &amp; Prntng- Marma &amp; Bastin '!$D$1:$K$22,_xlpm.supplierRow+_xlpm.widthRow,_xlpm.tier),_xlpm.rate*_xlpm.steps/_xlpm.kgmUsed),"")</f>
        <v>3.8584014543790279</v>
      </c>
      <c r="AI140" s="919" cm="1">
        <f t="array" ref="AI140">IFERROR(_xlfn.LET(_xlpm.cap,IF(O140="Quantum",760,1220),_xlpm.wUsed,E140*MAX(1,MIN(MAX(2,INT(900/E140)),INT((_xlpm.cap-50)/E140))),_xlpm.kgmUsed,AR140/E140*_xlpm.wUsed,_xlpm.tier,IF(P140&lt;3000,1,IF(P140&lt;10000,2,IF(P140&lt;25000,3,IF(P140&lt;50000,4,IF(P140&lt;100000,5,IF(P140&lt;250000,6,IF(P140&lt;500000,7,8))))))),_xlpm.widthRow,IF(_xlpm.wUsed&lt;900,0,5),_xlpm.slitRow,IF(O140="Marma",7,IF(OR(O140="Bastin",O140="Quantum"),17,0)),_xlpm.slitRate,INDEX('Lmntn &amp; Prntng- Marma &amp; Bastin '!$D$1:$K$22,_xlpm.slitRow+_xlpm.widthRow,_xlpm.tier),_xlpm.numColors,IF(ISNUMBER(L140),L140,IFERROR(--RIGHT(L140,LEN(L140)-FIND("-",L140)),0)),_xlpm.printRate,IF(OR(K140&lt;&gt;"Printed",_xlpm.numColors=0),0,IF(O140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140))),MAX(_xlfn._xlws.FILTER(_xlpm.meters,(_xlpm.widths=_xlpm.qWidth)*(_xlpm.bands=_xlpm.band)))),INDEX(_xlpm.rates,_xlfn.XMATCH(1,(_xlpm.widths=_xlpm.qWidth)*(_xlpm.bands=_xlpm.band)*(_xlpm.meters=_xlpm.targetM),0))/HELPER!$AK$2),_xlfn.LET(_xlpm.colorOffset,IF(_xlpm.numColors&lt;=2,1,IF(_xlpm.numColors&lt;=4,2,3)),_xlpm.supplierRow,IF(O140="Marma",3,IF(O140="Bastin",13,0)),INDEX('Lmntn &amp; Prntng- Marma &amp; Bastin '!$D$1:$K$22,_xlpm.supplierRow+_xlpm.widthRow+_xlpm.colorOffset,_xlpm.tier)))),AH140+_xlpm.slitRate/_xlpm.kgmUsed+_xlpm.printRate/_xlpm.kgmUsed+AJ140),"")</f>
        <v>4.435525496128859</v>
      </c>
      <c r="AJ140" s="919" cm="1">
        <f t="array" ref="AJ140">IF(OR(K140&lt;&gt;"Printed",L140=0,L140="0",L140=""),0,IFERROR(_xlfn.LET(_xlpm.lam,TEXT(B140,"0"),_xlpm.crit,(TEXT(HELPER!$BZ$2:$BZ$250,"0")=_xlpm.lam)*(HELPER!$CC$2:$CC$250=D140)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WHITE"},0)))/ROWS(_xlpm.real),_xlpm.numColors,IF(ISNUMBER(L140),L140,IFERROR(--RIGHT(L140,LEN(L140)-FIND("-",L140)),0)),HELPER!$DB$1*_xlpm.numColors*MAX(1,M140)*1.05*_xlpm.nkRatio/Q140),0))</f>
        <v>0</v>
      </c>
      <c r="AK140" s="919">
        <f t="shared" si="63"/>
        <v>0.95369801571395363</v>
      </c>
      <c r="AL140" s="919">
        <f t="shared" si="64"/>
        <v>517.38117352481981</v>
      </c>
      <c r="AM140" s="73" t="str">
        <f t="shared" si="65"/>
        <v>PASS</v>
      </c>
      <c r="AN140" s="908" t="str">
        <f t="shared" si="44"/>
        <v/>
      </c>
      <c r="AO140" s="919">
        <f t="shared" si="45"/>
        <v>121</v>
      </c>
      <c r="AP140" s="919">
        <f t="shared" si="46"/>
        <v>2000</v>
      </c>
      <c r="AQ140" s="919"/>
      <c r="AR140" s="919" cm="1">
        <f t="array" ref="AR140">IFERROR(_xlfn.LET(_xlpm.lam,TEXT(B140,"0"),_xlpm.thick,D140,_xlpm.crit,(TEXT(HELPER!$BZ$2:$BZ$250,"0")=_xlpm.lam)*(HELPER!$CC$2:$CC$250=_xlpm.thick)*(HELPER!$BW$2:$BW$250&lt;&gt;""),_xlpm.mats,TRIM(SUBSTITUTE(_xlfn._xlws.FILTER(HELPER!$BW$2:$BW$250,_xlpm.crit),CHAR(160),"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")),HELPER!$AQ$2:$AQ$20,1),_xlpm.mass,IF(ISNUMBER(SEARCH("paper",_xlpm.mats)),42,_xlpm.dens*_xlpm.ths),E140/1000000*SUM(_xlpm.mass)),"")</f>
        <v>3.9329500000000003E-2</v>
      </c>
      <c r="AS140" s="919">
        <f>IFERROR(IF(D140&gt;31,(5%+250/P140)*AF140,VLOOKUP(D140,HELPER!$BH$3:$BI$5,2,TRUE)*AF140),0)</f>
        <v>0.97497476041759357</v>
      </c>
      <c r="AT140" s="919">
        <v>0.15000000000000599</v>
      </c>
      <c r="AU140" s="919"/>
      <c r="AV140" s="919"/>
      <c r="AW140" s="919"/>
      <c r="AX140" s="919"/>
      <c r="AY140" s="919"/>
      <c r="AZ140" s="919">
        <f t="shared" si="47"/>
        <v>0</v>
      </c>
    </row>
    <row r="141" spans="1:52">
      <c r="A141" s="73" t="s">
        <v>1562</v>
      </c>
      <c r="B141" s="73">
        <v>823</v>
      </c>
      <c r="C141" s="908" t="s">
        <v>1428</v>
      </c>
      <c r="D141" s="915" cm="1">
        <f t="array" ref="D14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1" s="915">
        <v>600</v>
      </c>
      <c r="F141" s="73" t="s">
        <v>561</v>
      </c>
      <c r="G141" s="916">
        <v>250000</v>
      </c>
      <c r="H141" s="916"/>
      <c r="I141" s="916"/>
      <c r="J141" s="916"/>
      <c r="K141" s="73" t="s">
        <v>123</v>
      </c>
      <c r="L141" s="921" t="s">
        <v>122</v>
      </c>
      <c r="M141" s="915">
        <v>4</v>
      </c>
      <c r="N141" s="73" t="s">
        <v>550</v>
      </c>
      <c r="O141" s="73" t="s">
        <v>1366</v>
      </c>
      <c r="P141" s="916" cm="1">
        <f t="array" ref="P141">IFERROR(_xlfn.SWITCH(F141,"By Weight",IF(H141&lt;&gt;"",H141,G141)/AR141,"By Length",G141,"By Imp",G141/MAX(1,ROUNDDOWN(E141/I141,0))*J141/1000,"IMP",G141/MAX(1,ROUNDDOWN(E141/I141,0))*J141/1000,""),"")</f>
        <v>250000</v>
      </c>
      <c r="Q141" s="916">
        <f t="shared" si="48"/>
        <v>16855.5</v>
      </c>
      <c r="R141" s="917">
        <f t="shared" si="49"/>
        <v>438908.59129755927</v>
      </c>
      <c r="S141" s="918">
        <f t="shared" si="50"/>
        <v>509133.96590516873</v>
      </c>
      <c r="T141" s="919">
        <f t="shared" si="51"/>
        <v>26.039488077930603</v>
      </c>
      <c r="U141" s="920">
        <f t="shared" si="52"/>
        <v>30.205806170399498</v>
      </c>
      <c r="V141" s="919">
        <f t="shared" si="53"/>
        <v>2.0654521943414625</v>
      </c>
      <c r="W141" s="919">
        <f t="shared" si="54"/>
        <v>30.634691856389054</v>
      </c>
      <c r="X141" s="919" t="str">
        <f t="shared" si="55"/>
        <v/>
      </c>
      <c r="Y141" s="920">
        <f t="shared" si="56"/>
        <v>2.3959245454360962</v>
      </c>
      <c r="Z141" s="920">
        <f t="shared" si="57"/>
        <v>35.536242553411299</v>
      </c>
      <c r="AA141" s="920" t="str">
        <f t="shared" si="58"/>
        <v/>
      </c>
      <c r="AB141" s="917">
        <f t="shared" si="59"/>
        <v>516363.0485853657</v>
      </c>
      <c r="AC141" s="918">
        <f t="shared" si="60"/>
        <v>598981.13635902421</v>
      </c>
      <c r="AD141" s="916">
        <f t="shared" si="61"/>
        <v>7415.9769808074516</v>
      </c>
      <c r="AE141" s="916">
        <f t="shared" si="62"/>
        <v>500</v>
      </c>
      <c r="AF141" s="919" cm="1">
        <f t="array" ref="AF141">IFERROR(_xlfn.LET(_xlpm.lam,TEXT(B141,"0"),_xlpm.thick,D141,_xlpm.crit,(TEXT(HELPER!$BZ$2:$BZ$250,"0")=_xlpm.lam)*(HELPER!$CC$2:$CC$250=_xlpm.thick)*(HELPER!$BW$2:$BW$250&lt;&gt;""),_xlpm.mats,TRIM(SUBSTITUTE(_xlfn._xlws.FILTER(HELPER!$BW$2:$BW$250,_xlpm.crit),CHAR(160),"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1" s="919">
        <f>IFERROR(IF(N141="Europe to Canada",IF(Q141&lt;1000,VLOOKUP(1000,HELPER!$AG$4:$AH$8,2,FALSE)/Q141,VLOOKUP(Q141,HELPER!$AG$4:$AH$8,2,TRUE)/Q141),IF(N141="Europe to US",HELPER!$AH$2,IF(N141="Europe to Europe",HELPER!$AH$3,0))),0)</f>
        <v>5.4</v>
      </c>
      <c r="AH141" s="919" cm="1">
        <f t="array" ref="AH141">IFERROR(_xlfn.LET(_xlpm.cap,IF(O141="Quantum",760,1220),_xlpm.wUsed,E141*MAX(1,MIN(MAX(2,INT(900/E141)),INT((_xlpm.cap-50)/E141))),_xlpm.kgmUsed,AR141/E141*_xlpm.wUsed,_xlpm.lam,TEXT(B141,"0"),_xlpm.crit,(TEXT(HELPER!$BZ$2:$BZ$250,"0")=_xlpm.lam)*(HELPER!$CC$2:$CC$250=D141)*(HELPER!$BW$2:$BW$250&lt;&gt;""),_xlpm.mats,_xlfn._xlws.FILTER(HELPER!$BW$2:$BW$250,_xlpm.crit),_xlpm.realLayers,SUM((_xlpm.mats&lt;&gt;"")*ISERROR(SEARCH("EPOTAL",_xlpm.mats&amp;""))*ISERROR(SEARCH("BASONAT",_xlpm.mats&amp;""))*ISERROR(SEARCH("ADH",_xlpm.mats&amp;""))*ISERROR(SEARCH("HARDENER",_xlpm.mats&amp;""))),_xlpm.steps,MAX(0,_xlpm.realLayers-1),_xlpm.tier,IF(P141&lt;3000,1,IF(P141&lt;10000,2,IF(P141&lt;25000,3,IF(P141&lt;50000,4,IF(P141&lt;100000,5,IF(P141&lt;250000,6,7)))))),_xlpm.widthRow,IF(_xlpm.wUsed&lt;900,0,5),_xlpm.supplierRow,IF(O141="Marma",3,IF(OR(O141="Bastin",O141="Quantum"),13,0)),_xlpm.rate,INDEX('Lmntn &amp; Prntng- Marma &amp; Bastin '!$D$1:$K$22,_xlpm.supplierRow+_xlpm.widthRow,_xlpm.tier),_xlpm.rate*_xlpm.steps/_xlpm.kgmUsed),"")</f>
        <v>3.2184746818545875</v>
      </c>
      <c r="AI141" s="919" cm="1">
        <f t="array" ref="AI141">IFERROR(_xlfn.LET(_xlpm.cap,IF(O141="Quantum",760,1220),_xlpm.wUsed,E141*MAX(1,MIN(MAX(2,INT(900/E141)),INT((_xlpm.cap-50)/E141))),_xlpm.kgmUsed,AR141/E141*_xlpm.wUsed,_xlpm.tier,IF(P141&lt;3000,1,IF(P141&lt;10000,2,IF(P141&lt;25000,3,IF(P141&lt;50000,4,IF(P141&lt;100000,5,IF(P141&lt;250000,6,IF(P141&lt;500000,7,8))))))),_xlpm.widthRow,IF(_xlpm.wUsed&lt;900,0,5),_xlpm.slitRow,IF(O141="Marma",7,IF(OR(O141="Bastin",O141="Quantum"),17,0)),_xlpm.slitRate,INDEX('Lmntn &amp; Prntng- Marma &amp; Bastin '!$D$1:$K$22,_xlpm.slitRow+_xlpm.widthRow,_xlpm.tier),_xlpm.numColors,IF(ISNUMBER(L141),L141,IFERROR(--RIGHT(L141,LEN(L141)-FIND("-",L141)),0)),_xlpm.printRate,IF(OR(K141&lt;&gt;"Printed",_xlpm.numColors=0),0,IF(O141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141))),MAX(_xlfn._xlws.FILTER(_xlpm.meters,(_xlpm.widths=_xlpm.qWidth)*(_xlpm.bands=_xlpm.band)))),INDEX(_xlpm.rates,_xlfn.XMATCH(1,(_xlpm.widths=_xlpm.qWidth)*(_xlpm.bands=_xlpm.band)*(_xlpm.meters=_xlpm.targetM),0))/HELPER!$AK$2),_xlfn.LET(_xlpm.colorOffset,IF(_xlpm.numColors&lt;=2,1,IF(_xlpm.numColors&lt;=4,2,3)),_xlpm.supplierRow,IF(O141="Marma",3,IF(O141="Bastin",13,0)),INDEX('Lmntn &amp; Prntng- Marma &amp; Bastin '!$D$1:$K$22,_xlpm.supplierRow+_xlpm.widthRow+_xlpm.colorOffset,_xlpm.tier)))),AH141+_xlpm.slitRate/_xlpm.kgmUsed+_xlpm.printRate/_xlpm.kgmUsed+AJ141),"")</f>
        <v>14.784068231079797</v>
      </c>
      <c r="AJ141" s="919" cm="1">
        <f t="array" ref="AJ141">IF(OR(K141&lt;&gt;"Printed",L141=0,L141="0",L141=""),0,IFERROR(_xlfn.LET(_xlpm.lam,TEXT(B141,"0"),_xlpm.crit,(TEXT(HELPER!$BZ$2:$BZ$250,"0")=_xlpm.lam)*(HELPER!$CC$2:$CC$250=D141)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WHITE"},0)))/ROWS(_xlpm.real),_xlpm.numColors,IF(ISNUMBER(L141),L141,IFERROR(--RIGHT(L141,LEN(L141)-FIND("-",L141)),0)),HELPER!$DB$1*_xlpm.numColors*MAX(1,M141)*1.05*_xlpm.nkRatio/Q141),0))</f>
        <v>9.9670730622052145E-2</v>
      </c>
      <c r="AK141" s="919">
        <f t="shared" si="63"/>
        <v>2.2209163380015728</v>
      </c>
      <c r="AL141" s="919">
        <f t="shared" si="64"/>
        <v>2065.4521943414625</v>
      </c>
      <c r="AM141" s="73" t="str">
        <f t="shared" si="65"/>
        <v>PASS</v>
      </c>
      <c r="AN141" s="908" t="str">
        <f t="shared" si="44"/>
        <v/>
      </c>
      <c r="AO141" s="919">
        <f t="shared" si="45"/>
        <v>121</v>
      </c>
      <c r="AP141" s="919">
        <f t="shared" si="46"/>
        <v>250000</v>
      </c>
      <c r="AQ141" s="919"/>
      <c r="AR141" s="919" cm="1">
        <f t="array" ref="AR141">IFERROR(_xlfn.LET(_xlpm.lam,TEXT(B141,"0"),_xlpm.thick,D141,_xlpm.crit,(TEXT(HELPER!$BZ$2:$BZ$250,"0")=_xlpm.lam)*(HELPER!$CC$2:$CC$250=_xlpm.thick)*(HELPER!$BW$2:$BW$250&lt;&gt;""),_xlpm.mats,TRIM(SUBSTITUTE(_xlfn._xlws.FILTER(HELPER!$BW$2:$BW$250,_xlpm.crit),CHAR(160),"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")),HELPER!$AQ$2:$AQ$20,1),_xlpm.mass,IF(ISNUMBER(SEARCH("paper",_xlpm.mats)),42,_xlpm.dens*_xlpm.ths),E141/1000000*SUM(_xlpm.mass)),"")</f>
        <v>6.7421999999999996E-2</v>
      </c>
      <c r="AS141" s="919">
        <f>IFERROR(IF(D141&gt;31,(5%+250/P141)*AF141,VLOOKUP(D141,HELPER!$BH$3:$BI$5,2,TRUE)*AF141),0)</f>
        <v>0.28413550160741302</v>
      </c>
      <c r="AT141" s="919">
        <v>0.15000000000000299</v>
      </c>
      <c r="AU141" s="919"/>
      <c r="AV141" s="919"/>
      <c r="AW141" s="919"/>
      <c r="AX141" s="919"/>
      <c r="AY141" s="919"/>
      <c r="AZ141" s="919">
        <f t="shared" si="47"/>
        <v>1680</v>
      </c>
    </row>
    <row r="142" spans="1:52">
      <c r="A142" s="73" t="s">
        <v>1563</v>
      </c>
      <c r="B142" s="73">
        <v>823</v>
      </c>
      <c r="C142" s="908" t="s">
        <v>1430</v>
      </c>
      <c r="D142" s="915" cm="1">
        <f t="array" ref="D14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2" s="915">
        <v>900</v>
      </c>
      <c r="F142" s="73" t="s">
        <v>1040</v>
      </c>
      <c r="G142" s="916">
        <v>1600000</v>
      </c>
      <c r="H142" s="916"/>
      <c r="I142" s="916">
        <v>140</v>
      </c>
      <c r="J142" s="916">
        <v>80</v>
      </c>
      <c r="K142" s="73" t="s">
        <v>123</v>
      </c>
      <c r="L142" s="921" t="s">
        <v>592</v>
      </c>
      <c r="M142" s="915">
        <v>8</v>
      </c>
      <c r="N142" s="73" t="s">
        <v>549</v>
      </c>
      <c r="O142" s="73" t="s">
        <v>250</v>
      </c>
      <c r="P142" s="916" cm="1">
        <f t="array" ref="P142">IFERROR(_xlfn.SWITCH(F142,"By Weight",IF(H142&lt;&gt;"",H142,G142)/AR142,"By Length",G142,"By Imp",G142/MAX(1,ROUNDDOWN(E142/I142,0))*J142/1000,"IMP",G142/MAX(1,ROUNDDOWN(E142/I142,0))*J142/1000,""),"")</f>
        <v>21333.333333333336</v>
      </c>
      <c r="Q142" s="916">
        <f t="shared" si="48"/>
        <v>2157.5040000000004</v>
      </c>
      <c r="R142" s="917">
        <f t="shared" si="49"/>
        <v>27969.9699318725</v>
      </c>
      <c r="S142" s="918">
        <f t="shared" si="50"/>
        <v>32445.165120972099</v>
      </c>
      <c r="T142" s="919">
        <f t="shared" si="51"/>
        <v>12.964040823040186</v>
      </c>
      <c r="U142" s="920">
        <f t="shared" si="52"/>
        <v>15.038287354726615</v>
      </c>
      <c r="V142" s="919">
        <f t="shared" si="53"/>
        <v>1.6388654256956519</v>
      </c>
      <c r="W142" s="919">
        <f t="shared" si="54"/>
        <v>16.205051028800213</v>
      </c>
      <c r="X142" s="919">
        <f t="shared" si="55"/>
        <v>2.1851539009275358E-2</v>
      </c>
      <c r="Y142" s="920">
        <f t="shared" si="56"/>
        <v>1.9010838938069561</v>
      </c>
      <c r="Z142" s="920">
        <f t="shared" si="57"/>
        <v>18.797859193408247</v>
      </c>
      <c r="AA142" s="920">
        <f t="shared" si="58"/>
        <v>2.5347785250759414E-2</v>
      </c>
      <c r="AB142" s="917">
        <f t="shared" si="59"/>
        <v>34962.462414840578</v>
      </c>
      <c r="AC142" s="918">
        <f t="shared" si="60"/>
        <v>40556.456401215066</v>
      </c>
      <c r="AD142" s="916">
        <f t="shared" si="61"/>
        <v>4943.9846538716347</v>
      </c>
      <c r="AE142" s="916">
        <f t="shared" si="62"/>
        <v>500</v>
      </c>
      <c r="AF142" s="919" cm="1">
        <f t="array" ref="AF142">IFERROR(_xlfn.LET(_xlpm.lam,TEXT(B142,"0"),_xlpm.thick,D142,_xlpm.crit,(TEXT(HELPER!$BZ$2:$BZ$250,"0")=_xlpm.lam)*(HELPER!$CC$2:$CC$250=_xlpm.thick)*(HELPER!$BW$2:$BW$250&lt;&gt;""),_xlpm.mats,TRIM(SUBSTITUTE(_xlfn._xlws.FILTER(HELPER!$BW$2:$BW$250,_xlpm.crit),CHAR(160),"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2" s="919">
        <f>IFERROR(IF(N142="Europe to Canada",IF(Q142&lt;1000,VLOOKUP(1000,HELPER!$AG$4:$AH$8,2,FALSE)/Q142,VLOOKUP(Q142,HELPER!$AG$4:$AH$8,2,TRUE)/Q142),IF(N142="Europe to US",HELPER!$AH$2,IF(N142="Europe to Europe",HELPER!$AH$3,0))),0)</f>
        <v>0.2</v>
      </c>
      <c r="AH142" s="919" cm="1">
        <f t="array" ref="AH142">IFERROR(_xlfn.LET(_xlpm.cap,IF(O142="Quantum",760,1220),_xlpm.wUsed,E142*MAX(1,MIN(MAX(2,INT(900/E142)),INT((_xlpm.cap-50)/E142))),_xlpm.kgmUsed,AR142/E142*_xlpm.wUsed,_xlpm.lam,TEXT(B142,"0"),_xlpm.crit,(TEXT(HELPER!$BZ$2:$BZ$250,"0")=_xlpm.lam)*(HELPER!$CC$2:$CC$250=D142)*(HELPER!$BW$2:$BW$250&lt;&gt;""),_xlpm.mats,_xlfn._xlws.FILTER(HELPER!$BW$2:$BW$250,_xlpm.crit),_xlpm.realLayers,SUM((_xlpm.mats&lt;&gt;"")*ISERROR(SEARCH("EPOTAL",_xlpm.mats&amp;""))*ISERROR(SEARCH("BASONAT",_xlpm.mats&amp;""))*ISERROR(SEARCH("ADH",_xlpm.mats&amp;""))*ISERROR(SEARCH("HARDENER",_xlpm.mats&amp;""))),_xlpm.steps,MAX(0,_xlpm.realLayers-1),_xlpm.tier,IF(P142&lt;3000,1,IF(P142&lt;10000,2,IF(P142&lt;25000,3,IF(P142&lt;50000,4,IF(P142&lt;100000,5,IF(P142&lt;250000,6,7)))))),_xlpm.widthRow,IF(_xlpm.wUsed&lt;900,0,5),_xlpm.supplierRow,IF(O142="Marma",3,IF(OR(O142="Bastin",O142="Quantum"),13,0)),_xlpm.rate,INDEX('Lmntn &amp; Prntng- Marma &amp; Bastin '!$D$1:$K$22,_xlpm.supplierRow+_xlpm.widthRow,_xlpm.tier),_xlpm.rate*_xlpm.steps/_xlpm.kgmUsed),"")</f>
        <v>1.8100916614754827</v>
      </c>
      <c r="AI142" s="919" cm="1">
        <f t="array" ref="AI142">IFERROR(_xlfn.LET(_xlpm.cap,IF(O142="Quantum",760,1220),_xlpm.wUsed,E142*MAX(1,MIN(MAX(2,INT(900/E142)),INT((_xlpm.cap-50)/E142))),_xlpm.kgmUsed,AR142/E142*_xlpm.wUsed,_xlpm.tier,IF(P142&lt;3000,1,IF(P142&lt;10000,2,IF(P142&lt;25000,3,IF(P142&lt;50000,4,IF(P142&lt;100000,5,IF(P142&lt;250000,6,IF(P142&lt;500000,7,8))))))),_xlpm.widthRow,IF(_xlpm.wUsed&lt;900,0,5),_xlpm.slitRow,IF(O142="Marma",7,IF(OR(O142="Bastin",O142="Quantum"),17,0)),_xlpm.slitRate,INDEX('Lmntn &amp; Prntng- Marma &amp; Bastin '!$D$1:$K$22,_xlpm.slitRow+_xlpm.widthRow,_xlpm.tier),_xlpm.numColors,IF(ISNUMBER(L142),L142,IFERROR(--RIGHT(L142,LEN(L142)-FIND("-",L142)),0)),_xlpm.printRate,IF(OR(K142&lt;&gt;"Printed",_xlpm.numColors=0),0,IF(O142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142))),MAX(_xlfn._xlws.FILTER(_xlpm.meters,(_xlpm.widths=_xlpm.qWidth)*(_xlpm.bands=_xlpm.band)))),INDEX(_xlpm.rates,_xlfn.XMATCH(1,(_xlpm.widths=_xlpm.qWidth)*(_xlpm.bands=_xlpm.band)*(_xlpm.meters=_xlpm.targetM),0))/HELPER!$AK$2),_xlfn.LET(_xlpm.colorOffset,IF(_xlpm.numColors&lt;=2,1,IF(_xlpm.numColors&lt;=4,2,3)),_xlpm.supplierRow,IF(O142="Marma",3,IF(O142="Bastin",13,0)),INDEX('Lmntn &amp; Prntng- Marma &amp; Bastin '!$D$1:$K$22,_xlpm.supplierRow+_xlpm.widthRow+_xlpm.colorOffset,_xlpm.tier)))),AH142+_xlpm.slitRate/_xlpm.kgmUsed+_xlpm.printRate/_xlpm.kgmUsed+AJ142),"")</f>
        <v>6.8489037721138022</v>
      </c>
      <c r="AJ142" s="919" cm="1">
        <f t="array" ref="AJ142">IF(OR(K142&lt;&gt;"Printed",L142=0,L142="0",L142=""),0,IFERROR(_xlfn.LET(_xlpm.lam,TEXT(B142,"0"),_xlpm.crit,(TEXT(HELPER!$BZ$2:$BZ$250,"0")=_xlpm.lam)*(HELPER!$CC$2:$CC$250=D142)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WHITE"},0)))/ROWS(_xlpm.real),_xlpm.numColors,IF(ISNUMBER(L142),L142,IFERROR(--RIGHT(L142,LEN(L142)-FIND("-",L142)),0)),HELPER!$DB$1*_xlpm.numColors*MAX(1,M142)*1.05*_xlpm.nkRatio/Q142),0))</f>
        <v>3.1147103319391292</v>
      </c>
      <c r="AK142" s="919">
        <f t="shared" si="63"/>
        <v>1.1748139252298579</v>
      </c>
      <c r="AL142" s="919">
        <f t="shared" si="64"/>
        <v>1638.8654256956518</v>
      </c>
      <c r="AM142" s="73" t="str">
        <f t="shared" si="65"/>
        <v>PASS</v>
      </c>
      <c r="AN142" s="908" t="str">
        <f t="shared" si="44"/>
        <v/>
      </c>
      <c r="AO142" s="919">
        <f t="shared" si="45"/>
        <v>121</v>
      </c>
      <c r="AP142" s="919">
        <f t="shared" si="46"/>
        <v>21333.333333333336</v>
      </c>
      <c r="AQ142" s="919"/>
      <c r="AR142" s="919" cm="1">
        <f t="array" ref="AR142">IFERROR(_xlfn.LET(_xlpm.lam,TEXT(B142,"0"),_xlpm.thick,D142,_xlpm.crit,(TEXT(HELPER!$BZ$2:$BZ$250,"0")=_xlpm.lam)*(HELPER!$CC$2:$CC$250=_xlpm.thick)*(HELPER!$BW$2:$BW$250&lt;&gt;""),_xlpm.mats,TRIM(SUBSTITUTE(_xlfn._xlws.FILTER(HELPER!$BW$2:$BW$250,_xlpm.crit),CHAR(160),"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")),HELPER!$AQ$2:$AQ$20,1),_xlpm.mass,IF(ISNUMBER(SEARCH("paper",_xlpm.mats)),42,_xlpm.dens*_xlpm.ths),E142/1000000*SUM(_xlpm.mass)),"")</f>
        <v>0.101133</v>
      </c>
      <c r="AS142" s="919">
        <f>IFERROR(IF(D142&gt;31,(5%+250/P142)*AF142,VLOOKUP(D142,HELPER!$BH$3:$BI$5,2,TRUE)*AF142),0)</f>
        <v>0.34385270568299064</v>
      </c>
      <c r="AT142" s="919">
        <v>0.19999999999999901</v>
      </c>
      <c r="AU142" s="919"/>
      <c r="AV142" s="919"/>
      <c r="AW142" s="919"/>
      <c r="AX142" s="919"/>
      <c r="AY142" s="919"/>
      <c r="AZ142" s="919">
        <f t="shared" si="47"/>
        <v>6720</v>
      </c>
    </row>
    <row r="143" spans="1:52">
      <c r="A143" s="73" t="s">
        <v>1564</v>
      </c>
      <c r="B143" s="73">
        <v>823</v>
      </c>
      <c r="C143" s="908" t="s">
        <v>1432</v>
      </c>
      <c r="D143" s="915" cm="1">
        <f t="array" ref="D14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3" s="915">
        <v>250</v>
      </c>
      <c r="F143" s="73" t="s">
        <v>560</v>
      </c>
      <c r="G143" s="916">
        <v>500</v>
      </c>
      <c r="H143" s="916">
        <v>500</v>
      </c>
      <c r="I143" s="916"/>
      <c r="J143" s="916"/>
      <c r="K143" s="73" t="s">
        <v>124</v>
      </c>
      <c r="L143" s="921" t="s">
        <v>221</v>
      </c>
      <c r="M143" s="915">
        <v>1</v>
      </c>
      <c r="N143" s="73" t="s">
        <v>550</v>
      </c>
      <c r="O143" s="73" t="s">
        <v>240</v>
      </c>
      <c r="P143" s="916" cm="1">
        <f t="array" ref="P143">IFERROR(_xlfn.SWITCH(F143,"By Weight",IF(H143&lt;&gt;"",H143,G143)/AR143,"By Length",G143,"By Imp",G143/MAX(1,ROUNDDOWN(E143/I143,0))*J143/1000,"IMP",G143/MAX(1,ROUNDDOWN(E143/I143,0))*J143/1000,""),"")</f>
        <v>17798.344753937883</v>
      </c>
      <c r="Q143" s="916">
        <f t="shared" si="48"/>
        <v>500.00000000000006</v>
      </c>
      <c r="R143" s="917">
        <f t="shared" si="49"/>
        <v>7275.8346118470763</v>
      </c>
      <c r="S143" s="918">
        <f t="shared" si="50"/>
        <v>8439.9681497426081</v>
      </c>
      <c r="T143" s="919">
        <f t="shared" si="51"/>
        <v>14.551669223694152</v>
      </c>
      <c r="U143" s="920">
        <f t="shared" si="52"/>
        <v>16.879936299485216</v>
      </c>
      <c r="V143" s="919">
        <f t="shared" si="53"/>
        <v>0.48093266784308952</v>
      </c>
      <c r="W143" s="919">
        <f t="shared" si="54"/>
        <v>17.119610851404804</v>
      </c>
      <c r="X143" s="919" t="str">
        <f t="shared" si="55"/>
        <v/>
      </c>
      <c r="Y143" s="920">
        <f t="shared" si="56"/>
        <v>0.55788189469798377</v>
      </c>
      <c r="Z143" s="920">
        <f t="shared" si="57"/>
        <v>19.85874858762957</v>
      </c>
      <c r="AA143" s="920" t="str">
        <f t="shared" si="58"/>
        <v/>
      </c>
      <c r="AB143" s="917">
        <f t="shared" si="59"/>
        <v>8559.8054257024032</v>
      </c>
      <c r="AC143" s="918">
        <f t="shared" si="60"/>
        <v>9929.374293814788</v>
      </c>
      <c r="AD143" s="916">
        <f t="shared" si="61"/>
        <v>17798.344753937883</v>
      </c>
      <c r="AE143" s="916">
        <f t="shared" si="62"/>
        <v>500</v>
      </c>
      <c r="AF143" s="919" cm="1">
        <f t="array" ref="AF143">IFERROR(_xlfn.LET(_xlpm.lam,TEXT(B143,"0"),_xlpm.thick,D143,_xlpm.crit,(TEXT(HELPER!$BZ$2:$BZ$250,"0")=_xlpm.lam)*(HELPER!$CC$2:$CC$250=_xlpm.thick)*(HELPER!$BW$2:$BW$250&lt;&gt;""),_xlpm.mats,TRIM(SUBSTITUTE(_xlfn._xlws.FILTER(HELPER!$BW$2:$BW$250,_xlpm.crit),CHAR(160),"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3" s="919">
        <f>IFERROR(IF(N143="Europe to Canada",IF(Q143&lt;1000,VLOOKUP(1000,HELPER!$AG$4:$AH$8,2,FALSE)/Q143,VLOOKUP(Q143,HELPER!$AG$4:$AH$8,2,TRUE)/Q143),IF(N143="Europe to US",HELPER!$AH$2,IF(N143="Europe to Europe",HELPER!$AH$3,0))),0)</f>
        <v>5.4</v>
      </c>
      <c r="AH143" s="919" cm="1">
        <f t="array" ref="AH143">IFERROR(_xlfn.LET(_xlpm.cap,IF(O143="Quantum",760,1220),_xlpm.wUsed,E143*MAX(1,MIN(MAX(2,INT(900/E143)),INT((_xlpm.cap-50)/E143))),_xlpm.kgmUsed,AR143/E143*_xlpm.wUsed,_xlpm.lam,TEXT(B143,"0"),_xlpm.crit,(TEXT(HELPER!$BZ$2:$BZ$250,"0")=_xlpm.lam)*(HELPER!$CC$2:$CC$250=D143)*(HELPER!$BW$2:$BW$250&lt;&gt;""),_xlpm.mats,_xlfn._xlws.FILTER(HELPER!$BW$2:$BW$250,_xlpm.crit),_xlpm.realLayers,SUM((_xlpm.mats&lt;&gt;"")*ISERROR(SEARCH("EPOTAL",_xlpm.mats&amp;""))*ISERROR(SEARCH("BASONAT",_xlpm.mats&amp;""))*ISERROR(SEARCH("ADH",_xlpm.mats&amp;""))*ISERROR(SEARCH("HARDENER",_xlpm.mats&amp;""))),_xlpm.steps,MAX(0,_xlpm.realLayers-1),_xlpm.tier,IF(P143&lt;3000,1,IF(P143&lt;10000,2,IF(P143&lt;25000,3,IF(P143&lt;50000,4,IF(P143&lt;100000,5,IF(P143&lt;250000,6,7)))))),_xlpm.widthRow,IF(_xlpm.wUsed&lt;900,0,5),_xlpm.supplierRow,IF(O143="Marma",3,IF(OR(O143="Bastin",O143="Quantum"),13,0)),_xlpm.rate,INDEX('Lmntn &amp; Prntng- Marma &amp; Bastin '!$D$1:$K$22,_xlpm.supplierRow+_xlpm.widthRow,_xlpm.tier),_xlpm.rate*_xlpm.steps/_xlpm.kgmUsed),"")</f>
        <v>2.8237429919017529</v>
      </c>
      <c r="AI143" s="919" cm="1">
        <f t="array" ref="AI143">IFERROR(_xlfn.LET(_xlpm.cap,IF(O143="Quantum",760,1220),_xlpm.wUsed,E143*MAX(1,MIN(MAX(2,INT(900/E143)),INT((_xlpm.cap-50)/E143))),_xlpm.kgmUsed,AR143/E143*_xlpm.wUsed,_xlpm.tier,IF(P143&lt;3000,1,IF(P143&lt;10000,2,IF(P143&lt;25000,3,IF(P143&lt;50000,4,IF(P143&lt;100000,5,IF(P143&lt;250000,6,IF(P143&lt;500000,7,8))))))),_xlpm.widthRow,IF(_xlpm.wUsed&lt;900,0,5),_xlpm.slitRow,IF(O143="Marma",7,IF(OR(O143="Bastin",O143="Quantum"),17,0)),_xlpm.slitRate,INDEX('Lmntn &amp; Prntng- Marma &amp; Bastin '!$D$1:$K$22,_xlpm.slitRow+_xlpm.widthRow,_xlpm.tier),_xlpm.numColors,IF(ISNUMBER(L143),L143,IFERROR(--RIGHT(L143,LEN(L143)-FIND("-",L143)),0)),_xlpm.printRate,IF(OR(K143&lt;&gt;"Printed",_xlpm.numColors=0),0,IF(O143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143))),MAX(_xlfn._xlws.FILTER(_xlpm.meters,(_xlpm.widths=_xlpm.qWidth)*(_xlpm.bands=_xlpm.band)))),INDEX(_xlpm.rates,_xlfn.XMATCH(1,(_xlpm.widths=_xlpm.qWidth)*(_xlpm.bands=_xlpm.band)*(_xlpm.meters=_xlpm.targetM),0))/HELPER!$AK$2),_xlfn.LET(_xlpm.colorOffset,IF(_xlpm.numColors&lt;=2,1,IF(_xlpm.numColors&lt;=4,2,3)),_xlpm.supplierRow,IF(O143="Marma",3,IF(O143="Bastin",13,0)),INDEX('Lmntn &amp; Prntng- Marma &amp; Bastin '!$D$1:$K$22,_xlpm.supplierRow+_xlpm.widthRow+_xlpm.colorOffset,_xlpm.tier)))),AH143+_xlpm.slitRate/_xlpm.kgmUsed+_xlpm.printRate/_xlpm.kgmUsed+AJ143),"")</f>
        <v>3.2235650084542136</v>
      </c>
      <c r="AJ143" s="919" cm="1">
        <f t="array" ref="AJ143">IF(OR(K143&lt;&gt;"Printed",L143=0,L143="0",L143=""),0,IFERROR(_xlfn.LET(_xlpm.lam,TEXT(B143,"0"),_xlpm.crit,(TEXT(HELPER!$BZ$2:$BZ$250,"0")=_xlpm.lam)*(HELPER!$CC$2:$CC$250=D143)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WHITE"},0)))/ROWS(_xlpm.real),_xlpm.numColors,IF(ISNUMBER(L143),L143,IFERROR(--RIGHT(L143,LEN(L143)-FIND("-",L143)),0)),HELPER!$DB$1*_xlpm.numColors*MAX(1,M143)*1.05*_xlpm.nkRatio/Q143),0))</f>
        <v>0</v>
      </c>
      <c r="AK143" s="919">
        <f t="shared" si="63"/>
        <v>1.2411165621757148</v>
      </c>
      <c r="AL143" s="919">
        <f t="shared" si="64"/>
        <v>480.93266784308952</v>
      </c>
      <c r="AM143" s="73" t="str">
        <f t="shared" si="65"/>
        <v>PASS</v>
      </c>
      <c r="AN143" s="908" t="str">
        <f t="shared" si="44"/>
        <v/>
      </c>
      <c r="AO143" s="919">
        <f t="shared" si="45"/>
        <v>121</v>
      </c>
      <c r="AP143" s="919">
        <f t="shared" si="46"/>
        <v>17798.344753937883</v>
      </c>
      <c r="AQ143" s="919"/>
      <c r="AR143" s="919" cm="1">
        <f t="array" ref="AR143">IFERROR(_xlfn.LET(_xlpm.lam,TEXT(B143,"0"),_xlpm.thick,D143,_xlpm.crit,(TEXT(HELPER!$BZ$2:$BZ$250,"0")=_xlpm.lam)*(HELPER!$CC$2:$CC$250=_xlpm.thick)*(HELPER!$BW$2:$BW$250&lt;&gt;""),_xlpm.mats,TRIM(SUBSTITUTE(_xlfn._xlws.FILTER(HELPER!$BW$2:$BW$250,_xlpm.crit),CHAR(160),"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")),HELPER!$AQ$2:$AQ$20,1),_xlpm.mass,IF(ISNUMBER(SEARCH("paper",_xlpm.mats)),42,_xlpm.dens*_xlpm.ths),E143/1000000*SUM(_xlpm.mass)),"")</f>
        <v>2.8092500000000003E-2</v>
      </c>
      <c r="AS143" s="919">
        <f>IFERROR(IF(D143&gt;31,(5%+250/P143)*AF143,VLOOKUP(D143,HELPER!$BH$3:$BI$5,2,TRUE)*AF143),0)</f>
        <v>0.35681986999654464</v>
      </c>
      <c r="AT143" s="919">
        <v>0.149999999999996</v>
      </c>
      <c r="AU143" s="919"/>
      <c r="AV143" s="919"/>
      <c r="AW143" s="919"/>
      <c r="AX143" s="919"/>
      <c r="AY143" s="919"/>
      <c r="AZ143" s="919">
        <f t="shared" si="47"/>
        <v>0</v>
      </c>
    </row>
    <row r="144" spans="1:52">
      <c r="A144" s="73" t="s">
        <v>1565</v>
      </c>
      <c r="B144" s="73">
        <v>823</v>
      </c>
      <c r="C144" s="908" t="s">
        <v>1434</v>
      </c>
      <c r="D144" s="915" cm="1">
        <f t="array" ref="D14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4" s="915">
        <v>600</v>
      </c>
      <c r="F144" s="73" t="s">
        <v>1040</v>
      </c>
      <c r="G144" s="916">
        <v>100000</v>
      </c>
      <c r="H144" s="916"/>
      <c r="I144" s="916">
        <v>300</v>
      </c>
      <c r="J144" s="916">
        <v>200</v>
      </c>
      <c r="K144" s="73" t="s">
        <v>123</v>
      </c>
      <c r="L144" s="921" t="s">
        <v>122</v>
      </c>
      <c r="M144" s="915">
        <v>4</v>
      </c>
      <c r="N144" s="73" t="s">
        <v>549</v>
      </c>
      <c r="O144" s="73" t="s">
        <v>250</v>
      </c>
      <c r="P144" s="916" cm="1">
        <f t="array" ref="P144">IFERROR(_xlfn.SWITCH(F144,"By Weight",IF(H144&lt;&gt;"",H144,G144)/AR144,"By Length",G144,"By Imp",G144/MAX(1,ROUNDDOWN(E144/I144,0))*J144/1000,"IMP",G144/MAX(1,ROUNDDOWN(E144/I144,0))*J144/1000,""),"")</f>
        <v>10000</v>
      </c>
      <c r="Q144" s="916">
        <f t="shared" si="48"/>
        <v>674.21999999999991</v>
      </c>
      <c r="R144" s="917">
        <f t="shared" si="49"/>
        <v>9208.8356810937494</v>
      </c>
      <c r="S144" s="918">
        <f t="shared" si="50"/>
        <v>10682.249390068748</v>
      </c>
      <c r="T144" s="919">
        <f t="shared" si="51"/>
        <v>13.658502686205914</v>
      </c>
      <c r="U144" s="920">
        <f t="shared" si="52"/>
        <v>15.843863115998859</v>
      </c>
      <c r="V144" s="919">
        <f t="shared" si="53"/>
        <v>1.083392433069853</v>
      </c>
      <c r="W144" s="919">
        <f t="shared" si="54"/>
        <v>16.068826689654017</v>
      </c>
      <c r="X144" s="919">
        <f t="shared" si="55"/>
        <v>0.1083392433069853</v>
      </c>
      <c r="Y144" s="920">
        <f t="shared" si="56"/>
        <v>1.2567352223610293</v>
      </c>
      <c r="Z144" s="920">
        <f t="shared" si="57"/>
        <v>18.639838959998659</v>
      </c>
      <c r="AA144" s="920">
        <f t="shared" si="58"/>
        <v>0.12567352223610295</v>
      </c>
      <c r="AB144" s="917">
        <f t="shared" si="59"/>
        <v>10833.92433069853</v>
      </c>
      <c r="AC144" s="918">
        <f t="shared" si="60"/>
        <v>12567.352223610294</v>
      </c>
      <c r="AD144" s="916">
        <f t="shared" si="61"/>
        <v>7415.9769808074516</v>
      </c>
      <c r="AE144" s="916">
        <f t="shared" si="62"/>
        <v>500</v>
      </c>
      <c r="AF144" s="919" cm="1">
        <f t="array" ref="AF144">IFERROR(_xlfn.LET(_xlpm.lam,TEXT(B144,"0"),_xlpm.thick,D144,_xlpm.crit,(TEXT(HELPER!$BZ$2:$BZ$250,"0")=_xlpm.lam)*(HELPER!$CC$2:$CC$250=_xlpm.thick)*(HELPER!$BW$2:$BW$250&lt;&gt;""),_xlpm.mats,TRIM(SUBSTITUTE(_xlfn._xlws.FILTER(HELPER!$BW$2:$BW$250,_xlpm.crit),CHAR(160),"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4" s="919">
        <f>IFERROR(IF(N144="Europe to Canada",IF(Q144&lt;1000,VLOOKUP(1000,HELPER!$AG$4:$AH$8,2,FALSE)/Q144,VLOOKUP(Q144,HELPER!$AG$4:$AH$8,2,TRUE)/Q144),IF(N144="Europe to US",HELPER!$AH$2,IF(N144="Europe to Europe",HELPER!$AH$3,0))),0)</f>
        <v>0.2</v>
      </c>
      <c r="AH144" s="919" cm="1">
        <f t="array" ref="AH144">IFERROR(_xlfn.LET(_xlpm.cap,IF(O144="Quantum",760,1220),_xlpm.wUsed,E144*MAX(1,MIN(MAX(2,INT(900/E144)),INT((_xlpm.cap-50)/E144))),_xlpm.kgmUsed,AR144/E144*_xlpm.wUsed,_xlpm.lam,TEXT(B144,"0"),_xlpm.crit,(TEXT(HELPER!$BZ$2:$BZ$250,"0")=_xlpm.lam)*(HELPER!$CC$2:$CC$250=D144)*(HELPER!$BW$2:$BW$250&lt;&gt;""),_xlpm.mats,_xlfn._xlws.FILTER(HELPER!$BW$2:$BW$250,_xlpm.crit),_xlpm.realLayers,SUM((_xlpm.mats&lt;&gt;"")*ISERROR(SEARCH("EPOTAL",_xlpm.mats&amp;""))*ISERROR(SEARCH("BASONAT",_xlpm.mats&amp;""))*ISERROR(SEARCH("ADH",_xlpm.mats&amp;""))*ISERROR(SEARCH("HARDENER",_xlpm.mats&amp;""))),_xlpm.steps,MAX(0,_xlpm.realLayers-1),_xlpm.tier,IF(P144&lt;3000,1,IF(P144&lt;10000,2,IF(P144&lt;25000,3,IF(P144&lt;50000,4,IF(P144&lt;100000,5,IF(P144&lt;250000,6,7)))))),_xlpm.widthRow,IF(_xlpm.wUsed&lt;900,0,5),_xlpm.supplierRow,IF(O144="Marma",3,IF(OR(O144="Bastin",O144="Quantum"),13,0)),_xlpm.rate,INDEX('Lmntn &amp; Prntng- Marma &amp; Bastin '!$D$1:$K$22,_xlpm.supplierRow+_xlpm.widthRow,_xlpm.tier),_xlpm.rate*_xlpm.steps/_xlpm.kgmUsed),"")</f>
        <v>2.7151374922132243</v>
      </c>
      <c r="AI144" s="919" cm="1">
        <f t="array" ref="AI144">IFERROR(_xlfn.LET(_xlpm.cap,IF(O144="Quantum",760,1220),_xlpm.wUsed,E144*MAX(1,MIN(MAX(2,INT(900/E144)),INT((_xlpm.cap-50)/E144))),_xlpm.kgmUsed,AR144/E144*_xlpm.wUsed,_xlpm.tier,IF(P144&lt;3000,1,IF(P144&lt;10000,2,IF(P144&lt;25000,3,IF(P144&lt;50000,4,IF(P144&lt;100000,5,IF(P144&lt;250000,6,IF(P144&lt;500000,7,8))))))),_xlpm.widthRow,IF(_xlpm.wUsed&lt;900,0,5),_xlpm.slitRow,IF(O144="Marma",7,IF(OR(O144="Bastin",O144="Quantum"),17,0)),_xlpm.slitRate,INDEX('Lmntn &amp; Prntng- Marma &amp; Bastin '!$D$1:$K$22,_xlpm.slitRow+_xlpm.widthRow,_xlpm.tier),_xlpm.numColors,IF(ISNUMBER(L144),L144,IFERROR(--RIGHT(L144,LEN(L144)-FIND("-",L144)),0)),_xlpm.printRate,IF(OR(K144&lt;&gt;"Printed",_xlpm.numColors=0),0,IF(O144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144))),MAX(_xlfn._xlws.FILTER(_xlpm.meters,(_xlpm.widths=_xlpm.qWidth)*(_xlpm.bands=_xlpm.band)))),INDEX(_xlpm.rates,_xlfn.XMATCH(1,(_xlpm.widths=_xlpm.qWidth)*(_xlpm.bands=_xlpm.band)*(_xlpm.meters=_xlpm.targetM),0))/HELPER!$AK$2),_xlfn.LET(_xlpm.colorOffset,IF(_xlpm.numColors&lt;=2,1,IF(_xlpm.numColors&lt;=4,2,3)),_xlpm.supplierRow,IF(O144="Marma",3,IF(O144="Bastin",13,0)),INDEX('Lmntn &amp; Prntng- Marma &amp; Bastin '!$D$1:$K$22,_xlpm.supplierRow+_xlpm.widthRow+_xlpm.colorOffset,_xlpm.tier)))),AH144+_xlpm.slitRate/_xlpm.kgmUsed+_xlpm.printRate/_xlpm.kgmUsed+AJ144),"")</f>
        <v>7.4693720150692657</v>
      </c>
      <c r="AJ144" s="919" cm="1">
        <f t="array" ref="AJ144">IF(OR(K144&lt;&gt;"Printed",L144=0,L144="0",L144=""),0,IFERROR(_xlfn.LET(_xlpm.lam,TEXT(B144,"0"),_xlpm.crit,(TEXT(HELPER!$BZ$2:$BZ$250,"0")=_xlpm.lam)*(HELPER!$CC$2:$CC$250=D144)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WHITE"},0)))/ROWS(_xlpm.real),_xlpm.numColors,IF(ISNUMBER(L144),L144,IFERROR(--RIGHT(L144,LEN(L144)-FIND("-",L144)),0)),HELPER!$DB$1*_xlpm.numColors*MAX(1,M144)*1.05*_xlpm.nkRatio/Q144),0))</f>
        <v>2.491768265551304</v>
      </c>
      <c r="AK144" s="919">
        <f t="shared" si="63"/>
        <v>1.1649381000751109</v>
      </c>
      <c r="AL144" s="919">
        <f t="shared" si="64"/>
        <v>1083.392433069853</v>
      </c>
      <c r="AM144" s="73" t="str">
        <f t="shared" si="65"/>
        <v>PASS</v>
      </c>
      <c r="AN144" s="908" t="str">
        <f t="shared" si="44"/>
        <v/>
      </c>
      <c r="AO144" s="919">
        <f t="shared" si="45"/>
        <v>121</v>
      </c>
      <c r="AP144" s="919">
        <f t="shared" si="46"/>
        <v>10000</v>
      </c>
      <c r="AQ144" s="919"/>
      <c r="AR144" s="919" cm="1">
        <f t="array" ref="AR144">IFERROR(_xlfn.LET(_xlpm.lam,TEXT(B144,"0"),_xlpm.thick,D144,_xlpm.crit,(TEXT(HELPER!$BZ$2:$BZ$250,"0")=_xlpm.lam)*(HELPER!$CC$2:$CC$250=_xlpm.thick)*(HELPER!$BW$2:$BW$250&lt;&gt;""),_xlpm.mats,TRIM(SUBSTITUTE(_xlfn._xlws.FILTER(HELPER!$BW$2:$BW$250,_xlpm.crit),CHAR(160),"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")),HELPER!$AQ$2:$AQ$20,1),_xlpm.mass,IF(ISNUMBER(SEARCH("paper",_xlpm.mats)),42,_xlpm.dens*_xlpm.ths),E144/1000000*SUM(_xlpm.mass)),"")</f>
        <v>6.7421999999999996E-2</v>
      </c>
      <c r="AS144" s="919">
        <f>IFERROR(IF(D144&gt;31,(5%+250/P144)*AF144,VLOOKUP(D144,HELPER!$BH$3:$BI$5,2,TRUE)*AF144),0)</f>
        <v>0.41784632589325449</v>
      </c>
      <c r="AT144" s="919">
        <v>0.15</v>
      </c>
      <c r="AU144" s="919"/>
      <c r="AV144" s="919"/>
      <c r="AW144" s="919"/>
      <c r="AX144" s="919"/>
      <c r="AY144" s="919"/>
      <c r="AZ144" s="919">
        <f t="shared" si="47"/>
        <v>1680</v>
      </c>
    </row>
    <row r="145" spans="1:52">
      <c r="A145" s="73" t="s">
        <v>1566</v>
      </c>
      <c r="B145" s="73">
        <v>823</v>
      </c>
      <c r="C145" s="908" t="s">
        <v>1436</v>
      </c>
      <c r="D145" s="915" cm="1">
        <f t="array" ref="D14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5" s="915">
        <v>450</v>
      </c>
      <c r="F145" s="73" t="s">
        <v>560</v>
      </c>
      <c r="G145" s="916">
        <v>500</v>
      </c>
      <c r="H145" s="916">
        <v>500</v>
      </c>
      <c r="I145" s="916"/>
      <c r="J145" s="916"/>
      <c r="K145" s="73" t="s">
        <v>123</v>
      </c>
      <c r="L145" s="921" t="s">
        <v>591</v>
      </c>
      <c r="M145" s="915">
        <v>2</v>
      </c>
      <c r="N145" s="73" t="s">
        <v>549</v>
      </c>
      <c r="O145" s="73" t="s">
        <v>1366</v>
      </c>
      <c r="P145" s="916" cm="1">
        <f t="array" ref="P145">IFERROR(_xlfn.SWITCH(F145,"By Weight",IF(H145&lt;&gt;"",H145,G145)/AR145,"By Length",G145,"By Imp",G145/MAX(1,ROUNDDOWN(E145/I145,0))*J145/1000,"IMP",G145/MAX(1,ROUNDDOWN(E145/I145,0))*J145/1000,""),"")</f>
        <v>9887.9693077432694</v>
      </c>
      <c r="Q145" s="916">
        <f t="shared" si="48"/>
        <v>500.00000000000006</v>
      </c>
      <c r="R145" s="917">
        <f t="shared" si="49"/>
        <v>14425.615591814609</v>
      </c>
      <c r="S145" s="918">
        <f t="shared" si="50"/>
        <v>16733.714086504944</v>
      </c>
      <c r="T145" s="919">
        <f t="shared" si="51"/>
        <v>28.851231183629213</v>
      </c>
      <c r="U145" s="920">
        <f t="shared" si="52"/>
        <v>33.467428173009885</v>
      </c>
      <c r="V145" s="919">
        <f t="shared" si="53"/>
        <v>1.8236322270587355</v>
      </c>
      <c r="W145" s="919">
        <f t="shared" si="54"/>
        <v>36.064038979536562</v>
      </c>
      <c r="X145" s="919" t="str">
        <f t="shared" si="55"/>
        <v/>
      </c>
      <c r="Y145" s="920">
        <f t="shared" si="56"/>
        <v>2.115413383388133</v>
      </c>
      <c r="Z145" s="920">
        <f t="shared" si="57"/>
        <v>41.834285216262408</v>
      </c>
      <c r="AA145" s="920" t="str">
        <f t="shared" si="58"/>
        <v/>
      </c>
      <c r="AB145" s="917">
        <f t="shared" si="59"/>
        <v>18032.019489768281</v>
      </c>
      <c r="AC145" s="918">
        <f t="shared" si="60"/>
        <v>20917.142608131206</v>
      </c>
      <c r="AD145" s="916">
        <f t="shared" si="61"/>
        <v>9887.9693077432694</v>
      </c>
      <c r="AE145" s="916">
        <f t="shared" si="62"/>
        <v>500</v>
      </c>
      <c r="AF145" s="919" cm="1">
        <f t="array" ref="AF145">IFERROR(_xlfn.LET(_xlpm.lam,TEXT(B145,"0"),_xlpm.thick,D145,_xlpm.crit,(TEXT(HELPER!$BZ$2:$BZ$250,"0")=_xlpm.lam)*(HELPER!$CC$2:$CC$250=_xlpm.thick)*(HELPER!$BW$2:$BW$250&lt;&gt;""),_xlpm.mats,TRIM(SUBSTITUTE(_xlfn._xlws.FILTER(HELPER!$BW$2:$BW$250,_xlpm.crit),CHAR(160),"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5" s="919">
        <f>IFERROR(IF(N145="Europe to Canada",IF(Q145&lt;1000,VLOOKUP(1000,HELPER!$AG$4:$AH$8,2,FALSE)/Q145,VLOOKUP(Q145,HELPER!$AG$4:$AH$8,2,TRUE)/Q145),IF(N145="Europe to US",HELPER!$AH$2,IF(N145="Europe to Europe",HELPER!$AH$3,0))),0)</f>
        <v>0.2</v>
      </c>
      <c r="AH145" s="919" cm="1">
        <f t="array" ref="AH145">IFERROR(_xlfn.LET(_xlpm.cap,IF(O145="Quantum",760,1220),_xlpm.wUsed,E145*MAX(1,MIN(MAX(2,INT(900/E145)),INT((_xlpm.cap-50)/E145))),_xlpm.kgmUsed,AR145/E145*_xlpm.wUsed,_xlpm.lam,TEXT(B145,"0"),_xlpm.crit,(TEXT(HELPER!$BZ$2:$BZ$250,"0")=_xlpm.lam)*(HELPER!$CC$2:$CC$250=D145)*(HELPER!$BW$2:$BW$250&lt;&gt;""),_xlpm.mats,_xlfn._xlws.FILTER(HELPER!$BW$2:$BW$250,_xlpm.crit),_xlpm.realLayers,SUM((_xlpm.mats&lt;&gt;"")*ISERROR(SEARCH("EPOTAL",_xlpm.mats&amp;""))*ISERROR(SEARCH("BASONAT",_xlpm.mats&amp;""))*ISERROR(SEARCH("ADH",_xlpm.mats&amp;""))*ISERROR(SEARCH("HARDENER",_xlpm.mats&amp;""))),_xlpm.steps,MAX(0,_xlpm.realLayers-1),_xlpm.tier,IF(P145&lt;3000,1,IF(P145&lt;10000,2,IF(P145&lt;25000,3,IF(P145&lt;50000,4,IF(P145&lt;100000,5,IF(P145&lt;250000,6,7)))))),_xlpm.widthRow,IF(_xlpm.wUsed&lt;900,0,5),_xlpm.supplierRow,IF(O145="Marma",3,IF(OR(O145="Bastin",O145="Quantum"),13,0)),_xlpm.rate,INDEX('Lmntn &amp; Prntng- Marma &amp; Bastin '!$D$1:$K$22,_xlpm.supplierRow+_xlpm.widthRow,_xlpm.tier),_xlpm.rate*_xlpm.steps/_xlpm.kgmUsed),"")</f>
        <v>5.3540980688795949</v>
      </c>
      <c r="AI145" s="919" cm="1">
        <f t="array" ref="AI145">IFERROR(_xlfn.LET(_xlpm.cap,IF(O145="Quantum",760,1220),_xlpm.wUsed,E145*MAX(1,MIN(MAX(2,INT(900/E145)),INT((_xlpm.cap-50)/E145))),_xlpm.kgmUsed,AR145/E145*_xlpm.wUsed,_xlpm.tier,IF(P145&lt;3000,1,IF(P145&lt;10000,2,IF(P145&lt;25000,3,IF(P145&lt;50000,4,IF(P145&lt;100000,5,IF(P145&lt;250000,6,IF(P145&lt;500000,7,8))))))),_xlpm.widthRow,IF(_xlpm.wUsed&lt;900,0,5),_xlpm.slitRow,IF(O145="Marma",7,IF(OR(O145="Bastin",O145="Quantum"),17,0)),_xlpm.slitRate,INDEX('Lmntn &amp; Prntng- Marma &amp; Bastin '!$D$1:$K$22,_xlpm.slitRow+_xlpm.widthRow,_xlpm.tier),_xlpm.numColors,IF(ISNUMBER(L145),L145,IFERROR(--RIGHT(L145,LEN(L145)-FIND("-",L145)),0)),_xlpm.printRate,IF(OR(K145&lt;&gt;"Printed",_xlpm.numColors=0),0,IF(O145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145))),MAX(_xlfn._xlws.FILTER(_xlpm.meters,(_xlpm.widths=_xlpm.qWidth)*(_xlpm.bands=_xlpm.band)))),INDEX(_xlpm.rates,_xlfn.XMATCH(1,(_xlpm.widths=_xlpm.qWidth)*(_xlpm.bands=_xlpm.band)*(_xlpm.meters=_xlpm.targetM),0))/HELPER!$AK$2),_xlfn.LET(_xlpm.colorOffset,IF(_xlpm.numColors&lt;=2,1,IF(_xlpm.numColors&lt;=4,2,3)),_xlpm.supplierRow,IF(O145="Marma",3,IF(O145="Bastin",13,0)),INDEX('Lmntn &amp; Prntng- Marma &amp; Bastin '!$D$1:$K$22,_xlpm.supplierRow+_xlpm.widthRow+_xlpm.colorOffset,_xlpm.tier)))),AH145+_xlpm.slitRate/_xlpm.kgmUsed+_xlpm.printRate/_xlpm.kgmUsed+AJ145),"")</f>
        <v>22.660522446201778</v>
      </c>
      <c r="AJ145" s="919" cm="1">
        <f t="array" ref="AJ145">IF(OR(K145&lt;&gt;"Printed",L145=0,L145="0",L145=""),0,IFERROR(_xlfn.LET(_xlpm.lam,TEXT(B145,"0"),_xlpm.crit,(TEXT(HELPER!$BZ$2:$BZ$250,"0")=_xlpm.lam)*(HELPER!$CC$2:$CC$250=D145)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WHITE"},0)))/ROWS(_xlpm.real),_xlpm.numColors,IF(ISNUMBER(L145),L145,IFERROR(--RIGHT(L145,LEN(L145)-FIND("-",L145)),0)),HELPER!$DB$1*_xlpm.numColors*MAX(1,M145)*1.05*_xlpm.nkRatio/Q145),0))</f>
        <v>0.83999999999999986</v>
      </c>
      <c r="AK145" s="919">
        <f t="shared" si="63"/>
        <v>2.6145264904067891</v>
      </c>
      <c r="AL145" s="919">
        <f t="shared" si="64"/>
        <v>1823.6322270587355</v>
      </c>
      <c r="AM145" s="73" t="str">
        <f t="shared" si="65"/>
        <v>PASS</v>
      </c>
      <c r="AN145" s="908" t="str">
        <f t="shared" si="44"/>
        <v/>
      </c>
      <c r="AO145" s="919">
        <f t="shared" si="45"/>
        <v>121</v>
      </c>
      <c r="AP145" s="919">
        <f t="shared" si="46"/>
        <v>9887.9693077432694</v>
      </c>
      <c r="AQ145" s="919"/>
      <c r="AR145" s="919" cm="1">
        <f t="array" ref="AR145">IFERROR(_xlfn.LET(_xlpm.lam,TEXT(B145,"0"),_xlpm.thick,D145,_xlpm.crit,(TEXT(HELPER!$BZ$2:$BZ$250,"0")=_xlpm.lam)*(HELPER!$CC$2:$CC$250=_xlpm.thick)*(HELPER!$BW$2:$BW$250&lt;&gt;""),_xlpm.mats,TRIM(SUBSTITUTE(_xlfn._xlws.FILTER(HELPER!$BW$2:$BW$250,_xlpm.crit),CHAR(160),"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")),HELPER!$AQ$2:$AQ$20,1),_xlpm.mass,IF(ISNUMBER(SEARCH("paper",_xlpm.mats)),42,_xlpm.dens*_xlpm.ths),E145/1000000*SUM(_xlpm.mass)),"")</f>
        <v>5.05665E-2</v>
      </c>
      <c r="AS145" s="919">
        <f>IFERROR(IF(D145&gt;31,(5%+250/P145)*AF145,VLOOKUP(D145,HELPER!$BH$3:$BI$5,2,TRUE)*AF145),0)</f>
        <v>0.41942439218404459</v>
      </c>
      <c r="AT145" s="919">
        <v>0.20000000000000101</v>
      </c>
      <c r="AU145" s="919"/>
      <c r="AV145" s="919"/>
      <c r="AW145" s="919"/>
      <c r="AX145" s="919"/>
      <c r="AY145" s="919"/>
      <c r="AZ145" s="919">
        <f t="shared" si="47"/>
        <v>420</v>
      </c>
    </row>
    <row r="146" spans="1:52">
      <c r="A146" s="73" t="s">
        <v>1567</v>
      </c>
      <c r="B146" s="73">
        <v>918</v>
      </c>
      <c r="C146" s="908" t="s">
        <v>1418</v>
      </c>
      <c r="D146" s="915" cm="1">
        <f t="array" ref="D14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6" s="915">
        <v>120</v>
      </c>
      <c r="F146" s="73" t="s">
        <v>560</v>
      </c>
      <c r="G146" s="916">
        <v>100</v>
      </c>
      <c r="H146" s="916">
        <v>100</v>
      </c>
      <c r="I146" s="916"/>
      <c r="J146" s="916"/>
      <c r="K146" s="73" t="s">
        <v>124</v>
      </c>
      <c r="L146" s="921" t="s">
        <v>221</v>
      </c>
      <c r="M146" s="915">
        <v>1</v>
      </c>
      <c r="N146" s="73" t="s">
        <v>549</v>
      </c>
      <c r="O146" s="73" t="s">
        <v>250</v>
      </c>
      <c r="P146" s="916" cm="1">
        <f t="array" ref="P146">IFERROR(_xlfn.SWITCH(F146,"By Weight",IF(H146&lt;&gt;"",H146,G146)/AR146,"By Length",G146,"By Imp",G146/MAX(1,ROUNDDOWN(E146/I146,0))*J146/1000,"IMP",G146/MAX(1,ROUNDDOWN(E146/I146,0))*J146/1000,""),"")</f>
        <v>12369.50175646925</v>
      </c>
      <c r="Q146" s="916">
        <f t="shared" si="48"/>
        <v>100</v>
      </c>
      <c r="R146" s="917">
        <f t="shared" si="49"/>
        <v>1117.709228589868</v>
      </c>
      <c r="S146" s="918">
        <f t="shared" si="50"/>
        <v>1296.5427051642469</v>
      </c>
      <c r="T146" s="919">
        <f t="shared" si="51"/>
        <v>11.177092285898681</v>
      </c>
      <c r="U146" s="920">
        <f t="shared" si="52"/>
        <v>12.965427051642468</v>
      </c>
      <c r="V146" s="919">
        <f t="shared" si="53"/>
        <v>0.10630598220719993</v>
      </c>
      <c r="W146" s="919">
        <f t="shared" si="54"/>
        <v>13.149520336351483</v>
      </c>
      <c r="X146" s="919" t="str">
        <f t="shared" si="55"/>
        <v/>
      </c>
      <c r="Y146" s="920">
        <f t="shared" si="56"/>
        <v>0.12331493936035191</v>
      </c>
      <c r="Z146" s="920">
        <f t="shared" si="57"/>
        <v>15.253443590167718</v>
      </c>
      <c r="AA146" s="920" t="str">
        <f t="shared" si="58"/>
        <v/>
      </c>
      <c r="AB146" s="917">
        <f t="shared" si="59"/>
        <v>1314.9520336351482</v>
      </c>
      <c r="AC146" s="918">
        <f t="shared" si="60"/>
        <v>1525.3443590167717</v>
      </c>
      <c r="AD146" s="916">
        <f t="shared" si="61"/>
        <v>61847.508782346245</v>
      </c>
      <c r="AE146" s="916">
        <f t="shared" si="62"/>
        <v>500</v>
      </c>
      <c r="AF146" s="919" cm="1">
        <f t="array" ref="AF146">IFERROR(_xlfn.LET(_xlpm.lam,TEXT(B146,"0"),_xlpm.thick,D146,_xlpm.crit,(TEXT(HELPER!$BZ$2:$BZ$250,"0")=_xlpm.lam)*(HELPER!$CC$2:$CC$250=_xlpm.thick)*(HELPER!$BW$2:$BW$250&lt;&gt;""),_xlpm.mats,TRIM(SUBSTITUTE(_xlfn._xlws.FILTER(HELPER!$BW$2:$BW$250,_xlpm.crit),CHAR(160),"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6" s="919">
        <f>IFERROR(IF(N146="Europe to Canada",IF(Q146&lt;1000,VLOOKUP(1000,HELPER!$AG$4:$AH$8,2,FALSE)/Q146,VLOOKUP(Q146,HELPER!$AG$4:$AH$8,2,TRUE)/Q146),IF(N146="Europe to US",HELPER!$AH$2,IF(N146="Europe to Europe",HELPER!$AH$3,0))),0)</f>
        <v>0.2</v>
      </c>
      <c r="AH146" s="919" cm="1">
        <f t="array" ref="AH146">IFERROR(_xlfn.LET(_xlpm.cap,IF(O146="Quantum",760,1220),_xlpm.wUsed,E146*MAX(1,MIN(MAX(2,INT(900/E146)),INT((_xlpm.cap-50)/E146))),_xlpm.kgmUsed,AR146/E146*_xlpm.wUsed,_xlpm.lam,TEXT(B146,"0"),_xlpm.crit,(TEXT(HELPER!$BZ$2:$BZ$250,"0")=_xlpm.lam)*(HELPER!$CC$2:$CC$250=D146)*(HELPER!$BW$2:$BW$250&lt;&gt;""),_xlpm.mats,_xlfn._xlws.FILTER(HELPER!$BW$2:$BW$250,_xlpm.crit),_xlpm.realLayers,SUM((_xlpm.mats&lt;&gt;"")*ISERROR(SEARCH("EPOTAL",_xlpm.mats&amp;""))*ISERROR(SEARCH("BASONAT",_xlpm.mats&amp;""))*ISERROR(SEARCH("ADH",_xlpm.mats&amp;""))*ISERROR(SEARCH("HARDENER",_xlpm.mats&amp;""))),_xlpm.steps,MAX(0,_xlpm.realLayers-1),_xlpm.tier,IF(P146&lt;3000,1,IF(P146&lt;10000,2,IF(P146&lt;25000,3,IF(P146&lt;50000,4,IF(P146&lt;100000,5,IF(P146&lt;250000,6,7)))))),_xlpm.widthRow,IF(_xlpm.wUsed&lt;900,0,5),_xlpm.supplierRow,IF(O146="Marma",3,IF(OR(O146="Bastin",O146="Quantum"),13,0)),_xlpm.rate,INDEX('Lmntn &amp; Prntng- Marma &amp; Bastin '!$D$1:$K$22,_xlpm.supplierRow+_xlpm.widthRow,_xlpm.tier),_xlpm.rate*_xlpm.steps/_xlpm.kgmUsed),"")</f>
        <v>1.617400708242329</v>
      </c>
      <c r="AI146" s="919" cm="1">
        <f t="array" ref="AI146">IFERROR(_xlfn.LET(_xlpm.cap,IF(O146="Quantum",760,1220),_xlpm.wUsed,E146*MAX(1,MIN(MAX(2,INT(900/E146)),INT((_xlpm.cap-50)/E146))),_xlpm.kgmUsed,AR146/E146*_xlpm.wUsed,_xlpm.tier,IF(P146&lt;3000,1,IF(P146&lt;10000,2,IF(P146&lt;25000,3,IF(P146&lt;50000,4,IF(P146&lt;100000,5,IF(P146&lt;250000,6,IF(P146&lt;500000,7,8))))))),_xlpm.widthRow,IF(_xlpm.wUsed&lt;900,0,5),_xlpm.slitRow,IF(O146="Marma",7,IF(OR(O146="Bastin",O146="Quantum"),17,0)),_xlpm.slitRate,INDEX('Lmntn &amp; Prntng- Marma &amp; Bastin '!$D$1:$K$22,_xlpm.slitRow+_xlpm.widthRow,_xlpm.tier),_xlpm.numColors,IF(ISNUMBER(L146),L146,IFERROR(--RIGHT(L146,LEN(L146)-FIND("-",L146)),0)),_xlpm.printRate,IF(OR(K146&lt;&gt;"Printed",_xlpm.numColors=0),0,IF(O146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146))),MAX(_xlfn._xlws.FILTER(_xlpm.meters,(_xlpm.widths=_xlpm.qWidth)*(_xlpm.bands=_xlpm.band)))),INDEX(_xlpm.rates,_xlfn.XMATCH(1,(_xlpm.widths=_xlpm.qWidth)*(_xlpm.bands=_xlpm.band)*(_xlpm.meters=_xlpm.targetM),0))/HELPER!$AK$2),_xlfn.LET(_xlpm.colorOffset,IF(_xlpm.numColors&lt;=2,1,IF(_xlpm.numColors&lt;=4,2,3)),_xlpm.supplierRow,IF(O146="Marma",3,IF(O146="Bastin",13,0)),INDEX('Lmntn &amp; Prntng- Marma &amp; Bastin '!$D$1:$K$22,_xlpm.supplierRow+_xlpm.widthRow+_xlpm.colorOffset,_xlpm.tier)))),AH146+_xlpm.slitRate/_xlpm.kgmUsed+_xlpm.printRate/_xlpm.kgmUsed+AJ146),"")</f>
        <v>2.0754256875675905</v>
      </c>
      <c r="AJ146" s="919" cm="1">
        <f t="array" ref="AJ146">IF(OR(K146&lt;&gt;"Printed",L146=0,L146="0",L146=""),0,IFERROR(_xlfn.LET(_xlpm.lam,TEXT(B146,"0"),_xlpm.crit,(TEXT(HELPER!$BZ$2:$BZ$250,"0")=_xlpm.lam)*(HELPER!$CC$2:$CC$250=D146)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WHITE"},0)))/ROWS(_xlpm.real),_xlpm.numColors,IF(ISNUMBER(L146),L146,IFERROR(--RIGHT(L146,LEN(L146)-FIND("-",L146)),0)),HELPER!$DB$1*_xlpm.numColors*MAX(1,M146)*1.05*_xlpm.nkRatio/Q146),0))</f>
        <v>0</v>
      </c>
      <c r="AK146" s="919">
        <f t="shared" si="63"/>
        <v>0.57153753874838675</v>
      </c>
      <c r="AL146" s="919">
        <f t="shared" si="64"/>
        <v>106.30598220719993</v>
      </c>
      <c r="AM146" s="73" t="str">
        <f t="shared" si="65"/>
        <v>PASS</v>
      </c>
      <c r="AN146" s="908" t="str">
        <f t="shared" si="44"/>
        <v/>
      </c>
      <c r="AO146" s="919">
        <f t="shared" si="45"/>
        <v>51</v>
      </c>
      <c r="AP146" s="919">
        <f t="shared" si="46"/>
        <v>12369.50175646925</v>
      </c>
      <c r="AQ146" s="919"/>
      <c r="AR146" s="919" cm="1">
        <f t="array" ref="AR146">IFERROR(_xlfn.LET(_xlpm.lam,TEXT(B146,"0"),_xlpm.thick,D146,_xlpm.crit,(TEXT(HELPER!$BZ$2:$BZ$250,"0")=_xlpm.lam)*(HELPER!$CC$2:$CC$250=_xlpm.thick)*(HELPER!$BW$2:$BW$250&lt;&gt;""),_xlpm.mats,TRIM(SUBSTITUTE(_xlfn._xlws.FILTER(HELPER!$BW$2:$BW$250,_xlpm.crit),CHAR(160),"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")),HELPER!$AQ$2:$AQ$20,1),_xlpm.mass,IF(ISNUMBER(SEARCH("paper",_xlpm.mats)),42,_xlpm.dens*_xlpm.ths),E146/1000000*SUM(_xlpm.mass)),"")</f>
        <v>8.0844000000000003E-3</v>
      </c>
      <c r="AS146" s="919">
        <f>IFERROR(IF(D146&gt;31,(5%+250/P146)*AF146,VLOOKUP(D146,HELPER!$BH$3:$BI$5,2,TRUE)*AF146),0)</f>
        <v>0.58399223474195683</v>
      </c>
      <c r="AT146" s="919">
        <v>0.15000000000000599</v>
      </c>
      <c r="AU146" s="919"/>
      <c r="AV146" s="919"/>
      <c r="AW146" s="919"/>
      <c r="AX146" s="919"/>
      <c r="AY146" s="919"/>
      <c r="AZ146" s="919">
        <f t="shared" si="47"/>
        <v>0</v>
      </c>
    </row>
    <row r="147" spans="1:52">
      <c r="A147" s="73" t="s">
        <v>1568</v>
      </c>
      <c r="B147" s="73">
        <v>918</v>
      </c>
      <c r="C147" s="908" t="s">
        <v>1420</v>
      </c>
      <c r="D147" s="915" cm="1">
        <f t="array" ref="D14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7" s="915">
        <v>120</v>
      </c>
      <c r="F147" s="73" t="s">
        <v>1040</v>
      </c>
      <c r="G147" s="916">
        <v>1000</v>
      </c>
      <c r="H147" s="916"/>
      <c r="I147" s="916">
        <v>80</v>
      </c>
      <c r="J147" s="916">
        <v>80</v>
      </c>
      <c r="K147" s="73" t="s">
        <v>123</v>
      </c>
      <c r="L147" s="921" t="s">
        <v>591</v>
      </c>
      <c r="M147" s="915">
        <v>1</v>
      </c>
      <c r="N147" s="73" t="s">
        <v>550</v>
      </c>
      <c r="O147" s="73" t="s">
        <v>240</v>
      </c>
      <c r="P147" s="916" cm="1">
        <f t="array" ref="P147">IFERROR(_xlfn.SWITCH(F147,"By Weight",IF(H147&lt;&gt;"",H147,G147)/AR147,"By Length",G147,"By Imp",G147/MAX(1,ROUNDDOWN(E147/I147,0))*J147/1000,"IMP",G147/MAX(1,ROUNDDOWN(E147/I147,0))*J147/1000,""),"")</f>
        <v>80</v>
      </c>
      <c r="Q147" s="916">
        <f t="shared" si="48"/>
        <v>0.64675199999999999</v>
      </c>
      <c r="R147" s="917">
        <f t="shared" si="49"/>
        <v>346.57238718417858</v>
      </c>
      <c r="S147" s="918">
        <f t="shared" si="50"/>
        <v>402.02396913364714</v>
      </c>
      <c r="T147" s="919">
        <f t="shared" si="51"/>
        <v>535.86596900230472</v>
      </c>
      <c r="U147" s="920">
        <f t="shared" si="52"/>
        <v>621.60452404267346</v>
      </c>
      <c r="V147" s="919">
        <f t="shared" si="53"/>
        <v>5.0966527527085148</v>
      </c>
      <c r="W147" s="919">
        <f t="shared" si="54"/>
        <v>630.43055176741802</v>
      </c>
      <c r="X147" s="919">
        <f t="shared" si="55"/>
        <v>0.40773222021668121</v>
      </c>
      <c r="Y147" s="920">
        <f t="shared" si="56"/>
        <v>5.912117193141877</v>
      </c>
      <c r="Z147" s="920">
        <f t="shared" si="57"/>
        <v>731.29944005020491</v>
      </c>
      <c r="AA147" s="920">
        <f t="shared" si="58"/>
        <v>0.47296937545135015</v>
      </c>
      <c r="AB147" s="917">
        <f t="shared" si="59"/>
        <v>407.73222021668113</v>
      </c>
      <c r="AC147" s="918">
        <f t="shared" si="60"/>
        <v>472.96937545135006</v>
      </c>
      <c r="AD147" s="916">
        <f t="shared" si="61"/>
        <v>61847.508782346245</v>
      </c>
      <c r="AE147" s="916">
        <f t="shared" si="62"/>
        <v>500</v>
      </c>
      <c r="AF147" s="919" cm="1">
        <f t="array" ref="AF147">IFERROR(_xlfn.LET(_xlpm.lam,TEXT(B147,"0"),_xlpm.thick,D147,_xlpm.crit,(TEXT(HELPER!$BZ$2:$BZ$250,"0")=_xlpm.lam)*(HELPER!$CC$2:$CC$250=_xlpm.thick)*(HELPER!$BW$2:$BW$250&lt;&gt;""),_xlpm.mats,TRIM(SUBSTITUTE(_xlfn._xlws.FILTER(HELPER!$BW$2:$BW$250,_xlpm.crit),CHAR(160),"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7" s="919">
        <f>IFERROR(IF(N147="Europe to Canada",IF(Q147&lt;1000,VLOOKUP(1000,HELPER!$AG$4:$AH$8,2,FALSE)/Q147,VLOOKUP(Q147,HELPER!$AG$4:$AH$8,2,TRUE)/Q147),IF(N147="Europe to US",HELPER!$AH$2,IF(N147="Europe to Europe",HELPER!$AH$3,0))),0)</f>
        <v>5.4</v>
      </c>
      <c r="AH147" s="919" cm="1">
        <f t="array" ref="AH147">IFERROR(_xlfn.LET(_xlpm.cap,IF(O147="Quantum",760,1220),_xlpm.wUsed,E147*MAX(1,MIN(MAX(2,INT(900/E147)),INT((_xlpm.cap-50)/E147))),_xlpm.kgmUsed,AR147/E147*_xlpm.wUsed,_xlpm.lam,TEXT(B147,"0"),_xlpm.crit,(TEXT(HELPER!$BZ$2:$BZ$250,"0")=_xlpm.lam)*(HELPER!$CC$2:$CC$250=D147)*(HELPER!$BW$2:$BW$250&lt;&gt;""),_xlpm.mats,_xlfn._xlws.FILTER(HELPER!$BW$2:$BW$250,_xlpm.crit),_xlpm.realLayers,SUM((_xlpm.mats&lt;&gt;"")*ISERROR(SEARCH("EPOTAL",_xlpm.mats&amp;""))*ISERROR(SEARCH("BASONAT",_xlpm.mats&amp;""))*ISERROR(SEARCH("ADH",_xlpm.mats&amp;""))*ISERROR(SEARCH("HARDENER",_xlpm.mats&amp;""))),_xlpm.steps,MAX(0,_xlpm.realLayers-1),_xlpm.tier,IF(P147&lt;3000,1,IF(P147&lt;10000,2,IF(P147&lt;25000,3,IF(P147&lt;50000,4,IF(P147&lt;100000,5,IF(P147&lt;250000,6,7)))))),_xlpm.widthRow,IF(_xlpm.wUsed&lt;900,0,5),_xlpm.supplierRow,IF(O147="Marma",3,IF(OR(O147="Bastin",O147="Quantum"),13,0)),_xlpm.rate,INDEX('Lmntn &amp; Prntng- Marma &amp; Bastin '!$D$1:$K$22,_xlpm.supplierRow+_xlpm.widthRow,_xlpm.tier),_xlpm.rate*_xlpm.steps/_xlpm.kgmUsed),"")</f>
        <v>2.6815136029177884</v>
      </c>
      <c r="AI147" s="919" cm="1">
        <f t="array" ref="AI147">IFERROR(_xlfn.LET(_xlpm.cap,IF(O147="Quantum",760,1220),_xlpm.wUsed,E147*MAX(1,MIN(MAX(2,INT(900/E147)),INT((_xlpm.cap-50)/E147))),_xlpm.kgmUsed,AR147/E147*_xlpm.wUsed,_xlpm.tier,IF(P147&lt;3000,1,IF(P147&lt;10000,2,IF(P147&lt;25000,3,IF(P147&lt;50000,4,IF(P147&lt;100000,5,IF(P147&lt;250000,6,IF(P147&lt;500000,7,8))))))),_xlpm.widthRow,IF(_xlpm.wUsed&lt;900,0,5),_xlpm.slitRow,IF(O147="Marma",7,IF(OR(O147="Bastin",O147="Quantum"),17,0)),_xlpm.slitRate,INDEX('Lmntn &amp; Prntng- Marma &amp; Bastin '!$D$1:$K$22,_xlpm.slitRow+_xlpm.widthRow,_xlpm.tier),_xlpm.numColors,IF(ISNUMBER(L147),L147,IFERROR(--RIGHT(L147,LEN(L147)-FIND("-",L147)),0)),_xlpm.printRate,IF(OR(K147&lt;&gt;"Printed",_xlpm.numColors=0),0,IF(O147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147))),MAX(_xlfn._xlws.FILTER(_xlpm.meters,(_xlpm.widths=_xlpm.qWidth)*(_xlpm.bands=_xlpm.band)))),INDEX(_xlpm.rates,_xlfn.XMATCH(1,(_xlpm.widths=_xlpm.qWidth)*(_xlpm.bands=_xlpm.band)*(_xlpm.meters=_xlpm.targetM),0))/HELPER!$AK$2),_xlfn.LET(_xlpm.colorOffset,IF(_xlpm.numColors&lt;=2,1,IF(_xlpm.numColors&lt;=4,2,3)),_xlpm.supplierRow,IF(O147="Marma",3,IF(O147="Bastin",13,0)),INDEX('Lmntn &amp; Prntng- Marma &amp; Bastin '!$D$1:$K$22,_xlpm.supplierRow+_xlpm.widthRow+_xlpm.colorOffset,_xlpm.tier)))),AH147+_xlpm.slitRate/_xlpm.kgmUsed+_xlpm.printRate/_xlpm.kgmUsed+AJ147),"")</f>
        <v>495.73967853432003</v>
      </c>
      <c r="AJ147" s="919" cm="1">
        <f t="array" ref="AJ147">IF(OR(K147&lt;&gt;"Printed",L147=0,L147="0",L147=""),0,IFERROR(_xlfn.LET(_xlpm.lam,TEXT(B147,"0"),_xlpm.crit,(TEXT(HELPER!$BZ$2:$BZ$250,"0")=_xlpm.lam)*(HELPER!$CC$2:$CC$250=D147)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WHITE"},0)))/ROWS(_xlpm.real),_xlpm.numColors,IF(ISNUMBER(L147),L147,IFERROR(--RIGHT(L147,LEN(L147)-FIND("-",L147)),0)),HELPER!$DB$1*_xlpm.numColors*MAX(1,M147)*1.05*_xlpm.nkRatio/Q147),0))</f>
        <v>487.04913166097668</v>
      </c>
      <c r="AK147" s="919">
        <f t="shared" si="63"/>
        <v>27.40135888552965</v>
      </c>
      <c r="AL147" s="919">
        <f t="shared" si="64"/>
        <v>5096.6527527085145</v>
      </c>
      <c r="AM147" s="73" t="str">
        <f t="shared" si="65"/>
        <v>PASS</v>
      </c>
      <c r="AN147" s="908" t="str">
        <f t="shared" si="44"/>
        <v/>
      </c>
      <c r="AO147" s="919">
        <f t="shared" si="45"/>
        <v>51</v>
      </c>
      <c r="AP147" s="919">
        <f t="shared" si="46"/>
        <v>80</v>
      </c>
      <c r="AQ147" s="919"/>
      <c r="AR147" s="919" cm="1">
        <f t="array" ref="AR147">IFERROR(_xlfn.LET(_xlpm.lam,TEXT(B147,"0"),_xlpm.thick,D147,_xlpm.crit,(TEXT(HELPER!$BZ$2:$BZ$250,"0")=_xlpm.lam)*(HELPER!$CC$2:$CC$250=_xlpm.thick)*(HELPER!$BW$2:$BW$250&lt;&gt;""),_xlpm.mats,TRIM(SUBSTITUTE(_xlfn._xlws.FILTER(HELPER!$BW$2:$BW$250,_xlpm.crit),CHAR(160),"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")),HELPER!$AQ$2:$AQ$20,1),_xlpm.mass,IF(ISNUMBER(SEARCH("paper",_xlpm.mats)),42,_xlpm.dens*_xlpm.ths),E147/1000000*SUM(_xlpm.mass)),"")</f>
        <v>8.0844000000000003E-3</v>
      </c>
      <c r="AS147" s="919">
        <f>IFERROR(IF(D147&gt;31,(5%+250/P147)*AF147,VLOOKUP(D147,HELPER!$BH$3:$BI$5,2,TRUE)*AF147),0)</f>
        <v>26.408616104395506</v>
      </c>
      <c r="AT147" s="919">
        <v>0.15000000000000099</v>
      </c>
      <c r="AU147" s="919"/>
      <c r="AV147" s="919"/>
      <c r="AW147" s="919"/>
      <c r="AX147" s="919"/>
      <c r="AY147" s="919"/>
      <c r="AZ147" s="919">
        <f t="shared" si="47"/>
        <v>315</v>
      </c>
    </row>
    <row r="148" spans="1:52">
      <c r="A148" s="73" t="s">
        <v>1569</v>
      </c>
      <c r="B148" s="73">
        <v>918</v>
      </c>
      <c r="C148" s="908" t="s">
        <v>1422</v>
      </c>
      <c r="D148" s="915" cm="1">
        <f t="array" ref="D14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8" s="915">
        <v>350</v>
      </c>
      <c r="F148" s="73" t="s">
        <v>560</v>
      </c>
      <c r="G148" s="916">
        <v>5000</v>
      </c>
      <c r="H148" s="916">
        <v>5000</v>
      </c>
      <c r="I148" s="916"/>
      <c r="J148" s="916"/>
      <c r="K148" s="73" t="s">
        <v>123</v>
      </c>
      <c r="L148" s="921" t="s">
        <v>122</v>
      </c>
      <c r="M148" s="915">
        <v>4</v>
      </c>
      <c r="N148" s="73" t="s">
        <v>549</v>
      </c>
      <c r="O148" s="73" t="s">
        <v>1366</v>
      </c>
      <c r="P148" s="916" cm="1">
        <f t="array" ref="P148">IFERROR(_xlfn.SWITCH(F148,"By Weight",IF(H148&lt;&gt;"",H148,G148)/AR148,"By Length",G148,"By Imp",G148/MAX(1,ROUNDDOWN(E148/I148,0))*J148/1000,"IMP",G148/MAX(1,ROUNDDOWN(E148/I148,0))*J148/1000,""),"")</f>
        <v>212048.60153947285</v>
      </c>
      <c r="Q148" s="916">
        <f t="shared" si="48"/>
        <v>5000</v>
      </c>
      <c r="R148" s="917">
        <f t="shared" si="49"/>
        <v>140798.01380189575</v>
      </c>
      <c r="S148" s="918">
        <f t="shared" si="50"/>
        <v>163325.69601019906</v>
      </c>
      <c r="T148" s="919">
        <f t="shared" si="51"/>
        <v>28.159602760379151</v>
      </c>
      <c r="U148" s="920">
        <f t="shared" si="52"/>
        <v>32.665139202039811</v>
      </c>
      <c r="V148" s="919">
        <f t="shared" si="53"/>
        <v>0.82998669161045224</v>
      </c>
      <c r="W148" s="919">
        <f t="shared" si="54"/>
        <v>35.199503450474026</v>
      </c>
      <c r="X148" s="919" t="str">
        <f t="shared" si="55"/>
        <v/>
      </c>
      <c r="Y148" s="920">
        <f t="shared" si="56"/>
        <v>0.96278456226812459</v>
      </c>
      <c r="Z148" s="920">
        <f t="shared" si="57"/>
        <v>40.831424002549866</v>
      </c>
      <c r="AA148" s="920" t="str">
        <f t="shared" si="58"/>
        <v/>
      </c>
      <c r="AB148" s="917">
        <f t="shared" si="59"/>
        <v>175997.51725237013</v>
      </c>
      <c r="AC148" s="918">
        <f t="shared" si="60"/>
        <v>204157.12001274934</v>
      </c>
      <c r="AD148" s="916">
        <f t="shared" si="61"/>
        <v>21204.860153947284</v>
      </c>
      <c r="AE148" s="916">
        <f t="shared" si="62"/>
        <v>500</v>
      </c>
      <c r="AF148" s="919" cm="1">
        <f t="array" ref="AF148">IFERROR(_xlfn.LET(_xlpm.lam,TEXT(B148,"0"),_xlpm.thick,D148,_xlpm.crit,(TEXT(HELPER!$BZ$2:$BZ$250,"0")=_xlpm.lam)*(HELPER!$CC$2:$CC$250=_xlpm.thick)*(HELPER!$BW$2:$BW$250&lt;&gt;""),_xlpm.mats,TRIM(SUBSTITUTE(_xlfn._xlws.FILTER(HELPER!$BW$2:$BW$250,_xlpm.crit),CHAR(160),"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8" s="919">
        <f>IFERROR(IF(N148="Europe to Canada",IF(Q148&lt;1000,VLOOKUP(1000,HELPER!$AG$4:$AH$8,2,FALSE)/Q148,VLOOKUP(Q148,HELPER!$AG$4:$AH$8,2,TRUE)/Q148),IF(N148="Europe to US",HELPER!$AH$2,IF(N148="Europe to Europe",HELPER!$AH$3,0))),0)</f>
        <v>0.2</v>
      </c>
      <c r="AH148" s="919" cm="1">
        <f t="array" ref="AH148">IFERROR(_xlfn.LET(_xlpm.cap,IF(O148="Quantum",760,1220),_xlpm.wUsed,E148*MAX(1,MIN(MAX(2,INT(900/E148)),INT((_xlpm.cap-50)/E148))),_xlpm.kgmUsed,AR148/E148*_xlpm.wUsed,_xlpm.lam,TEXT(B148,"0"),_xlpm.crit,(TEXT(HELPER!$BZ$2:$BZ$250,"0")=_xlpm.lam)*(HELPER!$CC$2:$CC$250=D148)*(HELPER!$BW$2:$BW$250&lt;&gt;""),_xlpm.mats,_xlfn._xlws.FILTER(HELPER!$BW$2:$BW$250,_xlpm.crit),_xlpm.realLayers,SUM((_xlpm.mats&lt;&gt;"")*ISERROR(SEARCH("EPOTAL",_xlpm.mats&amp;""))*ISERROR(SEARCH("BASONAT",_xlpm.mats&amp;""))*ISERROR(SEARCH("ADH",_xlpm.mats&amp;""))*ISERROR(SEARCH("HARDENER",_xlpm.mats&amp;""))),_xlpm.steps,MAX(0,_xlpm.realLayers-1),_xlpm.tier,IF(P148&lt;3000,1,IF(P148&lt;10000,2,IF(P148&lt;25000,3,IF(P148&lt;50000,4,IF(P148&lt;100000,5,IF(P148&lt;250000,6,7)))))),_xlpm.widthRow,IF(_xlpm.wUsed&lt;900,0,5),_xlpm.supplierRow,IF(O148="Marma",3,IF(OR(O148="Bastin",O148="Quantum"),13,0)),_xlpm.rate,INDEX('Lmntn &amp; Prntng- Marma &amp; Bastin '!$D$1:$K$22,_xlpm.supplierRow+_xlpm.widthRow,_xlpm.tier),_xlpm.rate*_xlpm.steps/_xlpm.kgmUsed),"")</f>
        <v>2.3147437392650398</v>
      </c>
      <c r="AI148" s="919" cm="1">
        <f t="array" ref="AI148">IFERROR(_xlfn.LET(_xlpm.cap,IF(O148="Quantum",760,1220),_xlpm.wUsed,E148*MAX(1,MIN(MAX(2,INT(900/E148)),INT((_xlpm.cap-50)/E148))),_xlpm.kgmUsed,AR148/E148*_xlpm.wUsed,_xlpm.tier,IF(P148&lt;3000,1,IF(P148&lt;10000,2,IF(P148&lt;25000,3,IF(P148&lt;50000,4,IF(P148&lt;100000,5,IF(P148&lt;250000,6,IF(P148&lt;500000,7,8))))))),_xlpm.widthRow,IF(_xlpm.wUsed&lt;900,0,5),_xlpm.slitRow,IF(O148="Marma",7,IF(OR(O148="Bastin",O148="Quantum"),17,0)),_xlpm.slitRate,INDEX('Lmntn &amp; Prntng- Marma &amp; Bastin '!$D$1:$K$22,_xlpm.slitRow+_xlpm.widthRow,_xlpm.tier),_xlpm.numColors,IF(ISNUMBER(L148),L148,IFERROR(--RIGHT(L148,LEN(L148)-FIND("-",L148)),0)),_xlpm.printRate,IF(OR(K148&lt;&gt;"Printed",_xlpm.numColors=0),0,IF(O148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148))),MAX(_xlfn._xlws.FILTER(_xlpm.meters,(_xlpm.widths=_xlpm.qWidth)*(_xlpm.bands=_xlpm.band)))),INDEX(_xlpm.rates,_xlfn.XMATCH(1,(_xlpm.widths=_xlpm.qWidth)*(_xlpm.bands=_xlpm.band)*(_xlpm.meters=_xlpm.targetM),0))/HELPER!$AK$2),_xlfn.LET(_xlpm.colorOffset,IF(_xlpm.numColors&lt;=2,1,IF(_xlpm.numColors&lt;=4,2,3)),_xlpm.supplierRow,IF(O148="Marma",3,IF(O148="Bastin",13,0)),INDEX('Lmntn &amp; Prntng- Marma &amp; Bastin '!$D$1:$K$22,_xlpm.supplierRow+_xlpm.widthRow+_xlpm.colorOffset,_xlpm.tier)))),AH148+_xlpm.slitRate/_xlpm.kgmUsed+_xlpm.printRate/_xlpm.kgmUsed+AJ148),"")</f>
        <v>19.216238348477749</v>
      </c>
      <c r="AJ148" s="919" cm="1">
        <f t="array" ref="AJ148">IF(OR(K148&lt;&gt;"Printed",L148=0,L148="0",L148=""),0,IFERROR(_xlfn.LET(_xlpm.lam,TEXT(B148,"0"),_xlpm.crit,(TEXT(HELPER!$BZ$2:$BZ$250,"0")=_xlpm.lam)*(HELPER!$CC$2:$CC$250=D148)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WHITE"},0)))/ROWS(_xlpm.real),_xlpm.numColors,IF(ISNUMBER(L148),L148,IFERROR(--RIGHT(L148,LEN(L148)-FIND("-",L148)),0)),HELPER!$DB$1*_xlpm.numColors*MAX(1,M148)*1.05*_xlpm.nkRatio/Q148),0))</f>
        <v>0.504</v>
      </c>
      <c r="AK148" s="919">
        <f t="shared" si="63"/>
        <v>1.5299293854570548</v>
      </c>
      <c r="AL148" s="919">
        <f t="shared" si="64"/>
        <v>829.98669161045223</v>
      </c>
      <c r="AM148" s="73" t="str">
        <f t="shared" si="65"/>
        <v>PASS</v>
      </c>
      <c r="AN148" s="908" t="str">
        <f t="shared" si="44"/>
        <v/>
      </c>
      <c r="AO148" s="919">
        <f t="shared" si="45"/>
        <v>51</v>
      </c>
      <c r="AP148" s="919">
        <f t="shared" si="46"/>
        <v>212048.60153947285</v>
      </c>
      <c r="AQ148" s="919"/>
      <c r="AR148" s="919" cm="1">
        <f t="array" ref="AR148">IFERROR(_xlfn.LET(_xlpm.lam,TEXT(B148,"0"),_xlpm.thick,D148,_xlpm.crit,(TEXT(HELPER!$BZ$2:$BZ$250,"0")=_xlpm.lam)*(HELPER!$CC$2:$CC$250=_xlpm.thick)*(HELPER!$BW$2:$BW$250&lt;&gt;""),_xlpm.mats,TRIM(SUBSTITUTE(_xlfn._xlws.FILTER(HELPER!$BW$2:$BW$250,_xlpm.crit),CHAR(160),"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")),HELPER!$AQ$2:$AQ$20,1),_xlpm.mass,IF(ISNUMBER(SEARCH("paper",_xlpm.mats)),42,_xlpm.dens*_xlpm.ths),E148/1000000*SUM(_xlpm.mass)),"")</f>
        <v>2.35795E-2</v>
      </c>
      <c r="AS148" s="919">
        <f>IFERROR(IF(D148&gt;31,(5%+250/P148)*AF148,VLOOKUP(D148,HELPER!$BH$3:$BI$5,2,TRUE)*AF148),0)</f>
        <v>0.42569004831226931</v>
      </c>
      <c r="AT148" s="919">
        <v>0.20000000000000201</v>
      </c>
      <c r="AU148" s="919"/>
      <c r="AV148" s="919"/>
      <c r="AW148" s="919"/>
      <c r="AX148" s="919"/>
      <c r="AY148" s="919"/>
      <c r="AZ148" s="919">
        <f t="shared" si="47"/>
        <v>2520</v>
      </c>
    </row>
    <row r="149" spans="1:52">
      <c r="A149" s="73" t="s">
        <v>1570</v>
      </c>
      <c r="B149" s="73">
        <v>918</v>
      </c>
      <c r="C149" s="908" t="s">
        <v>1424</v>
      </c>
      <c r="D149" s="915" cm="1">
        <f t="array" ref="D14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9" s="915">
        <v>900</v>
      </c>
      <c r="F149" s="73" t="s">
        <v>560</v>
      </c>
      <c r="G149" s="916">
        <v>25000</v>
      </c>
      <c r="H149" s="916">
        <v>25000</v>
      </c>
      <c r="I149" s="916"/>
      <c r="J149" s="916"/>
      <c r="K149" s="73" t="s">
        <v>123</v>
      </c>
      <c r="L149" s="921" t="s">
        <v>592</v>
      </c>
      <c r="M149" s="915">
        <v>8</v>
      </c>
      <c r="N149" s="73" t="s">
        <v>550</v>
      </c>
      <c r="O149" s="73" t="s">
        <v>250</v>
      </c>
      <c r="P149" s="916" cm="1">
        <f t="array" ref="P149">IFERROR(_xlfn.SWITCH(F149,"By Weight",IF(H149&lt;&gt;"",H149,G149)/AR149,"By Length",G149,"By Imp",G149/MAX(1,ROUNDDOWN(E149/I149,0))*J149/1000,"IMP",G149/MAX(1,ROUNDDOWN(E149/I149,0))*J149/1000,""),"")</f>
        <v>412316.72521564167</v>
      </c>
      <c r="Q149" s="916">
        <f t="shared" si="48"/>
        <v>25000</v>
      </c>
      <c r="R149" s="917">
        <f t="shared" si="49"/>
        <v>459308.96775172022</v>
      </c>
      <c r="S149" s="918">
        <f t="shared" si="50"/>
        <v>532798.40259199543</v>
      </c>
      <c r="T149" s="919">
        <f t="shared" si="51"/>
        <v>18.372358710068809</v>
      </c>
      <c r="U149" s="920">
        <f t="shared" si="52"/>
        <v>21.311936103679816</v>
      </c>
      <c r="V149" s="919">
        <f t="shared" si="53"/>
        <v>1.3105543831383477</v>
      </c>
      <c r="W149" s="919">
        <f t="shared" si="54"/>
        <v>21.614539658904356</v>
      </c>
      <c r="X149" s="919" t="str">
        <f t="shared" si="55"/>
        <v/>
      </c>
      <c r="Y149" s="920">
        <f t="shared" si="56"/>
        <v>1.5202430844404833</v>
      </c>
      <c r="Z149" s="920">
        <f t="shared" si="57"/>
        <v>25.07286600432905</v>
      </c>
      <c r="AA149" s="920" t="str">
        <f t="shared" si="58"/>
        <v/>
      </c>
      <c r="AB149" s="917">
        <f t="shared" si="59"/>
        <v>540363.49147260888</v>
      </c>
      <c r="AC149" s="918">
        <f t="shared" si="60"/>
        <v>626821.65010822623</v>
      </c>
      <c r="AD149" s="916">
        <f t="shared" si="61"/>
        <v>8246.3345043128338</v>
      </c>
      <c r="AE149" s="916">
        <f t="shared" si="62"/>
        <v>500</v>
      </c>
      <c r="AF149" s="919" cm="1">
        <f t="array" ref="AF149">IFERROR(_xlfn.LET(_xlpm.lam,TEXT(B149,"0"),_xlpm.thick,D149,_xlpm.crit,(TEXT(HELPER!$BZ$2:$BZ$250,"0")=_xlpm.lam)*(HELPER!$CC$2:$CC$250=_xlpm.thick)*(HELPER!$BW$2:$BW$250&lt;&gt;""),_xlpm.mats,TRIM(SUBSTITUTE(_xlfn._xlws.FILTER(HELPER!$BW$2:$BW$250,_xlpm.crit),CHAR(160),"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9" s="919">
        <f>IFERROR(IF(N149="Europe to Canada",IF(Q149&lt;1000,VLOOKUP(1000,HELPER!$AG$4:$AH$8,2,FALSE)/Q149,VLOOKUP(Q149,HELPER!$AG$4:$AH$8,2,TRUE)/Q149),IF(N149="Europe to US",HELPER!$AH$2,IF(N149="Europe to Europe",HELPER!$AH$3,0))),0)</f>
        <v>5.4</v>
      </c>
      <c r="AH149" s="919" cm="1">
        <f t="array" ref="AH149">IFERROR(_xlfn.LET(_xlpm.cap,IF(O149="Quantum",760,1220),_xlpm.wUsed,E149*MAX(1,MIN(MAX(2,INT(900/E149)),INT((_xlpm.cap-50)/E149))),_xlpm.kgmUsed,AR149/E149*_xlpm.wUsed,_xlpm.lam,TEXT(B149,"0"),_xlpm.crit,(TEXT(HELPER!$BZ$2:$BZ$250,"0")=_xlpm.lam)*(HELPER!$CC$2:$CC$250=D149)*(HELPER!$BW$2:$BW$250&lt;&gt;""),_xlpm.mats,_xlfn._xlws.FILTER(HELPER!$BW$2:$BW$250,_xlpm.crit),_xlpm.realLayers,SUM((_xlpm.mats&lt;&gt;"")*ISERROR(SEARCH("EPOTAL",_xlpm.mats&amp;""))*ISERROR(SEARCH("BASONAT",_xlpm.mats&amp;""))*ISERROR(SEARCH("ADH",_xlpm.mats&amp;""))*ISERROR(SEARCH("HARDENER",_xlpm.mats&amp;""))),_xlpm.steps,MAX(0,_xlpm.realLayers-1),_xlpm.tier,IF(P149&lt;3000,1,IF(P149&lt;10000,2,IF(P149&lt;25000,3,IF(P149&lt;50000,4,IF(P149&lt;100000,5,IF(P149&lt;250000,6,7)))))),_xlpm.widthRow,IF(_xlpm.wUsed&lt;900,0,5),_xlpm.supplierRow,IF(O149="Marma",3,IF(OR(O149="Bastin",O149="Quantum"),13,0)),_xlpm.rate,INDEX('Lmntn &amp; Prntng- Marma &amp; Bastin '!$D$1:$K$22,_xlpm.supplierRow+_xlpm.widthRow,_xlpm.tier),_xlpm.rate*_xlpm.steps/_xlpm.kgmUsed),"")</f>
        <v>1.3764781554598979</v>
      </c>
      <c r="AI149" s="919" cm="1">
        <f t="array" ref="AI149">IFERROR(_xlfn.LET(_xlpm.cap,IF(O149="Quantum",760,1220),_xlpm.wUsed,E149*MAX(1,MIN(MAX(2,INT(900/E149)),INT((_xlpm.cap-50)/E149))),_xlpm.kgmUsed,AR149/E149*_xlpm.wUsed,_xlpm.tier,IF(P149&lt;3000,1,IF(P149&lt;10000,2,IF(P149&lt;25000,3,IF(P149&lt;50000,4,IF(P149&lt;100000,5,IF(P149&lt;250000,6,IF(P149&lt;500000,7,8))))))),_xlpm.widthRow,IF(_xlpm.wUsed&lt;900,0,5),_xlpm.slitRow,IF(O149="Marma",7,IF(OR(O149="Bastin",O149="Quantum"),17,0)),_xlpm.slitRate,INDEX('Lmntn &amp; Prntng- Marma &amp; Bastin '!$D$1:$K$22,_xlpm.slitRow+_xlpm.widthRow,_xlpm.tier),_xlpm.numColors,IF(ISNUMBER(L149),L149,IFERROR(--RIGHT(L149,LEN(L149)-FIND("-",L149)),0)),_xlpm.printRate,IF(OR(K149&lt;&gt;"Printed",_xlpm.numColors=0),0,IF(O149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149))),MAX(_xlfn._xlws.FILTER(_xlpm.meters,(_xlpm.widths=_xlpm.qWidth)*(_xlpm.bands=_xlpm.band)))),INDEX(_xlpm.rates,_xlfn.XMATCH(1,(_xlpm.widths=_xlpm.qWidth)*(_xlpm.bands=_xlpm.band)*(_xlpm.meters=_xlpm.targetM),0))/HELPER!$AK$2),_xlfn.LET(_xlpm.colorOffset,IF(_xlpm.numColors&lt;=2,1,IF(_xlpm.numColors&lt;=4,2,3)),_xlpm.supplierRow,IF(O149="Marma",3,IF(O149="Bastin",13,0)),INDEX('Lmntn &amp; Prntng- Marma &amp; Bastin '!$D$1:$K$22,_xlpm.supplierRow+_xlpm.widthRow+_xlpm.colorOffset,_xlpm.tier)))),AH149+_xlpm.slitRate/_xlpm.kgmUsed+_xlpm.printRate/_xlpm.kgmUsed+AJ149),"")</f>
        <v>4.2337573728033444</v>
      </c>
      <c r="AJ149" s="919" cm="1">
        <f t="array" ref="AJ149">IF(OR(K149&lt;&gt;"Printed",L149=0,L149="0",L149=""),0,IFERROR(_xlfn.LET(_xlpm.lam,TEXT(B149,"0"),_xlpm.crit,(TEXT(HELPER!$BZ$2:$BZ$250,"0")=_xlpm.lam)*(HELPER!$CC$2:$CC$250=D149)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WHITE"},0)))/ROWS(_xlpm.real),_xlpm.numColors,IF(ISNUMBER(L149),L149,IFERROR(--RIGHT(L149,LEN(L149)-FIND("-",L149)),0)),HELPER!$DB$1*_xlpm.numColors*MAX(1,M149)*1.05*_xlpm.nkRatio/Q149),0))</f>
        <v>0.4032</v>
      </c>
      <c r="AK149" s="919">
        <f t="shared" si="63"/>
        <v>0.93946550762605574</v>
      </c>
      <c r="AL149" s="919">
        <f t="shared" si="64"/>
        <v>1310.5543831383477</v>
      </c>
      <c r="AM149" s="73" t="str">
        <f t="shared" si="65"/>
        <v>PASS</v>
      </c>
      <c r="AN149" s="908" t="str">
        <f t="shared" si="44"/>
        <v/>
      </c>
      <c r="AO149" s="919">
        <f t="shared" si="45"/>
        <v>51</v>
      </c>
      <c r="AP149" s="919">
        <f t="shared" si="46"/>
        <v>412316.72521564167</v>
      </c>
      <c r="AQ149" s="919"/>
      <c r="AR149" s="919" cm="1">
        <f t="array" ref="AR149">IFERROR(_xlfn.LET(_xlpm.lam,TEXT(B149,"0"),_xlpm.thick,D149,_xlpm.crit,(TEXT(HELPER!$BZ$2:$BZ$250,"0")=_xlpm.lam)*(HELPER!$CC$2:$CC$250=_xlpm.thick)*(HELPER!$BW$2:$BW$250&lt;&gt;""),_xlpm.mats,TRIM(SUBSTITUTE(_xlfn._xlws.FILTER(HELPER!$BW$2:$BW$250,_xlpm.crit),CHAR(160),"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")),HELPER!$AQ$2:$AQ$20,1),_xlpm.mass,IF(ISNUMBER(SEARCH("paper",_xlpm.mats)),42,_xlpm.dens*_xlpm.ths),E149/1000000*SUM(_xlpm.mass)),"")</f>
        <v>6.0632999999999999E-2</v>
      </c>
      <c r="AS149" s="919">
        <f>IFERROR(IF(D149&gt;31,(5%+250/P149)*AF149,VLOOKUP(D149,HELPER!$BH$3:$BI$5,2,TRUE)*AF149),0)</f>
        <v>0.42092697367633186</v>
      </c>
      <c r="AT149" s="919">
        <v>0.149999999999995</v>
      </c>
      <c r="AU149" s="919"/>
      <c r="AV149" s="919"/>
      <c r="AW149" s="919"/>
      <c r="AX149" s="919"/>
      <c r="AY149" s="919"/>
      <c r="AZ149" s="919">
        <f t="shared" si="47"/>
        <v>10080</v>
      </c>
    </row>
    <row r="150" spans="1:52">
      <c r="A150" s="73" t="s">
        <v>1571</v>
      </c>
      <c r="B150" s="73">
        <v>918</v>
      </c>
      <c r="C150" s="908" t="s">
        <v>1426</v>
      </c>
      <c r="D150" s="915" cm="1">
        <f t="array" ref="D15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0" s="915">
        <v>350</v>
      </c>
      <c r="F150" s="73" t="s">
        <v>561</v>
      </c>
      <c r="G150" s="916">
        <v>2000</v>
      </c>
      <c r="H150" s="916"/>
      <c r="I150" s="916"/>
      <c r="J150" s="916"/>
      <c r="K150" s="73" t="s">
        <v>124</v>
      </c>
      <c r="L150" s="921" t="s">
        <v>221</v>
      </c>
      <c r="M150" s="915">
        <v>1</v>
      </c>
      <c r="N150" s="73" t="s">
        <v>549</v>
      </c>
      <c r="O150" s="73" t="s">
        <v>240</v>
      </c>
      <c r="P150" s="916" cm="1">
        <f t="array" ref="P150">IFERROR(_xlfn.SWITCH(F150,"By Weight",IF(H150&lt;&gt;"",H150,G150)/AR150,"By Length",G150,"By Imp",G150/MAX(1,ROUNDDOWN(E150/I150,0))*J150/1000,"IMP",G150/MAX(1,ROUNDDOWN(E150/I150,0))*J150/1000,""),"")</f>
        <v>2000</v>
      </c>
      <c r="Q150" s="916">
        <f t="shared" si="48"/>
        <v>47.158999999999999</v>
      </c>
      <c r="R150" s="917">
        <f t="shared" si="49"/>
        <v>667.47431624218746</v>
      </c>
      <c r="S150" s="918">
        <f t="shared" si="50"/>
        <v>774.27020684093736</v>
      </c>
      <c r="T150" s="919">
        <f t="shared" si="51"/>
        <v>14.15369953226717</v>
      </c>
      <c r="U150" s="920">
        <f t="shared" si="52"/>
        <v>16.418291457429916</v>
      </c>
      <c r="V150" s="919">
        <f t="shared" si="53"/>
        <v>0.39263195073069856</v>
      </c>
      <c r="W150" s="919">
        <f t="shared" si="54"/>
        <v>16.651411214431967</v>
      </c>
      <c r="X150" s="919" t="str">
        <f t="shared" si="55"/>
        <v/>
      </c>
      <c r="Y150" s="920">
        <f t="shared" si="56"/>
        <v>0.45545306284761028</v>
      </c>
      <c r="Z150" s="920">
        <f t="shared" si="57"/>
        <v>19.315637008741081</v>
      </c>
      <c r="AA150" s="920" t="str">
        <f t="shared" si="58"/>
        <v/>
      </c>
      <c r="AB150" s="917">
        <f t="shared" si="59"/>
        <v>785.26390146139715</v>
      </c>
      <c r="AC150" s="918">
        <f t="shared" si="60"/>
        <v>910.90612569522068</v>
      </c>
      <c r="AD150" s="916">
        <f t="shared" si="61"/>
        <v>21204.860153947284</v>
      </c>
      <c r="AE150" s="916">
        <f t="shared" si="62"/>
        <v>500</v>
      </c>
      <c r="AF150" s="919" cm="1">
        <f t="array" ref="AF150">IFERROR(_xlfn.LET(_xlpm.lam,TEXT(B150,"0"),_xlpm.thick,D150,_xlpm.crit,(TEXT(HELPER!$BZ$2:$BZ$250,"0")=_xlpm.lam)*(HELPER!$CC$2:$CC$250=_xlpm.thick)*(HELPER!$BW$2:$BW$250&lt;&gt;""),_xlpm.mats,TRIM(SUBSTITUTE(_xlfn._xlws.FILTER(HELPER!$BW$2:$BW$250,_xlpm.crit),CHAR(160),"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0" s="919">
        <f>IFERROR(IF(N150="Europe to Canada",IF(Q150&lt;1000,VLOOKUP(1000,HELPER!$AG$4:$AH$8,2,FALSE)/Q150,VLOOKUP(Q150,HELPER!$AG$4:$AH$8,2,TRUE)/Q150),IF(N150="Europe to US",HELPER!$AH$2,IF(N150="Europe to Europe",HELPER!$AH$3,0))),0)</f>
        <v>0.2</v>
      </c>
      <c r="AH150" s="919" cm="1">
        <f t="array" ref="AH150">IFERROR(_xlfn.LET(_xlpm.cap,IF(O150="Quantum",760,1220),_xlpm.wUsed,E150*MAX(1,MIN(MAX(2,INT(900/E150)),INT((_xlpm.cap-50)/E150))),_xlpm.kgmUsed,AR150/E150*_xlpm.wUsed,_xlpm.lam,TEXT(B150,"0"),_xlpm.crit,(TEXT(HELPER!$BZ$2:$BZ$250,"0")=_xlpm.lam)*(HELPER!$CC$2:$CC$250=D150)*(HELPER!$BW$2:$BW$250&lt;&gt;""),_xlpm.mats,_xlfn._xlws.FILTER(HELPER!$BW$2:$BW$250,_xlpm.crit),_xlpm.realLayers,SUM((_xlpm.mats&lt;&gt;"")*ISERROR(SEARCH("EPOTAL",_xlpm.mats&amp;""))*ISERROR(SEARCH("BASONAT",_xlpm.mats&amp;""))*ISERROR(SEARCH("ADH",_xlpm.mats&amp;""))*ISERROR(SEARCH("HARDENER",_xlpm.mats&amp;""))),_xlpm.steps,MAX(0,_xlpm.realLayers-1),_xlpm.tier,IF(P150&lt;3000,1,IF(P150&lt;10000,2,IF(P150&lt;25000,3,IF(P150&lt;50000,4,IF(P150&lt;100000,5,IF(P150&lt;250000,6,7)))))),_xlpm.widthRow,IF(_xlpm.wUsed&lt;900,0,5),_xlpm.supplierRow,IF(O150="Marma",3,IF(OR(O150="Bastin",O150="Quantum"),13,0)),_xlpm.rate,INDEX('Lmntn &amp; Prntng- Marma &amp; Bastin '!$D$1:$K$22,_xlpm.supplierRow+_xlpm.widthRow,_xlpm.tier),_xlpm.rate*_xlpm.steps/_xlpm.kgmUsed),"")</f>
        <v>3.2178163235013466</v>
      </c>
      <c r="AI150" s="919" cm="1">
        <f t="array" ref="AI150">IFERROR(_xlfn.LET(_xlpm.cap,IF(O150="Quantum",760,1220),_xlpm.wUsed,E150*MAX(1,MIN(MAX(2,INT(900/E150)),INT((_xlpm.cap-50)/E150))),_xlpm.kgmUsed,AR150/E150*_xlpm.wUsed,_xlpm.tier,IF(P150&lt;3000,1,IF(P150&lt;10000,2,IF(P150&lt;25000,3,IF(P150&lt;50000,4,IF(P150&lt;100000,5,IF(P150&lt;250000,6,IF(P150&lt;500000,7,8))))))),_xlpm.widthRow,IF(_xlpm.wUsed&lt;900,0,5),_xlpm.slitRow,IF(O150="Marma",7,IF(OR(O150="Bastin",O150="Quantum"),17,0)),_xlpm.slitRate,INDEX('Lmntn &amp; Prntng- Marma &amp; Bastin '!$D$1:$K$22,_xlpm.slitRow+_xlpm.widthRow,_xlpm.tier),_xlpm.numColors,IF(ISNUMBER(L150),L150,IFERROR(--RIGHT(L150,LEN(L150)-FIND("-",L150)),0)),_xlpm.printRate,IF(OR(K150&lt;&gt;"Printed",_xlpm.numColors=0),0,IF(O150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150))),MAX(_xlfn._xlws.FILTER(_xlpm.meters,(_xlpm.widths=_xlpm.qWidth)*(_xlpm.bands=_xlpm.band)))),INDEX(_xlpm.rates,_xlfn.XMATCH(1,(_xlpm.widths=_xlpm.qWidth)*(_xlpm.bands=_xlpm.band)*(_xlpm.meters=_xlpm.targetM),0))/HELPER!$AK$2),_xlfn.LET(_xlpm.colorOffset,IF(_xlpm.numColors&lt;=2,1,IF(_xlpm.numColors&lt;=4,2,3)),_xlpm.supplierRow,IF(O150="Marma",3,IF(O150="Bastin",13,0)),INDEX('Lmntn &amp; Prntng- Marma &amp; Bastin '!$D$1:$K$22,_xlpm.supplierRow+_xlpm.widthRow+_xlpm.colorOffset,_xlpm.tier)))),AH150+_xlpm.slitRate/_xlpm.kgmUsed+_xlpm.printRate/_xlpm.kgmUsed+AJ150),"")</f>
        <v>4.180432155049937</v>
      </c>
      <c r="AJ150" s="919" cm="1">
        <f t="array" ref="AJ150">IF(OR(K150&lt;&gt;"Printed",L150=0,L150="0",L150=""),0,IFERROR(_xlfn.LET(_xlpm.lam,TEXT(B150,"0"),_xlpm.crit,(TEXT(HELPER!$BZ$2:$BZ$250,"0")=_xlpm.lam)*(HELPER!$CC$2:$CC$250=D150)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WHITE"},0)))/ROWS(_xlpm.real),_xlpm.numColors,IF(ISNUMBER(L150),L150,IFERROR(--RIGHT(L150,LEN(L150)-FIND("-",L150)),0)),HELPER!$DB$1*_xlpm.numColors*MAX(1,M150)*1.05*_xlpm.nkRatio/Q150),0))</f>
        <v>0</v>
      </c>
      <c r="AK150" s="919">
        <f t="shared" si="63"/>
        <v>0.72374553130082686</v>
      </c>
      <c r="AL150" s="919">
        <f t="shared" si="64"/>
        <v>392.63195073069858</v>
      </c>
      <c r="AM150" s="73" t="str">
        <f t="shared" si="65"/>
        <v>PASS</v>
      </c>
      <c r="AN150" s="908" t="str">
        <f t="shared" si="44"/>
        <v/>
      </c>
      <c r="AO150" s="919">
        <f t="shared" si="45"/>
        <v>51</v>
      </c>
      <c r="AP150" s="919">
        <f t="shared" si="46"/>
        <v>2000</v>
      </c>
      <c r="AQ150" s="919"/>
      <c r="AR150" s="919" cm="1">
        <f t="array" ref="AR150">IFERROR(_xlfn.LET(_xlpm.lam,TEXT(B150,"0"),_xlpm.thick,D150,_xlpm.crit,(TEXT(HELPER!$BZ$2:$BZ$250,"0")=_xlpm.lam)*(HELPER!$CC$2:$CC$250=_xlpm.thick)*(HELPER!$BW$2:$BW$250&lt;&gt;""),_xlpm.mats,TRIM(SUBSTITUTE(_xlfn._xlws.FILTER(HELPER!$BW$2:$BW$250,_xlpm.crit),CHAR(160),"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")),HELPER!$AQ$2:$AQ$20,1),_xlpm.mass,IF(ISNUMBER(SEARCH("paper",_xlpm.mats)),42,_xlpm.dens*_xlpm.ths),E150/1000000*SUM(_xlpm.mass)),"")</f>
        <v>2.35795E-2</v>
      </c>
      <c r="AS150" s="919">
        <f>IFERROR(IF(D150&gt;31,(5%+250/P150)*AF150,VLOOKUP(D150,HELPER!$BH$3:$BI$5,2,TRUE)*AF150),0)</f>
        <v>1.4555930136280988</v>
      </c>
      <c r="AT150" s="919">
        <v>0.15</v>
      </c>
      <c r="AU150" s="919"/>
      <c r="AV150" s="919"/>
      <c r="AW150" s="919"/>
      <c r="AX150" s="919"/>
      <c r="AY150" s="919"/>
      <c r="AZ150" s="919">
        <f t="shared" si="47"/>
        <v>0</v>
      </c>
    </row>
    <row r="151" spans="1:52">
      <c r="A151" s="73" t="s">
        <v>1572</v>
      </c>
      <c r="B151" s="73">
        <v>918</v>
      </c>
      <c r="C151" s="908" t="s">
        <v>1428</v>
      </c>
      <c r="D151" s="915" cm="1">
        <f t="array" ref="D15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1" s="915">
        <v>600</v>
      </c>
      <c r="F151" s="73" t="s">
        <v>561</v>
      </c>
      <c r="G151" s="916">
        <v>250000</v>
      </c>
      <c r="H151" s="916"/>
      <c r="I151" s="916"/>
      <c r="J151" s="916"/>
      <c r="K151" s="73" t="s">
        <v>123</v>
      </c>
      <c r="L151" s="921" t="s">
        <v>122</v>
      </c>
      <c r="M151" s="915">
        <v>4</v>
      </c>
      <c r="N151" s="73" t="s">
        <v>550</v>
      </c>
      <c r="O151" s="73" t="s">
        <v>1366</v>
      </c>
      <c r="P151" s="916" cm="1">
        <f t="array" ref="P151">IFERROR(_xlfn.SWITCH(F151,"By Weight",IF(H151&lt;&gt;"",H151,G151)/AR151,"By Length",G151,"By Imp",G151/MAX(1,ROUNDDOWN(E151/I151,0))*J151/1000,"IMP",G151/MAX(1,ROUNDDOWN(E151/I151,0))*J151/1000,""),"")</f>
        <v>250000</v>
      </c>
      <c r="Q151" s="916">
        <f t="shared" si="48"/>
        <v>10105.5</v>
      </c>
      <c r="R151" s="917">
        <f t="shared" si="49"/>
        <v>365819.08752255928</v>
      </c>
      <c r="S151" s="918">
        <f t="shared" si="50"/>
        <v>424350.14152616874</v>
      </c>
      <c r="T151" s="919">
        <f t="shared" si="51"/>
        <v>36.199998765282203</v>
      </c>
      <c r="U151" s="920">
        <f t="shared" si="52"/>
        <v>41.99199856772735</v>
      </c>
      <c r="V151" s="919">
        <f t="shared" si="53"/>
        <v>1.8290954376127899</v>
      </c>
      <c r="W151" s="919">
        <f t="shared" si="54"/>
        <v>45.24999845660259</v>
      </c>
      <c r="X151" s="919" t="str">
        <f t="shared" si="55"/>
        <v/>
      </c>
      <c r="Y151" s="920">
        <f t="shared" si="56"/>
        <v>2.1217507076308362</v>
      </c>
      <c r="Z151" s="920">
        <f t="shared" si="57"/>
        <v>52.489998209658999</v>
      </c>
      <c r="AA151" s="920" t="str">
        <f t="shared" si="58"/>
        <v/>
      </c>
      <c r="AB151" s="917">
        <f t="shared" si="59"/>
        <v>457273.85940319748</v>
      </c>
      <c r="AC151" s="918">
        <f t="shared" si="60"/>
        <v>530437.67690770898</v>
      </c>
      <c r="AD151" s="916">
        <f t="shared" si="61"/>
        <v>12369.50175646925</v>
      </c>
      <c r="AE151" s="916">
        <f t="shared" si="62"/>
        <v>500</v>
      </c>
      <c r="AF151" s="919" cm="1">
        <f t="array" ref="AF151">IFERROR(_xlfn.LET(_xlpm.lam,TEXT(B151,"0"),_xlpm.thick,D151,_xlpm.crit,(TEXT(HELPER!$BZ$2:$BZ$250,"0")=_xlpm.lam)*(HELPER!$CC$2:$CC$250=_xlpm.thick)*(HELPER!$BW$2:$BW$250&lt;&gt;""),_xlpm.mats,TRIM(SUBSTITUTE(_xlfn._xlws.FILTER(HELPER!$BW$2:$BW$250,_xlpm.crit),CHAR(160),"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1" s="919">
        <f>IFERROR(IF(N151="Europe to Canada",IF(Q151&lt;1000,VLOOKUP(1000,HELPER!$AG$4:$AH$8,2,FALSE)/Q151,VLOOKUP(Q151,HELPER!$AG$4:$AH$8,2,TRUE)/Q151),IF(N151="Europe to US",HELPER!$AH$2,IF(N151="Europe to Europe",HELPER!$AH$3,0))),0)</f>
        <v>5.4</v>
      </c>
      <c r="AH151" s="919" cm="1">
        <f t="array" ref="AH151">IFERROR(_xlfn.LET(_xlpm.cap,IF(O151="Quantum",760,1220),_xlpm.wUsed,E151*MAX(1,MIN(MAX(2,INT(900/E151)),INT((_xlpm.cap-50)/E151))),_xlpm.kgmUsed,AR151/E151*_xlpm.wUsed,_xlpm.lam,TEXT(B151,"0"),_xlpm.crit,(TEXT(HELPER!$BZ$2:$BZ$250,"0")=_xlpm.lam)*(HELPER!$CC$2:$CC$250=D151)*(HELPER!$BW$2:$BW$250&lt;&gt;""),_xlpm.mats,_xlfn._xlws.FILTER(HELPER!$BW$2:$BW$250,_xlpm.crit),_xlpm.realLayers,SUM((_xlpm.mats&lt;&gt;"")*ISERROR(SEARCH("EPOTAL",_xlpm.mats&amp;""))*ISERROR(SEARCH("BASONAT",_xlpm.mats&amp;""))*ISERROR(SEARCH("ADH",_xlpm.mats&amp;""))*ISERROR(SEARCH("HARDENER",_xlpm.mats&amp;""))),_xlpm.steps,MAX(0,_xlpm.realLayers-1),_xlpm.tier,IF(P151&lt;3000,1,IF(P151&lt;10000,2,IF(P151&lt;25000,3,IF(P151&lt;50000,4,IF(P151&lt;100000,5,IF(P151&lt;250000,6,7)))))),_xlpm.widthRow,IF(_xlpm.wUsed&lt;900,0,5),_xlpm.supplierRow,IF(O151="Marma",3,IF(OR(O151="Bastin",O151="Quantum"),13,0)),_xlpm.rate,INDEX('Lmntn &amp; Prntng- Marma &amp; Bastin '!$D$1:$K$22,_xlpm.supplierRow+_xlpm.widthRow,_xlpm.tier),_xlpm.rate*_xlpm.steps/_xlpm.kgmUsed),"")</f>
        <v>2.6841324031468012</v>
      </c>
      <c r="AI151" s="919" cm="1">
        <f t="array" ref="AI151">IFERROR(_xlfn.LET(_xlpm.cap,IF(O151="Quantum",760,1220),_xlpm.wUsed,E151*MAX(1,MIN(MAX(2,INT(900/E151)),INT((_xlpm.cap-50)/E151))),_xlpm.kgmUsed,AR151/E151*_xlpm.wUsed,_xlpm.tier,IF(P151&lt;3000,1,IF(P151&lt;10000,2,IF(P151&lt;25000,3,IF(P151&lt;50000,4,IF(P151&lt;100000,5,IF(P151&lt;250000,6,IF(P151&lt;500000,7,8))))))),_xlpm.widthRow,IF(_xlpm.wUsed&lt;900,0,5),_xlpm.slitRow,IF(O151="Marma",7,IF(OR(O151="Bastin",O151="Quantum"),17,0)),_xlpm.slitRate,INDEX('Lmntn &amp; Prntng- Marma &amp; Bastin '!$D$1:$K$22,_xlpm.slitRow+_xlpm.widthRow,_xlpm.tier),_xlpm.numColors,IF(ISNUMBER(L151),L151,IFERROR(--RIGHT(L151,LEN(L151)-FIND("-",L151)),0)),_xlpm.printRate,IF(OR(K151&lt;&gt;"Printed",_xlpm.numColors=0),0,IF(O151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151))),MAX(_xlfn._xlws.FILTER(_xlpm.meters,(_xlpm.widths=_xlpm.qWidth)*(_xlpm.bands=_xlpm.band)))),INDEX(_xlpm.rates,_xlfn.XMATCH(1,(_xlpm.widths=_xlpm.qWidth)*(_xlpm.bands=_xlpm.band)*(_xlpm.meters=_xlpm.targetM),0))/HELPER!$AK$2),_xlfn.LET(_xlpm.colorOffset,IF(_xlpm.numColors&lt;=2,1,IF(_xlpm.numColors&lt;=4,2,3)),_xlpm.supplierRow,IF(O151="Marma",3,IF(O151="Bastin",13,0)),INDEX('Lmntn &amp; Prntng- Marma &amp; Bastin '!$D$1:$K$22,_xlpm.supplierRow+_xlpm.widthRow+_xlpm.colorOffset,_xlpm.tier)))),AH151+_xlpm.slitRate/_xlpm.kgmUsed+_xlpm.printRate/_xlpm.kgmUsed+AJ151),"")</f>
        <v>22.05812300915002</v>
      </c>
      <c r="AJ151" s="919" cm="1">
        <f t="array" ref="AJ151">IF(OR(K151&lt;&gt;"Printed",L151=0,L151="0",L151=""),0,IFERROR(_xlfn.LET(_xlpm.lam,TEXT(B151,"0"),_xlpm.crit,(TEXT(HELPER!$BZ$2:$BZ$250,"0")=_xlpm.lam)*(HELPER!$CC$2:$CC$250=D151)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WHITE"},0)))/ROWS(_xlpm.real),_xlpm.numColors,IF(ISNUMBER(L151),L151,IFERROR(--RIGHT(L151,LEN(L151)-FIND("-",L151)),0)),HELPER!$DB$1*_xlpm.numColors*MAX(1,M151)*1.05*_xlpm.nkRatio/Q151),0))</f>
        <v>0.24936915541042007</v>
      </c>
      <c r="AK151" s="919">
        <f t="shared" si="63"/>
        <v>1.9667692877556882</v>
      </c>
      <c r="AL151" s="919">
        <f t="shared" si="64"/>
        <v>1829.09543761279</v>
      </c>
      <c r="AM151" s="73" t="str">
        <f t="shared" si="65"/>
        <v>PASS</v>
      </c>
      <c r="AN151" s="908" t="str">
        <f t="shared" si="44"/>
        <v/>
      </c>
      <c r="AO151" s="919">
        <f t="shared" si="45"/>
        <v>51</v>
      </c>
      <c r="AP151" s="919">
        <f t="shared" si="46"/>
        <v>250000</v>
      </c>
      <c r="AQ151" s="919"/>
      <c r="AR151" s="919" cm="1">
        <f t="array" ref="AR151">IFERROR(_xlfn.LET(_xlpm.lam,TEXT(B151,"0"),_xlpm.thick,D151,_xlpm.crit,(TEXT(HELPER!$BZ$2:$BZ$250,"0")=_xlpm.lam)*(HELPER!$CC$2:$CC$250=_xlpm.thick)*(HELPER!$BW$2:$BW$250&lt;&gt;""),_xlpm.mats,TRIM(SUBSTITUTE(_xlfn._xlws.FILTER(HELPER!$BW$2:$BW$250,_xlpm.crit),CHAR(160),"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")),HELPER!$AQ$2:$AQ$20,1),_xlpm.mass,IF(ISNUMBER(SEARCH("paper",_xlpm.mats)),42,_xlpm.dens*_xlpm.ths),E151/1000000*SUM(_xlpm.mass)),"")</f>
        <v>4.0422E-2</v>
      </c>
      <c r="AS151" s="919">
        <f>IFERROR(IF(D151&gt;31,(5%+250/P151)*AF151,VLOOKUP(D151,HELPER!$BH$3:$BI$5,2,TRUE)*AF151),0)</f>
        <v>0.42420139254304595</v>
      </c>
      <c r="AT151" s="919">
        <v>0.19999999999999701</v>
      </c>
      <c r="AU151" s="919"/>
      <c r="AV151" s="919"/>
      <c r="AW151" s="919"/>
      <c r="AX151" s="919"/>
      <c r="AY151" s="919"/>
      <c r="AZ151" s="919">
        <f t="shared" si="47"/>
        <v>2520</v>
      </c>
    </row>
    <row r="152" spans="1:52">
      <c r="A152" s="73" t="s">
        <v>1573</v>
      </c>
      <c r="B152" s="73">
        <v>918</v>
      </c>
      <c r="C152" s="908" t="s">
        <v>1430</v>
      </c>
      <c r="D152" s="915" cm="1">
        <f t="array" ref="D15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2" s="915">
        <v>900</v>
      </c>
      <c r="F152" s="73" t="s">
        <v>1040</v>
      </c>
      <c r="G152" s="916">
        <v>1600000</v>
      </c>
      <c r="H152" s="916"/>
      <c r="I152" s="916">
        <v>140</v>
      </c>
      <c r="J152" s="916">
        <v>80</v>
      </c>
      <c r="K152" s="73" t="s">
        <v>123</v>
      </c>
      <c r="L152" s="921" t="s">
        <v>592</v>
      </c>
      <c r="M152" s="915">
        <v>8</v>
      </c>
      <c r="N152" s="73" t="s">
        <v>549</v>
      </c>
      <c r="O152" s="73" t="s">
        <v>250</v>
      </c>
      <c r="P152" s="916" cm="1">
        <f t="array" ref="P152">IFERROR(_xlfn.SWITCH(F152,"By Weight",IF(H152&lt;&gt;"",H152,G152)/AR152,"By Length",G152,"By Imp",G152/MAX(1,ROUNDDOWN(E152/I152,0))*J152/1000,"IMP",G152/MAX(1,ROUNDDOWN(E152/I152,0))*J152/1000,""),"")</f>
        <v>21333.333333333336</v>
      </c>
      <c r="Q152" s="916">
        <f t="shared" si="48"/>
        <v>1293.5040000000001</v>
      </c>
      <c r="R152" s="917">
        <f t="shared" si="49"/>
        <v>27865.571784372492</v>
      </c>
      <c r="S152" s="918">
        <f t="shared" si="50"/>
        <v>32324.063269872087</v>
      </c>
      <c r="T152" s="919">
        <f t="shared" si="51"/>
        <v>21.542702445738467</v>
      </c>
      <c r="U152" s="920">
        <f t="shared" si="52"/>
        <v>24.98953483705662</v>
      </c>
      <c r="V152" s="919">
        <f t="shared" si="53"/>
        <v>1.5367043263440712</v>
      </c>
      <c r="W152" s="919">
        <f t="shared" si="54"/>
        <v>25.344355818515844</v>
      </c>
      <c r="X152" s="919">
        <f t="shared" si="55"/>
        <v>2.0489391017920949E-2</v>
      </c>
      <c r="Y152" s="920">
        <f t="shared" si="56"/>
        <v>1.7825770185591225</v>
      </c>
      <c r="Z152" s="920">
        <f t="shared" si="57"/>
        <v>29.399452749478378</v>
      </c>
      <c r="AA152" s="920">
        <f t="shared" si="58"/>
        <v>2.3767693580788299E-2</v>
      </c>
      <c r="AB152" s="917">
        <f t="shared" si="59"/>
        <v>32783.025628673524</v>
      </c>
      <c r="AC152" s="918">
        <f t="shared" si="60"/>
        <v>38028.309729261287</v>
      </c>
      <c r="AD152" s="916">
        <f t="shared" si="61"/>
        <v>8246.3345043128338</v>
      </c>
      <c r="AE152" s="916">
        <f t="shared" si="62"/>
        <v>500</v>
      </c>
      <c r="AF152" s="919" cm="1">
        <f t="array" ref="AF152">IFERROR(_xlfn.LET(_xlpm.lam,TEXT(B152,"0"),_xlpm.thick,D152,_xlpm.crit,(TEXT(HELPER!$BZ$2:$BZ$250,"0")=_xlpm.lam)*(HELPER!$CC$2:$CC$250=_xlpm.thick)*(HELPER!$BW$2:$BW$250&lt;&gt;""),_xlpm.mats,TRIM(SUBSTITUTE(_xlfn._xlws.FILTER(HELPER!$BW$2:$BW$250,_xlpm.crit),CHAR(160),"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2" s="919">
        <f>IFERROR(IF(N152="Europe to Canada",IF(Q152&lt;1000,VLOOKUP(1000,HELPER!$AG$4:$AH$8,2,FALSE)/Q152,VLOOKUP(Q152,HELPER!$AG$4:$AH$8,2,TRUE)/Q152),IF(N152="Europe to US",HELPER!$AH$2,IF(N152="Europe to Europe",HELPER!$AH$3,0))),0)</f>
        <v>0.2</v>
      </c>
      <c r="AH152" s="919" cm="1">
        <f t="array" ref="AH152">IFERROR(_xlfn.LET(_xlpm.cap,IF(O152="Quantum",760,1220),_xlpm.wUsed,E152*MAX(1,MIN(MAX(2,INT(900/E152)),INT((_xlpm.cap-50)/E152))),_xlpm.kgmUsed,AR152/E152*_xlpm.wUsed,_xlpm.lam,TEXT(B152,"0"),_xlpm.crit,(TEXT(HELPER!$BZ$2:$BZ$250,"0")=_xlpm.lam)*(HELPER!$CC$2:$CC$250=D152)*(HELPER!$BW$2:$BW$250&lt;&gt;""),_xlpm.mats,_xlfn._xlws.FILTER(HELPER!$BW$2:$BW$250,_xlpm.crit),_xlpm.realLayers,SUM((_xlpm.mats&lt;&gt;"")*ISERROR(SEARCH("EPOTAL",_xlpm.mats&amp;""))*ISERROR(SEARCH("BASONAT",_xlpm.mats&amp;""))*ISERROR(SEARCH("ADH",_xlpm.mats&amp;""))*ISERROR(SEARCH("HARDENER",_xlpm.mats&amp;""))),_xlpm.steps,MAX(0,_xlpm.realLayers-1),_xlpm.tier,IF(P152&lt;3000,1,IF(P152&lt;10000,2,IF(P152&lt;25000,3,IF(P152&lt;50000,4,IF(P152&lt;100000,5,IF(P152&lt;250000,6,7)))))),_xlpm.widthRow,IF(_xlpm.wUsed&lt;900,0,5),_xlpm.supplierRow,IF(O152="Marma",3,IF(OR(O152="Bastin",O152="Quantum"),13,0)),_xlpm.rate,INDEX('Lmntn &amp; Prntng- Marma &amp; Bastin '!$D$1:$K$22,_xlpm.supplierRow+_xlpm.widthRow,_xlpm.tier),_xlpm.rate*_xlpm.steps/_xlpm.kgmUsed),"")</f>
        <v>1.5095739943595072</v>
      </c>
      <c r="AI152" s="919" cm="1">
        <f t="array" ref="AI152">IFERROR(_xlfn.LET(_xlpm.cap,IF(O152="Quantum",760,1220),_xlpm.wUsed,E152*MAX(1,MIN(MAX(2,INT(900/E152)),INT((_xlpm.cap-50)/E152))),_xlpm.kgmUsed,AR152/E152*_xlpm.wUsed,_xlpm.tier,IF(P152&lt;3000,1,IF(P152&lt;10000,2,IF(P152&lt;25000,3,IF(P152&lt;50000,4,IF(P152&lt;100000,5,IF(P152&lt;250000,6,IF(P152&lt;500000,7,8))))))),_xlpm.widthRow,IF(_xlpm.wUsed&lt;900,0,5),_xlpm.slitRow,IF(O152="Marma",7,IF(OR(O152="Bastin",O152="Quantum"),17,0)),_xlpm.slitRate,INDEX('Lmntn &amp; Prntng- Marma &amp; Bastin '!$D$1:$K$22,_xlpm.slitRow+_xlpm.widthRow,_xlpm.tier),_xlpm.numColors,IF(ISNUMBER(L152),L152,IFERROR(--RIGHT(L152,LEN(L152)-FIND("-",L152)),0)),_xlpm.printRate,IF(OR(K152&lt;&gt;"Printed",_xlpm.numColors=0),0,IF(O152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152))),MAX(_xlfn._xlws.FILTER(_xlpm.meters,(_xlpm.widths=_xlpm.qWidth)*(_xlpm.bands=_xlpm.band)))),INDEX(_xlpm.rates,_xlfn.XMATCH(1,(_xlpm.widths=_xlpm.qWidth)*(_xlpm.bands=_xlpm.band)*(_xlpm.meters=_xlpm.targetM),0))/HELPER!$AK$2),_xlfn.LET(_xlpm.colorOffset,IF(_xlpm.numColors&lt;=2,1,IF(_xlpm.numColors&lt;=4,2,3)),_xlpm.supplierRow,IF(O152="Marma",3,IF(O152="Bastin",13,0)),INDEX('Lmntn &amp; Prntng- Marma &amp; Bastin '!$D$1:$K$22,_xlpm.supplierRow+_xlpm.widthRow+_xlpm.colorOffset,_xlpm.tier)))),AH152+_xlpm.slitRate/_xlpm.kgmUsed+_xlpm.printRate/_xlpm.kgmUsed+AJ152),"")</f>
        <v>12.511671617521566</v>
      </c>
      <c r="AJ152" s="919" cm="1">
        <f t="array" ref="AJ152">IF(OR(K152&lt;&gt;"Printed",L152=0,L152="0",L152=""),0,IFERROR(_xlfn.LET(_xlpm.lam,TEXT(B152,"0"),_xlpm.crit,(TEXT(HELPER!$BZ$2:$BZ$250,"0")=_xlpm.lam)*(HELPER!$CC$2:$CC$250=D152)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WHITE"},0)))/ROWS(_xlpm.real),_xlpm.numColors,IF(ISNUMBER(L152),L152,IFERROR(--RIGHT(L152,LEN(L152)-FIND("-",L152)),0)),HELPER!$DB$1*_xlpm.numColors*MAX(1,M152)*1.05*_xlpm.nkRatio/Q152),0))</f>
        <v>7.7927861065756261</v>
      </c>
      <c r="AK152" s="919">
        <f t="shared" si="63"/>
        <v>1.1015801622538144</v>
      </c>
      <c r="AL152" s="919">
        <f t="shared" si="64"/>
        <v>1536.7043263440712</v>
      </c>
      <c r="AM152" s="73" t="str">
        <f t="shared" si="65"/>
        <v>PASS</v>
      </c>
      <c r="AN152" s="908" t="str">
        <f t="shared" si="44"/>
        <v/>
      </c>
      <c r="AO152" s="919">
        <f t="shared" si="45"/>
        <v>51</v>
      </c>
      <c r="AP152" s="919">
        <f t="shared" si="46"/>
        <v>21333.333333333336</v>
      </c>
      <c r="AQ152" s="919"/>
      <c r="AR152" s="919" cm="1">
        <f t="array" ref="AR152">IFERROR(_xlfn.LET(_xlpm.lam,TEXT(B152,"0"),_xlpm.thick,D152,_xlpm.crit,(TEXT(HELPER!$BZ$2:$BZ$250,"0")=_xlpm.lam)*(HELPER!$CC$2:$CC$250=_xlpm.thick)*(HELPER!$BW$2:$BW$250&lt;&gt;""),_xlpm.mats,TRIM(SUBSTITUTE(_xlfn._xlws.FILTER(HELPER!$BW$2:$BW$250,_xlpm.crit),CHAR(160),"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")),HELPER!$AQ$2:$AQ$20,1),_xlpm.mass,IF(ISNUMBER(SEARCH("paper",_xlpm.mats)),42,_xlpm.dens*_xlpm.ths),E152/1000000*SUM(_xlpm.mass)),"")</f>
        <v>6.0632999999999999E-2</v>
      </c>
      <c r="AS152" s="919">
        <f>IFERROR(IF(D152&gt;31,(5%+250/P152)*AF152,VLOOKUP(D152,HELPER!$BH$3:$BI$5,2,TRUE)*AF152),0)</f>
        <v>0.51335646462776696</v>
      </c>
      <c r="AT152" s="919">
        <v>0.15</v>
      </c>
      <c r="AU152" s="919"/>
      <c r="AV152" s="919"/>
      <c r="AW152" s="919"/>
      <c r="AX152" s="919"/>
      <c r="AY152" s="919"/>
      <c r="AZ152" s="919">
        <f t="shared" si="47"/>
        <v>10080</v>
      </c>
    </row>
    <row r="153" spans="1:52">
      <c r="A153" s="73" t="s">
        <v>1574</v>
      </c>
      <c r="B153" s="73">
        <v>918</v>
      </c>
      <c r="C153" s="908" t="s">
        <v>1432</v>
      </c>
      <c r="D153" s="915" cm="1">
        <f t="array" ref="D15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3" s="915">
        <v>250</v>
      </c>
      <c r="F153" s="73" t="s">
        <v>560</v>
      </c>
      <c r="G153" s="916">
        <v>500</v>
      </c>
      <c r="H153" s="916">
        <v>500</v>
      </c>
      <c r="I153" s="916"/>
      <c r="J153" s="916"/>
      <c r="K153" s="73" t="s">
        <v>124</v>
      </c>
      <c r="L153" s="921" t="s">
        <v>221</v>
      </c>
      <c r="M153" s="915">
        <v>1</v>
      </c>
      <c r="N153" s="73" t="s">
        <v>550</v>
      </c>
      <c r="O153" s="73" t="s">
        <v>240</v>
      </c>
      <c r="P153" s="916" cm="1">
        <f t="array" ref="P153">IFERROR(_xlfn.SWITCH(F153,"By Weight",IF(H153&lt;&gt;"",H153,G153)/AR153,"By Length",G153,"By Imp",G153/MAX(1,ROUNDDOWN(E153/I153,0))*J153/1000,"IMP",G153/MAX(1,ROUNDDOWN(E153/I153,0))*J153/1000,""),"")</f>
        <v>29686.804215526197</v>
      </c>
      <c r="Q153" s="916">
        <f t="shared" si="48"/>
        <v>500</v>
      </c>
      <c r="R153" s="917">
        <f t="shared" si="49"/>
        <v>8524.7198613558703</v>
      </c>
      <c r="S153" s="918">
        <f t="shared" si="50"/>
        <v>9888.6750391728092</v>
      </c>
      <c r="T153" s="919">
        <f t="shared" si="51"/>
        <v>17.049439722711739</v>
      </c>
      <c r="U153" s="920">
        <f t="shared" si="52"/>
        <v>19.777350078345616</v>
      </c>
      <c r="V153" s="919">
        <f t="shared" si="53"/>
        <v>0.33782963356443896</v>
      </c>
      <c r="W153" s="919">
        <f t="shared" si="54"/>
        <v>20.058164379660916</v>
      </c>
      <c r="X153" s="919" t="str">
        <f t="shared" si="55"/>
        <v/>
      </c>
      <c r="Y153" s="920">
        <f t="shared" si="56"/>
        <v>0.39188237493474914</v>
      </c>
      <c r="Z153" s="920">
        <f t="shared" si="57"/>
        <v>23.26747068040666</v>
      </c>
      <c r="AA153" s="920" t="str">
        <f t="shared" si="58"/>
        <v/>
      </c>
      <c r="AB153" s="917">
        <f t="shared" si="59"/>
        <v>10029.082189830458</v>
      </c>
      <c r="AC153" s="918">
        <f t="shared" si="60"/>
        <v>11633.735340203331</v>
      </c>
      <c r="AD153" s="916">
        <f t="shared" si="61"/>
        <v>29686.804215526197</v>
      </c>
      <c r="AE153" s="916">
        <f t="shared" si="62"/>
        <v>500</v>
      </c>
      <c r="AF153" s="919" cm="1">
        <f t="array" ref="AF153">IFERROR(_xlfn.LET(_xlpm.lam,TEXT(B153,"0"),_xlpm.thick,D153,_xlpm.crit,(TEXT(HELPER!$BZ$2:$BZ$250,"0")=_xlpm.lam)*(HELPER!$CC$2:$CC$250=_xlpm.thick)*(HELPER!$BW$2:$BW$250&lt;&gt;""),_xlpm.mats,TRIM(SUBSTITUTE(_xlfn._xlws.FILTER(HELPER!$BW$2:$BW$250,_xlpm.crit),CHAR(160),"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3" s="919">
        <f>IFERROR(IF(N153="Europe to Canada",IF(Q153&lt;1000,VLOOKUP(1000,HELPER!$AG$4:$AH$8,2,FALSE)/Q153,VLOOKUP(Q153,HELPER!$AG$4:$AH$8,2,TRUE)/Q153),IF(N153="Europe to US",HELPER!$AH$2,IF(N153="Europe to Europe",HELPER!$AH$3,0))),0)</f>
        <v>5.4</v>
      </c>
      <c r="AH153" s="919" cm="1">
        <f t="array" ref="AH153">IFERROR(_xlfn.LET(_xlpm.cap,IF(O153="Quantum",760,1220),_xlpm.wUsed,E153*MAX(1,MIN(MAX(2,INT(900/E153)),INT((_xlpm.cap-50)/E153))),_xlpm.kgmUsed,AR153/E153*_xlpm.wUsed,_xlpm.lam,TEXT(B153,"0"),_xlpm.crit,(TEXT(HELPER!$BZ$2:$BZ$250,"0")=_xlpm.lam)*(HELPER!$CC$2:$CC$250=D153)*(HELPER!$BW$2:$BW$250&lt;&gt;""),_xlpm.mats,_xlfn._xlws.FILTER(HELPER!$BW$2:$BW$250,_xlpm.crit),_xlpm.realLayers,SUM((_xlpm.mats&lt;&gt;"")*ISERROR(SEARCH("EPOTAL",_xlpm.mats&amp;""))*ISERROR(SEARCH("BASONAT",_xlpm.mats&amp;""))*ISERROR(SEARCH("ADH",_xlpm.mats&amp;""))*ISERROR(SEARCH("HARDENER",_xlpm.mats&amp;""))),_xlpm.steps,MAX(0,_xlpm.realLayers-1),_xlpm.tier,IF(P153&lt;3000,1,IF(P153&lt;10000,2,IF(P153&lt;25000,3,IF(P153&lt;50000,4,IF(P153&lt;100000,5,IF(P153&lt;250000,6,7)))))),_xlpm.widthRow,IF(_xlpm.wUsed&lt;900,0,5),_xlpm.supplierRow,IF(O153="Marma",3,IF(OR(O153="Bastin",O153="Quantum"),13,0)),_xlpm.rate,INDEX('Lmntn &amp; Prntng- Marma &amp; Bastin '!$D$1:$K$22,_xlpm.supplierRow+_xlpm.widthRow,_xlpm.tier),_xlpm.rate*_xlpm.steps/_xlpm.kgmUsed),"")</f>
        <v>2.2252634703874126</v>
      </c>
      <c r="AI153" s="919" cm="1">
        <f t="array" ref="AI153">IFERROR(_xlfn.LET(_xlpm.cap,IF(O153="Quantum",760,1220),_xlpm.wUsed,E153*MAX(1,MIN(MAX(2,INT(900/E153)),INT((_xlpm.cap-50)/E153))),_xlpm.kgmUsed,AR153/E153*_xlpm.wUsed,_xlpm.tier,IF(P153&lt;3000,1,IF(P153&lt;10000,2,IF(P153&lt;25000,3,IF(P153&lt;50000,4,IF(P153&lt;100000,5,IF(P153&lt;250000,6,IF(P153&lt;500000,7,8))))))),_xlpm.widthRow,IF(_xlpm.wUsed&lt;900,0,5),_xlpm.slitRow,IF(O153="Marma",7,IF(OR(O153="Bastin",O153="Quantum"),17,0)),_xlpm.slitRate,INDEX('Lmntn &amp; Prntng- Marma &amp; Bastin '!$D$1:$K$22,_xlpm.slitRow+_xlpm.widthRow,_xlpm.tier),_xlpm.numColors,IF(ISNUMBER(L153),L153,IFERROR(--RIGHT(L153,LEN(L153)-FIND("-",L153)),0)),_xlpm.printRate,IF(OR(K153&lt;&gt;"Printed",_xlpm.numColors=0),0,IF(O153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153))),MAX(_xlfn._xlws.FILTER(_xlpm.meters,(_xlpm.widths=_xlpm.qWidth)*(_xlpm.bands=_xlpm.band)))),INDEX(_xlpm.rates,_xlfn.XMATCH(1,(_xlpm.widths=_xlpm.qWidth)*(_xlpm.bands=_xlpm.band)*(_xlpm.meters=_xlpm.targetM),0))/HELPER!$AK$2),_xlfn.LET(_xlpm.colorOffset,IF(_xlpm.numColors&lt;=2,1,IF(_xlpm.numColors&lt;=4,2,3)),_xlpm.supplierRow,IF(O153="Marma",3,IF(O153="Bastin",13,0)),INDEX('Lmntn &amp; Prntng- Marma &amp; Bastin '!$D$1:$K$22,_xlpm.supplierRow+_xlpm.widthRow+_xlpm.colorOffset,_xlpm.tier)))),AH153+_xlpm.slitRate/_xlpm.kgmUsed+_xlpm.printRate/_xlpm.kgmUsed+AJ153),"")</f>
        <v>2.8458364257087725</v>
      </c>
      <c r="AJ153" s="919" cm="1">
        <f t="array" ref="AJ153">IF(OR(K153&lt;&gt;"Printed",L153=0,L153="0",L153=""),0,IFERROR(_xlfn.LET(_xlpm.lam,TEXT(B153,"0"),_xlpm.crit,(TEXT(HELPER!$BZ$2:$BZ$250,"0")=_xlpm.lam)*(HELPER!$CC$2:$CC$250=D153)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WHITE"},0)))/ROWS(_xlpm.real),_xlpm.numColors,IF(ISNUMBER(L153),L153,IFERROR(--RIGHT(L153,LEN(L153)-FIND("-",L153)),0)),HELPER!$DB$1*_xlpm.numColors*MAX(1,M153)*1.05*_xlpm.nkRatio/Q153),0))</f>
        <v>0</v>
      </c>
      <c r="AK153" s="919">
        <f t="shared" si="63"/>
        <v>0.87181840919855214</v>
      </c>
      <c r="AL153" s="919">
        <f t="shared" si="64"/>
        <v>337.82963356443895</v>
      </c>
      <c r="AM153" s="73" t="str">
        <f t="shared" si="65"/>
        <v>PASS</v>
      </c>
      <c r="AN153" s="908" t="str">
        <f t="shared" si="44"/>
        <v/>
      </c>
      <c r="AO153" s="919">
        <f t="shared" si="45"/>
        <v>51</v>
      </c>
      <c r="AP153" s="919">
        <f t="shared" si="46"/>
        <v>29686.804215526197</v>
      </c>
      <c r="AQ153" s="919"/>
      <c r="AR153" s="919" cm="1">
        <f t="array" ref="AR153">IFERROR(_xlfn.LET(_xlpm.lam,TEXT(B153,"0"),_xlpm.thick,D153,_xlpm.crit,(TEXT(HELPER!$BZ$2:$BZ$250,"0")=_xlpm.lam)*(HELPER!$CC$2:$CC$250=_xlpm.thick)*(HELPER!$BW$2:$BW$250&lt;&gt;""),_xlpm.mats,TRIM(SUBSTITUTE(_xlfn._xlws.FILTER(HELPER!$BW$2:$BW$250,_xlpm.crit),CHAR(160),"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")),HELPER!$AQ$2:$AQ$20,1),_xlpm.mass,IF(ISNUMBER(SEARCH("paper",_xlpm.mats)),42,_xlpm.dens*_xlpm.ths),E153/1000000*SUM(_xlpm.mass)),"")</f>
        <v>1.68425E-2</v>
      </c>
      <c r="AS153" s="919">
        <f>IFERROR(IF(D153&gt;31,(5%+250/P153)*AF153,VLOOKUP(D153,HELPER!$BH$3:$BI$5,2,TRUE)*AF153),0)</f>
        <v>0.48592893341383181</v>
      </c>
      <c r="AT153" s="919">
        <v>0.15000000000000199</v>
      </c>
      <c r="AU153" s="919"/>
      <c r="AV153" s="919"/>
      <c r="AW153" s="919"/>
      <c r="AX153" s="919"/>
      <c r="AY153" s="919"/>
      <c r="AZ153" s="919">
        <f t="shared" si="47"/>
        <v>0</v>
      </c>
    </row>
    <row r="154" spans="1:52">
      <c r="A154" s="73" t="s">
        <v>1575</v>
      </c>
      <c r="B154" s="73">
        <v>918</v>
      </c>
      <c r="C154" s="908" t="s">
        <v>1434</v>
      </c>
      <c r="D154" s="915" cm="1">
        <f t="array" ref="D15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4" s="915">
        <v>600</v>
      </c>
      <c r="F154" s="73" t="s">
        <v>1040</v>
      </c>
      <c r="G154" s="916">
        <v>100000</v>
      </c>
      <c r="H154" s="916"/>
      <c r="I154" s="916">
        <v>300</v>
      </c>
      <c r="J154" s="916">
        <v>200</v>
      </c>
      <c r="K154" s="73" t="s">
        <v>123</v>
      </c>
      <c r="L154" s="921" t="s">
        <v>122</v>
      </c>
      <c r="M154" s="915">
        <v>4</v>
      </c>
      <c r="N154" s="73" t="s">
        <v>549</v>
      </c>
      <c r="O154" s="73" t="s">
        <v>250</v>
      </c>
      <c r="P154" s="916" cm="1">
        <f t="array" ref="P154">IFERROR(_xlfn.SWITCH(F154,"By Weight",IF(H154&lt;&gt;"",H154,G154)/AR154,"By Length",G154,"By Imp",G154/MAX(1,ROUNDDOWN(E154/I154,0))*J154/1000,"IMP",G154/MAX(1,ROUNDDOWN(E154/I154,0))*J154/1000,""),"")</f>
        <v>10000</v>
      </c>
      <c r="Q154" s="916">
        <f t="shared" si="48"/>
        <v>404.21999999999997</v>
      </c>
      <c r="R154" s="917">
        <f t="shared" si="49"/>
        <v>8655.8771060937488</v>
      </c>
      <c r="S154" s="918">
        <f t="shared" si="50"/>
        <v>10040.817443068749</v>
      </c>
      <c r="T154" s="919">
        <f t="shared" si="51"/>
        <v>21.413777413521718</v>
      </c>
      <c r="U154" s="920">
        <f t="shared" si="52"/>
        <v>24.839981799685191</v>
      </c>
      <c r="V154" s="919">
        <f t="shared" si="53"/>
        <v>1.0819846382617213</v>
      </c>
      <c r="W154" s="919">
        <f t="shared" si="54"/>
        <v>26.767221766902214</v>
      </c>
      <c r="X154" s="919">
        <f t="shared" si="55"/>
        <v>0.10819846382617214</v>
      </c>
      <c r="Y154" s="920">
        <f t="shared" si="56"/>
        <v>1.2551021803835967</v>
      </c>
      <c r="Z154" s="920">
        <f t="shared" si="57"/>
        <v>31.049977249606567</v>
      </c>
      <c r="AA154" s="920">
        <f t="shared" si="58"/>
        <v>0.12551021803835968</v>
      </c>
      <c r="AB154" s="917">
        <f t="shared" si="59"/>
        <v>10819.846382617212</v>
      </c>
      <c r="AC154" s="918">
        <f t="shared" si="60"/>
        <v>12551.021803835965</v>
      </c>
      <c r="AD154" s="916">
        <f t="shared" si="61"/>
        <v>12369.50175646925</v>
      </c>
      <c r="AE154" s="916">
        <f t="shared" si="62"/>
        <v>500</v>
      </c>
      <c r="AF154" s="919" cm="1">
        <f t="array" ref="AF154">IFERROR(_xlfn.LET(_xlpm.lam,TEXT(B154,"0"),_xlpm.thick,D154,_xlpm.crit,(TEXT(HELPER!$BZ$2:$BZ$250,"0")=_xlpm.lam)*(HELPER!$CC$2:$CC$250=_xlpm.thick)*(HELPER!$BW$2:$BW$250&lt;&gt;""),_xlpm.mats,TRIM(SUBSTITUTE(_xlfn._xlws.FILTER(HELPER!$BW$2:$BW$250,_xlpm.crit),CHAR(160),"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4" s="919">
        <f>IFERROR(IF(N154="Europe to Canada",IF(Q154&lt;1000,VLOOKUP(1000,HELPER!$AG$4:$AH$8,2,FALSE)/Q154,VLOOKUP(Q154,HELPER!$AG$4:$AH$8,2,TRUE)/Q154),IF(N154="Europe to US",HELPER!$AH$2,IF(N154="Europe to Europe",HELPER!$AH$3,0))),0)</f>
        <v>0.2</v>
      </c>
      <c r="AH154" s="919" cm="1">
        <f t="array" ref="AH154">IFERROR(_xlfn.LET(_xlpm.cap,IF(O154="Quantum",760,1220),_xlpm.wUsed,E154*MAX(1,MIN(MAX(2,INT(900/E154)),INT((_xlpm.cap-50)/E154))),_xlpm.kgmUsed,AR154/E154*_xlpm.wUsed,_xlpm.lam,TEXT(B154,"0"),_xlpm.crit,(TEXT(HELPER!$BZ$2:$BZ$250,"0")=_xlpm.lam)*(HELPER!$CC$2:$CC$250=D154)*(HELPER!$BW$2:$BW$250&lt;&gt;""),_xlpm.mats,_xlfn._xlws.FILTER(HELPER!$BW$2:$BW$250,_xlpm.crit),_xlpm.realLayers,SUM((_xlpm.mats&lt;&gt;"")*ISERROR(SEARCH("EPOTAL",_xlpm.mats&amp;""))*ISERROR(SEARCH("BASONAT",_xlpm.mats&amp;""))*ISERROR(SEARCH("ADH",_xlpm.mats&amp;""))*ISERROR(SEARCH("HARDENER",_xlpm.mats&amp;""))),_xlpm.steps,MAX(0,_xlpm.realLayers-1),_xlpm.tier,IF(P154&lt;3000,1,IF(P154&lt;10000,2,IF(P154&lt;25000,3,IF(P154&lt;50000,4,IF(P154&lt;100000,5,IF(P154&lt;250000,6,7)))))),_xlpm.widthRow,IF(_xlpm.wUsed&lt;900,0,5),_xlpm.supplierRow,IF(O154="Marma",3,IF(OR(O154="Bastin",O154="Quantum"),13,0)),_xlpm.rate,INDEX('Lmntn &amp; Prntng- Marma &amp; Bastin '!$D$1:$K$22,_xlpm.supplierRow+_xlpm.widthRow,_xlpm.tier),_xlpm.rate*_xlpm.steps/_xlpm.kgmUsed),"")</f>
        <v>2.2643609915392608</v>
      </c>
      <c r="AI154" s="919" cm="1">
        <f t="array" ref="AI154">IFERROR(_xlfn.LET(_xlpm.cap,IF(O154="Quantum",760,1220),_xlpm.wUsed,E154*MAX(1,MIN(MAX(2,INT(900/E154)),INT((_xlpm.cap-50)/E154))),_xlpm.kgmUsed,AR154/E154*_xlpm.wUsed,_xlpm.tier,IF(P154&lt;3000,1,IF(P154&lt;10000,2,IF(P154&lt;25000,3,IF(P154&lt;50000,4,IF(P154&lt;100000,5,IF(P154&lt;250000,6,IF(P154&lt;500000,7,8))))))),_xlpm.widthRow,IF(_xlpm.wUsed&lt;900,0,5),_xlpm.slitRow,IF(O154="Marma",7,IF(OR(O154="Bastin",O154="Quantum"),17,0)),_xlpm.slitRate,INDEX('Lmntn &amp; Prntng- Marma &amp; Bastin '!$D$1:$K$22,_xlpm.slitRow+_xlpm.widthRow,_xlpm.tier),_xlpm.numColors,IF(ISNUMBER(L154),L154,IFERROR(--RIGHT(L154,LEN(L154)-FIND("-",L154)),0)),_xlpm.printRate,IF(OR(K154&lt;&gt;"Printed",_xlpm.numColors=0),0,IF(O154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154))),MAX(_xlfn._xlws.FILTER(_xlpm.meters,(_xlpm.widths=_xlpm.qWidth)*(_xlpm.bands=_xlpm.band)))),INDEX(_xlpm.rates,_xlfn.XMATCH(1,(_xlpm.widths=_xlpm.qWidth)*(_xlpm.bands=_xlpm.band)*(_xlpm.meters=_xlpm.targetM),0))/HELPER!$AK$2),_xlfn.LET(_xlpm.colorOffset,IF(_xlpm.numColors&lt;=2,1,IF(_xlpm.numColors&lt;=4,2,3)),_xlpm.supplierRow,IF(O154="Marma",3,IF(O154="Bastin",13,0)),INDEX('Lmntn &amp; Prntng- Marma &amp; Bastin '!$D$1:$K$22,_xlpm.supplierRow+_xlpm.widthRow+_xlpm.colorOffset,_xlpm.tier)))),AH154+_xlpm.slitRate/_xlpm.kgmUsed+_xlpm.printRate/_xlpm.kgmUsed+AJ154),"")</f>
        <v>12.272277472663401</v>
      </c>
      <c r="AJ154" s="919" cm="1">
        <f t="array" ref="AJ154">IF(OR(K154&lt;&gt;"Printed",L154=0,L154="0",L154=""),0,IFERROR(_xlfn.LET(_xlpm.lam,TEXT(B154,"0"),_xlpm.crit,(TEXT(HELPER!$BZ$2:$BZ$250,"0")=_xlpm.lam)*(HELPER!$CC$2:$CC$250=D154)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WHITE"},0)))/ROWS(_xlpm.real),_xlpm.numColors,IF(ISNUMBER(L154),L154,IFERROR(--RIGHT(L154,LEN(L154)-FIND("-",L154)),0)),HELPER!$DB$1*_xlpm.numColors*MAX(1,M154)*1.05*_xlpm.nkRatio/Q154),0))</f>
        <v>6.2342288852605021</v>
      </c>
      <c r="AK154" s="919">
        <f t="shared" si="63"/>
        <v>1.1634243422169046</v>
      </c>
      <c r="AL154" s="919">
        <f t="shared" si="64"/>
        <v>1081.9846382617213</v>
      </c>
      <c r="AM154" s="73" t="str">
        <f t="shared" si="65"/>
        <v>PASS</v>
      </c>
      <c r="AN154" s="908" t="str">
        <f t="shared" si="44"/>
        <v/>
      </c>
      <c r="AO154" s="919">
        <f t="shared" si="45"/>
        <v>51</v>
      </c>
      <c r="AP154" s="919">
        <f t="shared" si="46"/>
        <v>10000</v>
      </c>
      <c r="AQ154" s="919"/>
      <c r="AR154" s="919" cm="1">
        <f t="array" ref="AR154">IFERROR(_xlfn.LET(_xlpm.lam,TEXT(B154,"0"),_xlpm.thick,D154,_xlpm.crit,(TEXT(HELPER!$BZ$2:$BZ$250,"0")=_xlpm.lam)*(HELPER!$CC$2:$CC$250=_xlpm.thick)*(HELPER!$BW$2:$BW$250&lt;&gt;""),_xlpm.mats,TRIM(SUBSTITUTE(_xlfn._xlws.FILTER(HELPER!$BW$2:$BW$250,_xlpm.crit),CHAR(160),"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")),HELPER!$AQ$2:$AQ$20,1),_xlpm.mass,IF(ISNUMBER(SEARCH("paper",_xlpm.mats)),42,_xlpm.dens*_xlpm.ths),E154/1000000*SUM(_xlpm.mass)),"")</f>
        <v>4.0422E-2</v>
      </c>
      <c r="AS154" s="919">
        <f>IFERROR(IF(D154&gt;31,(5%+250/P154)*AF154,VLOOKUP(D154,HELPER!$BH$3:$BI$5,2,TRUE)*AF154),0)</f>
        <v>0.62382557726918531</v>
      </c>
      <c r="AT154" s="919">
        <v>0.20000000000000201</v>
      </c>
      <c r="AU154" s="919"/>
      <c r="AV154" s="919"/>
      <c r="AW154" s="919"/>
      <c r="AX154" s="919"/>
      <c r="AY154" s="919"/>
      <c r="AZ154" s="919">
        <f t="shared" si="47"/>
        <v>2520</v>
      </c>
    </row>
    <row r="155" spans="1:52">
      <c r="A155" s="73" t="s">
        <v>1576</v>
      </c>
      <c r="B155" s="73">
        <v>918</v>
      </c>
      <c r="C155" s="908" t="s">
        <v>1436</v>
      </c>
      <c r="D155" s="915" cm="1">
        <f t="array" ref="D15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5" s="915">
        <v>450</v>
      </c>
      <c r="F155" s="73" t="s">
        <v>560</v>
      </c>
      <c r="G155" s="916">
        <v>500</v>
      </c>
      <c r="H155" s="916">
        <v>500</v>
      </c>
      <c r="I155" s="916"/>
      <c r="J155" s="916"/>
      <c r="K155" s="73" t="s">
        <v>123</v>
      </c>
      <c r="L155" s="921" t="s">
        <v>591</v>
      </c>
      <c r="M155" s="915">
        <v>2</v>
      </c>
      <c r="N155" s="73" t="s">
        <v>549</v>
      </c>
      <c r="O155" s="73" t="s">
        <v>1366</v>
      </c>
      <c r="P155" s="916" cm="1">
        <f t="array" ref="P155">IFERROR(_xlfn.SWITCH(F155,"By Weight",IF(H155&lt;&gt;"",H155,G155)/AR155,"By Length",G155,"By Imp",G155/MAX(1,ROUNDDOWN(E155/I155,0))*J155/1000,"IMP",G155/MAX(1,ROUNDDOWN(E155/I155,0))*J155/1000,""),"")</f>
        <v>16492.669008625668</v>
      </c>
      <c r="Q155" s="916">
        <f t="shared" si="48"/>
        <v>500.00000000000006</v>
      </c>
      <c r="R155" s="917">
        <f t="shared" si="49"/>
        <v>19052.257390884603</v>
      </c>
      <c r="S155" s="918">
        <f t="shared" si="50"/>
        <v>22100.618573426138</v>
      </c>
      <c r="T155" s="919">
        <f t="shared" si="51"/>
        <v>38.104514781769204</v>
      </c>
      <c r="U155" s="920">
        <f t="shared" si="52"/>
        <v>44.201237146852272</v>
      </c>
      <c r="V155" s="919">
        <f t="shared" si="53"/>
        <v>1.3590535557429484</v>
      </c>
      <c r="W155" s="919">
        <f t="shared" si="54"/>
        <v>44.828840919728478</v>
      </c>
      <c r="X155" s="919" t="str">
        <f t="shared" si="55"/>
        <v/>
      </c>
      <c r="Y155" s="920">
        <f t="shared" si="56"/>
        <v>1.57650212466182</v>
      </c>
      <c r="Z155" s="920">
        <f t="shared" si="57"/>
        <v>52.001455466885034</v>
      </c>
      <c r="AA155" s="920" t="str">
        <f t="shared" si="58"/>
        <v/>
      </c>
      <c r="AB155" s="917">
        <f t="shared" si="59"/>
        <v>22414.420459864243</v>
      </c>
      <c r="AC155" s="918">
        <f t="shared" si="60"/>
        <v>26000.72773344252</v>
      </c>
      <c r="AD155" s="916">
        <f t="shared" si="61"/>
        <v>16492.669008625668</v>
      </c>
      <c r="AE155" s="916">
        <f t="shared" si="62"/>
        <v>500</v>
      </c>
      <c r="AF155" s="919" cm="1">
        <f t="array" ref="AF155">IFERROR(_xlfn.LET(_xlpm.lam,TEXT(B155,"0"),_xlpm.thick,D155,_xlpm.crit,(TEXT(HELPER!$BZ$2:$BZ$250,"0")=_xlpm.lam)*(HELPER!$CC$2:$CC$250=_xlpm.thick)*(HELPER!$BW$2:$BW$250&lt;&gt;""),_xlpm.mats,TRIM(SUBSTITUTE(_xlfn._xlws.FILTER(HELPER!$BW$2:$BW$250,_xlpm.crit),CHAR(160),"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5" s="919">
        <f>IFERROR(IF(N155="Europe to Canada",IF(Q155&lt;1000,VLOOKUP(1000,HELPER!$AG$4:$AH$8,2,FALSE)/Q155,VLOOKUP(Q155,HELPER!$AG$4:$AH$8,2,TRUE)/Q155),IF(N155="Europe to US",HELPER!$AH$2,IF(N155="Europe to Europe",HELPER!$AH$3,0))),0)</f>
        <v>0.2</v>
      </c>
      <c r="AH155" s="919" cm="1">
        <f t="array" ref="AH155">IFERROR(_xlfn.LET(_xlpm.cap,IF(O155="Quantum",760,1220),_xlpm.wUsed,E155*MAX(1,MIN(MAX(2,INT(900/E155)),INT((_xlpm.cap-50)/E155))),_xlpm.kgmUsed,AR155/E155*_xlpm.wUsed,_xlpm.lam,TEXT(B155,"0"),_xlpm.crit,(TEXT(HELPER!$BZ$2:$BZ$250,"0")=_xlpm.lam)*(HELPER!$CC$2:$CC$250=D155)*(HELPER!$BW$2:$BW$250&lt;&gt;""),_xlpm.mats,_xlfn._xlws.FILTER(HELPER!$BW$2:$BW$250,_xlpm.crit),_xlpm.realLayers,SUM((_xlpm.mats&lt;&gt;"")*ISERROR(SEARCH("EPOTAL",_xlpm.mats&amp;""))*ISERROR(SEARCH("BASONAT",_xlpm.mats&amp;""))*ISERROR(SEARCH("ADH",_xlpm.mats&amp;""))*ISERROR(SEARCH("HARDENER",_xlpm.mats&amp;""))),_xlpm.steps,MAX(0,_xlpm.realLayers-1),_xlpm.tier,IF(P155&lt;3000,1,IF(P155&lt;10000,2,IF(P155&lt;25000,3,IF(P155&lt;50000,4,IF(P155&lt;100000,5,IF(P155&lt;250000,6,7)))))),_xlpm.widthRow,IF(_xlpm.wUsed&lt;900,0,5),_xlpm.supplierRow,IF(O155="Marma",3,IF(OR(O155="Bastin",O155="Quantum"),13,0)),_xlpm.rate,INDEX('Lmntn &amp; Prntng- Marma &amp; Bastin '!$D$1:$K$22,_xlpm.supplierRow+_xlpm.widthRow,_xlpm.tier),_xlpm.rate*_xlpm.steps/_xlpm.kgmUsed),"")</f>
        <v>3.9248923853347186</v>
      </c>
      <c r="AI155" s="919" cm="1">
        <f t="array" ref="AI155">IFERROR(_xlfn.LET(_xlpm.cap,IF(O155="Quantum",760,1220),_xlpm.wUsed,E155*MAX(1,MIN(MAX(2,INT(900/E155)),INT((_xlpm.cap-50)/E155))),_xlpm.kgmUsed,AR155/E155*_xlpm.wUsed,_xlpm.tier,IF(P155&lt;3000,1,IF(P155&lt;10000,2,IF(P155&lt;25000,3,IF(P155&lt;50000,4,IF(P155&lt;100000,5,IF(P155&lt;250000,6,IF(P155&lt;500000,7,8))))))),_xlpm.widthRow,IF(_xlpm.wUsed&lt;900,0,5),_xlpm.slitRow,IF(O155="Marma",7,IF(OR(O155="Bastin",O155="Quantum"),17,0)),_xlpm.slitRate,INDEX('Lmntn &amp; Prntng- Marma &amp; Bastin '!$D$1:$K$22,_xlpm.slitRow+_xlpm.widthRow,_xlpm.tier),_xlpm.numColors,IF(ISNUMBER(L155),L155,IFERROR(--RIGHT(L155,LEN(L155)-FIND("-",L155)),0)),_xlpm.printRate,IF(OR(K155&lt;&gt;"Printed",_xlpm.numColors=0),0,IF(O155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155))),MAX(_xlfn._xlws.FILTER(_xlpm.meters,(_xlpm.widths=_xlpm.qWidth)*(_xlpm.bands=_xlpm.band)))),INDEX(_xlpm.rates,_xlfn.XMATCH(1,(_xlpm.widths=_xlpm.qWidth)*(_xlpm.bands=_xlpm.band)*(_xlpm.meters=_xlpm.targetM),0))/HELPER!$AK$2),_xlfn.LET(_xlpm.colorOffset,IF(_xlpm.numColors&lt;=2,1,IF(_xlpm.numColors&lt;=4,2,3)),_xlpm.supplierRow,IF(O155="Marma",3,IF(O155="Bastin",13,0)),INDEX('Lmntn &amp; Prntng- Marma &amp; Bastin '!$D$1:$K$22,_xlpm.supplierRow+_xlpm.widthRow+_xlpm.colorOffset,_xlpm.tier)))),AH155+_xlpm.slitRate/_xlpm.kgmUsed+_xlpm.printRate/_xlpm.kgmUsed+AJ155),"")</f>
        <v>29.044875312578732</v>
      </c>
      <c r="AJ155" s="919" cm="1">
        <f t="array" ref="AJ155">IF(OR(K155&lt;&gt;"Printed",L155=0,L155="0",L155=""),0,IFERROR(_xlfn.LET(_xlpm.lam,TEXT(B155,"0"),_xlpm.crit,(TEXT(HELPER!$BZ$2:$BZ$250,"0")=_xlpm.lam)*(HELPER!$CC$2:$CC$250=D155)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WHITE"},0)))/ROWS(_xlpm.real),_xlpm.numColors,IF(ISNUMBER(L155),L155,IFERROR(--RIGHT(L155,LEN(L155)-FIND("-",L155)),0)),HELPER!$DB$1*_xlpm.numColors*MAX(1,M155)*1.05*_xlpm.nkRatio/Q155),0))</f>
        <v>1.2599999999999998</v>
      </c>
      <c r="AK155" s="919">
        <f t="shared" si="63"/>
        <v>1.9484638792013598</v>
      </c>
      <c r="AL155" s="919">
        <f t="shared" si="64"/>
        <v>1359.0535557429484</v>
      </c>
      <c r="AM155" s="73" t="str">
        <f t="shared" si="65"/>
        <v>PASS</v>
      </c>
      <c r="AN155" s="908" t="str">
        <f t="shared" si="44"/>
        <v/>
      </c>
      <c r="AO155" s="919">
        <f t="shared" si="45"/>
        <v>51</v>
      </c>
      <c r="AP155" s="919">
        <f t="shared" si="46"/>
        <v>16492.669008625668</v>
      </c>
      <c r="AQ155" s="919"/>
      <c r="AR155" s="919" cm="1">
        <f t="array" ref="AR155">IFERROR(_xlfn.LET(_xlpm.lam,TEXT(B155,"0"),_xlpm.thick,D155,_xlpm.crit,(TEXT(HELPER!$BZ$2:$BZ$250,"0")=_xlpm.lam)*(HELPER!$CC$2:$CC$250=_xlpm.thick)*(HELPER!$BW$2:$BW$250&lt;&gt;""),_xlpm.mats,TRIM(SUBSTITUTE(_xlfn._xlws.FILTER(HELPER!$BW$2:$BW$250,_xlpm.crit),CHAR(160),"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")),HELPER!$AQ$2:$AQ$20,1),_xlpm.mass,IF(ISNUMBER(SEARCH("paper",_xlpm.mats)),42,_xlpm.dens*_xlpm.ths),E155/1000000*SUM(_xlpm.mass)),"")</f>
        <v>3.03165E-2</v>
      </c>
      <c r="AS155" s="919">
        <f>IFERROR(IF(D155&gt;31,(5%+250/P155)*AF155,VLOOKUP(D155,HELPER!$BH$3:$BI$5,2,TRUE)*AF155),0)</f>
        <v>0.54196510560133182</v>
      </c>
      <c r="AT155" s="919">
        <v>0.15</v>
      </c>
      <c r="AU155" s="919"/>
      <c r="AV155" s="919"/>
      <c r="AW155" s="919"/>
      <c r="AX155" s="919"/>
      <c r="AY155" s="919"/>
      <c r="AZ155" s="919">
        <f t="shared" si="47"/>
        <v>630</v>
      </c>
    </row>
    <row r="156" spans="1:52">
      <c r="A156" s="73" t="s">
        <v>1577</v>
      </c>
      <c r="B156" s="73">
        <v>919</v>
      </c>
      <c r="C156" s="908" t="s">
        <v>1418</v>
      </c>
      <c r="D156" s="915" cm="1">
        <f t="array" ref="D15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6" s="915">
        <v>120</v>
      </c>
      <c r="F156" s="73" t="s">
        <v>560</v>
      </c>
      <c r="G156" s="916">
        <v>100</v>
      </c>
      <c r="H156" s="916">
        <v>100</v>
      </c>
      <c r="I156" s="916"/>
      <c r="J156" s="916"/>
      <c r="K156" s="73" t="s">
        <v>124</v>
      </c>
      <c r="L156" s="921" t="s">
        <v>221</v>
      </c>
      <c r="M156" s="915">
        <v>1</v>
      </c>
      <c r="N156" s="73" t="s">
        <v>549</v>
      </c>
      <c r="O156" s="73" t="s">
        <v>250</v>
      </c>
      <c r="P156" s="916" cm="1">
        <f t="array" ref="P156">IFERROR(_xlfn.SWITCH(F156,"By Weight",IF(H156&lt;&gt;"",H156,G156)/AR156,"By Length",G156,"By Imp",G156/MAX(1,ROUNDDOWN(E156/I156,0))*J156/1000,"IMP",G156/MAX(1,ROUNDDOWN(E156/I156,0))*J156/1000,""),"")</f>
        <v>7415.9769808074516</v>
      </c>
      <c r="Q156" s="916">
        <f t="shared" si="48"/>
        <v>100</v>
      </c>
      <c r="R156" s="917">
        <f t="shared" si="49"/>
        <v>813.62844765523016</v>
      </c>
      <c r="S156" s="918">
        <f t="shared" si="50"/>
        <v>943.80899928006693</v>
      </c>
      <c r="T156" s="919">
        <f t="shared" si="51"/>
        <v>8.1362844765523015</v>
      </c>
      <c r="U156" s="920">
        <f t="shared" si="52"/>
        <v>9.4380899928006698</v>
      </c>
      <c r="V156" s="919">
        <f t="shared" si="53"/>
        <v>0.12907401693602619</v>
      </c>
      <c r="W156" s="919">
        <f t="shared" si="54"/>
        <v>9.5720993841792126</v>
      </c>
      <c r="X156" s="919" t="str">
        <f t="shared" si="55"/>
        <v/>
      </c>
      <c r="Y156" s="920">
        <f t="shared" si="56"/>
        <v>0.14972585964579035</v>
      </c>
      <c r="Z156" s="920">
        <f t="shared" si="57"/>
        <v>11.103635285647886</v>
      </c>
      <c r="AA156" s="920" t="str">
        <f t="shared" si="58"/>
        <v/>
      </c>
      <c r="AB156" s="917">
        <f t="shared" si="59"/>
        <v>957.20993841792131</v>
      </c>
      <c r="AC156" s="918">
        <f t="shared" si="60"/>
        <v>1110.3635285647886</v>
      </c>
      <c r="AD156" s="916">
        <f t="shared" si="61"/>
        <v>37079.884904037259</v>
      </c>
      <c r="AE156" s="916">
        <f t="shared" si="62"/>
        <v>500</v>
      </c>
      <c r="AF156" s="919" cm="1">
        <f t="array" ref="AF156">IFERROR(_xlfn.LET(_xlpm.lam,TEXT(B156,"0"),_xlpm.thick,D156,_xlpm.crit,(TEXT(HELPER!$BZ$2:$BZ$250,"0")=_xlpm.lam)*(HELPER!$CC$2:$CC$250=_xlpm.thick)*(HELPER!$BW$2:$BW$250&lt;&gt;""),_xlpm.mats,TRIM(SUBSTITUTE(_xlfn._xlws.FILTER(HELPER!$BW$2:$BW$250,_xlpm.crit),CHAR(160),"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6" s="919">
        <f>IFERROR(IF(N156="Europe to Canada",IF(Q156&lt;1000,VLOOKUP(1000,HELPER!$AG$4:$AH$8,2,FALSE)/Q156,VLOOKUP(Q156,HELPER!$AG$4:$AH$8,2,TRUE)/Q156),IF(N156="Europe to US",HELPER!$AH$2,IF(N156="Europe to Europe",HELPER!$AH$3,0))),0)</f>
        <v>0.2</v>
      </c>
      <c r="AH156" s="919" cm="1">
        <f t="array" ref="AH156">IFERROR(_xlfn.LET(_xlpm.cap,IF(O156="Quantum",760,1220),_xlpm.wUsed,E156*MAX(1,MIN(MAX(2,INT(900/E156)),INT((_xlpm.cap-50)/E156))),_xlpm.kgmUsed,AR156/E156*_xlpm.wUsed,_xlpm.lam,TEXT(B156,"0"),_xlpm.crit,(TEXT(HELPER!$BZ$2:$BZ$250,"0")=_xlpm.lam)*(HELPER!$CC$2:$CC$250=D156)*(HELPER!$BW$2:$BW$250&lt;&gt;""),_xlpm.mats,_xlfn._xlws.FILTER(HELPER!$BW$2:$BW$250,_xlpm.crit),_xlpm.realLayers,SUM((_xlpm.mats&lt;&gt;"")*ISERROR(SEARCH("EPOTAL",_xlpm.mats&amp;""))*ISERROR(SEARCH("BASONAT",_xlpm.mats&amp;""))*ISERROR(SEARCH("ADH",_xlpm.mats&amp;""))*ISERROR(SEARCH("HARDENER",_xlpm.mats&amp;""))),_xlpm.steps,MAX(0,_xlpm.realLayers-1),_xlpm.tier,IF(P156&lt;3000,1,IF(P156&lt;10000,2,IF(P156&lt;25000,3,IF(P156&lt;50000,4,IF(P156&lt;100000,5,IF(P156&lt;250000,6,7)))))),_xlpm.widthRow,IF(_xlpm.wUsed&lt;900,0,5),_xlpm.supplierRow,IF(O156="Marma",3,IF(OR(O156="Bastin",O156="Quantum"),13,0)),_xlpm.rate,INDEX('Lmntn &amp; Prntng- Marma &amp; Bastin '!$D$1:$K$22,_xlpm.supplierRow+_xlpm.widthRow,_xlpm.tier),_xlpm.rate*_xlpm.steps/_xlpm.kgmUsed),"")</f>
        <v>2.2063590943185138</v>
      </c>
      <c r="AI156" s="919" cm="1">
        <f t="array" ref="AI156">IFERROR(_xlfn.LET(_xlpm.cap,IF(O156="Quantum",760,1220),_xlpm.wUsed,E156*MAX(1,MIN(MAX(2,INT(900/E156)),INT((_xlpm.cap-50)/E156))),_xlpm.kgmUsed,AR156/E156*_xlpm.wUsed,_xlpm.tier,IF(P156&lt;3000,1,IF(P156&lt;10000,2,IF(P156&lt;25000,3,IF(P156&lt;50000,4,IF(P156&lt;100000,5,IF(P156&lt;250000,6,IF(P156&lt;500000,7,8))))))),_xlpm.widthRow,IF(_xlpm.wUsed&lt;900,0,5),_xlpm.slitRow,IF(O156="Marma",7,IF(OR(O156="Bastin",O156="Quantum"),17,0)),_xlpm.slitRate,INDEX('Lmntn &amp; Prntng- Marma &amp; Bastin '!$D$1:$K$22,_xlpm.slitRow+_xlpm.widthRow,_xlpm.tier),_xlpm.numColors,IF(ISNUMBER(L156),L156,IFERROR(--RIGHT(L156,LEN(L156)-FIND("-",L156)),0)),_xlpm.printRate,IF(OR(K156&lt;&gt;"Printed",_xlpm.numColors=0),0,IF(O156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156))),MAX(_xlfn._xlws.FILTER(_xlpm.meters,(_xlpm.widths=_xlpm.qWidth)*(_xlpm.bands=_xlpm.band)))),INDEX(_xlpm.rates,_xlfn.XMATCH(1,(_xlpm.widths=_xlpm.qWidth)*(_xlpm.bands=_xlpm.band)*(_xlpm.meters=_xlpm.targetM),0))/HELPER!$AK$2),_xlfn.LET(_xlpm.colorOffset,IF(_xlpm.numColors&lt;=2,1,IF(_xlpm.numColors&lt;=4,2,3)),_xlpm.supplierRow,IF(O156="Marma",3,IF(O156="Bastin",13,0)),INDEX('Lmntn &amp; Prntng- Marma &amp; Bastin '!$D$1:$K$22,_xlpm.supplierRow+_xlpm.widthRow+_xlpm.colorOffset,_xlpm.tier)))),AH156+_xlpm.slitRate/_xlpm.kgmUsed+_xlpm.printRate/_xlpm.kgmUsed+AJ156),"")</f>
        <v>2.5286362653987462</v>
      </c>
      <c r="AJ156" s="919" cm="1">
        <f t="array" ref="AJ156">IF(OR(K156&lt;&gt;"Printed",L156=0,L156="0",L156=""),0,IFERROR(_xlfn.LET(_xlpm.lam,TEXT(B156,"0"),_xlpm.crit,(TEXT(HELPER!$BZ$2:$BZ$250,"0")=_xlpm.lam)*(HELPER!$CC$2:$CC$250=D156)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WHITE"},0)))/ROWS(_xlpm.real),_xlpm.numColors,IF(ISNUMBER(L156),L156,IFERROR(--RIGHT(L156,LEN(L156)-FIND("-",L156)),0)),HELPER!$DB$1*_xlpm.numColors*MAX(1,M156)*1.05*_xlpm.nkRatio/Q156),0))</f>
        <v>0</v>
      </c>
      <c r="AK156" s="919">
        <f t="shared" si="63"/>
        <v>0.69394632761304398</v>
      </c>
      <c r="AL156" s="919">
        <f t="shared" si="64"/>
        <v>129.0740169360262</v>
      </c>
      <c r="AM156" s="73" t="str">
        <f t="shared" si="65"/>
        <v>PASS</v>
      </c>
      <c r="AN156" s="908" t="str">
        <f t="shared" si="44"/>
        <v/>
      </c>
      <c r="AO156" s="919">
        <f t="shared" si="45"/>
        <v>121</v>
      </c>
      <c r="AP156" s="919">
        <f t="shared" si="46"/>
        <v>7415.9769808074516</v>
      </c>
      <c r="AQ156" s="919"/>
      <c r="AR156" s="919" cm="1">
        <f t="array" ref="AR156">IFERROR(_xlfn.LET(_xlpm.lam,TEXT(B156,"0"),_xlpm.thick,D156,_xlpm.crit,(TEXT(HELPER!$BZ$2:$BZ$250,"0")=_xlpm.lam)*(HELPER!$CC$2:$CC$250=_xlpm.thick)*(HELPER!$BW$2:$BW$250&lt;&gt;""),_xlpm.mats,TRIM(SUBSTITUTE(_xlfn._xlws.FILTER(HELPER!$BW$2:$BW$250,_xlpm.crit),CHAR(160),"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")),HELPER!$AQ$2:$AQ$20,1),_xlpm.mass,IF(ISNUMBER(SEARCH("paper",_xlpm.mats)),42,_xlpm.dens*_xlpm.ths),E156/1000000*SUM(_xlpm.mass)),"")</f>
        <v>1.3484400000000001E-2</v>
      </c>
      <c r="AS156" s="919">
        <f>IFERROR(IF(D156&gt;31,(5%+250/P156)*AF156,VLOOKUP(D156,HELPER!$BH$3:$BI$5,2,TRUE)*AF156),0)</f>
        <v>0.41771250767397883</v>
      </c>
      <c r="AT156" s="919">
        <v>0.15000000000000299</v>
      </c>
      <c r="AU156" s="919"/>
      <c r="AV156" s="919"/>
      <c r="AW156" s="919"/>
      <c r="AX156" s="919"/>
      <c r="AY156" s="919"/>
      <c r="AZ156" s="919">
        <f t="shared" si="47"/>
        <v>0</v>
      </c>
    </row>
    <row r="157" spans="1:52">
      <c r="A157" s="73" t="s">
        <v>1578</v>
      </c>
      <c r="B157" s="73">
        <v>919</v>
      </c>
      <c r="C157" s="908" t="s">
        <v>1420</v>
      </c>
      <c r="D157" s="915" cm="1">
        <f t="array" ref="D15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7" s="915">
        <v>120</v>
      </c>
      <c r="F157" s="73" t="s">
        <v>1040</v>
      </c>
      <c r="G157" s="916">
        <v>1000</v>
      </c>
      <c r="H157" s="916"/>
      <c r="I157" s="916">
        <v>80</v>
      </c>
      <c r="J157" s="916">
        <v>80</v>
      </c>
      <c r="K157" s="73" t="s">
        <v>123</v>
      </c>
      <c r="L157" s="921" t="s">
        <v>591</v>
      </c>
      <c r="M157" s="915">
        <v>1</v>
      </c>
      <c r="N157" s="73" t="s">
        <v>550</v>
      </c>
      <c r="O157" s="73" t="s">
        <v>240</v>
      </c>
      <c r="P157" s="916" cm="1">
        <f t="array" ref="P157">IFERROR(_xlfn.SWITCH(F157,"By Weight",IF(H157&lt;&gt;"",H157,G157)/AR157,"By Length",G157,"By Imp",G157/MAX(1,ROUNDDOWN(E157/I157,0))*J157/1000,"IMP",G157/MAX(1,ROUNDDOWN(E157/I157,0))*J157/1000,""),"")</f>
        <v>80</v>
      </c>
      <c r="Q157" s="916">
        <f t="shared" si="48"/>
        <v>1.0787520000000002</v>
      </c>
      <c r="R157" s="917">
        <f t="shared" si="49"/>
        <v>245.65378418314282</v>
      </c>
      <c r="S157" s="918">
        <f t="shared" si="50"/>
        <v>284.95838965244565</v>
      </c>
      <c r="T157" s="919">
        <f t="shared" si="51"/>
        <v>227.72035109380357</v>
      </c>
      <c r="U157" s="920">
        <f t="shared" si="52"/>
        <v>264.1556072688121</v>
      </c>
      <c r="V157" s="919">
        <f t="shared" si="53"/>
        <v>3.8383403778615919</v>
      </c>
      <c r="W157" s="919">
        <f t="shared" si="54"/>
        <v>284.6504388672534</v>
      </c>
      <c r="X157" s="919">
        <f t="shared" si="55"/>
        <v>0.30706723022892735</v>
      </c>
      <c r="Y157" s="920">
        <f t="shared" si="56"/>
        <v>4.4524748383194463</v>
      </c>
      <c r="Z157" s="920">
        <f t="shared" si="57"/>
        <v>330.19450908601391</v>
      </c>
      <c r="AA157" s="920">
        <f t="shared" si="58"/>
        <v>0.35619798706555572</v>
      </c>
      <c r="AB157" s="917">
        <f t="shared" si="59"/>
        <v>307.06723022892737</v>
      </c>
      <c r="AC157" s="918">
        <f t="shared" si="60"/>
        <v>356.19798706555571</v>
      </c>
      <c r="AD157" s="916">
        <f t="shared" si="61"/>
        <v>37079.884904037259</v>
      </c>
      <c r="AE157" s="916">
        <f t="shared" si="62"/>
        <v>500</v>
      </c>
      <c r="AF157" s="919" cm="1">
        <f t="array" ref="AF157">IFERROR(_xlfn.LET(_xlpm.lam,TEXT(B157,"0"),_xlpm.thick,D157,_xlpm.crit,(TEXT(HELPER!$BZ$2:$BZ$250,"0")=_xlpm.lam)*(HELPER!$CC$2:$CC$250=_xlpm.thick)*(HELPER!$BW$2:$BW$250&lt;&gt;""),_xlpm.mats,TRIM(SUBSTITUTE(_xlfn._xlws.FILTER(HELPER!$BW$2:$BW$250,_xlpm.crit),CHAR(160),"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7" s="919">
        <f>IFERROR(IF(N157="Europe to Canada",IF(Q157&lt;1000,VLOOKUP(1000,HELPER!$AG$4:$AH$8,2,FALSE)/Q157,VLOOKUP(Q157,HELPER!$AG$4:$AH$8,2,TRUE)/Q157),IF(N157="Europe to US",HELPER!$AH$2,IF(N157="Europe to Europe",HELPER!$AH$3,0))),0)</f>
        <v>5.4</v>
      </c>
      <c r="AH157" s="919" cm="1">
        <f t="array" ref="AH157">IFERROR(_xlfn.LET(_xlpm.cap,IF(O157="Quantum",760,1220),_xlpm.wUsed,E157*MAX(1,MIN(MAX(2,INT(900/E157)),INT((_xlpm.cap-50)/E157))),_xlpm.kgmUsed,AR157/E157*_xlpm.wUsed,_xlpm.lam,TEXT(B157,"0"),_xlpm.crit,(TEXT(HELPER!$BZ$2:$BZ$250,"0")=_xlpm.lam)*(HELPER!$CC$2:$CC$250=D157)*(HELPER!$BW$2:$BW$250&lt;&gt;""),_xlpm.mats,_xlfn._xlws.FILTER(HELPER!$BW$2:$BW$250,_xlpm.crit),_xlpm.realLayers,SUM((_xlpm.mats&lt;&gt;"")*ISERROR(SEARCH("EPOTAL",_xlpm.mats&amp;""))*ISERROR(SEARCH("BASONAT",_xlpm.mats&amp;""))*ISERROR(SEARCH("ADH",_xlpm.mats&amp;""))*ISERROR(SEARCH("HARDENER",_xlpm.mats&amp;""))),_xlpm.steps,MAX(0,_xlpm.realLayers-1),_xlpm.tier,IF(P157&lt;3000,1,IF(P157&lt;10000,2,IF(P157&lt;25000,3,IF(P157&lt;50000,4,IF(P157&lt;100000,5,IF(P157&lt;250000,6,7)))))),_xlpm.widthRow,IF(_xlpm.wUsed&lt;900,0,5),_xlpm.supplierRow,IF(O157="Marma",3,IF(OR(O157="Bastin",O157="Quantum"),13,0)),_xlpm.rate,INDEX('Lmntn &amp; Prntng- Marma &amp; Bastin '!$D$1:$K$22,_xlpm.supplierRow+_xlpm.widthRow,_xlpm.tier),_xlpm.rate*_xlpm.steps/_xlpm.kgmUsed),"")</f>
        <v>3.2153345453158564</v>
      </c>
      <c r="AI157" s="919" cm="1">
        <f t="array" ref="AI157">IFERROR(_xlfn.LET(_xlpm.cap,IF(O157="Quantum",760,1220),_xlpm.wUsed,E157*MAX(1,MIN(MAX(2,INT(900/E157)),INT((_xlpm.cap-50)/E157))),_xlpm.kgmUsed,AR157/E157*_xlpm.wUsed,_xlpm.tier,IF(P157&lt;3000,1,IF(P157&lt;10000,2,IF(P157&lt;25000,3,IF(P157&lt;50000,4,IF(P157&lt;100000,5,IF(P157&lt;250000,6,IF(P157&lt;500000,7,8))))))),_xlpm.widthRow,IF(_xlpm.wUsed&lt;900,0,5),_xlpm.slitRow,IF(O157="Marma",7,IF(OR(O157="Bastin",O157="Quantum"),17,0)),_xlpm.slitRate,INDEX('Lmntn &amp; Prntng- Marma &amp; Bastin '!$D$1:$K$22,_xlpm.slitRow+_xlpm.widthRow,_xlpm.tier),_xlpm.numColors,IF(ISNUMBER(L157),L157,IFERROR(--RIGHT(L157,LEN(L157)-FIND("-",L157)),0)),_xlpm.printRate,IF(OR(K157&lt;&gt;"Printed",_xlpm.numColors=0),0,IF(O157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157))),MAX(_xlfn._xlws.FILTER(_xlpm.meters,(_xlpm.widths=_xlpm.qWidth)*(_xlpm.bands=_xlpm.band)))),INDEX(_xlpm.rates,_xlfn.XMATCH(1,(_xlpm.widths=_xlpm.qWidth)*(_xlpm.bands=_xlpm.band)*(_xlpm.meters=_xlpm.targetM),0))/HELPER!$AK$2),_xlfn.LET(_xlpm.colorOffset,IF(_xlpm.numColors&lt;=2,1,IF(_xlpm.numColors&lt;=4,2,3)),_xlpm.supplierRow,IF(O157="Marma",3,IF(O157="Bastin",13,0)),INDEX('Lmntn &amp; Prntng- Marma &amp; Bastin '!$D$1:$K$22,_xlpm.supplierRow+_xlpm.widthRow+_xlpm.colorOffset,_xlpm.tier)))),AH157+_xlpm.slitRate/_xlpm.kgmUsed+_xlpm.printRate/_xlpm.kgmUsed+AJ157),"")</f>
        <v>201.48736953177635</v>
      </c>
      <c r="AJ157" s="919" cm="1">
        <f t="array" ref="AJ157">IF(OR(K157&lt;&gt;"Printed",L157=0,L157="0",L157=""),0,IFERROR(_xlfn.LET(_xlpm.lam,TEXT(B157,"0"),_xlpm.crit,(TEXT(HELPER!$BZ$2:$BZ$250,"0")=_xlpm.lam)*(HELPER!$CC$2:$CC$250=D157)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WHITE"},0)))/ROWS(_xlpm.real),_xlpm.numColors,IF(ISNUMBER(L157),L157,IFERROR(--RIGHT(L157,LEN(L157)-FIND("-",L157)),0)),HELPER!$DB$1*_xlpm.numColors*MAX(1,M157)*1.05*_xlpm.nkRatio/Q157),0))</f>
        <v>194.66939574619556</v>
      </c>
      <c r="AK157" s="919">
        <f t="shared" si="63"/>
        <v>20.636238590653718</v>
      </c>
      <c r="AL157" s="919">
        <f t="shared" si="64"/>
        <v>3838.3403778615921</v>
      </c>
      <c r="AM157" s="73" t="str">
        <f t="shared" si="65"/>
        <v>PASS</v>
      </c>
      <c r="AN157" s="908" t="str">
        <f t="shared" si="44"/>
        <v/>
      </c>
      <c r="AO157" s="919">
        <f t="shared" si="45"/>
        <v>121</v>
      </c>
      <c r="AP157" s="919">
        <f t="shared" si="46"/>
        <v>80</v>
      </c>
      <c r="AQ157" s="919"/>
      <c r="AR157" s="919" cm="1">
        <f t="array" ref="AR157">IFERROR(_xlfn.LET(_xlpm.lam,TEXT(B157,"0"),_xlpm.thick,D157,_xlpm.crit,(TEXT(HELPER!$BZ$2:$BZ$250,"0")=_xlpm.lam)*(HELPER!$CC$2:$CC$250=_xlpm.thick)*(HELPER!$BW$2:$BW$250&lt;&gt;""),_xlpm.mats,TRIM(SUBSTITUTE(_xlfn._xlws.FILTER(HELPER!$BW$2:$BW$250,_xlpm.crit),CHAR(160),"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")),HELPER!$AQ$2:$AQ$20,1),_xlpm.mass,IF(ISNUMBER(SEARCH("paper",_xlpm.mats)),42,_xlpm.dens*_xlpm.ths),E157/1000000*SUM(_xlpm.mass)),"")</f>
        <v>1.3484400000000001E-2</v>
      </c>
      <c r="AS157" s="919">
        <f>IFERROR(IF(D157&gt;31,(5%+250/P157)*AF157,VLOOKUP(D157,HELPER!$BH$3:$BI$5,2,TRUE)*AF157),0)</f>
        <v>15.843045858547653</v>
      </c>
      <c r="AT157" s="919">
        <v>0.19999999999999701</v>
      </c>
      <c r="AU157" s="919"/>
      <c r="AV157" s="919"/>
      <c r="AW157" s="919"/>
      <c r="AX157" s="919"/>
      <c r="AY157" s="919"/>
      <c r="AZ157" s="919">
        <f t="shared" si="47"/>
        <v>209.99999999999997</v>
      </c>
    </row>
    <row r="158" spans="1:52">
      <c r="A158" s="73" t="s">
        <v>1579</v>
      </c>
      <c r="B158" s="73">
        <v>919</v>
      </c>
      <c r="C158" s="908" t="s">
        <v>1422</v>
      </c>
      <c r="D158" s="915" cm="1">
        <f t="array" ref="D15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8" s="915">
        <v>350</v>
      </c>
      <c r="F158" s="73" t="s">
        <v>560</v>
      </c>
      <c r="G158" s="916">
        <v>5000</v>
      </c>
      <c r="H158" s="916">
        <v>5000</v>
      </c>
      <c r="I158" s="916"/>
      <c r="J158" s="916"/>
      <c r="K158" s="73" t="s">
        <v>123</v>
      </c>
      <c r="L158" s="921" t="s">
        <v>122</v>
      </c>
      <c r="M158" s="915">
        <v>4</v>
      </c>
      <c r="N158" s="73" t="s">
        <v>549</v>
      </c>
      <c r="O158" s="73" t="s">
        <v>1366</v>
      </c>
      <c r="P158" s="916" cm="1">
        <f t="array" ref="P158">IFERROR(_xlfn.SWITCH(F158,"By Weight",IF(H158&lt;&gt;"",H158,G158)/AR158,"By Length",G158,"By Imp",G158/MAX(1,ROUNDDOWN(E158/I158,0))*J158/1000,"IMP",G158/MAX(1,ROUNDDOWN(E158/I158,0))*J158/1000,""),"")</f>
        <v>127131.03395669916</v>
      </c>
      <c r="Q158" s="916">
        <f t="shared" si="48"/>
        <v>5000</v>
      </c>
      <c r="R158" s="917">
        <f t="shared" si="49"/>
        <v>91958.519713635396</v>
      </c>
      <c r="S158" s="918">
        <f t="shared" si="50"/>
        <v>106671.88286781705</v>
      </c>
      <c r="T158" s="919">
        <f t="shared" si="51"/>
        <v>18.39170394272708</v>
      </c>
      <c r="U158" s="920">
        <f t="shared" si="52"/>
        <v>21.334376573563411</v>
      </c>
      <c r="V158" s="919">
        <f t="shared" si="53"/>
        <v>0.85098414142998102</v>
      </c>
      <c r="W158" s="919">
        <f t="shared" si="54"/>
        <v>21.63729875614948</v>
      </c>
      <c r="X158" s="919" t="str">
        <f t="shared" si="55"/>
        <v/>
      </c>
      <c r="Y158" s="920">
        <f t="shared" si="56"/>
        <v>0.98714160405877793</v>
      </c>
      <c r="Z158" s="920">
        <f t="shared" si="57"/>
        <v>25.099266557133394</v>
      </c>
      <c r="AA158" s="920" t="str">
        <f t="shared" si="58"/>
        <v/>
      </c>
      <c r="AB158" s="917">
        <f t="shared" si="59"/>
        <v>108186.49378074741</v>
      </c>
      <c r="AC158" s="918">
        <f t="shared" si="60"/>
        <v>125496.33278566698</v>
      </c>
      <c r="AD158" s="916">
        <f t="shared" si="61"/>
        <v>12713.103395669916</v>
      </c>
      <c r="AE158" s="916">
        <f t="shared" si="62"/>
        <v>500</v>
      </c>
      <c r="AF158" s="919" cm="1">
        <f t="array" ref="AF158">IFERROR(_xlfn.LET(_xlpm.lam,TEXT(B158,"0"),_xlpm.thick,D158,_xlpm.crit,(TEXT(HELPER!$BZ$2:$BZ$250,"0")=_xlpm.lam)*(HELPER!$CC$2:$CC$250=_xlpm.thick)*(HELPER!$BW$2:$BW$250&lt;&gt;""),_xlpm.mats,TRIM(SUBSTITUTE(_xlfn._xlws.FILTER(HELPER!$BW$2:$BW$250,_xlpm.crit),CHAR(160),"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8" s="919">
        <f>IFERROR(IF(N158="Europe to Canada",IF(Q158&lt;1000,VLOOKUP(1000,HELPER!$AG$4:$AH$8,2,FALSE)/Q158,VLOOKUP(Q158,HELPER!$AG$4:$AH$8,2,TRUE)/Q158),IF(N158="Europe to US",HELPER!$AH$2,IF(N158="Europe to Europe",HELPER!$AH$3,0))),0)</f>
        <v>0.2</v>
      </c>
      <c r="AH158" s="919" cm="1">
        <f t="array" ref="AH158">IFERROR(_xlfn.LET(_xlpm.cap,IF(O158="Quantum",760,1220),_xlpm.wUsed,E158*MAX(1,MIN(MAX(2,INT(900/E158)),INT((_xlpm.cap-50)/E158))),_xlpm.kgmUsed,AR158/E158*_xlpm.wUsed,_xlpm.lam,TEXT(B158,"0"),_xlpm.crit,(TEXT(HELPER!$BZ$2:$BZ$250,"0")=_xlpm.lam)*(HELPER!$CC$2:$CC$250=D158)*(HELPER!$BW$2:$BW$250&lt;&gt;""),_xlpm.mats,_xlfn._xlws.FILTER(HELPER!$BW$2:$BW$250,_xlpm.crit),_xlpm.realLayers,SUM((_xlpm.mats&lt;&gt;"")*ISERROR(SEARCH("EPOTAL",_xlpm.mats&amp;""))*ISERROR(SEARCH("BASONAT",_xlpm.mats&amp;""))*ISERROR(SEARCH("ADH",_xlpm.mats&amp;""))*ISERROR(SEARCH("HARDENER",_xlpm.mats&amp;""))),_xlpm.steps,MAX(0,_xlpm.realLayers-1),_xlpm.tier,IF(P158&lt;3000,1,IF(P158&lt;10000,2,IF(P158&lt;25000,3,IF(P158&lt;50000,4,IF(P158&lt;100000,5,IF(P158&lt;250000,6,7)))))),_xlpm.widthRow,IF(_xlpm.wUsed&lt;900,0,5),_xlpm.supplierRow,IF(O158="Marma",3,IF(OR(O158="Bastin",O158="Quantum"),13,0)),_xlpm.rate,INDEX('Lmntn &amp; Prntng- Marma &amp; Bastin '!$D$1:$K$22,_xlpm.supplierRow+_xlpm.widthRow,_xlpm.tier),_xlpm.rate*_xlpm.steps/_xlpm.kgmUsed),"")</f>
        <v>2.7755501595494474</v>
      </c>
      <c r="AI158" s="919" cm="1">
        <f t="array" ref="AI158">IFERROR(_xlfn.LET(_xlpm.cap,IF(O158="Quantum",760,1220),_xlpm.wUsed,E158*MAX(1,MIN(MAX(2,INT(900/E158)),INT((_xlpm.cap-50)/E158))),_xlpm.kgmUsed,AR158/E158*_xlpm.wUsed,_xlpm.tier,IF(P158&lt;3000,1,IF(P158&lt;10000,2,IF(P158&lt;25000,3,IF(P158&lt;50000,4,IF(P158&lt;100000,5,IF(P158&lt;250000,6,IF(P158&lt;500000,7,8))))))),_xlpm.widthRow,IF(_xlpm.wUsed&lt;900,0,5),_xlpm.slitRow,IF(O158="Marma",7,IF(OR(O158="Bastin",O158="Quantum"),17,0)),_xlpm.slitRate,INDEX('Lmntn &amp; Prntng- Marma &amp; Bastin '!$D$1:$K$22,_xlpm.slitRow+_xlpm.widthRow,_xlpm.tier),_xlpm.numColors,IF(ISNUMBER(L158),L158,IFERROR(--RIGHT(L158,LEN(L158)-FIND("-",L158)),0)),_xlpm.printRate,IF(OR(K158&lt;&gt;"Printed",_xlpm.numColors=0),0,IF(O158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158))),MAX(_xlfn._xlws.FILTER(_xlpm.meters,(_xlpm.widths=_xlpm.qWidth)*(_xlpm.bands=_xlpm.band)))),INDEX(_xlpm.rates,_xlfn.XMATCH(1,(_xlpm.widths=_xlpm.qWidth)*(_xlpm.bands=_xlpm.band)*(_xlpm.meters=_xlpm.targetM),0))/HELPER!$AK$2),_xlfn.LET(_xlpm.colorOffset,IF(_xlpm.numColors&lt;=2,1,IF(_xlpm.numColors&lt;=4,2,3)),_xlpm.supplierRow,IF(O158="Marma",3,IF(O158="Bastin",13,0)),INDEX('Lmntn &amp; Prntng- Marma &amp; Bastin '!$D$1:$K$22,_xlpm.supplierRow+_xlpm.widthRow+_xlpm.colorOffset,_xlpm.tier)))),AH158+_xlpm.slitRate/_xlpm.kgmUsed+_xlpm.printRate/_xlpm.kgmUsed+AJ158),"")</f>
        <v>12.942458870261026</v>
      </c>
      <c r="AJ158" s="919" cm="1">
        <f t="array" ref="AJ158">IF(OR(K158&lt;&gt;"Printed",L158=0,L158="0",L158=""),0,IFERROR(_xlfn.LET(_xlpm.lam,TEXT(B158,"0"),_xlpm.crit,(TEXT(HELPER!$BZ$2:$BZ$250,"0")=_xlpm.lam)*(HELPER!$CC$2:$CC$250=D158)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WHITE"},0)))/ROWS(_xlpm.real),_xlpm.numColors,IF(ISNUMBER(L158),L158,IFERROR(--RIGHT(L158,LEN(L158)-FIND("-",L158)),0)),HELPER!$DB$1*_xlpm.numColors*MAX(1,M158)*1.05*_xlpm.nkRatio/Q158),0))</f>
        <v>0.33600000000000002</v>
      </c>
      <c r="AK158" s="919">
        <f t="shared" si="63"/>
        <v>1.5686343620829144</v>
      </c>
      <c r="AL158" s="919">
        <f t="shared" si="64"/>
        <v>850.98414142998104</v>
      </c>
      <c r="AM158" s="73" t="str">
        <f t="shared" si="65"/>
        <v>PASS</v>
      </c>
      <c r="AN158" s="908" t="str">
        <f t="shared" si="44"/>
        <v/>
      </c>
      <c r="AO158" s="919">
        <f t="shared" si="45"/>
        <v>121</v>
      </c>
      <c r="AP158" s="919">
        <f t="shared" si="46"/>
        <v>127131.03395669916</v>
      </c>
      <c r="AQ158" s="919"/>
      <c r="AR158" s="919" cm="1">
        <f t="array" ref="AR158">IFERROR(_xlfn.LET(_xlpm.lam,TEXT(B158,"0"),_xlpm.thick,D158,_xlpm.crit,(TEXT(HELPER!$BZ$2:$BZ$250,"0")=_xlpm.lam)*(HELPER!$CC$2:$CC$250=_xlpm.thick)*(HELPER!$BW$2:$BW$250&lt;&gt;""),_xlpm.mats,TRIM(SUBSTITUTE(_xlfn._xlws.FILTER(HELPER!$BW$2:$BW$250,_xlpm.crit),CHAR(160),"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")),HELPER!$AQ$2:$AQ$20,1),_xlpm.mass,IF(ISNUMBER(SEARCH("paper",_xlpm.mats)),42,_xlpm.dens*_xlpm.ths),E158/1000000*SUM(_xlpm.mass)),"")</f>
        <v>3.9329500000000003E-2</v>
      </c>
      <c r="AS158" s="919">
        <f>IFERROR(IF(D158&gt;31,(5%+250/P158)*AF158,VLOOKUP(D158,HELPER!$BH$3:$BI$5,2,TRUE)*AF158),0)</f>
        <v>0.25930936898647883</v>
      </c>
      <c r="AT158" s="919">
        <v>0.149999999999999</v>
      </c>
      <c r="AU158" s="919"/>
      <c r="AV158" s="919"/>
      <c r="AW158" s="919"/>
      <c r="AX158" s="919"/>
      <c r="AY158" s="919"/>
      <c r="AZ158" s="919">
        <f t="shared" si="47"/>
        <v>1680</v>
      </c>
    </row>
    <row r="159" spans="1:52">
      <c r="A159" s="73" t="s">
        <v>1580</v>
      </c>
      <c r="B159" s="73">
        <v>919</v>
      </c>
      <c r="C159" s="908" t="s">
        <v>1424</v>
      </c>
      <c r="D159" s="915" cm="1">
        <f t="array" ref="D15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9" s="915">
        <v>900</v>
      </c>
      <c r="F159" s="73" t="s">
        <v>560</v>
      </c>
      <c r="G159" s="916">
        <v>25000</v>
      </c>
      <c r="H159" s="916">
        <v>25000</v>
      </c>
      <c r="I159" s="916"/>
      <c r="J159" s="916"/>
      <c r="K159" s="73" t="s">
        <v>123</v>
      </c>
      <c r="L159" s="921" t="s">
        <v>592</v>
      </c>
      <c r="M159" s="915">
        <v>8</v>
      </c>
      <c r="N159" s="73" t="s">
        <v>550</v>
      </c>
      <c r="O159" s="73" t="s">
        <v>250</v>
      </c>
      <c r="P159" s="916" cm="1">
        <f t="array" ref="P159">IFERROR(_xlfn.SWITCH(F159,"By Weight",IF(H159&lt;&gt;"",H159,G159)/AR159,"By Length",G159,"By Imp",G159/MAX(1,ROUNDDOWN(E159/I159,0))*J159/1000,"IMP",G159/MAX(1,ROUNDDOWN(E159/I159,0))*J159/1000,""),"")</f>
        <v>247199.23269358173</v>
      </c>
      <c r="Q159" s="916">
        <f t="shared" si="48"/>
        <v>25000</v>
      </c>
      <c r="R159" s="917">
        <f t="shared" si="49"/>
        <v>351836.89455471828</v>
      </c>
      <c r="S159" s="918">
        <f t="shared" si="50"/>
        <v>408130.79768347315</v>
      </c>
      <c r="T159" s="919">
        <f t="shared" si="51"/>
        <v>14.073475782188732</v>
      </c>
      <c r="U159" s="920">
        <f t="shared" si="52"/>
        <v>16.325231907338928</v>
      </c>
      <c r="V159" s="919">
        <f t="shared" si="53"/>
        <v>1.6744621485648212</v>
      </c>
      <c r="W159" s="919">
        <f t="shared" si="54"/>
        <v>16.557030331986802</v>
      </c>
      <c r="X159" s="919" t="str">
        <f t="shared" si="55"/>
        <v/>
      </c>
      <c r="Y159" s="920">
        <f t="shared" si="56"/>
        <v>1.9423760923351925</v>
      </c>
      <c r="Z159" s="920">
        <f t="shared" si="57"/>
        <v>19.206155185104688</v>
      </c>
      <c r="AA159" s="920" t="str">
        <f t="shared" si="58"/>
        <v/>
      </c>
      <c r="AB159" s="917">
        <f t="shared" si="59"/>
        <v>413925.75829967007</v>
      </c>
      <c r="AC159" s="918">
        <f t="shared" si="60"/>
        <v>480153.87962761725</v>
      </c>
      <c r="AD159" s="916">
        <f t="shared" si="61"/>
        <v>4943.9846538716347</v>
      </c>
      <c r="AE159" s="916">
        <f t="shared" si="62"/>
        <v>500</v>
      </c>
      <c r="AF159" s="919" cm="1">
        <f t="array" ref="AF159">IFERROR(_xlfn.LET(_xlpm.lam,TEXT(B159,"0"),_xlpm.thick,D159,_xlpm.crit,(TEXT(HELPER!$BZ$2:$BZ$250,"0")=_xlpm.lam)*(HELPER!$CC$2:$CC$250=_xlpm.thick)*(HELPER!$BW$2:$BW$250&lt;&gt;""),_xlpm.mats,TRIM(SUBSTITUTE(_xlfn._xlws.FILTER(HELPER!$BW$2:$BW$250,_xlpm.crit),CHAR(160),"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9" s="919">
        <f>IFERROR(IF(N159="Europe to Canada",IF(Q159&lt;1000,VLOOKUP(1000,HELPER!$AG$4:$AH$8,2,FALSE)/Q159,VLOOKUP(Q159,HELPER!$AG$4:$AH$8,2,TRUE)/Q159),IF(N159="Europe to US",HELPER!$AH$2,IF(N159="Europe to Europe",HELPER!$AH$3,0))),0)</f>
        <v>5.4</v>
      </c>
      <c r="AH159" s="919" cm="1">
        <f t="array" ref="AH159">IFERROR(_xlfn.LET(_xlpm.cap,IF(O159="Quantum",760,1220),_xlpm.wUsed,E159*MAX(1,MIN(MAX(2,INT(900/E159)),INT((_xlpm.cap-50)/E159))),_xlpm.kgmUsed,AR159/E159*_xlpm.wUsed,_xlpm.lam,TEXT(B159,"0"),_xlpm.crit,(TEXT(HELPER!$BZ$2:$BZ$250,"0")=_xlpm.lam)*(HELPER!$CC$2:$CC$250=D159)*(HELPER!$BW$2:$BW$250&lt;&gt;""),_xlpm.mats,_xlfn._xlws.FILTER(HELPER!$BW$2:$BW$250,_xlpm.crit),_xlpm.realLayers,SUM((_xlpm.mats&lt;&gt;"")*ISERROR(SEARCH("EPOTAL",_xlpm.mats&amp;""))*ISERROR(SEARCH("BASONAT",_xlpm.mats&amp;""))*ISERROR(SEARCH("ADH",_xlpm.mats&amp;""))*ISERROR(SEARCH("HARDENER",_xlpm.mats&amp;""))),_xlpm.steps,MAX(0,_xlpm.realLayers-1),_xlpm.tier,IF(P159&lt;3000,1,IF(P159&lt;10000,2,IF(P159&lt;25000,3,IF(P159&lt;50000,4,IF(P159&lt;100000,5,IF(P159&lt;250000,6,7)))))),_xlpm.widthRow,IF(_xlpm.wUsed&lt;900,0,5),_xlpm.supplierRow,IF(O159="Marma",3,IF(OR(O159="Bastin",O159="Quantum"),13,0)),_xlpm.rate,INDEX('Lmntn &amp; Prntng- Marma &amp; Bastin '!$D$1:$K$22,_xlpm.supplierRow+_xlpm.widthRow,_xlpm.tier),_xlpm.rate*_xlpm.steps/_xlpm.kgmUsed),"")</f>
        <v>1.6605855655424047</v>
      </c>
      <c r="AI159" s="919" cm="1">
        <f t="array" ref="AI159">IFERROR(_xlfn.LET(_xlpm.cap,IF(O159="Quantum",760,1220),_xlpm.wUsed,E159*MAX(1,MIN(MAX(2,INT(900/E159)),INT((_xlpm.cap-50)/E159))),_xlpm.kgmUsed,AR159/E159*_xlpm.wUsed,_xlpm.tier,IF(P159&lt;3000,1,IF(P159&lt;10000,2,IF(P159&lt;25000,3,IF(P159&lt;50000,4,IF(P159&lt;100000,5,IF(P159&lt;250000,6,IF(P159&lt;500000,7,8))))))),_xlpm.widthRow,IF(_xlpm.wUsed&lt;900,0,5),_xlpm.slitRow,IF(O159="Marma",7,IF(OR(O159="Bastin",O159="Quantum"),17,0)),_xlpm.slitRate,INDEX('Lmntn &amp; Prntng- Marma &amp; Bastin '!$D$1:$K$22,_xlpm.slitRow+_xlpm.widthRow,_xlpm.tier),_xlpm.numColors,IF(ISNUMBER(L159),L159,IFERROR(--RIGHT(L159,LEN(L159)-FIND("-",L159)),0)),_xlpm.printRate,IF(OR(K159&lt;&gt;"Printed",_xlpm.numColors=0),0,IF(O159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159))),MAX(_xlfn._xlws.FILTER(_xlpm.meters,(_xlpm.widths=_xlpm.qWidth)*(_xlpm.bands=_xlpm.band)))),INDEX(_xlpm.rates,_xlfn.XMATCH(1,(_xlpm.widths=_xlpm.qWidth)*(_xlpm.bands=_xlpm.band)*(_xlpm.meters=_xlpm.targetM),0))/HELPER!$AK$2),_xlfn.LET(_xlpm.colorOffset,IF(_xlpm.numColors&lt;=2,1,IF(_xlpm.numColors&lt;=4,2,3)),_xlpm.supplierRow,IF(O159="Marma",3,IF(O159="Bastin",13,0)),INDEX('Lmntn &amp; Prntng- Marma &amp; Bastin '!$D$1:$K$22,_xlpm.supplierRow+_xlpm.widthRow+_xlpm.colorOffset,_xlpm.tier)))),AH159+_xlpm.slitRate/_xlpm.kgmUsed+_xlpm.printRate/_xlpm.kgmUsed+AJ159),"")</f>
        <v>3.4289968218601765</v>
      </c>
      <c r="AJ159" s="919" cm="1">
        <f t="array" ref="AJ159">IF(OR(K159&lt;&gt;"Printed",L159=0,L159="0",L159=""),0,IFERROR(_xlfn.LET(_xlpm.lam,TEXT(B159,"0"),_xlpm.crit,(TEXT(HELPER!$BZ$2:$BZ$250,"0")=_xlpm.lam)*(HELPER!$CC$2:$CC$250=D159)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WHITE"},0)))/ROWS(_xlpm.real),_xlpm.numColors,IF(ISNUMBER(L159),L159,IFERROR(--RIGHT(L159,LEN(L159)-FIND("-",L159)),0)),HELPER!$DB$1*_xlpm.numColors*MAX(1,M159)*1.05*_xlpm.nkRatio/Q159),0))</f>
        <v>0.26879999999999998</v>
      </c>
      <c r="AK159" s="919">
        <f t="shared" si="63"/>
        <v>1.2003312892937787</v>
      </c>
      <c r="AL159" s="919">
        <f t="shared" si="64"/>
        <v>1674.4621485648213</v>
      </c>
      <c r="AM159" s="73" t="str">
        <f t="shared" si="65"/>
        <v>PASS</v>
      </c>
      <c r="AN159" s="908" t="str">
        <f t="shared" si="44"/>
        <v/>
      </c>
      <c r="AO159" s="919">
        <f t="shared" si="45"/>
        <v>121</v>
      </c>
      <c r="AP159" s="919">
        <f t="shared" si="46"/>
        <v>247199.23269358173</v>
      </c>
      <c r="AQ159" s="919"/>
      <c r="AR159" s="919" cm="1">
        <f t="array" ref="AR159">IFERROR(_xlfn.LET(_xlpm.lam,TEXT(B159,"0"),_xlpm.thick,D159,_xlpm.crit,(TEXT(HELPER!$BZ$2:$BZ$250,"0")=_xlpm.lam)*(HELPER!$CC$2:$CC$250=_xlpm.thick)*(HELPER!$BW$2:$BW$250&lt;&gt;""),_xlpm.mats,TRIM(SUBSTITUTE(_xlfn._xlws.FILTER(HELPER!$BW$2:$BW$250,_xlpm.crit),CHAR(160),"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")),HELPER!$AQ$2:$AQ$20,1),_xlpm.mass,IF(ISNUMBER(SEARCH("paper",_xlpm.mats)),42,_xlpm.dens*_xlpm.ths),E159/1000000*SUM(_xlpm.mass)),"")</f>
        <v>0.101133</v>
      </c>
      <c r="AS159" s="919">
        <f>IFERROR(IF(D159&gt;31,(5%+250/P159)*AF159,VLOOKUP(D159,HELPER!$BH$3:$BI$5,2,TRUE)*AF159),0)</f>
        <v>0.25454325684897877</v>
      </c>
      <c r="AT159" s="919">
        <v>0.15000000000000299</v>
      </c>
      <c r="AU159" s="919"/>
      <c r="AV159" s="919"/>
      <c r="AW159" s="919"/>
      <c r="AX159" s="919"/>
      <c r="AY159" s="919"/>
      <c r="AZ159" s="919">
        <f t="shared" si="47"/>
        <v>6720</v>
      </c>
    </row>
    <row r="160" spans="1:52">
      <c r="A160" s="73" t="s">
        <v>1581</v>
      </c>
      <c r="B160" s="73">
        <v>919</v>
      </c>
      <c r="C160" s="908" t="s">
        <v>1426</v>
      </c>
      <c r="D160" s="915" cm="1">
        <f t="array" ref="D16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0" s="915">
        <v>350</v>
      </c>
      <c r="F160" s="73" t="s">
        <v>561</v>
      </c>
      <c r="G160" s="916">
        <v>2000</v>
      </c>
      <c r="H160" s="916"/>
      <c r="I160" s="916"/>
      <c r="J160" s="916"/>
      <c r="K160" s="73" t="s">
        <v>124</v>
      </c>
      <c r="L160" s="921" t="s">
        <v>221</v>
      </c>
      <c r="M160" s="915">
        <v>1</v>
      </c>
      <c r="N160" s="73" t="s">
        <v>549</v>
      </c>
      <c r="O160" s="73" t="s">
        <v>240</v>
      </c>
      <c r="P160" s="916" cm="1">
        <f t="array" ref="P160">IFERROR(_xlfn.SWITCH(F160,"By Weight",IF(H160&lt;&gt;"",H160,G160)/AR160,"By Length",G160,"By Imp",G160/MAX(1,ROUNDDOWN(E160/I160,0))*J160/1000,"IMP",G160/MAX(1,ROUNDDOWN(E160/I160,0))*J160/1000,""),"")</f>
        <v>2000</v>
      </c>
      <c r="Q160" s="916">
        <f t="shared" si="48"/>
        <v>78.659000000000006</v>
      </c>
      <c r="R160" s="917">
        <f t="shared" si="49"/>
        <v>825.81723918749992</v>
      </c>
      <c r="S160" s="918">
        <f t="shared" si="50"/>
        <v>957.94799745749981</v>
      </c>
      <c r="T160" s="919">
        <f t="shared" si="51"/>
        <v>10.498699947717361</v>
      </c>
      <c r="U160" s="920">
        <f t="shared" si="52"/>
        <v>12.178491939352138</v>
      </c>
      <c r="V160" s="919">
        <f t="shared" si="53"/>
        <v>0.51613577449218562</v>
      </c>
      <c r="W160" s="919">
        <f t="shared" si="54"/>
        <v>13.123374934646654</v>
      </c>
      <c r="X160" s="919" t="str">
        <f t="shared" si="55"/>
        <v/>
      </c>
      <c r="Y160" s="920">
        <f t="shared" si="56"/>
        <v>0.59871749841093524</v>
      </c>
      <c r="Z160" s="920">
        <f t="shared" si="57"/>
        <v>15.223114924190117</v>
      </c>
      <c r="AA160" s="920" t="str">
        <f t="shared" si="58"/>
        <v/>
      </c>
      <c r="AB160" s="917">
        <f t="shared" si="59"/>
        <v>1032.2715489843713</v>
      </c>
      <c r="AC160" s="918">
        <f t="shared" si="60"/>
        <v>1197.4349968218705</v>
      </c>
      <c r="AD160" s="916">
        <f t="shared" si="61"/>
        <v>12713.103395669916</v>
      </c>
      <c r="AE160" s="916">
        <f t="shared" si="62"/>
        <v>500</v>
      </c>
      <c r="AF160" s="919" cm="1">
        <f t="array" ref="AF160">IFERROR(_xlfn.LET(_xlpm.lam,TEXT(B160,"0"),_xlpm.thick,D160,_xlpm.crit,(TEXT(HELPER!$BZ$2:$BZ$250,"0")=_xlpm.lam)*(HELPER!$CC$2:$CC$250=_xlpm.thick)*(HELPER!$BW$2:$BW$250&lt;&gt;""),_xlpm.mats,TRIM(SUBSTITUTE(_xlfn._xlws.FILTER(HELPER!$BW$2:$BW$250,_xlpm.crit),CHAR(160),"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0" s="919">
        <f>IFERROR(IF(N160="Europe to Canada",IF(Q160&lt;1000,VLOOKUP(1000,HELPER!$AG$4:$AH$8,2,FALSE)/Q160,VLOOKUP(Q160,HELPER!$AG$4:$AH$8,2,TRUE)/Q160),IF(N160="Europe to US",HELPER!$AH$2,IF(N160="Europe to Europe",HELPER!$AH$3,0))),0)</f>
        <v>0.2</v>
      </c>
      <c r="AH160" s="919" cm="1">
        <f t="array" ref="AH160">IFERROR(_xlfn.LET(_xlpm.cap,IF(O160="Quantum",760,1220),_xlpm.wUsed,E160*MAX(1,MIN(MAX(2,INT(900/E160)),INT((_xlpm.cap-50)/E160))),_xlpm.kgmUsed,AR160/E160*_xlpm.wUsed,_xlpm.lam,TEXT(B160,"0"),_xlpm.crit,(TEXT(HELPER!$BZ$2:$BZ$250,"0")=_xlpm.lam)*(HELPER!$CC$2:$CC$250=D160)*(HELPER!$BW$2:$BW$250&lt;&gt;""),_xlpm.mats,_xlfn._xlws.FILTER(HELPER!$BW$2:$BW$250,_xlpm.crit),_xlpm.realLayers,SUM((_xlpm.mats&lt;&gt;"")*ISERROR(SEARCH("EPOTAL",_xlpm.mats&amp;""))*ISERROR(SEARCH("BASONAT",_xlpm.mats&amp;""))*ISERROR(SEARCH("ADH",_xlpm.mats&amp;""))*ISERROR(SEARCH("HARDENER",_xlpm.mats&amp;""))),_xlpm.steps,MAX(0,_xlpm.realLayers-1),_xlpm.tier,IF(P160&lt;3000,1,IF(P160&lt;10000,2,IF(P160&lt;25000,3,IF(P160&lt;50000,4,IF(P160&lt;100000,5,IF(P160&lt;250000,6,7)))))),_xlpm.widthRow,IF(_xlpm.wUsed&lt;900,0,5),_xlpm.supplierRow,IF(O160="Marma",3,IF(OR(O160="Bastin",O160="Quantum"),13,0)),_xlpm.rate,INDEX('Lmntn &amp; Prntng- Marma &amp; Bastin '!$D$1:$K$22,_xlpm.supplierRow+_xlpm.widthRow,_xlpm.tier),_xlpm.rate*_xlpm.steps/_xlpm.kgmUsed),"")</f>
        <v>3.8584014543790279</v>
      </c>
      <c r="AI160" s="919" cm="1">
        <f t="array" ref="AI160">IFERROR(_xlfn.LET(_xlpm.cap,IF(O160="Quantum",760,1220),_xlpm.wUsed,E160*MAX(1,MIN(MAX(2,INT(900/E160)),INT((_xlpm.cap-50)/E160))),_xlpm.kgmUsed,AR160/E160*_xlpm.wUsed,_xlpm.tier,IF(P160&lt;3000,1,IF(P160&lt;10000,2,IF(P160&lt;25000,3,IF(P160&lt;50000,4,IF(P160&lt;100000,5,IF(P160&lt;250000,6,IF(P160&lt;500000,7,8))))))),_xlpm.widthRow,IF(_xlpm.wUsed&lt;900,0,5),_xlpm.slitRow,IF(O160="Marma",7,IF(OR(O160="Bastin",O160="Quantum"),17,0)),_xlpm.slitRate,INDEX('Lmntn &amp; Prntng- Marma &amp; Bastin '!$D$1:$K$22,_xlpm.slitRow+_xlpm.widthRow,_xlpm.tier),_xlpm.numColors,IF(ISNUMBER(L160),L160,IFERROR(--RIGHT(L160,LEN(L160)-FIND("-",L160)),0)),_xlpm.printRate,IF(OR(K160&lt;&gt;"Printed",_xlpm.numColors=0),0,IF(O160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160))),MAX(_xlfn._xlws.FILTER(_xlpm.meters,(_xlpm.widths=_xlpm.qWidth)*(_xlpm.bands=_xlpm.band)))),INDEX(_xlpm.rates,_xlfn.XMATCH(1,(_xlpm.widths=_xlpm.qWidth)*(_xlpm.bands=_xlpm.band)*(_xlpm.meters=_xlpm.targetM),0))/HELPER!$AK$2),_xlfn.LET(_xlpm.colorOffset,IF(_xlpm.numColors&lt;=2,1,IF(_xlpm.numColors&lt;=4,2,3)),_xlpm.supplierRow,IF(O160="Marma",3,IF(O160="Bastin",13,0)),INDEX('Lmntn &amp; Prntng- Marma &amp; Bastin '!$D$1:$K$22,_xlpm.supplierRow+_xlpm.widthRow+_xlpm.colorOffset,_xlpm.tier)))),AH160+_xlpm.slitRate/_xlpm.kgmUsed+_xlpm.printRate/_xlpm.kgmUsed+AJ160),"")</f>
        <v>4.435525496128859</v>
      </c>
      <c r="AJ160" s="919" cm="1">
        <f t="array" ref="AJ160">IF(OR(K160&lt;&gt;"Printed",L160=0,L160="0",L160=""),0,IFERROR(_xlfn.LET(_xlpm.lam,TEXT(B160,"0"),_xlpm.crit,(TEXT(HELPER!$BZ$2:$BZ$250,"0")=_xlpm.lam)*(HELPER!$CC$2:$CC$250=D160)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WHITE"},0)))/ROWS(_xlpm.real),_xlpm.numColors,IF(ISNUMBER(L160),L160,IFERROR(--RIGHT(L160,LEN(L160)-FIND("-",L160)),0)),HELPER!$DB$1*_xlpm.numColors*MAX(1,M160)*1.05*_xlpm.nkRatio/Q160),0))</f>
        <v>0</v>
      </c>
      <c r="AK160" s="919">
        <f t="shared" si="63"/>
        <v>0.95140234929435141</v>
      </c>
      <c r="AL160" s="919">
        <f t="shared" si="64"/>
        <v>516.13577449218565</v>
      </c>
      <c r="AM160" s="73" t="str">
        <f t="shared" si="65"/>
        <v>PASS</v>
      </c>
      <c r="AN160" s="908" t="str">
        <f t="shared" si="44"/>
        <v/>
      </c>
      <c r="AO160" s="919">
        <f t="shared" si="45"/>
        <v>121</v>
      </c>
      <c r="AP160" s="919">
        <f t="shared" si="46"/>
        <v>2000</v>
      </c>
      <c r="AQ160" s="919"/>
      <c r="AR160" s="919" cm="1">
        <f t="array" ref="AR160">IFERROR(_xlfn.LET(_xlpm.lam,TEXT(B160,"0"),_xlpm.thick,D160,_xlpm.crit,(TEXT(HELPER!$BZ$2:$BZ$250,"0")=_xlpm.lam)*(HELPER!$CC$2:$CC$250=_xlpm.thick)*(HELPER!$BW$2:$BW$250&lt;&gt;""),_xlpm.mats,TRIM(SUBSTITUTE(_xlfn._xlws.FILTER(HELPER!$BW$2:$BW$250,_xlpm.crit),CHAR(160),"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")),HELPER!$AQ$2:$AQ$20,1),_xlpm.mass,IF(ISNUMBER(SEARCH("paper",_xlpm.mats)),42,_xlpm.dens*_xlpm.ths),E160/1000000*SUM(_xlpm.mass)),"")</f>
        <v>3.9329500000000003E-2</v>
      </c>
      <c r="AS160" s="919">
        <f>IFERROR(IF(D160&gt;31,(5%+250/P160)*AF160,VLOOKUP(D160,HELPER!$BH$3:$BI$5,2,TRUE)*AF160),0)</f>
        <v>0.87323874810892577</v>
      </c>
      <c r="AT160" s="919">
        <v>0.19999999999999701</v>
      </c>
      <c r="AU160" s="919"/>
      <c r="AV160" s="919"/>
      <c r="AW160" s="919"/>
      <c r="AX160" s="919"/>
      <c r="AY160" s="919"/>
      <c r="AZ160" s="919">
        <f t="shared" si="47"/>
        <v>0</v>
      </c>
    </row>
    <row r="161" spans="1:52">
      <c r="A161" s="73" t="s">
        <v>1582</v>
      </c>
      <c r="B161" s="73">
        <v>919</v>
      </c>
      <c r="C161" s="908" t="s">
        <v>1428</v>
      </c>
      <c r="D161" s="915" cm="1">
        <f t="array" ref="D16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1" s="915">
        <v>600</v>
      </c>
      <c r="F161" s="73" t="s">
        <v>561</v>
      </c>
      <c r="G161" s="916">
        <v>250000</v>
      </c>
      <c r="H161" s="916"/>
      <c r="I161" s="916"/>
      <c r="J161" s="916"/>
      <c r="K161" s="73" t="s">
        <v>123</v>
      </c>
      <c r="L161" s="921" t="s">
        <v>122</v>
      </c>
      <c r="M161" s="915">
        <v>4</v>
      </c>
      <c r="N161" s="73" t="s">
        <v>550</v>
      </c>
      <c r="O161" s="73" t="s">
        <v>1366</v>
      </c>
      <c r="P161" s="916" cm="1">
        <f t="array" ref="P161">IFERROR(_xlfn.SWITCH(F161,"By Weight",IF(H161&lt;&gt;"",H161,G161)/AR161,"By Length",G161,"By Imp",G161/MAX(1,ROUNDDOWN(E161/I161,0))*J161/1000,"IMP",G161/MAX(1,ROUNDDOWN(E161/I161,0))*J161/1000,""),"")</f>
        <v>250000</v>
      </c>
      <c r="Q161" s="916">
        <f t="shared" si="48"/>
        <v>16855.5</v>
      </c>
      <c r="R161" s="917">
        <f t="shared" si="49"/>
        <v>428609.92424271553</v>
      </c>
      <c r="S161" s="918">
        <f t="shared" si="50"/>
        <v>497187.51212154998</v>
      </c>
      <c r="T161" s="919">
        <f t="shared" si="51"/>
        <v>25.428490655436832</v>
      </c>
      <c r="U161" s="920">
        <f t="shared" si="52"/>
        <v>29.497049160306723</v>
      </c>
      <c r="V161" s="919">
        <f t="shared" si="53"/>
        <v>2.0169878787892519</v>
      </c>
      <c r="W161" s="919">
        <f t="shared" si="54"/>
        <v>29.915871359337487</v>
      </c>
      <c r="X161" s="919" t="str">
        <f t="shared" si="55"/>
        <v/>
      </c>
      <c r="Y161" s="920">
        <f t="shared" si="56"/>
        <v>2.339705939395532</v>
      </c>
      <c r="Z161" s="920">
        <f t="shared" si="57"/>
        <v>34.702410776831485</v>
      </c>
      <c r="AA161" s="920" t="str">
        <f t="shared" si="58"/>
        <v/>
      </c>
      <c r="AB161" s="917">
        <f t="shared" si="59"/>
        <v>504246.96969731303</v>
      </c>
      <c r="AC161" s="918">
        <f t="shared" si="60"/>
        <v>584926.48484888312</v>
      </c>
      <c r="AD161" s="916">
        <f t="shared" si="61"/>
        <v>7415.9769808074516</v>
      </c>
      <c r="AE161" s="916">
        <f t="shared" si="62"/>
        <v>500</v>
      </c>
      <c r="AF161" s="919" cm="1">
        <f t="array" ref="AF161">IFERROR(_xlfn.LET(_xlpm.lam,TEXT(B161,"0"),_xlpm.thick,D161,_xlpm.crit,(TEXT(HELPER!$BZ$2:$BZ$250,"0")=_xlpm.lam)*(HELPER!$CC$2:$CC$250=_xlpm.thick)*(HELPER!$BW$2:$BW$250&lt;&gt;""),_xlpm.mats,TRIM(SUBSTITUTE(_xlfn._xlws.FILTER(HELPER!$BW$2:$BW$250,_xlpm.crit),CHAR(160),"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1" s="919">
        <f>IFERROR(IF(N161="Europe to Canada",IF(Q161&lt;1000,VLOOKUP(1000,HELPER!$AG$4:$AH$8,2,FALSE)/Q161,VLOOKUP(Q161,HELPER!$AG$4:$AH$8,2,TRUE)/Q161),IF(N161="Europe to US",HELPER!$AH$2,IF(N161="Europe to Europe",HELPER!$AH$3,0))),0)</f>
        <v>5.4</v>
      </c>
      <c r="AH161" s="919" cm="1">
        <f t="array" ref="AH161">IFERROR(_xlfn.LET(_xlpm.cap,IF(O161="Quantum",760,1220),_xlpm.wUsed,E161*MAX(1,MIN(MAX(2,INT(900/E161)),INT((_xlpm.cap-50)/E161))),_xlpm.kgmUsed,AR161/E161*_xlpm.wUsed,_xlpm.lam,TEXT(B161,"0"),_xlpm.crit,(TEXT(HELPER!$BZ$2:$BZ$250,"0")=_xlpm.lam)*(HELPER!$CC$2:$CC$250=D161)*(HELPER!$BW$2:$BW$250&lt;&gt;""),_xlpm.mats,_xlfn._xlws.FILTER(HELPER!$BW$2:$BW$250,_xlpm.crit),_xlpm.realLayers,SUM((_xlpm.mats&lt;&gt;"")*ISERROR(SEARCH("EPOTAL",_xlpm.mats&amp;""))*ISERROR(SEARCH("BASONAT",_xlpm.mats&amp;""))*ISERROR(SEARCH("ADH",_xlpm.mats&amp;""))*ISERROR(SEARCH("HARDENER",_xlpm.mats&amp;""))),_xlpm.steps,MAX(0,_xlpm.realLayers-1),_xlpm.tier,IF(P161&lt;3000,1,IF(P161&lt;10000,2,IF(P161&lt;25000,3,IF(P161&lt;50000,4,IF(P161&lt;100000,5,IF(P161&lt;250000,6,7)))))),_xlpm.widthRow,IF(_xlpm.wUsed&lt;900,0,5),_xlpm.supplierRow,IF(O161="Marma",3,IF(OR(O161="Bastin",O161="Quantum"),13,0)),_xlpm.rate,INDEX('Lmntn &amp; Prntng- Marma &amp; Bastin '!$D$1:$K$22,_xlpm.supplierRow+_xlpm.widthRow,_xlpm.tier),_xlpm.rate*_xlpm.steps/_xlpm.kgmUsed),"")</f>
        <v>3.2184746818545875</v>
      </c>
      <c r="AI161" s="919" cm="1">
        <f t="array" ref="AI161">IFERROR(_xlfn.LET(_xlpm.cap,IF(O161="Quantum",760,1220),_xlpm.wUsed,E161*MAX(1,MIN(MAX(2,INT(900/E161)),INT((_xlpm.cap-50)/E161))),_xlpm.kgmUsed,AR161/E161*_xlpm.wUsed,_xlpm.tier,IF(P161&lt;3000,1,IF(P161&lt;10000,2,IF(P161&lt;25000,3,IF(P161&lt;50000,4,IF(P161&lt;100000,5,IF(P161&lt;250000,6,IF(P161&lt;500000,7,8))))))),_xlpm.widthRow,IF(_xlpm.wUsed&lt;900,0,5),_xlpm.slitRow,IF(O161="Marma",7,IF(OR(O161="Bastin",O161="Quantum"),17,0)),_xlpm.slitRate,INDEX('Lmntn &amp; Prntng- Marma &amp; Bastin '!$D$1:$K$22,_xlpm.slitRow+_xlpm.widthRow,_xlpm.tier),_xlpm.numColors,IF(ISNUMBER(L161),L161,IFERROR(--RIGHT(L161,LEN(L161)-FIND("-",L161)),0)),_xlpm.printRate,IF(OR(K161&lt;&gt;"Printed",_xlpm.numColors=0),0,IF(O161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161))),MAX(_xlfn._xlws.FILTER(_xlpm.meters,(_xlpm.widths=_xlpm.qWidth)*(_xlpm.bands=_xlpm.band)))),INDEX(_xlpm.rates,_xlfn.XMATCH(1,(_xlpm.widths=_xlpm.qWidth)*(_xlpm.bands=_xlpm.band)*(_xlpm.meters=_xlpm.targetM),0))/HELPER!$AK$2),_xlfn.LET(_xlpm.colorOffset,IF(_xlpm.numColors&lt;=2,1,IF(_xlpm.numColors&lt;=4,2,3)),_xlpm.supplierRow,IF(O161="Marma",3,IF(O161="Bastin",13,0)),INDEX('Lmntn &amp; Prntng- Marma &amp; Bastin '!$D$1:$K$22,_xlpm.supplierRow+_xlpm.widthRow+_xlpm.colorOffset,_xlpm.tier)))),AH161+_xlpm.slitRate/_xlpm.kgmUsed+_xlpm.printRate/_xlpm.kgmUsed+AJ161),"")</f>
        <v>14.784068231079797</v>
      </c>
      <c r="AJ161" s="919" cm="1">
        <f t="array" ref="AJ161">IF(OR(K161&lt;&gt;"Printed",L161=0,L161="0",L161=""),0,IFERROR(_xlfn.LET(_xlpm.lam,TEXT(B161,"0"),_xlpm.crit,(TEXT(HELPER!$BZ$2:$BZ$250,"0")=_xlpm.lam)*(HELPER!$CC$2:$CC$250=D161)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WHITE"},0)))/ROWS(_xlpm.real),_xlpm.numColors,IF(ISNUMBER(L161),L161,IFERROR(--RIGHT(L161,LEN(L161)-FIND("-",L161)),0)),HELPER!$DB$1*_xlpm.numColors*MAX(1,M161)*1.05*_xlpm.nkRatio/Q161),0))</f>
        <v>9.9670730622052145E-2</v>
      </c>
      <c r="AK161" s="919">
        <f t="shared" si="63"/>
        <v>2.1688041707411312</v>
      </c>
      <c r="AL161" s="919">
        <f t="shared" si="64"/>
        <v>2016.9878787892519</v>
      </c>
      <c r="AM161" s="73" t="str">
        <f t="shared" si="65"/>
        <v>PASS</v>
      </c>
      <c r="AN161" s="908" t="str">
        <f t="shared" si="44"/>
        <v/>
      </c>
      <c r="AO161" s="919">
        <f t="shared" si="45"/>
        <v>121</v>
      </c>
      <c r="AP161" s="919">
        <f t="shared" si="46"/>
        <v>250000</v>
      </c>
      <c r="AQ161" s="919"/>
      <c r="AR161" s="919" cm="1">
        <f t="array" ref="AR161">IFERROR(_xlfn.LET(_xlpm.lam,TEXT(B161,"0"),_xlpm.thick,D161,_xlpm.crit,(TEXT(HELPER!$BZ$2:$BZ$250,"0")=_xlpm.lam)*(HELPER!$CC$2:$CC$250=_xlpm.thick)*(HELPER!$BW$2:$BW$250&lt;&gt;""),_xlpm.mats,TRIM(SUBSTITUTE(_xlfn._xlws.FILTER(HELPER!$BW$2:$BW$250,_xlpm.crit),CHAR(160),"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")),HELPER!$AQ$2:$AQ$20,1),_xlpm.mass,IF(ISNUMBER(SEARCH("paper",_xlpm.mats)),42,_xlpm.dens*_xlpm.ths),E161/1000000*SUM(_xlpm.mass)),"")</f>
        <v>6.7421999999999996E-2</v>
      </c>
      <c r="AS161" s="919">
        <f>IFERROR(IF(D161&gt;31,(5%+250/P161)*AF161,VLOOKUP(D161,HELPER!$BH$3:$BI$5,2,TRUE)*AF161),0)</f>
        <v>0.25448672087745838</v>
      </c>
      <c r="AT161" s="919">
        <v>0.15000000000000099</v>
      </c>
      <c r="AU161" s="919"/>
      <c r="AV161" s="919"/>
      <c r="AW161" s="919"/>
      <c r="AX161" s="919"/>
      <c r="AY161" s="919"/>
      <c r="AZ161" s="919">
        <f t="shared" si="47"/>
        <v>1680</v>
      </c>
    </row>
    <row r="162" spans="1:52">
      <c r="A162" s="73" t="s">
        <v>1583</v>
      </c>
      <c r="B162" s="73">
        <v>919</v>
      </c>
      <c r="C162" s="908" t="s">
        <v>1430</v>
      </c>
      <c r="D162" s="915" cm="1">
        <f t="array" ref="D16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2" s="915">
        <v>900</v>
      </c>
      <c r="F162" s="73" t="s">
        <v>1040</v>
      </c>
      <c r="G162" s="916">
        <v>1600000</v>
      </c>
      <c r="H162" s="916"/>
      <c r="I162" s="916">
        <v>140</v>
      </c>
      <c r="J162" s="916">
        <v>80</v>
      </c>
      <c r="K162" s="73" t="s">
        <v>123</v>
      </c>
      <c r="L162" s="921" t="s">
        <v>592</v>
      </c>
      <c r="M162" s="915">
        <v>8</v>
      </c>
      <c r="N162" s="73" t="s">
        <v>549</v>
      </c>
      <c r="O162" s="73" t="s">
        <v>250</v>
      </c>
      <c r="P162" s="916" cm="1">
        <f t="array" ref="P162">IFERROR(_xlfn.SWITCH(F162,"By Weight",IF(H162&lt;&gt;"",H162,G162)/AR162,"By Length",G162,"By Imp",G162/MAX(1,ROUNDDOWN(E162/I162,0))*J162/1000,"IMP",G162/MAX(1,ROUNDDOWN(E162/I162,0))*J162/1000,""),"")</f>
        <v>21333.333333333336</v>
      </c>
      <c r="Q162" s="916">
        <f t="shared" si="48"/>
        <v>2157.5040000000004</v>
      </c>
      <c r="R162" s="917">
        <f t="shared" si="49"/>
        <v>26638.296427825619</v>
      </c>
      <c r="S162" s="918">
        <f t="shared" si="50"/>
        <v>30900.423856277714</v>
      </c>
      <c r="T162" s="919">
        <f t="shared" si="51"/>
        <v>12.346812069792508</v>
      </c>
      <c r="U162" s="920">
        <f t="shared" si="52"/>
        <v>14.322302000959308</v>
      </c>
      <c r="V162" s="919">
        <f t="shared" si="53"/>
        <v>1.4690237000639144</v>
      </c>
      <c r="W162" s="919">
        <f t="shared" si="54"/>
        <v>14.525661258579438</v>
      </c>
      <c r="X162" s="919">
        <f t="shared" si="55"/>
        <v>1.9586982667518859E-2</v>
      </c>
      <c r="Y162" s="920">
        <f t="shared" si="56"/>
        <v>1.7040674920741405</v>
      </c>
      <c r="Z162" s="920">
        <f t="shared" si="57"/>
        <v>16.849767059952146</v>
      </c>
      <c r="AA162" s="920">
        <f t="shared" si="58"/>
        <v>2.2720899894321876E-2</v>
      </c>
      <c r="AB162" s="917">
        <f t="shared" si="59"/>
        <v>31339.172268030179</v>
      </c>
      <c r="AC162" s="918">
        <f t="shared" si="60"/>
        <v>36353.439830915006</v>
      </c>
      <c r="AD162" s="916">
        <f t="shared" si="61"/>
        <v>4943.9846538716347</v>
      </c>
      <c r="AE162" s="916">
        <f t="shared" si="62"/>
        <v>500</v>
      </c>
      <c r="AF162" s="919" cm="1">
        <f t="array" ref="AF162">IFERROR(_xlfn.LET(_xlpm.lam,TEXT(B162,"0"),_xlpm.thick,D162,_xlpm.crit,(TEXT(HELPER!$BZ$2:$BZ$250,"0")=_xlpm.lam)*(HELPER!$CC$2:$CC$250=_xlpm.thick)*(HELPER!$BW$2:$BW$250&lt;&gt;""),_xlpm.mats,TRIM(SUBSTITUTE(_xlfn._xlws.FILTER(HELPER!$BW$2:$BW$250,_xlpm.crit),CHAR(160),"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2" s="919">
        <f>IFERROR(IF(N162="Europe to Canada",IF(Q162&lt;1000,VLOOKUP(1000,HELPER!$AG$4:$AH$8,2,FALSE)/Q162,VLOOKUP(Q162,HELPER!$AG$4:$AH$8,2,TRUE)/Q162),IF(N162="Europe to US",HELPER!$AH$2,IF(N162="Europe to Europe",HELPER!$AH$3,0))),0)</f>
        <v>0.2</v>
      </c>
      <c r="AH162" s="919" cm="1">
        <f t="array" ref="AH162">IFERROR(_xlfn.LET(_xlpm.cap,IF(O162="Quantum",760,1220),_xlpm.wUsed,E162*MAX(1,MIN(MAX(2,INT(900/E162)),INT((_xlpm.cap-50)/E162))),_xlpm.kgmUsed,AR162/E162*_xlpm.wUsed,_xlpm.lam,TEXT(B162,"0"),_xlpm.crit,(TEXT(HELPER!$BZ$2:$BZ$250,"0")=_xlpm.lam)*(HELPER!$CC$2:$CC$250=D162)*(HELPER!$BW$2:$BW$250&lt;&gt;""),_xlpm.mats,_xlfn._xlws.FILTER(HELPER!$BW$2:$BW$250,_xlpm.crit),_xlpm.realLayers,SUM((_xlpm.mats&lt;&gt;"")*ISERROR(SEARCH("EPOTAL",_xlpm.mats&amp;""))*ISERROR(SEARCH("BASONAT",_xlpm.mats&amp;""))*ISERROR(SEARCH("ADH",_xlpm.mats&amp;""))*ISERROR(SEARCH("HARDENER",_xlpm.mats&amp;""))),_xlpm.steps,MAX(0,_xlpm.realLayers-1),_xlpm.tier,IF(P162&lt;3000,1,IF(P162&lt;10000,2,IF(P162&lt;25000,3,IF(P162&lt;50000,4,IF(P162&lt;100000,5,IF(P162&lt;250000,6,7)))))),_xlpm.widthRow,IF(_xlpm.wUsed&lt;900,0,5),_xlpm.supplierRow,IF(O162="Marma",3,IF(OR(O162="Bastin",O162="Quantum"),13,0)),_xlpm.rate,INDEX('Lmntn &amp; Prntng- Marma &amp; Bastin '!$D$1:$K$22,_xlpm.supplierRow+_xlpm.widthRow,_xlpm.tier),_xlpm.rate*_xlpm.steps/_xlpm.kgmUsed),"")</f>
        <v>1.8100916614754827</v>
      </c>
      <c r="AI162" s="919" cm="1">
        <f t="array" ref="AI162">IFERROR(_xlfn.LET(_xlpm.cap,IF(O162="Quantum",760,1220),_xlpm.wUsed,E162*MAX(1,MIN(MAX(2,INT(900/E162)),INT((_xlpm.cap-50)/E162))),_xlpm.kgmUsed,AR162/E162*_xlpm.wUsed,_xlpm.tier,IF(P162&lt;3000,1,IF(P162&lt;10000,2,IF(P162&lt;25000,3,IF(P162&lt;50000,4,IF(P162&lt;100000,5,IF(P162&lt;250000,6,IF(P162&lt;500000,7,8))))))),_xlpm.widthRow,IF(_xlpm.wUsed&lt;900,0,5),_xlpm.slitRow,IF(O162="Marma",7,IF(OR(O162="Bastin",O162="Quantum"),17,0)),_xlpm.slitRate,INDEX('Lmntn &amp; Prntng- Marma &amp; Bastin '!$D$1:$K$22,_xlpm.slitRow+_xlpm.widthRow,_xlpm.tier),_xlpm.numColors,IF(ISNUMBER(L162),L162,IFERROR(--RIGHT(L162,LEN(L162)-FIND("-",L162)),0)),_xlpm.printRate,IF(OR(K162&lt;&gt;"Printed",_xlpm.numColors=0),0,IF(O162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162))),MAX(_xlfn._xlws.FILTER(_xlpm.meters,(_xlpm.widths=_xlpm.qWidth)*(_xlpm.bands=_xlpm.band)))),INDEX(_xlpm.rates,_xlfn.XMATCH(1,(_xlpm.widths=_xlpm.qWidth)*(_xlpm.bands=_xlpm.band)*(_xlpm.meters=_xlpm.targetM),0))/HELPER!$AK$2),_xlfn.LET(_xlpm.colorOffset,IF(_xlpm.numColors&lt;=2,1,IF(_xlpm.numColors&lt;=4,2,3)),_xlpm.supplierRow,IF(O162="Marma",3,IF(O162="Bastin",13,0)),INDEX('Lmntn &amp; Prntng- Marma &amp; Bastin '!$D$1:$K$22,_xlpm.supplierRow+_xlpm.widthRow+_xlpm.colorOffset,_xlpm.tier)))),AH162+_xlpm.slitRate/_xlpm.kgmUsed+_xlpm.printRate/_xlpm.kgmUsed+AJ162),"")</f>
        <v>6.8489037721138022</v>
      </c>
      <c r="AJ162" s="919" cm="1">
        <f t="array" ref="AJ162">IF(OR(K162&lt;&gt;"Printed",L162=0,L162="0",L162=""),0,IFERROR(_xlfn.LET(_xlpm.lam,TEXT(B162,"0"),_xlpm.crit,(TEXT(HELPER!$BZ$2:$BZ$250,"0")=_xlpm.lam)*(HELPER!$CC$2:$CC$250=D162)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WHITE"},0)))/ROWS(_xlpm.real),_xlpm.numColors,IF(ISNUMBER(L162),L162,IFERROR(--RIGHT(L162,LEN(L162)-FIND("-",L162)),0)),HELPER!$DB$1*_xlpm.numColors*MAX(1,M162)*1.05*_xlpm.nkRatio/Q162),0))</f>
        <v>3.1147103319391292</v>
      </c>
      <c r="AK162" s="919">
        <f t="shared" si="63"/>
        <v>1.0530635842752074</v>
      </c>
      <c r="AL162" s="919">
        <f t="shared" si="64"/>
        <v>1469.0237000639145</v>
      </c>
      <c r="AM162" s="73" t="str">
        <f t="shared" si="65"/>
        <v>PASS</v>
      </c>
      <c r="AN162" s="908" t="str">
        <f t="shared" si="44"/>
        <v/>
      </c>
      <c r="AO162" s="919">
        <f t="shared" si="45"/>
        <v>121</v>
      </c>
      <c r="AP162" s="919">
        <f t="shared" si="46"/>
        <v>21333.333333333336</v>
      </c>
      <c r="AQ162" s="919"/>
      <c r="AR162" s="919" cm="1">
        <f t="array" ref="AR162">IFERROR(_xlfn.LET(_xlpm.lam,TEXT(B162,"0"),_xlpm.thick,D162,_xlpm.crit,(TEXT(HELPER!$BZ$2:$BZ$250,"0")=_xlpm.lam)*(HELPER!$CC$2:$CC$250=_xlpm.thick)*(HELPER!$BW$2:$BW$250&lt;&gt;""),_xlpm.mats,TRIM(SUBSTITUTE(_xlfn._xlws.FILTER(HELPER!$BW$2:$BW$250,_xlpm.crit),CHAR(160),"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")),HELPER!$AQ$2:$AQ$20,1),_xlpm.mass,IF(ISNUMBER(SEARCH("paper",_xlpm.mats)),42,_xlpm.dens*_xlpm.ths),E162/1000000*SUM(_xlpm.mass)),"")</f>
        <v>0.101133</v>
      </c>
      <c r="AS162" s="919">
        <f>IFERROR(IF(D162&gt;31,(5%+250/P162)*AF162,VLOOKUP(D162,HELPER!$BH$3:$BI$5,2,TRUE)*AF162),0)</f>
        <v>0.30797259419913009</v>
      </c>
      <c r="AT162" s="919">
        <v>0.15000000000000099</v>
      </c>
      <c r="AU162" s="919"/>
      <c r="AV162" s="919"/>
      <c r="AW162" s="919"/>
      <c r="AX162" s="919"/>
      <c r="AY162" s="919"/>
      <c r="AZ162" s="919">
        <f t="shared" si="47"/>
        <v>6720</v>
      </c>
    </row>
    <row r="163" spans="1:52">
      <c r="A163" s="73" t="s">
        <v>1584</v>
      </c>
      <c r="B163" s="73">
        <v>919</v>
      </c>
      <c r="C163" s="908" t="s">
        <v>1432</v>
      </c>
      <c r="D163" s="915" cm="1">
        <f t="array" ref="D16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3" s="915">
        <v>250</v>
      </c>
      <c r="F163" s="73" t="s">
        <v>560</v>
      </c>
      <c r="G163" s="916">
        <v>500</v>
      </c>
      <c r="H163" s="916">
        <v>500</v>
      </c>
      <c r="I163" s="916"/>
      <c r="J163" s="916"/>
      <c r="K163" s="73" t="s">
        <v>124</v>
      </c>
      <c r="L163" s="921" t="s">
        <v>221</v>
      </c>
      <c r="M163" s="915">
        <v>1</v>
      </c>
      <c r="N163" s="73" t="s">
        <v>550</v>
      </c>
      <c r="O163" s="73" t="s">
        <v>240</v>
      </c>
      <c r="P163" s="916" cm="1">
        <f t="array" ref="P163">IFERROR(_xlfn.SWITCH(F163,"By Weight",IF(H163&lt;&gt;"",H163,G163)/AR163,"By Length",G163,"By Imp",G163/MAX(1,ROUNDDOWN(E163/I163,0))*J163/1000,"IMP",G163/MAX(1,ROUNDDOWN(E163/I163,0))*J163/1000,""),"")</f>
        <v>17798.344753937883</v>
      </c>
      <c r="Q163" s="916">
        <f t="shared" si="48"/>
        <v>500.00000000000006</v>
      </c>
      <c r="R163" s="917">
        <f t="shared" si="49"/>
        <v>6966.543690741385</v>
      </c>
      <c r="S163" s="918">
        <f t="shared" si="50"/>
        <v>8081.1906812600064</v>
      </c>
      <c r="T163" s="919">
        <f t="shared" si="51"/>
        <v>13.933087381482769</v>
      </c>
      <c r="U163" s="920">
        <f t="shared" si="52"/>
        <v>16.162381362520012</v>
      </c>
      <c r="V163" s="919">
        <f t="shared" si="53"/>
        <v>0.48926907158037786</v>
      </c>
      <c r="W163" s="919">
        <f t="shared" si="54"/>
        <v>17.416359226853352</v>
      </c>
      <c r="X163" s="919" t="str">
        <f t="shared" si="55"/>
        <v/>
      </c>
      <c r="Y163" s="920">
        <f t="shared" si="56"/>
        <v>0.56755212303323832</v>
      </c>
      <c r="Z163" s="920">
        <f t="shared" si="57"/>
        <v>20.202976703149886</v>
      </c>
      <c r="AA163" s="920" t="str">
        <f t="shared" si="58"/>
        <v/>
      </c>
      <c r="AB163" s="917">
        <f t="shared" si="59"/>
        <v>8708.179613426677</v>
      </c>
      <c r="AC163" s="918">
        <f t="shared" si="60"/>
        <v>10101.488351574944</v>
      </c>
      <c r="AD163" s="916">
        <f t="shared" si="61"/>
        <v>17798.344753937883</v>
      </c>
      <c r="AE163" s="916">
        <f t="shared" si="62"/>
        <v>500</v>
      </c>
      <c r="AF163" s="919" cm="1">
        <f t="array" ref="AF163">IFERROR(_xlfn.LET(_xlpm.lam,TEXT(B163,"0"),_xlpm.thick,D163,_xlpm.crit,(TEXT(HELPER!$BZ$2:$BZ$250,"0")=_xlpm.lam)*(HELPER!$CC$2:$CC$250=_xlpm.thick)*(HELPER!$BW$2:$BW$250&lt;&gt;""),_xlpm.mats,TRIM(SUBSTITUTE(_xlfn._xlws.FILTER(HELPER!$BW$2:$BW$250,_xlpm.crit),CHAR(160),"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3" s="919">
        <f>IFERROR(IF(N163="Europe to Canada",IF(Q163&lt;1000,VLOOKUP(1000,HELPER!$AG$4:$AH$8,2,FALSE)/Q163,VLOOKUP(Q163,HELPER!$AG$4:$AH$8,2,TRUE)/Q163),IF(N163="Europe to US",HELPER!$AH$2,IF(N163="Europe to Europe",HELPER!$AH$3,0))),0)</f>
        <v>5.4</v>
      </c>
      <c r="AH163" s="919" cm="1">
        <f t="array" ref="AH163">IFERROR(_xlfn.LET(_xlpm.cap,IF(O163="Quantum",760,1220),_xlpm.wUsed,E163*MAX(1,MIN(MAX(2,INT(900/E163)),INT((_xlpm.cap-50)/E163))),_xlpm.kgmUsed,AR163/E163*_xlpm.wUsed,_xlpm.lam,TEXT(B163,"0"),_xlpm.crit,(TEXT(HELPER!$BZ$2:$BZ$250,"0")=_xlpm.lam)*(HELPER!$CC$2:$CC$250=D163)*(HELPER!$BW$2:$BW$250&lt;&gt;""),_xlpm.mats,_xlfn._xlws.FILTER(HELPER!$BW$2:$BW$250,_xlpm.crit),_xlpm.realLayers,SUM((_xlpm.mats&lt;&gt;"")*ISERROR(SEARCH("EPOTAL",_xlpm.mats&amp;""))*ISERROR(SEARCH("BASONAT",_xlpm.mats&amp;""))*ISERROR(SEARCH("ADH",_xlpm.mats&amp;""))*ISERROR(SEARCH("HARDENER",_xlpm.mats&amp;""))),_xlpm.steps,MAX(0,_xlpm.realLayers-1),_xlpm.tier,IF(P163&lt;3000,1,IF(P163&lt;10000,2,IF(P163&lt;25000,3,IF(P163&lt;50000,4,IF(P163&lt;100000,5,IF(P163&lt;250000,6,7)))))),_xlpm.widthRow,IF(_xlpm.wUsed&lt;900,0,5),_xlpm.supplierRow,IF(O163="Marma",3,IF(OR(O163="Bastin",O163="Quantum"),13,0)),_xlpm.rate,INDEX('Lmntn &amp; Prntng- Marma &amp; Bastin '!$D$1:$K$22,_xlpm.supplierRow+_xlpm.widthRow,_xlpm.tier),_xlpm.rate*_xlpm.steps/_xlpm.kgmUsed),"")</f>
        <v>2.8237429919017529</v>
      </c>
      <c r="AI163" s="919" cm="1">
        <f t="array" ref="AI163">IFERROR(_xlfn.LET(_xlpm.cap,IF(O163="Quantum",760,1220),_xlpm.wUsed,E163*MAX(1,MIN(MAX(2,INT(900/E163)),INT((_xlpm.cap-50)/E163))),_xlpm.kgmUsed,AR163/E163*_xlpm.wUsed,_xlpm.tier,IF(P163&lt;3000,1,IF(P163&lt;10000,2,IF(P163&lt;25000,3,IF(P163&lt;50000,4,IF(P163&lt;100000,5,IF(P163&lt;250000,6,IF(P163&lt;500000,7,8))))))),_xlpm.widthRow,IF(_xlpm.wUsed&lt;900,0,5),_xlpm.slitRow,IF(O163="Marma",7,IF(OR(O163="Bastin",O163="Quantum"),17,0)),_xlpm.slitRate,INDEX('Lmntn &amp; Prntng- Marma &amp; Bastin '!$D$1:$K$22,_xlpm.slitRow+_xlpm.widthRow,_xlpm.tier),_xlpm.numColors,IF(ISNUMBER(L163),L163,IFERROR(--RIGHT(L163,LEN(L163)-FIND("-",L163)),0)),_xlpm.printRate,IF(OR(K163&lt;&gt;"Printed",_xlpm.numColors=0),0,IF(O163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163))),MAX(_xlfn._xlws.FILTER(_xlpm.meters,(_xlpm.widths=_xlpm.qWidth)*(_xlpm.bands=_xlpm.band)))),INDEX(_xlpm.rates,_xlfn.XMATCH(1,(_xlpm.widths=_xlpm.qWidth)*(_xlpm.bands=_xlpm.band)*(_xlpm.meters=_xlpm.targetM),0))/HELPER!$AK$2),_xlfn.LET(_xlpm.colorOffset,IF(_xlpm.numColors&lt;=2,1,IF(_xlpm.numColors&lt;=4,2,3)),_xlpm.supplierRow,IF(O163="Marma",3,IF(O163="Bastin",13,0)),INDEX('Lmntn &amp; Prntng- Marma &amp; Bastin '!$D$1:$K$22,_xlpm.supplierRow+_xlpm.widthRow+_xlpm.colorOffset,_xlpm.tier)))),AH163+_xlpm.slitRate/_xlpm.kgmUsed+_xlpm.printRate/_xlpm.kgmUsed+AJ163),"")</f>
        <v>3.2235650084542136</v>
      </c>
      <c r="AJ163" s="919" cm="1">
        <f t="array" ref="AJ163">IF(OR(K163&lt;&gt;"Printed",L163=0,L163="0",L163=""),0,IFERROR(_xlfn.LET(_xlpm.lam,TEXT(B163,"0"),_xlpm.crit,(TEXT(HELPER!$BZ$2:$BZ$250,"0")=_xlpm.lam)*(HELPER!$CC$2:$CC$250=D163)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WHITE"},0)))/ROWS(_xlpm.real),_xlpm.numColors,IF(ISNUMBER(L163),L163,IFERROR(--RIGHT(L163,LEN(L163)-FIND("-",L163)),0)),HELPER!$DB$1*_xlpm.numColors*MAX(1,M163)*1.05*_xlpm.nkRatio/Q163),0))</f>
        <v>0</v>
      </c>
      <c r="AK163" s="919">
        <f t="shared" si="63"/>
        <v>1.2626298621429106</v>
      </c>
      <c r="AL163" s="919">
        <f t="shared" si="64"/>
        <v>489.26907158037784</v>
      </c>
      <c r="AM163" s="73" t="str">
        <f t="shared" si="65"/>
        <v>PASS</v>
      </c>
      <c r="AN163" s="908" t="str">
        <f t="shared" si="44"/>
        <v/>
      </c>
      <c r="AO163" s="919">
        <f t="shared" si="45"/>
        <v>121</v>
      </c>
      <c r="AP163" s="919">
        <f t="shared" si="46"/>
        <v>17798.344753937883</v>
      </c>
      <c r="AQ163" s="919"/>
      <c r="AR163" s="919" cm="1">
        <f t="array" ref="AR163">IFERROR(_xlfn.LET(_xlpm.lam,TEXT(B163,"0"),_xlpm.thick,D163,_xlpm.crit,(TEXT(HELPER!$BZ$2:$BZ$250,"0")=_xlpm.lam)*(HELPER!$CC$2:$CC$250=_xlpm.thick)*(HELPER!$BW$2:$BW$250&lt;&gt;""),_xlpm.mats,TRIM(SUBSTITUTE(_xlfn._xlws.FILTER(HELPER!$BW$2:$BW$250,_xlpm.crit),CHAR(160),"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")),HELPER!$AQ$2:$AQ$20,1),_xlpm.mass,IF(ISNUMBER(SEARCH("paper",_xlpm.mats)),42,_xlpm.dens*_xlpm.ths),E163/1000000*SUM(_xlpm.mass)),"")</f>
        <v>2.8092500000000003E-2</v>
      </c>
      <c r="AS163" s="919">
        <f>IFERROR(IF(D163&gt;31,(5%+250/P163)*AF163,VLOOKUP(D163,HELPER!$BH$3:$BI$5,2,TRUE)*AF163),0)</f>
        <v>0.3195866695489788</v>
      </c>
      <c r="AT163" s="919">
        <v>0.19999999999999499</v>
      </c>
      <c r="AU163" s="919"/>
      <c r="AV163" s="919"/>
      <c r="AW163" s="919"/>
      <c r="AX163" s="919"/>
      <c r="AY163" s="919"/>
      <c r="AZ163" s="919">
        <f t="shared" si="47"/>
        <v>0</v>
      </c>
    </row>
    <row r="164" spans="1:52">
      <c r="A164" s="73" t="s">
        <v>1585</v>
      </c>
      <c r="B164" s="73">
        <v>919</v>
      </c>
      <c r="C164" s="908" t="s">
        <v>1434</v>
      </c>
      <c r="D164" s="915" cm="1">
        <f t="array" ref="D16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4" s="915">
        <v>600</v>
      </c>
      <c r="F164" s="73" t="s">
        <v>1040</v>
      </c>
      <c r="G164" s="916">
        <v>100000</v>
      </c>
      <c r="H164" s="916"/>
      <c r="I164" s="916">
        <v>300</v>
      </c>
      <c r="J164" s="916">
        <v>200</v>
      </c>
      <c r="K164" s="73" t="s">
        <v>123</v>
      </c>
      <c r="L164" s="921" t="s">
        <v>122</v>
      </c>
      <c r="M164" s="915">
        <v>4</v>
      </c>
      <c r="N164" s="73" t="s">
        <v>549</v>
      </c>
      <c r="O164" s="73" t="s">
        <v>250</v>
      </c>
      <c r="P164" s="916" cm="1">
        <f t="array" ref="P164">IFERROR(_xlfn.SWITCH(F164,"By Weight",IF(H164&lt;&gt;"",H164,G164)/AR164,"By Length",G164,"By Imp",G164/MAX(1,ROUNDDOWN(E164/I164,0))*J164/1000,"IMP",G164/MAX(1,ROUNDDOWN(E164/I164,0))*J164/1000,""),"")</f>
        <v>10000</v>
      </c>
      <c r="Q164" s="916">
        <f t="shared" si="48"/>
        <v>674.21999999999991</v>
      </c>
      <c r="R164" s="917">
        <f t="shared" si="49"/>
        <v>8787.4820337499987</v>
      </c>
      <c r="S164" s="918">
        <f t="shared" si="50"/>
        <v>10193.479159149998</v>
      </c>
      <c r="T164" s="919">
        <f t="shared" si="51"/>
        <v>13.033552896309811</v>
      </c>
      <c r="U164" s="920">
        <f t="shared" si="52"/>
        <v>15.11892135971938</v>
      </c>
      <c r="V164" s="919">
        <f t="shared" si="53"/>
        <v>1.033821415735293</v>
      </c>
      <c r="W164" s="919">
        <f t="shared" si="54"/>
        <v>15.333591642717407</v>
      </c>
      <c r="X164" s="919">
        <f t="shared" si="55"/>
        <v>0.1033821415735293</v>
      </c>
      <c r="Y164" s="920">
        <f t="shared" si="56"/>
        <v>1.1992328422529397</v>
      </c>
      <c r="Z164" s="920">
        <f t="shared" si="57"/>
        <v>17.786966305552191</v>
      </c>
      <c r="AA164" s="920">
        <f t="shared" si="58"/>
        <v>0.11992328422529398</v>
      </c>
      <c r="AB164" s="917">
        <f t="shared" si="59"/>
        <v>10338.214157352928</v>
      </c>
      <c r="AC164" s="918">
        <f t="shared" si="60"/>
        <v>11992.328422529396</v>
      </c>
      <c r="AD164" s="916">
        <f t="shared" si="61"/>
        <v>7415.9769808074516</v>
      </c>
      <c r="AE164" s="916">
        <f t="shared" si="62"/>
        <v>500</v>
      </c>
      <c r="AF164" s="919" cm="1">
        <f t="array" ref="AF164">IFERROR(_xlfn.LET(_xlpm.lam,TEXT(B164,"0"),_xlpm.thick,D164,_xlpm.crit,(TEXT(HELPER!$BZ$2:$BZ$250,"0")=_xlpm.lam)*(HELPER!$CC$2:$CC$250=_xlpm.thick)*(HELPER!$BW$2:$BW$250&lt;&gt;""),_xlpm.mats,TRIM(SUBSTITUTE(_xlfn._xlws.FILTER(HELPER!$BW$2:$BW$250,_xlpm.crit),CHAR(160),"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4" s="919">
        <f>IFERROR(IF(N164="Europe to Canada",IF(Q164&lt;1000,VLOOKUP(1000,HELPER!$AG$4:$AH$8,2,FALSE)/Q164,VLOOKUP(Q164,HELPER!$AG$4:$AH$8,2,TRUE)/Q164),IF(N164="Europe to US",HELPER!$AH$2,IF(N164="Europe to Europe",HELPER!$AH$3,0))),0)</f>
        <v>0.2</v>
      </c>
      <c r="AH164" s="919" cm="1">
        <f t="array" ref="AH164">IFERROR(_xlfn.LET(_xlpm.cap,IF(O164="Quantum",760,1220),_xlpm.wUsed,E164*MAX(1,MIN(MAX(2,INT(900/E164)),INT((_xlpm.cap-50)/E164))),_xlpm.kgmUsed,AR164/E164*_xlpm.wUsed,_xlpm.lam,TEXT(B164,"0"),_xlpm.crit,(TEXT(HELPER!$BZ$2:$BZ$250,"0")=_xlpm.lam)*(HELPER!$CC$2:$CC$250=D164)*(HELPER!$BW$2:$BW$250&lt;&gt;""),_xlpm.mats,_xlfn._xlws.FILTER(HELPER!$BW$2:$BW$250,_xlpm.crit),_xlpm.realLayers,SUM((_xlpm.mats&lt;&gt;"")*ISERROR(SEARCH("EPOTAL",_xlpm.mats&amp;""))*ISERROR(SEARCH("BASONAT",_xlpm.mats&amp;""))*ISERROR(SEARCH("ADH",_xlpm.mats&amp;""))*ISERROR(SEARCH("HARDENER",_xlpm.mats&amp;""))),_xlpm.steps,MAX(0,_xlpm.realLayers-1),_xlpm.tier,IF(P164&lt;3000,1,IF(P164&lt;10000,2,IF(P164&lt;25000,3,IF(P164&lt;50000,4,IF(P164&lt;100000,5,IF(P164&lt;250000,6,7)))))),_xlpm.widthRow,IF(_xlpm.wUsed&lt;900,0,5),_xlpm.supplierRow,IF(O164="Marma",3,IF(OR(O164="Bastin",O164="Quantum"),13,0)),_xlpm.rate,INDEX('Lmntn &amp; Prntng- Marma &amp; Bastin '!$D$1:$K$22,_xlpm.supplierRow+_xlpm.widthRow,_xlpm.tier),_xlpm.rate*_xlpm.steps/_xlpm.kgmUsed),"")</f>
        <v>2.7151374922132243</v>
      </c>
      <c r="AI164" s="919" cm="1">
        <f t="array" ref="AI164">IFERROR(_xlfn.LET(_xlpm.cap,IF(O164="Quantum",760,1220),_xlpm.wUsed,E164*MAX(1,MIN(MAX(2,INT(900/E164)),INT((_xlpm.cap-50)/E164))),_xlpm.kgmUsed,AR164/E164*_xlpm.wUsed,_xlpm.tier,IF(P164&lt;3000,1,IF(P164&lt;10000,2,IF(P164&lt;25000,3,IF(P164&lt;50000,4,IF(P164&lt;100000,5,IF(P164&lt;250000,6,IF(P164&lt;500000,7,8))))))),_xlpm.widthRow,IF(_xlpm.wUsed&lt;900,0,5),_xlpm.slitRow,IF(O164="Marma",7,IF(OR(O164="Bastin",O164="Quantum"),17,0)),_xlpm.slitRate,INDEX('Lmntn &amp; Prntng- Marma &amp; Bastin '!$D$1:$K$22,_xlpm.slitRow+_xlpm.widthRow,_xlpm.tier),_xlpm.numColors,IF(ISNUMBER(L164),L164,IFERROR(--RIGHT(L164,LEN(L164)-FIND("-",L164)),0)),_xlpm.printRate,IF(OR(K164&lt;&gt;"Printed",_xlpm.numColors=0),0,IF(O164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164))),MAX(_xlfn._xlws.FILTER(_xlpm.meters,(_xlpm.widths=_xlpm.qWidth)*(_xlpm.bands=_xlpm.band)))),INDEX(_xlpm.rates,_xlfn.XMATCH(1,(_xlpm.widths=_xlpm.qWidth)*(_xlpm.bands=_xlpm.band)*(_xlpm.meters=_xlpm.targetM),0))/HELPER!$AK$2),_xlfn.LET(_xlpm.colorOffset,IF(_xlpm.numColors&lt;=2,1,IF(_xlpm.numColors&lt;=4,2,3)),_xlpm.supplierRow,IF(O164="Marma",3,IF(O164="Bastin",13,0)),INDEX('Lmntn &amp; Prntng- Marma &amp; Bastin '!$D$1:$K$22,_xlpm.supplierRow+_xlpm.widthRow+_xlpm.colorOffset,_xlpm.tier)))),AH164+_xlpm.slitRate/_xlpm.kgmUsed+_xlpm.printRate/_xlpm.kgmUsed+AJ164),"")</f>
        <v>7.4693720150692657</v>
      </c>
      <c r="AJ164" s="919" cm="1">
        <f t="array" ref="AJ164">IF(OR(K164&lt;&gt;"Printed",L164=0,L164="0",L164=""),0,IFERROR(_xlfn.LET(_xlpm.lam,TEXT(B164,"0"),_xlpm.crit,(TEXT(HELPER!$BZ$2:$BZ$250,"0")=_xlpm.lam)*(HELPER!$CC$2:$CC$250=D164)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WHITE"},0)))/ROWS(_xlpm.real),_xlpm.numColors,IF(ISNUMBER(L164),L164,IFERROR(--RIGHT(L164,LEN(L164)-FIND("-",L164)),0)),HELPER!$DB$1*_xlpm.numColors*MAX(1,M164)*1.05*_xlpm.nkRatio/Q164),0))</f>
        <v>2.491768265551304</v>
      </c>
      <c r="AK164" s="919">
        <f t="shared" si="63"/>
        <v>1.1116359308981645</v>
      </c>
      <c r="AL164" s="919">
        <f t="shared" si="64"/>
        <v>1033.8214157352929</v>
      </c>
      <c r="AM164" s="73" t="str">
        <f t="shared" si="65"/>
        <v>PASS</v>
      </c>
      <c r="AN164" s="908" t="str">
        <f t="shared" si="44"/>
        <v/>
      </c>
      <c r="AO164" s="919">
        <f t="shared" si="45"/>
        <v>121</v>
      </c>
      <c r="AP164" s="919">
        <f t="shared" si="46"/>
        <v>10000</v>
      </c>
      <c r="AQ164" s="919"/>
      <c r="AR164" s="919" cm="1">
        <f t="array" ref="AR164">IFERROR(_xlfn.LET(_xlpm.lam,TEXT(B164,"0"),_xlpm.thick,D164,_xlpm.crit,(TEXT(HELPER!$BZ$2:$BZ$250,"0")=_xlpm.lam)*(HELPER!$CC$2:$CC$250=_xlpm.thick)*(HELPER!$BW$2:$BW$250&lt;&gt;""),_xlpm.mats,TRIM(SUBSTITUTE(_xlfn._xlws.FILTER(HELPER!$BW$2:$BW$250,_xlpm.crit),CHAR(160),"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")),HELPER!$AQ$2:$AQ$20,1),_xlpm.mass,IF(ISNUMBER(SEARCH("paper",_xlpm.mats)),42,_xlpm.dens*_xlpm.ths),E164/1000000*SUM(_xlpm.mass)),"")</f>
        <v>6.7421999999999996E-2</v>
      </c>
      <c r="AS164" s="919">
        <f>IFERROR(IF(D164&gt;31,(5%+250/P164)*AF164,VLOOKUP(D164,HELPER!$BH$3:$BI$5,2,TRUE)*AF164),0)</f>
        <v>0.37424517776096827</v>
      </c>
      <c r="AT164" s="919">
        <v>0.149999999999999</v>
      </c>
      <c r="AU164" s="919"/>
      <c r="AV164" s="919"/>
      <c r="AW164" s="919"/>
      <c r="AX164" s="919"/>
      <c r="AY164" s="919"/>
      <c r="AZ164" s="919">
        <f t="shared" si="47"/>
        <v>1680</v>
      </c>
    </row>
    <row r="165" spans="1:52">
      <c r="A165" s="73" t="s">
        <v>1586</v>
      </c>
      <c r="B165" s="73">
        <v>919</v>
      </c>
      <c r="C165" s="908" t="s">
        <v>1436</v>
      </c>
      <c r="D165" s="915" cm="1">
        <f t="array" ref="D16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5" s="915">
        <v>450</v>
      </c>
      <c r="F165" s="73" t="s">
        <v>560</v>
      </c>
      <c r="G165" s="916">
        <v>500</v>
      </c>
      <c r="H165" s="916">
        <v>500</v>
      </c>
      <c r="I165" s="916"/>
      <c r="J165" s="916"/>
      <c r="K165" s="73" t="s">
        <v>123</v>
      </c>
      <c r="L165" s="921" t="s">
        <v>591</v>
      </c>
      <c r="M165" s="915">
        <v>2</v>
      </c>
      <c r="N165" s="73" t="s">
        <v>549</v>
      </c>
      <c r="O165" s="73" t="s">
        <v>1366</v>
      </c>
      <c r="P165" s="916" cm="1">
        <f t="array" ref="P165">IFERROR(_xlfn.SWITCH(F165,"By Weight",IF(H165&lt;&gt;"",H165,G165)/AR165,"By Length",G165,"By Imp",G165/MAX(1,ROUNDDOWN(E165/I165,0))*J165/1000,"IMP",G165/MAX(1,ROUNDDOWN(E165/I165,0))*J165/1000,""),"")</f>
        <v>9887.9693077432694</v>
      </c>
      <c r="Q165" s="916">
        <f t="shared" si="48"/>
        <v>500.00000000000006</v>
      </c>
      <c r="R165" s="917">
        <f t="shared" si="49"/>
        <v>14113.058363365168</v>
      </c>
      <c r="S165" s="918">
        <f t="shared" si="50"/>
        <v>16371.147701503593</v>
      </c>
      <c r="T165" s="919">
        <f t="shared" si="51"/>
        <v>28.226116726730332</v>
      </c>
      <c r="U165" s="920">
        <f t="shared" si="52"/>
        <v>32.742295403007184</v>
      </c>
      <c r="V165" s="919">
        <f t="shared" si="53"/>
        <v>1.6791716840731936</v>
      </c>
      <c r="W165" s="919">
        <f t="shared" si="54"/>
        <v>33.207196149094628</v>
      </c>
      <c r="X165" s="919" t="str">
        <f t="shared" si="55"/>
        <v/>
      </c>
      <c r="Y165" s="920">
        <f t="shared" si="56"/>
        <v>1.9478391535249044</v>
      </c>
      <c r="Z165" s="920">
        <f t="shared" si="57"/>
        <v>38.520347532949764</v>
      </c>
      <c r="AA165" s="920" t="str">
        <f t="shared" si="58"/>
        <v/>
      </c>
      <c r="AB165" s="917">
        <f t="shared" si="59"/>
        <v>16603.598074547317</v>
      </c>
      <c r="AC165" s="918">
        <f t="shared" si="60"/>
        <v>19260.173766474887</v>
      </c>
      <c r="AD165" s="916">
        <f t="shared" si="61"/>
        <v>9887.9693077432694</v>
      </c>
      <c r="AE165" s="916">
        <f t="shared" si="62"/>
        <v>500</v>
      </c>
      <c r="AF165" s="919" cm="1">
        <f t="array" ref="AF165">IFERROR(_xlfn.LET(_xlpm.lam,TEXT(B165,"0"),_xlpm.thick,D165,_xlpm.crit,(TEXT(HELPER!$BZ$2:$BZ$250,"0")=_xlpm.lam)*(HELPER!$CC$2:$CC$250=_xlpm.thick)*(HELPER!$BW$2:$BW$250&lt;&gt;""),_xlpm.mats,TRIM(SUBSTITUTE(_xlfn._xlws.FILTER(HELPER!$BW$2:$BW$250,_xlpm.crit),CHAR(160),"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5" s="919">
        <f>IFERROR(IF(N165="Europe to Canada",IF(Q165&lt;1000,VLOOKUP(1000,HELPER!$AG$4:$AH$8,2,FALSE)/Q165,VLOOKUP(Q165,HELPER!$AG$4:$AH$8,2,TRUE)/Q165),IF(N165="Europe to US",HELPER!$AH$2,IF(N165="Europe to Europe",HELPER!$AH$3,0))),0)</f>
        <v>0.2</v>
      </c>
      <c r="AH165" s="919" cm="1">
        <f t="array" ref="AH165">IFERROR(_xlfn.LET(_xlpm.cap,IF(O165="Quantum",760,1220),_xlpm.wUsed,E165*MAX(1,MIN(MAX(2,INT(900/E165)),INT((_xlpm.cap-50)/E165))),_xlpm.kgmUsed,AR165/E165*_xlpm.wUsed,_xlpm.lam,TEXT(B165,"0"),_xlpm.crit,(TEXT(HELPER!$BZ$2:$BZ$250,"0")=_xlpm.lam)*(HELPER!$CC$2:$CC$250=D165)*(HELPER!$BW$2:$BW$250&lt;&gt;""),_xlpm.mats,_xlfn._xlws.FILTER(HELPER!$BW$2:$BW$250,_xlpm.crit),_xlpm.realLayers,SUM((_xlpm.mats&lt;&gt;"")*ISERROR(SEARCH("EPOTAL",_xlpm.mats&amp;""))*ISERROR(SEARCH("BASONAT",_xlpm.mats&amp;""))*ISERROR(SEARCH("ADH",_xlpm.mats&amp;""))*ISERROR(SEARCH("HARDENER",_xlpm.mats&amp;""))),_xlpm.steps,MAX(0,_xlpm.realLayers-1),_xlpm.tier,IF(P165&lt;3000,1,IF(P165&lt;10000,2,IF(P165&lt;25000,3,IF(P165&lt;50000,4,IF(P165&lt;100000,5,IF(P165&lt;250000,6,7)))))),_xlpm.widthRow,IF(_xlpm.wUsed&lt;900,0,5),_xlpm.supplierRow,IF(O165="Marma",3,IF(OR(O165="Bastin",O165="Quantum"),13,0)),_xlpm.rate,INDEX('Lmntn &amp; Prntng- Marma &amp; Bastin '!$D$1:$K$22,_xlpm.supplierRow+_xlpm.widthRow,_xlpm.tier),_xlpm.rate*_xlpm.steps/_xlpm.kgmUsed),"")</f>
        <v>5.3540980688795949</v>
      </c>
      <c r="AI165" s="919" cm="1">
        <f t="array" ref="AI165">IFERROR(_xlfn.LET(_xlpm.cap,IF(O165="Quantum",760,1220),_xlpm.wUsed,E165*MAX(1,MIN(MAX(2,INT(900/E165)),INT((_xlpm.cap-50)/E165))),_xlpm.kgmUsed,AR165/E165*_xlpm.wUsed,_xlpm.tier,IF(P165&lt;3000,1,IF(P165&lt;10000,2,IF(P165&lt;25000,3,IF(P165&lt;50000,4,IF(P165&lt;100000,5,IF(P165&lt;250000,6,IF(P165&lt;500000,7,8))))))),_xlpm.widthRow,IF(_xlpm.wUsed&lt;900,0,5),_xlpm.slitRow,IF(O165="Marma",7,IF(OR(O165="Bastin",O165="Quantum"),17,0)),_xlpm.slitRate,INDEX('Lmntn &amp; Prntng- Marma &amp; Bastin '!$D$1:$K$22,_xlpm.slitRow+_xlpm.widthRow,_xlpm.tier),_xlpm.numColors,IF(ISNUMBER(L165),L165,IFERROR(--RIGHT(L165,LEN(L165)-FIND("-",L165)),0)),_xlpm.printRate,IF(OR(K165&lt;&gt;"Printed",_xlpm.numColors=0),0,IF(O165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165))),MAX(_xlfn._xlws.FILTER(_xlpm.meters,(_xlpm.widths=_xlpm.qWidth)*(_xlpm.bands=_xlpm.band)))),INDEX(_xlpm.rates,_xlfn.XMATCH(1,(_xlpm.widths=_xlpm.qWidth)*(_xlpm.bands=_xlpm.band)*(_xlpm.meters=_xlpm.targetM),0))/HELPER!$AK$2),_xlfn.LET(_xlpm.colorOffset,IF(_xlpm.numColors&lt;=2,1,IF(_xlpm.numColors&lt;=4,2,3)),_xlpm.supplierRow,IF(O165="Marma",3,IF(O165="Bastin",13,0)),INDEX('Lmntn &amp; Prntng- Marma &amp; Bastin '!$D$1:$K$22,_xlpm.supplierRow+_xlpm.widthRow+_xlpm.colorOffset,_xlpm.tier)))),AH165+_xlpm.slitRate/_xlpm.kgmUsed+_xlpm.printRate/_xlpm.kgmUsed+AJ165),"")</f>
        <v>22.660522446201778</v>
      </c>
      <c r="AJ165" s="919" cm="1">
        <f t="array" ref="AJ165">IF(OR(K165&lt;&gt;"Printed",L165=0,L165="0",L165=""),0,IFERROR(_xlfn.LET(_xlpm.lam,TEXT(B165,"0"),_xlpm.crit,(TEXT(HELPER!$BZ$2:$BZ$250,"0")=_xlpm.lam)*(HELPER!$CC$2:$CC$250=D165)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WHITE"},0)))/ROWS(_xlpm.real),_xlpm.numColors,IF(ISNUMBER(L165),L165,IFERROR(--RIGHT(L165,LEN(L165)-FIND("-",L165)),0)),HELPER!$DB$1*_xlpm.numColors*MAX(1,M165)*1.05*_xlpm.nkRatio/Q165),0))</f>
        <v>0.83999999999999986</v>
      </c>
      <c r="AK165" s="919">
        <f t="shared" si="63"/>
        <v>2.4074146008217827</v>
      </c>
      <c r="AL165" s="919">
        <f t="shared" si="64"/>
        <v>1679.1716840731935</v>
      </c>
      <c r="AM165" s="73" t="str">
        <f t="shared" si="65"/>
        <v>PASS</v>
      </c>
      <c r="AN165" s="908" t="str">
        <f t="shared" si="44"/>
        <v/>
      </c>
      <c r="AO165" s="919">
        <f t="shared" si="45"/>
        <v>121</v>
      </c>
      <c r="AP165" s="919">
        <f t="shared" si="46"/>
        <v>9887.9693077432694</v>
      </c>
      <c r="AQ165" s="919"/>
      <c r="AR165" s="919" cm="1">
        <f t="array" ref="AR165">IFERROR(_xlfn.LET(_xlpm.lam,TEXT(B165,"0"),_xlpm.thick,D165,_xlpm.crit,(TEXT(HELPER!$BZ$2:$BZ$250,"0")=_xlpm.lam)*(HELPER!$CC$2:$CC$250=_xlpm.thick)*(HELPER!$BW$2:$BW$250&lt;&gt;""),_xlpm.mats,TRIM(SUBSTITUTE(_xlfn._xlws.FILTER(HELPER!$BW$2:$BW$250,_xlpm.crit),CHAR(160),"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")),HELPER!$AQ$2:$AQ$20,1),_xlpm.mass,IF(ISNUMBER(SEARCH("paper",_xlpm.mats)),42,_xlpm.dens*_xlpm.ths),E165/1000000*SUM(_xlpm.mass)),"")</f>
        <v>5.05665E-2</v>
      </c>
      <c r="AS165" s="919">
        <f>IFERROR(IF(D165&gt;31,(5%+250/P165)*AF165,VLOOKUP(D165,HELPER!$BH$3:$BI$5,2,TRUE)*AF165),0)</f>
        <v>0.37565857704897876</v>
      </c>
      <c r="AT165" s="919">
        <v>0.15000000000000299</v>
      </c>
      <c r="AU165" s="919"/>
      <c r="AV165" s="919"/>
      <c r="AW165" s="919"/>
      <c r="AX165" s="919"/>
      <c r="AY165" s="919"/>
      <c r="AZ165" s="919">
        <f t="shared" si="47"/>
        <v>420</v>
      </c>
    </row>
    <row r="166" spans="1:52">
      <c r="A166" s="73" t="s">
        <v>1587</v>
      </c>
      <c r="B166" s="73">
        <v>923</v>
      </c>
      <c r="C166" s="908" t="s">
        <v>1418</v>
      </c>
      <c r="D166" s="915" cm="1">
        <f t="array" ref="D16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6" s="915">
        <v>120</v>
      </c>
      <c r="F166" s="73" t="s">
        <v>560</v>
      </c>
      <c r="G166" s="916">
        <v>100</v>
      </c>
      <c r="H166" s="916">
        <v>100</v>
      </c>
      <c r="I166" s="916"/>
      <c r="J166" s="916"/>
      <c r="K166" s="73" t="s">
        <v>124</v>
      </c>
      <c r="L166" s="921" t="s">
        <v>221</v>
      </c>
      <c r="M166" s="915">
        <v>1</v>
      </c>
      <c r="N166" s="73" t="s">
        <v>549</v>
      </c>
      <c r="O166" s="73" t="s">
        <v>250</v>
      </c>
      <c r="P166" s="916" cm="1">
        <f t="array" ref="P166">IFERROR(_xlfn.SWITCH(F166,"By Weight",IF(H166&lt;&gt;"",H166,G166)/AR166,"By Length",G166,"By Imp",G166/MAX(1,ROUNDDOWN(E166/I166,0))*J166/1000,"IMP",G166/MAX(1,ROUNDDOWN(E166/I166,0))*J166/1000,""),"")</f>
        <v>7415.9769808074516</v>
      </c>
      <c r="Q166" s="916">
        <f t="shared" si="48"/>
        <v>100</v>
      </c>
      <c r="R166" s="917">
        <f t="shared" si="49"/>
        <v>882.9689267502315</v>
      </c>
      <c r="S166" s="918">
        <f t="shared" si="50"/>
        <v>1024.2439550302686</v>
      </c>
      <c r="T166" s="919">
        <f t="shared" si="51"/>
        <v>8.8296892675023155</v>
      </c>
      <c r="U166" s="920">
        <f t="shared" si="52"/>
        <v>10.242439550302686</v>
      </c>
      <c r="V166" s="919">
        <f t="shared" si="53"/>
        <v>0.14882882744838527</v>
      </c>
      <c r="W166" s="919">
        <f t="shared" si="54"/>
        <v>11.037111584377893</v>
      </c>
      <c r="X166" s="919" t="str">
        <f t="shared" si="55"/>
        <v/>
      </c>
      <c r="Y166" s="920">
        <f t="shared" si="56"/>
        <v>0.17264143984012689</v>
      </c>
      <c r="Z166" s="920">
        <f t="shared" si="57"/>
        <v>12.803049437878355</v>
      </c>
      <c r="AA166" s="920" t="str">
        <f t="shared" si="58"/>
        <v/>
      </c>
      <c r="AB166" s="917">
        <f t="shared" si="59"/>
        <v>1103.7111584377892</v>
      </c>
      <c r="AC166" s="918">
        <f t="shared" si="60"/>
        <v>1280.3049437878353</v>
      </c>
      <c r="AD166" s="916">
        <f t="shared" si="61"/>
        <v>37079.884904037259</v>
      </c>
      <c r="AE166" s="916">
        <f t="shared" si="62"/>
        <v>500</v>
      </c>
      <c r="AF166" s="919" cm="1">
        <f t="array" ref="AF166">IFERROR(_xlfn.LET(_xlpm.lam,TEXT(B166,"0"),_xlpm.thick,D166,_xlpm.crit,(TEXT(HELPER!$BZ$2:$BZ$250,"0")=_xlpm.lam)*(HELPER!$CC$2:$CC$250=_xlpm.thick)*(HELPER!$BW$2:$BW$250&lt;&gt;""),_xlpm.mats,TRIM(SUBSTITUTE(_xlfn._xlws.FILTER(HELPER!$BW$2:$BW$250,_xlpm.crit),CHAR(160),"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6" s="919">
        <f>IFERROR(IF(N166="Europe to Canada",IF(Q166&lt;1000,VLOOKUP(1000,HELPER!$AG$4:$AH$8,2,FALSE)/Q166,VLOOKUP(Q166,HELPER!$AG$4:$AH$8,2,TRUE)/Q166),IF(N166="Europe to US",HELPER!$AH$2,IF(N166="Europe to Europe",HELPER!$AH$3,0))),0)</f>
        <v>0.2</v>
      </c>
      <c r="AH166" s="919" cm="1">
        <f t="array" ref="AH166">IFERROR(_xlfn.LET(_xlpm.cap,IF(O166="Quantum",760,1220),_xlpm.wUsed,E166*MAX(1,MIN(MAX(2,INT(900/E166)),INT((_xlpm.cap-50)/E166))),_xlpm.kgmUsed,AR166/E166*_xlpm.wUsed,_xlpm.lam,TEXT(B166,"0"),_xlpm.crit,(TEXT(HELPER!$BZ$2:$BZ$250,"0")=_xlpm.lam)*(HELPER!$CC$2:$CC$250=D166)*(HELPER!$BW$2:$BW$250&lt;&gt;""),_xlpm.mats,_xlfn._xlws.FILTER(HELPER!$BW$2:$BW$250,_xlpm.crit),_xlpm.realLayers,SUM((_xlpm.mats&lt;&gt;"")*ISERROR(SEARCH("EPOTAL",_xlpm.mats&amp;""))*ISERROR(SEARCH("BASONAT",_xlpm.mats&amp;""))*ISERROR(SEARCH("ADH",_xlpm.mats&amp;""))*ISERROR(SEARCH("HARDENER",_xlpm.mats&amp;""))),_xlpm.steps,MAX(0,_xlpm.realLayers-1),_xlpm.tier,IF(P166&lt;3000,1,IF(P166&lt;10000,2,IF(P166&lt;25000,3,IF(P166&lt;50000,4,IF(P166&lt;100000,5,IF(P166&lt;250000,6,7)))))),_xlpm.widthRow,IF(_xlpm.wUsed&lt;900,0,5),_xlpm.supplierRow,IF(O166="Marma",3,IF(OR(O166="Bastin",O166="Quantum"),13,0)),_xlpm.rate,INDEX('Lmntn &amp; Prntng- Marma &amp; Bastin '!$D$1:$K$22,_xlpm.supplierRow+_xlpm.widthRow,_xlpm.tier),_xlpm.rate*_xlpm.steps/_xlpm.kgmUsed),"")</f>
        <v>2.2063590943185138</v>
      </c>
      <c r="AI166" s="919" cm="1">
        <f t="array" ref="AI166">IFERROR(_xlfn.LET(_xlpm.cap,IF(O166="Quantum",760,1220),_xlpm.wUsed,E166*MAX(1,MIN(MAX(2,INT(900/E166)),INT((_xlpm.cap-50)/E166))),_xlpm.kgmUsed,AR166/E166*_xlpm.wUsed,_xlpm.tier,IF(P166&lt;3000,1,IF(P166&lt;10000,2,IF(P166&lt;25000,3,IF(P166&lt;50000,4,IF(P166&lt;100000,5,IF(P166&lt;250000,6,IF(P166&lt;500000,7,8))))))),_xlpm.widthRow,IF(_xlpm.wUsed&lt;900,0,5),_xlpm.slitRow,IF(O166="Marma",7,IF(OR(O166="Bastin",O166="Quantum"),17,0)),_xlpm.slitRate,INDEX('Lmntn &amp; Prntng- Marma &amp; Bastin '!$D$1:$K$22,_xlpm.slitRow+_xlpm.widthRow,_xlpm.tier),_xlpm.numColors,IF(ISNUMBER(L166),L166,IFERROR(--RIGHT(L166,LEN(L166)-FIND("-",L166)),0)),_xlpm.printRate,IF(OR(K166&lt;&gt;"Printed",_xlpm.numColors=0),0,IF(O166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166))),MAX(_xlfn._xlws.FILTER(_xlpm.meters,(_xlpm.widths=_xlpm.qWidth)*(_xlpm.bands=_xlpm.band)))),INDEX(_xlpm.rates,_xlfn.XMATCH(1,(_xlpm.widths=_xlpm.qWidth)*(_xlpm.bands=_xlpm.band)*(_xlpm.meters=_xlpm.targetM),0))/HELPER!$AK$2),_xlfn.LET(_xlpm.colorOffset,IF(_xlpm.numColors&lt;=2,1,IF(_xlpm.numColors&lt;=4,2,3)),_xlpm.supplierRow,IF(O166="Marma",3,IF(O166="Bastin",13,0)),INDEX('Lmntn &amp; Prntng- Marma &amp; Bastin '!$D$1:$K$22,_xlpm.supplierRow+_xlpm.widthRow+_xlpm.colorOffset,_xlpm.tier)))),AH166+_xlpm.slitRate/_xlpm.kgmUsed+_xlpm.printRate/_xlpm.kgmUsed+AJ166),"")</f>
        <v>2.5286362653987462</v>
      </c>
      <c r="AJ166" s="919" cm="1">
        <f t="array" ref="AJ166">IF(OR(K166&lt;&gt;"Printed",L166=0,L166="0",L166=""),0,IFERROR(_xlfn.LET(_xlpm.lam,TEXT(B166,"0"),_xlpm.crit,(TEXT(HELPER!$BZ$2:$BZ$250,"0")=_xlpm.lam)*(HELPER!$CC$2:$CC$250=D166)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WHITE"},0)))/ROWS(_xlpm.real),_xlpm.numColors,IF(ISNUMBER(L166),L166,IFERROR(--RIGHT(L166,LEN(L166)-FIND("-",L166)),0)),HELPER!$DB$1*_xlpm.numColors*MAX(1,M166)*1.05*_xlpm.nkRatio/Q166),0))</f>
        <v>0</v>
      </c>
      <c r="AK166" s="919">
        <f t="shared" si="63"/>
        <v>0.80015498628164128</v>
      </c>
      <c r="AL166" s="919">
        <f t="shared" si="64"/>
        <v>148.82882744838528</v>
      </c>
      <c r="AM166" s="73" t="str">
        <f t="shared" si="65"/>
        <v>PASS</v>
      </c>
      <c r="AN166" s="908" t="str">
        <f t="shared" si="44"/>
        <v/>
      </c>
      <c r="AO166" s="919">
        <f t="shared" si="45"/>
        <v>121</v>
      </c>
      <c r="AP166" s="919">
        <f t="shared" si="46"/>
        <v>7415.9769808074516</v>
      </c>
      <c r="AQ166" s="919"/>
      <c r="AR166" s="919" cm="1">
        <f t="array" ref="AR166">IFERROR(_xlfn.LET(_xlpm.lam,TEXT(B166,"0"),_xlpm.thick,D166,_xlpm.crit,(TEXT(HELPER!$BZ$2:$BZ$250,"0")=_xlpm.lam)*(HELPER!$CC$2:$CC$250=_xlpm.thick)*(HELPER!$BW$2:$BW$250&lt;&gt;""),_xlpm.mats,TRIM(SUBSTITUTE(_xlfn._xlws.FILTER(HELPER!$BW$2:$BW$250,_xlpm.crit),CHAR(160),"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")),HELPER!$AQ$2:$AQ$20,1),_xlpm.mass,IF(ISNUMBER(SEARCH("paper",_xlpm.mats)),42,_xlpm.dens*_xlpm.ths),E166/1000000*SUM(_xlpm.mass)),"")</f>
        <v>1.3484400000000001E-2</v>
      </c>
      <c r="AS166" s="919">
        <f>IFERROR(IF(D166&gt;31,(5%+250/P166)*AF166,VLOOKUP(D166,HELPER!$BH$3:$BI$5,2,TRUE)*AF166),0)</f>
        <v>0.47127439682636046</v>
      </c>
      <c r="AT166" s="919">
        <v>0.2</v>
      </c>
      <c r="AU166" s="919"/>
      <c r="AV166" s="919"/>
      <c r="AW166" s="919"/>
      <c r="AX166" s="919"/>
      <c r="AY166" s="919"/>
      <c r="AZ166" s="919">
        <f t="shared" si="47"/>
        <v>0</v>
      </c>
    </row>
    <row r="167" spans="1:52">
      <c r="A167" s="73" t="s">
        <v>1588</v>
      </c>
      <c r="B167" s="73">
        <v>923</v>
      </c>
      <c r="C167" s="908" t="s">
        <v>1420</v>
      </c>
      <c r="D167" s="915" cm="1">
        <f t="array" ref="D16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7" s="915">
        <v>120</v>
      </c>
      <c r="F167" s="73" t="s">
        <v>1040</v>
      </c>
      <c r="G167" s="916">
        <v>1000</v>
      </c>
      <c r="H167" s="916"/>
      <c r="I167" s="916">
        <v>80</v>
      </c>
      <c r="J167" s="916">
        <v>80</v>
      </c>
      <c r="K167" s="73" t="s">
        <v>123</v>
      </c>
      <c r="L167" s="921" t="s">
        <v>591</v>
      </c>
      <c r="M167" s="915">
        <v>1</v>
      </c>
      <c r="N167" s="73" t="s">
        <v>550</v>
      </c>
      <c r="O167" s="73" t="s">
        <v>240</v>
      </c>
      <c r="P167" s="916" cm="1">
        <f t="array" ref="P167">IFERROR(_xlfn.SWITCH(F167,"By Weight",IF(H167&lt;&gt;"",H167,G167)/AR167,"By Length",G167,"By Imp",G167/MAX(1,ROUNDDOWN(E167/I167,0))*J167/1000,"IMP",G167/MAX(1,ROUNDDOWN(E167/I167,0))*J167/1000,""),"")</f>
        <v>80</v>
      </c>
      <c r="Q167" s="916">
        <f t="shared" si="48"/>
        <v>1.0787520000000002</v>
      </c>
      <c r="R167" s="917">
        <f t="shared" si="49"/>
        <v>248.53550198989285</v>
      </c>
      <c r="S167" s="918">
        <f t="shared" si="50"/>
        <v>288.30118230827571</v>
      </c>
      <c r="T167" s="919">
        <f t="shared" si="51"/>
        <v>230.3916952088087</v>
      </c>
      <c r="U167" s="920">
        <f t="shared" si="52"/>
        <v>267.2543664422181</v>
      </c>
      <c r="V167" s="919">
        <f t="shared" si="53"/>
        <v>3.6549338527925328</v>
      </c>
      <c r="W167" s="919">
        <f t="shared" si="54"/>
        <v>271.04905318683313</v>
      </c>
      <c r="X167" s="919">
        <f t="shared" si="55"/>
        <v>0.29239470822340263</v>
      </c>
      <c r="Y167" s="920">
        <f t="shared" si="56"/>
        <v>4.2397232692393381</v>
      </c>
      <c r="Z167" s="920">
        <f t="shared" si="57"/>
        <v>314.41690169672643</v>
      </c>
      <c r="AA167" s="920">
        <f t="shared" si="58"/>
        <v>0.33917786153914703</v>
      </c>
      <c r="AB167" s="917">
        <f t="shared" si="59"/>
        <v>292.39470822340269</v>
      </c>
      <c r="AC167" s="918">
        <f t="shared" si="60"/>
        <v>339.1778615391471</v>
      </c>
      <c r="AD167" s="916">
        <f t="shared" si="61"/>
        <v>37079.884904037259</v>
      </c>
      <c r="AE167" s="916">
        <f t="shared" si="62"/>
        <v>500</v>
      </c>
      <c r="AF167" s="919" cm="1">
        <f t="array" ref="AF167">IFERROR(_xlfn.LET(_xlpm.lam,TEXT(B167,"0"),_xlpm.thick,D167,_xlpm.crit,(TEXT(HELPER!$BZ$2:$BZ$250,"0")=_xlpm.lam)*(HELPER!$CC$2:$CC$250=_xlpm.thick)*(HELPER!$BW$2:$BW$250&lt;&gt;""),_xlpm.mats,TRIM(SUBSTITUTE(_xlfn._xlws.FILTER(HELPER!$BW$2:$BW$250,_xlpm.crit),CHAR(160),"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7" s="919">
        <f>IFERROR(IF(N167="Europe to Canada",IF(Q167&lt;1000,VLOOKUP(1000,HELPER!$AG$4:$AH$8,2,FALSE)/Q167,VLOOKUP(Q167,HELPER!$AG$4:$AH$8,2,TRUE)/Q167),IF(N167="Europe to US",HELPER!$AH$2,IF(N167="Europe to Europe",HELPER!$AH$3,0))),0)</f>
        <v>5.4</v>
      </c>
      <c r="AH167" s="919" cm="1">
        <f t="array" ref="AH167">IFERROR(_xlfn.LET(_xlpm.cap,IF(O167="Quantum",760,1220),_xlpm.wUsed,E167*MAX(1,MIN(MAX(2,INT(900/E167)),INT((_xlpm.cap-50)/E167))),_xlpm.kgmUsed,AR167/E167*_xlpm.wUsed,_xlpm.lam,TEXT(B167,"0"),_xlpm.crit,(TEXT(HELPER!$BZ$2:$BZ$250,"0")=_xlpm.lam)*(HELPER!$CC$2:$CC$250=D167)*(HELPER!$BW$2:$BW$250&lt;&gt;""),_xlpm.mats,_xlfn._xlws.FILTER(HELPER!$BW$2:$BW$250,_xlpm.crit),_xlpm.realLayers,SUM((_xlpm.mats&lt;&gt;"")*ISERROR(SEARCH("EPOTAL",_xlpm.mats&amp;""))*ISERROR(SEARCH("BASONAT",_xlpm.mats&amp;""))*ISERROR(SEARCH("ADH",_xlpm.mats&amp;""))*ISERROR(SEARCH("HARDENER",_xlpm.mats&amp;""))),_xlpm.steps,MAX(0,_xlpm.realLayers-1),_xlpm.tier,IF(P167&lt;3000,1,IF(P167&lt;10000,2,IF(P167&lt;25000,3,IF(P167&lt;50000,4,IF(P167&lt;100000,5,IF(P167&lt;250000,6,7)))))),_xlpm.widthRow,IF(_xlpm.wUsed&lt;900,0,5),_xlpm.supplierRow,IF(O167="Marma",3,IF(OR(O167="Bastin",O167="Quantum"),13,0)),_xlpm.rate,INDEX('Lmntn &amp; Prntng- Marma &amp; Bastin '!$D$1:$K$22,_xlpm.supplierRow+_xlpm.widthRow,_xlpm.tier),_xlpm.rate*_xlpm.steps/_xlpm.kgmUsed),"")</f>
        <v>3.2153345453158564</v>
      </c>
      <c r="AI167" s="919" cm="1">
        <f t="array" ref="AI167">IFERROR(_xlfn.LET(_xlpm.cap,IF(O167="Quantum",760,1220),_xlpm.wUsed,E167*MAX(1,MIN(MAX(2,INT(900/E167)),INT((_xlpm.cap-50)/E167))),_xlpm.kgmUsed,AR167/E167*_xlpm.wUsed,_xlpm.tier,IF(P167&lt;3000,1,IF(P167&lt;10000,2,IF(P167&lt;25000,3,IF(P167&lt;50000,4,IF(P167&lt;100000,5,IF(P167&lt;250000,6,IF(P167&lt;500000,7,8))))))),_xlpm.widthRow,IF(_xlpm.wUsed&lt;900,0,5),_xlpm.slitRow,IF(O167="Marma",7,IF(OR(O167="Bastin",O167="Quantum"),17,0)),_xlpm.slitRate,INDEX('Lmntn &amp; Prntng- Marma &amp; Bastin '!$D$1:$K$22,_xlpm.slitRow+_xlpm.widthRow,_xlpm.tier),_xlpm.numColors,IF(ISNUMBER(L167),L167,IFERROR(--RIGHT(L167,LEN(L167)-FIND("-",L167)),0)),_xlpm.printRate,IF(OR(K167&lt;&gt;"Printed",_xlpm.numColors=0),0,IF(O167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167))),MAX(_xlfn._xlws.FILTER(_xlpm.meters,(_xlpm.widths=_xlpm.qWidth)*(_xlpm.bands=_xlpm.band)))),INDEX(_xlpm.rates,_xlfn.XMATCH(1,(_xlpm.widths=_xlpm.qWidth)*(_xlpm.bands=_xlpm.band)*(_xlpm.meters=_xlpm.targetM),0))/HELPER!$AK$2),_xlfn.LET(_xlpm.colorOffset,IF(_xlpm.numColors&lt;=2,1,IF(_xlpm.numColors&lt;=4,2,3)),_xlpm.supplierRow,IF(O167="Marma",3,IF(O167="Bastin",13,0)),INDEX('Lmntn &amp; Prntng- Marma &amp; Bastin '!$D$1:$K$22,_xlpm.supplierRow+_xlpm.widthRow+_xlpm.colorOffset,_xlpm.tier)))),AH167+_xlpm.slitRate/_xlpm.kgmUsed+_xlpm.printRate/_xlpm.kgmUsed+AJ167),"")</f>
        <v>201.48736953177635</v>
      </c>
      <c r="AJ167" s="919" cm="1">
        <f t="array" ref="AJ167">IF(OR(K167&lt;&gt;"Printed",L167=0,L167="0",L167=""),0,IFERROR(_xlfn.LET(_xlpm.lam,TEXT(B167,"0"),_xlpm.crit,(TEXT(HELPER!$BZ$2:$BZ$250,"0")=_xlpm.lam)*(HELPER!$CC$2:$CC$250=D167)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WHITE"},0)))/ROWS(_xlpm.real),_xlpm.numColors,IF(ISNUMBER(L167),L167,IFERROR(--RIGHT(L167,LEN(L167)-FIND("-",L167)),0)),HELPER!$DB$1*_xlpm.numColors*MAX(1,M167)*1.05*_xlpm.nkRatio/Q167),0))</f>
        <v>194.66939574619556</v>
      </c>
      <c r="AK167" s="919">
        <f t="shared" si="63"/>
        <v>19.65018200426093</v>
      </c>
      <c r="AL167" s="919">
        <f t="shared" si="64"/>
        <v>3654.9338527925329</v>
      </c>
      <c r="AM167" s="73" t="str">
        <f t="shared" si="65"/>
        <v>PASS</v>
      </c>
      <c r="AN167" s="908" t="str">
        <f t="shared" si="44"/>
        <v/>
      </c>
      <c r="AO167" s="919">
        <f t="shared" si="45"/>
        <v>121</v>
      </c>
      <c r="AP167" s="919">
        <f t="shared" si="46"/>
        <v>80</v>
      </c>
      <c r="AQ167" s="919"/>
      <c r="AR167" s="919" cm="1">
        <f t="array" ref="AR167">IFERROR(_xlfn.LET(_xlpm.lam,TEXT(B167,"0"),_xlpm.thick,D167,_xlpm.crit,(TEXT(HELPER!$BZ$2:$BZ$250,"0")=_xlpm.lam)*(HELPER!$CC$2:$CC$250=_xlpm.thick)*(HELPER!$BW$2:$BW$250&lt;&gt;""),_xlpm.mats,TRIM(SUBSTITUTE(_xlfn._xlws.FILTER(HELPER!$BW$2:$BW$250,_xlpm.crit),CHAR(160),"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")),HELPER!$AQ$2:$AQ$20,1),_xlpm.mass,IF(ISNUMBER(SEARCH("paper",_xlpm.mats)),42,_xlpm.dens*_xlpm.ths),E167/1000000*SUM(_xlpm.mass)),"")</f>
        <v>1.3484400000000001E-2</v>
      </c>
      <c r="AS167" s="919">
        <f>IFERROR(IF(D167&gt;31,(5%+250/P167)*AF167,VLOOKUP(D167,HELPER!$BH$3:$BI$5,2,TRUE)*AF167),0)</f>
        <v>17.874547071755138</v>
      </c>
      <c r="AT167" s="919">
        <v>0.149999999999998</v>
      </c>
      <c r="AU167" s="919"/>
      <c r="AV167" s="919"/>
      <c r="AW167" s="919"/>
      <c r="AX167" s="919"/>
      <c r="AY167" s="919"/>
      <c r="AZ167" s="919">
        <f t="shared" si="47"/>
        <v>209.99999999999997</v>
      </c>
    </row>
    <row r="168" spans="1:52">
      <c r="A168" s="73" t="s">
        <v>1589</v>
      </c>
      <c r="B168" s="73">
        <v>923</v>
      </c>
      <c r="C168" s="908" t="s">
        <v>1422</v>
      </c>
      <c r="D168" s="915" cm="1">
        <f t="array" ref="D16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8" s="915">
        <v>350</v>
      </c>
      <c r="F168" s="73" t="s">
        <v>560</v>
      </c>
      <c r="G168" s="916">
        <v>5000</v>
      </c>
      <c r="H168" s="916">
        <v>5000</v>
      </c>
      <c r="I168" s="916"/>
      <c r="J168" s="916"/>
      <c r="K168" s="73" t="s">
        <v>123</v>
      </c>
      <c r="L168" s="921" t="s">
        <v>122</v>
      </c>
      <c r="M168" s="915">
        <v>4</v>
      </c>
      <c r="N168" s="73" t="s">
        <v>549</v>
      </c>
      <c r="O168" s="73" t="s">
        <v>1366</v>
      </c>
      <c r="P168" s="916" cm="1">
        <f t="array" ref="P168">IFERROR(_xlfn.SWITCH(F168,"By Weight",IF(H168&lt;&gt;"",H168,G168)/AR168,"By Length",G168,"By Imp",G168/MAX(1,ROUNDDOWN(E168/I168,0))*J168/1000,"IMP",G168/MAX(1,ROUNDDOWN(E168/I168,0))*J168/1000,""),"")</f>
        <v>127131.03395669916</v>
      </c>
      <c r="Q168" s="916">
        <f t="shared" si="48"/>
        <v>5000</v>
      </c>
      <c r="R168" s="917">
        <f t="shared" si="49"/>
        <v>95323.986123424533</v>
      </c>
      <c r="S168" s="918">
        <f t="shared" si="50"/>
        <v>110575.82390317245</v>
      </c>
      <c r="T168" s="919">
        <f t="shared" si="51"/>
        <v>19.064797224684906</v>
      </c>
      <c r="U168" s="920">
        <f t="shared" si="52"/>
        <v>22.11516478063449</v>
      </c>
      <c r="V168" s="919">
        <f t="shared" si="53"/>
        <v>0.88212816758617385</v>
      </c>
      <c r="W168" s="919">
        <f t="shared" si="54"/>
        <v>22.429173205511734</v>
      </c>
      <c r="X168" s="919" t="str">
        <f t="shared" si="55"/>
        <v/>
      </c>
      <c r="Y168" s="920">
        <f t="shared" si="56"/>
        <v>1.0232686743999615</v>
      </c>
      <c r="Z168" s="920">
        <f t="shared" si="57"/>
        <v>26.01784091839361</v>
      </c>
      <c r="AA168" s="920" t="str">
        <f t="shared" si="58"/>
        <v/>
      </c>
      <c r="AB168" s="917">
        <f t="shared" si="59"/>
        <v>112145.86602755867</v>
      </c>
      <c r="AC168" s="918">
        <f t="shared" si="60"/>
        <v>130089.20459196805</v>
      </c>
      <c r="AD168" s="916">
        <f t="shared" si="61"/>
        <v>12713.103395669916</v>
      </c>
      <c r="AE168" s="916">
        <f t="shared" si="62"/>
        <v>500</v>
      </c>
      <c r="AF168" s="919" cm="1">
        <f t="array" ref="AF168">IFERROR(_xlfn.LET(_xlpm.lam,TEXT(B168,"0"),_xlpm.thick,D168,_xlpm.crit,(TEXT(HELPER!$BZ$2:$BZ$250,"0")=_xlpm.lam)*(HELPER!$CC$2:$CC$250=_xlpm.thick)*(HELPER!$BW$2:$BW$250&lt;&gt;""),_xlpm.mats,TRIM(SUBSTITUTE(_xlfn._xlws.FILTER(HELPER!$BW$2:$BW$250,_xlpm.crit),CHAR(160),"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8" s="919">
        <f>IFERROR(IF(N168="Europe to Canada",IF(Q168&lt;1000,VLOOKUP(1000,HELPER!$AG$4:$AH$8,2,FALSE)/Q168,VLOOKUP(Q168,HELPER!$AG$4:$AH$8,2,TRUE)/Q168),IF(N168="Europe to US",HELPER!$AH$2,IF(N168="Europe to Europe",HELPER!$AH$3,0))),0)</f>
        <v>0.2</v>
      </c>
      <c r="AH168" s="919" cm="1">
        <f t="array" ref="AH168">IFERROR(_xlfn.LET(_xlpm.cap,IF(O168="Quantum",760,1220),_xlpm.wUsed,E168*MAX(1,MIN(MAX(2,INT(900/E168)),INT((_xlpm.cap-50)/E168))),_xlpm.kgmUsed,AR168/E168*_xlpm.wUsed,_xlpm.lam,TEXT(B168,"0"),_xlpm.crit,(TEXT(HELPER!$BZ$2:$BZ$250,"0")=_xlpm.lam)*(HELPER!$CC$2:$CC$250=D168)*(HELPER!$BW$2:$BW$250&lt;&gt;""),_xlpm.mats,_xlfn._xlws.FILTER(HELPER!$BW$2:$BW$250,_xlpm.crit),_xlpm.realLayers,SUM((_xlpm.mats&lt;&gt;"")*ISERROR(SEARCH("EPOTAL",_xlpm.mats&amp;""))*ISERROR(SEARCH("BASONAT",_xlpm.mats&amp;""))*ISERROR(SEARCH("ADH",_xlpm.mats&amp;""))*ISERROR(SEARCH("HARDENER",_xlpm.mats&amp;""))),_xlpm.steps,MAX(0,_xlpm.realLayers-1),_xlpm.tier,IF(P168&lt;3000,1,IF(P168&lt;10000,2,IF(P168&lt;25000,3,IF(P168&lt;50000,4,IF(P168&lt;100000,5,IF(P168&lt;250000,6,7)))))),_xlpm.widthRow,IF(_xlpm.wUsed&lt;900,0,5),_xlpm.supplierRow,IF(O168="Marma",3,IF(OR(O168="Bastin",O168="Quantum"),13,0)),_xlpm.rate,INDEX('Lmntn &amp; Prntng- Marma &amp; Bastin '!$D$1:$K$22,_xlpm.supplierRow+_xlpm.widthRow,_xlpm.tier),_xlpm.rate*_xlpm.steps/_xlpm.kgmUsed),"")</f>
        <v>2.7755501595494474</v>
      </c>
      <c r="AI168" s="919" cm="1">
        <f t="array" ref="AI168">IFERROR(_xlfn.LET(_xlpm.cap,IF(O168="Quantum",760,1220),_xlpm.wUsed,E168*MAX(1,MIN(MAX(2,INT(900/E168)),INT((_xlpm.cap-50)/E168))),_xlpm.kgmUsed,AR168/E168*_xlpm.wUsed,_xlpm.tier,IF(P168&lt;3000,1,IF(P168&lt;10000,2,IF(P168&lt;25000,3,IF(P168&lt;50000,4,IF(P168&lt;100000,5,IF(P168&lt;250000,6,IF(P168&lt;500000,7,8))))))),_xlpm.widthRow,IF(_xlpm.wUsed&lt;900,0,5),_xlpm.slitRow,IF(O168="Marma",7,IF(OR(O168="Bastin",O168="Quantum"),17,0)),_xlpm.slitRate,INDEX('Lmntn &amp; Prntng- Marma &amp; Bastin '!$D$1:$K$22,_xlpm.slitRow+_xlpm.widthRow,_xlpm.tier),_xlpm.numColors,IF(ISNUMBER(L168),L168,IFERROR(--RIGHT(L168,LEN(L168)-FIND("-",L168)),0)),_xlpm.printRate,IF(OR(K168&lt;&gt;"Printed",_xlpm.numColors=0),0,IF(O168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168))),MAX(_xlfn._xlws.FILTER(_xlpm.meters,(_xlpm.widths=_xlpm.qWidth)*(_xlpm.bands=_xlpm.band)))),INDEX(_xlpm.rates,_xlfn.XMATCH(1,(_xlpm.widths=_xlpm.qWidth)*(_xlpm.bands=_xlpm.band)*(_xlpm.meters=_xlpm.targetM),0))/HELPER!$AK$2),_xlfn.LET(_xlpm.colorOffset,IF(_xlpm.numColors&lt;=2,1,IF(_xlpm.numColors&lt;=4,2,3)),_xlpm.supplierRow,IF(O168="Marma",3,IF(O168="Bastin",13,0)),INDEX('Lmntn &amp; Prntng- Marma &amp; Bastin '!$D$1:$K$22,_xlpm.supplierRow+_xlpm.widthRow+_xlpm.colorOffset,_xlpm.tier)))),AH168+_xlpm.slitRate/_xlpm.kgmUsed+_xlpm.printRate/_xlpm.kgmUsed+AJ168),"")</f>
        <v>12.942458870261026</v>
      </c>
      <c r="AJ168" s="919" cm="1">
        <f t="array" ref="AJ168">IF(OR(K168&lt;&gt;"Printed",L168=0,L168="0",L168=""),0,IFERROR(_xlfn.LET(_xlpm.lam,TEXT(B168,"0"),_xlpm.crit,(TEXT(HELPER!$BZ$2:$BZ$250,"0")=_xlpm.lam)*(HELPER!$CC$2:$CC$250=D168)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WHITE"},0)))/ROWS(_xlpm.real),_xlpm.numColors,IF(ISNUMBER(L168),L168,IFERROR(--RIGHT(L168,LEN(L168)-FIND("-",L168)),0)),HELPER!$DB$1*_xlpm.numColors*MAX(1,M168)*1.05*_xlpm.nkRatio/Q168),0))</f>
        <v>0.33600000000000002</v>
      </c>
      <c r="AK168" s="919">
        <f t="shared" si="63"/>
        <v>1.6260427052279702</v>
      </c>
      <c r="AL168" s="919">
        <f t="shared" si="64"/>
        <v>882.12816758617384</v>
      </c>
      <c r="AM168" s="73" t="str">
        <f t="shared" si="65"/>
        <v>PASS</v>
      </c>
      <c r="AN168" s="908" t="str">
        <f t="shared" si="44"/>
        <v/>
      </c>
      <c r="AO168" s="919">
        <f t="shared" si="45"/>
        <v>121</v>
      </c>
      <c r="AP168" s="919">
        <f t="shared" si="46"/>
        <v>127131.03395669916</v>
      </c>
      <c r="AQ168" s="919"/>
      <c r="AR168" s="919" cm="1">
        <f t="array" ref="AR168">IFERROR(_xlfn.LET(_xlpm.lam,TEXT(B168,"0"),_xlpm.thick,D168,_xlpm.crit,(TEXT(HELPER!$BZ$2:$BZ$250,"0")=_xlpm.lam)*(HELPER!$CC$2:$CC$250=_xlpm.thick)*(HELPER!$BW$2:$BW$250&lt;&gt;""),_xlpm.mats,TRIM(SUBSTITUTE(_xlfn._xlws.FILTER(HELPER!$BW$2:$BW$250,_xlpm.crit),CHAR(160),"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")),HELPER!$AQ$2:$AQ$20,1),_xlpm.mass,IF(ISNUMBER(SEARCH("paper",_xlpm.mats)),42,_xlpm.dens*_xlpm.ths),E168/1000000*SUM(_xlpm.mass)),"")</f>
        <v>3.9329500000000003E-2</v>
      </c>
      <c r="AS168" s="919">
        <f>IFERROR(IF(D168&gt;31,(5%+250/P168)*AF168,VLOOKUP(D168,HELPER!$BH$3:$BI$5,2,TRUE)*AF168),0)</f>
        <v>0.29255974914667299</v>
      </c>
      <c r="AT168" s="919">
        <v>0.15000000000000299</v>
      </c>
      <c r="AU168" s="919"/>
      <c r="AV168" s="919"/>
      <c r="AW168" s="919"/>
      <c r="AX168" s="919"/>
      <c r="AY168" s="919"/>
      <c r="AZ168" s="919">
        <f t="shared" si="47"/>
        <v>1680</v>
      </c>
    </row>
    <row r="169" spans="1:52">
      <c r="A169" s="73" t="s">
        <v>1590</v>
      </c>
      <c r="B169" s="73">
        <v>923</v>
      </c>
      <c r="C169" s="908" t="s">
        <v>1424</v>
      </c>
      <c r="D169" s="915" cm="1">
        <f t="array" ref="D16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9" s="915">
        <v>900</v>
      </c>
      <c r="F169" s="73" t="s">
        <v>560</v>
      </c>
      <c r="G169" s="916">
        <v>25000</v>
      </c>
      <c r="H169" s="916">
        <v>25000</v>
      </c>
      <c r="I169" s="916"/>
      <c r="J169" s="916"/>
      <c r="K169" s="73" t="s">
        <v>123</v>
      </c>
      <c r="L169" s="921" t="s">
        <v>592</v>
      </c>
      <c r="M169" s="915">
        <v>8</v>
      </c>
      <c r="N169" s="73" t="s">
        <v>550</v>
      </c>
      <c r="O169" s="73" t="s">
        <v>250</v>
      </c>
      <c r="P169" s="916" cm="1">
        <f t="array" ref="P169">IFERROR(_xlfn.SWITCH(F169,"By Weight",IF(H169&lt;&gt;"",H169,G169)/AR169,"By Length",G169,"By Imp",G169/MAX(1,ROUNDDOWN(E169/I169,0))*J169/1000,"IMP",G169/MAX(1,ROUNDDOWN(E169/I169,0))*J169/1000,""),"")</f>
        <v>247199.23269358173</v>
      </c>
      <c r="Q169" s="916">
        <f t="shared" si="48"/>
        <v>25000</v>
      </c>
      <c r="R169" s="917">
        <f t="shared" si="49"/>
        <v>368648.94803495298</v>
      </c>
      <c r="S169" s="918">
        <f t="shared" si="50"/>
        <v>427632.7797205454</v>
      </c>
      <c r="T169" s="919">
        <f t="shared" si="51"/>
        <v>14.745957921398119</v>
      </c>
      <c r="U169" s="920">
        <f t="shared" si="52"/>
        <v>17.105311188821819</v>
      </c>
      <c r="V169" s="919">
        <f t="shared" si="53"/>
        <v>1.8641287030809544</v>
      </c>
      <c r="W169" s="919">
        <f t="shared" si="54"/>
        <v>18.432447401747741</v>
      </c>
      <c r="X169" s="919" t="str">
        <f t="shared" si="55"/>
        <v/>
      </c>
      <c r="Y169" s="920">
        <f t="shared" si="56"/>
        <v>2.1623892955739068</v>
      </c>
      <c r="Z169" s="920">
        <f t="shared" si="57"/>
        <v>21.381638986027379</v>
      </c>
      <c r="AA169" s="920" t="str">
        <f t="shared" si="58"/>
        <v/>
      </c>
      <c r="AB169" s="917">
        <f t="shared" si="59"/>
        <v>460811.18504369352</v>
      </c>
      <c r="AC169" s="918">
        <f t="shared" si="60"/>
        <v>534540.97465068439</v>
      </c>
      <c r="AD169" s="916">
        <f t="shared" si="61"/>
        <v>4943.9846538716347</v>
      </c>
      <c r="AE169" s="916">
        <f t="shared" si="62"/>
        <v>500</v>
      </c>
      <c r="AF169" s="919" cm="1">
        <f t="array" ref="AF169">IFERROR(_xlfn.LET(_xlpm.lam,TEXT(B169,"0"),_xlpm.thick,D169,_xlpm.crit,(TEXT(HELPER!$BZ$2:$BZ$250,"0")=_xlpm.lam)*(HELPER!$CC$2:$CC$250=_xlpm.thick)*(HELPER!$BW$2:$BW$250&lt;&gt;""),_xlpm.mats,TRIM(SUBSTITUTE(_xlfn._xlws.FILTER(HELPER!$BW$2:$BW$250,_xlpm.crit),CHAR(160),"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9" s="919">
        <f>IFERROR(IF(N169="Europe to Canada",IF(Q169&lt;1000,VLOOKUP(1000,HELPER!$AG$4:$AH$8,2,FALSE)/Q169,VLOOKUP(Q169,HELPER!$AG$4:$AH$8,2,TRUE)/Q169),IF(N169="Europe to US",HELPER!$AH$2,IF(N169="Europe to Europe",HELPER!$AH$3,0))),0)</f>
        <v>5.4</v>
      </c>
      <c r="AH169" s="919" cm="1">
        <f t="array" ref="AH169">IFERROR(_xlfn.LET(_xlpm.cap,IF(O169="Quantum",760,1220),_xlpm.wUsed,E169*MAX(1,MIN(MAX(2,INT(900/E169)),INT((_xlpm.cap-50)/E169))),_xlpm.kgmUsed,AR169/E169*_xlpm.wUsed,_xlpm.lam,TEXT(B169,"0"),_xlpm.crit,(TEXT(HELPER!$BZ$2:$BZ$250,"0")=_xlpm.lam)*(HELPER!$CC$2:$CC$250=D169)*(HELPER!$BW$2:$BW$250&lt;&gt;""),_xlpm.mats,_xlfn._xlws.FILTER(HELPER!$BW$2:$BW$250,_xlpm.crit),_xlpm.realLayers,SUM((_xlpm.mats&lt;&gt;"")*ISERROR(SEARCH("EPOTAL",_xlpm.mats&amp;""))*ISERROR(SEARCH("BASONAT",_xlpm.mats&amp;""))*ISERROR(SEARCH("ADH",_xlpm.mats&amp;""))*ISERROR(SEARCH("HARDENER",_xlpm.mats&amp;""))),_xlpm.steps,MAX(0,_xlpm.realLayers-1),_xlpm.tier,IF(P169&lt;3000,1,IF(P169&lt;10000,2,IF(P169&lt;25000,3,IF(P169&lt;50000,4,IF(P169&lt;100000,5,IF(P169&lt;250000,6,7)))))),_xlpm.widthRow,IF(_xlpm.wUsed&lt;900,0,5),_xlpm.supplierRow,IF(O169="Marma",3,IF(OR(O169="Bastin",O169="Quantum"),13,0)),_xlpm.rate,INDEX('Lmntn &amp; Prntng- Marma &amp; Bastin '!$D$1:$K$22,_xlpm.supplierRow+_xlpm.widthRow,_xlpm.tier),_xlpm.rate*_xlpm.steps/_xlpm.kgmUsed),"")</f>
        <v>1.6605855655424047</v>
      </c>
      <c r="AI169" s="919" cm="1">
        <f t="array" ref="AI169">IFERROR(_xlfn.LET(_xlpm.cap,IF(O169="Quantum",760,1220),_xlpm.wUsed,E169*MAX(1,MIN(MAX(2,INT(900/E169)),INT((_xlpm.cap-50)/E169))),_xlpm.kgmUsed,AR169/E169*_xlpm.wUsed,_xlpm.tier,IF(P169&lt;3000,1,IF(P169&lt;10000,2,IF(P169&lt;25000,3,IF(P169&lt;50000,4,IF(P169&lt;100000,5,IF(P169&lt;250000,6,IF(P169&lt;500000,7,8))))))),_xlpm.widthRow,IF(_xlpm.wUsed&lt;900,0,5),_xlpm.slitRow,IF(O169="Marma",7,IF(OR(O169="Bastin",O169="Quantum"),17,0)),_xlpm.slitRate,INDEX('Lmntn &amp; Prntng- Marma &amp; Bastin '!$D$1:$K$22,_xlpm.slitRow+_xlpm.widthRow,_xlpm.tier),_xlpm.numColors,IF(ISNUMBER(L169),L169,IFERROR(--RIGHT(L169,LEN(L169)-FIND("-",L169)),0)),_xlpm.printRate,IF(OR(K169&lt;&gt;"Printed",_xlpm.numColors=0),0,IF(O169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169))),MAX(_xlfn._xlws.FILTER(_xlpm.meters,(_xlpm.widths=_xlpm.qWidth)*(_xlpm.bands=_xlpm.band)))),INDEX(_xlpm.rates,_xlfn.XMATCH(1,(_xlpm.widths=_xlpm.qWidth)*(_xlpm.bands=_xlpm.band)*(_xlpm.meters=_xlpm.targetM),0))/HELPER!$AK$2),_xlfn.LET(_xlpm.colorOffset,IF(_xlpm.numColors&lt;=2,1,IF(_xlpm.numColors&lt;=4,2,3)),_xlpm.supplierRow,IF(O169="Marma",3,IF(O169="Bastin",13,0)),INDEX('Lmntn &amp; Prntng- Marma &amp; Bastin '!$D$1:$K$22,_xlpm.supplierRow+_xlpm.widthRow+_xlpm.colorOffset,_xlpm.tier)))),AH169+_xlpm.slitRate/_xlpm.kgmUsed+_xlpm.printRate/_xlpm.kgmUsed+AJ169),"")</f>
        <v>3.4289968218601765</v>
      </c>
      <c r="AJ169" s="919" cm="1">
        <f t="array" ref="AJ169">IF(OR(K169&lt;&gt;"Printed",L169=0,L169="0",L169=""),0,IFERROR(_xlfn.LET(_xlpm.lam,TEXT(B169,"0"),_xlpm.crit,(TEXT(HELPER!$BZ$2:$BZ$250,"0")=_xlpm.lam)*(HELPER!$CC$2:$CC$250=D169)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WHITE"},0)))/ROWS(_xlpm.real),_xlpm.numColors,IF(ISNUMBER(L169),L169,IFERROR(--RIGHT(L169,LEN(L169)-FIND("-",L169)),0)),HELPER!$DB$1*_xlpm.numColors*MAX(1,M169)*1.05*_xlpm.nkRatio/Q169),0))</f>
        <v>0.26879999999999998</v>
      </c>
      <c r="AK169" s="919">
        <f t="shared" si="63"/>
        <v>1.3362929771189638</v>
      </c>
      <c r="AL169" s="919">
        <f t="shared" si="64"/>
        <v>1864.1287030809544</v>
      </c>
      <c r="AM169" s="73" t="str">
        <f t="shared" si="65"/>
        <v>PASS</v>
      </c>
      <c r="AN169" s="908" t="str">
        <f t="shared" si="44"/>
        <v/>
      </c>
      <c r="AO169" s="919">
        <f t="shared" si="45"/>
        <v>121</v>
      </c>
      <c r="AP169" s="919">
        <f t="shared" si="46"/>
        <v>247199.23269358173</v>
      </c>
      <c r="AQ169" s="919"/>
      <c r="AR169" s="919" cm="1">
        <f t="array" ref="AR169">IFERROR(_xlfn.LET(_xlpm.lam,TEXT(B169,"0"),_xlpm.thick,D169,_xlpm.crit,(TEXT(HELPER!$BZ$2:$BZ$250,"0")=_xlpm.lam)*(HELPER!$CC$2:$CC$250=_xlpm.thick)*(HELPER!$BW$2:$BW$250&lt;&gt;""),_xlpm.mats,TRIM(SUBSTITUTE(_xlfn._xlws.FILTER(HELPER!$BW$2:$BW$250,_xlpm.crit),CHAR(160),"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")),HELPER!$AQ$2:$AQ$20,1),_xlpm.mass,IF(ISNUMBER(SEARCH("paper",_xlpm.mats)),42,_xlpm.dens*_xlpm.ths),E169/1000000*SUM(_xlpm.mass)),"")</f>
        <v>0.101133</v>
      </c>
      <c r="AS169" s="919">
        <f>IFERROR(IF(D169&gt;31,(5%+250/P169)*AF169,VLOOKUP(D169,HELPER!$BH$3:$BI$5,2,TRUE)*AF169),0)</f>
        <v>0.28718249426073544</v>
      </c>
      <c r="AT169" s="919">
        <v>0.20000000000000401</v>
      </c>
      <c r="AU169" s="919"/>
      <c r="AV169" s="919"/>
      <c r="AW169" s="919"/>
      <c r="AX169" s="919"/>
      <c r="AY169" s="919"/>
      <c r="AZ169" s="919">
        <f t="shared" si="47"/>
        <v>6720</v>
      </c>
    </row>
    <row r="170" spans="1:52">
      <c r="A170" s="73" t="s">
        <v>1591</v>
      </c>
      <c r="B170" s="73">
        <v>923</v>
      </c>
      <c r="C170" s="908" t="s">
        <v>1426</v>
      </c>
      <c r="D170" s="915" cm="1">
        <f t="array" ref="D17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0" s="915">
        <v>350</v>
      </c>
      <c r="F170" s="73" t="s">
        <v>561</v>
      </c>
      <c r="G170" s="916">
        <v>2000</v>
      </c>
      <c r="H170" s="916"/>
      <c r="I170" s="916"/>
      <c r="J170" s="916"/>
      <c r="K170" s="73" t="s">
        <v>124</v>
      </c>
      <c r="L170" s="921" t="s">
        <v>221</v>
      </c>
      <c r="M170" s="915">
        <v>1</v>
      </c>
      <c r="N170" s="73" t="s">
        <v>549</v>
      </c>
      <c r="O170" s="73" t="s">
        <v>240</v>
      </c>
      <c r="P170" s="916" cm="1">
        <f t="array" ref="P170">IFERROR(_xlfn.SWITCH(F170,"By Weight",IF(H170&lt;&gt;"",H170,G170)/AR170,"By Length",G170,"By Imp",G170/MAX(1,ROUNDDOWN(E170/I170,0))*J170/1000,"IMP",G170/MAX(1,ROUNDDOWN(E170/I170,0))*J170/1000,""),"")</f>
        <v>2000</v>
      </c>
      <c r="Q170" s="916">
        <f t="shared" si="48"/>
        <v>78.659000000000006</v>
      </c>
      <c r="R170" s="917">
        <f t="shared" si="49"/>
        <v>884.9542874921874</v>
      </c>
      <c r="S170" s="918">
        <f t="shared" si="50"/>
        <v>1026.5469734909373</v>
      </c>
      <c r="T170" s="919">
        <f t="shared" si="51"/>
        <v>11.250515357329579</v>
      </c>
      <c r="U170" s="920">
        <f t="shared" si="52"/>
        <v>13.050597814502311</v>
      </c>
      <c r="V170" s="919">
        <f t="shared" si="53"/>
        <v>0.52056134558364087</v>
      </c>
      <c r="W170" s="919">
        <f t="shared" si="54"/>
        <v>13.235900420387772</v>
      </c>
      <c r="X170" s="919" t="str">
        <f t="shared" si="55"/>
        <v/>
      </c>
      <c r="Y170" s="920">
        <f t="shared" si="56"/>
        <v>0.6038511608770234</v>
      </c>
      <c r="Z170" s="920">
        <f t="shared" si="57"/>
        <v>15.353644487649815</v>
      </c>
      <c r="AA170" s="920" t="str">
        <f t="shared" si="58"/>
        <v/>
      </c>
      <c r="AB170" s="917">
        <f t="shared" si="59"/>
        <v>1041.1226911672818</v>
      </c>
      <c r="AC170" s="918">
        <f t="shared" si="60"/>
        <v>1207.7023217540468</v>
      </c>
      <c r="AD170" s="916">
        <f t="shared" si="61"/>
        <v>12713.103395669916</v>
      </c>
      <c r="AE170" s="916">
        <f t="shared" si="62"/>
        <v>500</v>
      </c>
      <c r="AF170" s="919" cm="1">
        <f t="array" ref="AF170">IFERROR(_xlfn.LET(_xlpm.lam,TEXT(B170,"0"),_xlpm.thick,D170,_xlpm.crit,(TEXT(HELPER!$BZ$2:$BZ$250,"0")=_xlpm.lam)*(HELPER!$CC$2:$CC$250=_xlpm.thick)*(HELPER!$BW$2:$BW$250&lt;&gt;""),_xlpm.mats,TRIM(SUBSTITUTE(_xlfn._xlws.FILTER(HELPER!$BW$2:$BW$250,_xlpm.crit),CHAR(160),"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0" s="919">
        <f>IFERROR(IF(N170="Europe to Canada",IF(Q170&lt;1000,VLOOKUP(1000,HELPER!$AG$4:$AH$8,2,FALSE)/Q170,VLOOKUP(Q170,HELPER!$AG$4:$AH$8,2,TRUE)/Q170),IF(N170="Europe to US",HELPER!$AH$2,IF(N170="Europe to Europe",HELPER!$AH$3,0))),0)</f>
        <v>0.2</v>
      </c>
      <c r="AH170" s="919" cm="1">
        <f t="array" ref="AH170">IFERROR(_xlfn.LET(_xlpm.cap,IF(O170="Quantum",760,1220),_xlpm.wUsed,E170*MAX(1,MIN(MAX(2,INT(900/E170)),INT((_xlpm.cap-50)/E170))),_xlpm.kgmUsed,AR170/E170*_xlpm.wUsed,_xlpm.lam,TEXT(B170,"0"),_xlpm.crit,(TEXT(HELPER!$BZ$2:$BZ$250,"0")=_xlpm.lam)*(HELPER!$CC$2:$CC$250=D170)*(HELPER!$BW$2:$BW$250&lt;&gt;""),_xlpm.mats,_xlfn._xlws.FILTER(HELPER!$BW$2:$BW$250,_xlpm.crit),_xlpm.realLayers,SUM((_xlpm.mats&lt;&gt;"")*ISERROR(SEARCH("EPOTAL",_xlpm.mats&amp;""))*ISERROR(SEARCH("BASONAT",_xlpm.mats&amp;""))*ISERROR(SEARCH("ADH",_xlpm.mats&amp;""))*ISERROR(SEARCH("HARDENER",_xlpm.mats&amp;""))),_xlpm.steps,MAX(0,_xlpm.realLayers-1),_xlpm.tier,IF(P170&lt;3000,1,IF(P170&lt;10000,2,IF(P170&lt;25000,3,IF(P170&lt;50000,4,IF(P170&lt;100000,5,IF(P170&lt;250000,6,7)))))),_xlpm.widthRow,IF(_xlpm.wUsed&lt;900,0,5),_xlpm.supplierRow,IF(O170="Marma",3,IF(OR(O170="Bastin",O170="Quantum"),13,0)),_xlpm.rate,INDEX('Lmntn &amp; Prntng- Marma &amp; Bastin '!$D$1:$K$22,_xlpm.supplierRow+_xlpm.widthRow,_xlpm.tier),_xlpm.rate*_xlpm.steps/_xlpm.kgmUsed),"")</f>
        <v>3.8584014543790279</v>
      </c>
      <c r="AI170" s="919" cm="1">
        <f t="array" ref="AI170">IFERROR(_xlfn.LET(_xlpm.cap,IF(O170="Quantum",760,1220),_xlpm.wUsed,E170*MAX(1,MIN(MAX(2,INT(900/E170)),INT((_xlpm.cap-50)/E170))),_xlpm.kgmUsed,AR170/E170*_xlpm.wUsed,_xlpm.tier,IF(P170&lt;3000,1,IF(P170&lt;10000,2,IF(P170&lt;25000,3,IF(P170&lt;50000,4,IF(P170&lt;100000,5,IF(P170&lt;250000,6,IF(P170&lt;500000,7,8))))))),_xlpm.widthRow,IF(_xlpm.wUsed&lt;900,0,5),_xlpm.slitRow,IF(O170="Marma",7,IF(OR(O170="Bastin",O170="Quantum"),17,0)),_xlpm.slitRate,INDEX('Lmntn &amp; Prntng- Marma &amp; Bastin '!$D$1:$K$22,_xlpm.slitRow+_xlpm.widthRow,_xlpm.tier),_xlpm.numColors,IF(ISNUMBER(L170),L170,IFERROR(--RIGHT(L170,LEN(L170)-FIND("-",L170)),0)),_xlpm.printRate,IF(OR(K170&lt;&gt;"Printed",_xlpm.numColors=0),0,IF(O170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170))),MAX(_xlfn._xlws.FILTER(_xlpm.meters,(_xlpm.widths=_xlpm.qWidth)*(_xlpm.bands=_xlpm.band)))),INDEX(_xlpm.rates,_xlfn.XMATCH(1,(_xlpm.widths=_xlpm.qWidth)*(_xlpm.bands=_xlpm.band)*(_xlpm.meters=_xlpm.targetM),0))/HELPER!$AK$2),_xlfn.LET(_xlpm.colorOffset,IF(_xlpm.numColors&lt;=2,1,IF(_xlpm.numColors&lt;=4,2,3)),_xlpm.supplierRow,IF(O170="Marma",3,IF(O170="Bastin",13,0)),INDEX('Lmntn &amp; Prntng- Marma &amp; Bastin '!$D$1:$K$22,_xlpm.supplierRow+_xlpm.widthRow+_xlpm.colorOffset,_xlpm.tier)))),AH170+_xlpm.slitRate/_xlpm.kgmUsed+_xlpm.printRate/_xlpm.kgmUsed+AJ170),"")</f>
        <v>4.435525496128859</v>
      </c>
      <c r="AJ170" s="919" cm="1">
        <f t="array" ref="AJ170">IF(OR(K170&lt;&gt;"Printed",L170=0,L170="0",L170=""),0,IFERROR(_xlfn.LET(_xlpm.lam,TEXT(B170,"0"),_xlpm.crit,(TEXT(HELPER!$BZ$2:$BZ$250,"0")=_xlpm.lam)*(HELPER!$CC$2:$CC$250=D170)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WHITE"},0)))/ROWS(_xlpm.real),_xlpm.numColors,IF(ISNUMBER(L170),L170,IFERROR(--RIGHT(L170,LEN(L170)-FIND("-",L170)),0)),HELPER!$DB$1*_xlpm.numColors*MAX(1,M170)*1.05*_xlpm.nkRatio/Q170),0))</f>
        <v>0</v>
      </c>
      <c r="AK170" s="919">
        <f t="shared" si="63"/>
        <v>0.95956008402514448</v>
      </c>
      <c r="AL170" s="919">
        <f t="shared" si="64"/>
        <v>520.5613455836409</v>
      </c>
      <c r="AM170" s="73" t="str">
        <f t="shared" si="65"/>
        <v>PASS</v>
      </c>
      <c r="AN170" s="908" t="str">
        <f t="shared" si="44"/>
        <v/>
      </c>
      <c r="AO170" s="919">
        <f t="shared" si="45"/>
        <v>121</v>
      </c>
      <c r="AP170" s="919">
        <f t="shared" si="46"/>
        <v>2000</v>
      </c>
      <c r="AQ170" s="919"/>
      <c r="AR170" s="919" cm="1">
        <f t="array" ref="AR170">IFERROR(_xlfn.LET(_xlpm.lam,TEXT(B170,"0"),_xlpm.thick,D170,_xlpm.crit,(TEXT(HELPER!$BZ$2:$BZ$250,"0")=_xlpm.lam)*(HELPER!$CC$2:$CC$250=_xlpm.thick)*(HELPER!$BW$2:$BW$250&lt;&gt;""),_xlpm.mats,TRIM(SUBSTITUTE(_xlfn._xlws.FILTER(HELPER!$BW$2:$BW$250,_xlpm.crit),CHAR(160),"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")),HELPER!$AQ$2:$AQ$20,1),_xlpm.mass,IF(ISNUMBER(SEARCH("paper",_xlpm.mats)),42,_xlpm.dens*_xlpm.ths),E170/1000000*SUM(_xlpm.mass)),"")</f>
        <v>3.9329500000000003E-2</v>
      </c>
      <c r="AS170" s="919">
        <f>IFERROR(IF(D170&gt;31,(5%+250/P170)*AF170,VLOOKUP(D170,HELPER!$BH$3:$BI$5,2,TRUE)*AF170),0)</f>
        <v>0.98521125592351144</v>
      </c>
      <c r="AT170" s="919">
        <v>0.15000000000000199</v>
      </c>
      <c r="AU170" s="919"/>
      <c r="AV170" s="919"/>
      <c r="AW170" s="919"/>
      <c r="AX170" s="919"/>
      <c r="AY170" s="919"/>
      <c r="AZ170" s="919">
        <f t="shared" si="47"/>
        <v>0</v>
      </c>
    </row>
    <row r="171" spans="1:52">
      <c r="A171" s="73" t="s">
        <v>1592</v>
      </c>
      <c r="B171" s="73">
        <v>923</v>
      </c>
      <c r="C171" s="908" t="s">
        <v>1428</v>
      </c>
      <c r="D171" s="915" cm="1">
        <f t="array" ref="D17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1" s="915">
        <v>600</v>
      </c>
      <c r="F171" s="73" t="s">
        <v>561</v>
      </c>
      <c r="G171" s="916">
        <v>250000</v>
      </c>
      <c r="H171" s="916"/>
      <c r="I171" s="916"/>
      <c r="J171" s="916"/>
      <c r="K171" s="73" t="s">
        <v>123</v>
      </c>
      <c r="L171" s="921" t="s">
        <v>122</v>
      </c>
      <c r="M171" s="915">
        <v>4</v>
      </c>
      <c r="N171" s="73" t="s">
        <v>550</v>
      </c>
      <c r="O171" s="73" t="s">
        <v>1366</v>
      </c>
      <c r="P171" s="916" cm="1">
        <f t="array" ref="P171">IFERROR(_xlfn.SWITCH(F171,"By Weight",IF(H171&lt;&gt;"",H171,G171)/AR171,"By Length",G171,"By Imp",G171/MAX(1,ROUNDDOWN(E171/I171,0))*J171/1000,"IMP",G171/MAX(1,ROUNDDOWN(E171/I171,0))*J171/1000,""),"")</f>
        <v>250000</v>
      </c>
      <c r="Q171" s="916">
        <f t="shared" si="48"/>
        <v>16855.5</v>
      </c>
      <c r="R171" s="917">
        <f t="shared" si="49"/>
        <v>439944.82474755927</v>
      </c>
      <c r="S171" s="918">
        <f t="shared" si="50"/>
        <v>510335.9967071687</v>
      </c>
      <c r="T171" s="919">
        <f t="shared" si="51"/>
        <v>26.100965545226142</v>
      </c>
      <c r="U171" s="920">
        <f t="shared" si="52"/>
        <v>30.277120032462321</v>
      </c>
      <c r="V171" s="919">
        <f t="shared" si="53"/>
        <v>2.0703285870473422</v>
      </c>
      <c r="W171" s="919">
        <f t="shared" si="54"/>
        <v>30.707018288501416</v>
      </c>
      <c r="X171" s="919" t="str">
        <f t="shared" si="55"/>
        <v/>
      </c>
      <c r="Y171" s="920">
        <f t="shared" si="56"/>
        <v>2.4015811609749167</v>
      </c>
      <c r="Z171" s="920">
        <f t="shared" si="57"/>
        <v>35.620141214661643</v>
      </c>
      <c r="AA171" s="920" t="str">
        <f t="shared" si="58"/>
        <v/>
      </c>
      <c r="AB171" s="917">
        <f t="shared" si="59"/>
        <v>517582.14676183561</v>
      </c>
      <c r="AC171" s="918">
        <f t="shared" si="60"/>
        <v>600395.29024372925</v>
      </c>
      <c r="AD171" s="916">
        <f t="shared" si="61"/>
        <v>7415.9769808074516</v>
      </c>
      <c r="AE171" s="916">
        <f t="shared" si="62"/>
        <v>500</v>
      </c>
      <c r="AF171" s="919" cm="1">
        <f t="array" ref="AF171">IFERROR(_xlfn.LET(_xlpm.lam,TEXT(B171,"0"),_xlpm.thick,D171,_xlpm.crit,(TEXT(HELPER!$BZ$2:$BZ$250,"0")=_xlpm.lam)*(HELPER!$CC$2:$CC$250=_xlpm.thick)*(HELPER!$BW$2:$BW$250&lt;&gt;""),_xlpm.mats,TRIM(SUBSTITUTE(_xlfn._xlws.FILTER(HELPER!$BW$2:$BW$250,_xlpm.crit),CHAR(160),"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1" s="919">
        <f>IFERROR(IF(N171="Europe to Canada",IF(Q171&lt;1000,VLOOKUP(1000,HELPER!$AG$4:$AH$8,2,FALSE)/Q171,VLOOKUP(Q171,HELPER!$AG$4:$AH$8,2,TRUE)/Q171),IF(N171="Europe to US",HELPER!$AH$2,IF(N171="Europe to Europe",HELPER!$AH$3,0))),0)</f>
        <v>5.4</v>
      </c>
      <c r="AH171" s="919" cm="1">
        <f t="array" ref="AH171">IFERROR(_xlfn.LET(_xlpm.cap,IF(O171="Quantum",760,1220),_xlpm.wUsed,E171*MAX(1,MIN(MAX(2,INT(900/E171)),INT((_xlpm.cap-50)/E171))),_xlpm.kgmUsed,AR171/E171*_xlpm.wUsed,_xlpm.lam,TEXT(B171,"0"),_xlpm.crit,(TEXT(HELPER!$BZ$2:$BZ$250,"0")=_xlpm.lam)*(HELPER!$CC$2:$CC$250=D171)*(HELPER!$BW$2:$BW$250&lt;&gt;""),_xlpm.mats,_xlfn._xlws.FILTER(HELPER!$BW$2:$BW$250,_xlpm.crit),_xlpm.realLayers,SUM((_xlpm.mats&lt;&gt;"")*ISERROR(SEARCH("EPOTAL",_xlpm.mats&amp;""))*ISERROR(SEARCH("BASONAT",_xlpm.mats&amp;""))*ISERROR(SEARCH("ADH",_xlpm.mats&amp;""))*ISERROR(SEARCH("HARDENER",_xlpm.mats&amp;""))),_xlpm.steps,MAX(0,_xlpm.realLayers-1),_xlpm.tier,IF(P171&lt;3000,1,IF(P171&lt;10000,2,IF(P171&lt;25000,3,IF(P171&lt;50000,4,IF(P171&lt;100000,5,IF(P171&lt;250000,6,7)))))),_xlpm.widthRow,IF(_xlpm.wUsed&lt;900,0,5),_xlpm.supplierRow,IF(O171="Marma",3,IF(OR(O171="Bastin",O171="Quantum"),13,0)),_xlpm.rate,INDEX('Lmntn &amp; Prntng- Marma &amp; Bastin '!$D$1:$K$22,_xlpm.supplierRow+_xlpm.widthRow,_xlpm.tier),_xlpm.rate*_xlpm.steps/_xlpm.kgmUsed),"")</f>
        <v>3.2184746818545875</v>
      </c>
      <c r="AI171" s="919" cm="1">
        <f t="array" ref="AI171">IFERROR(_xlfn.LET(_xlpm.cap,IF(O171="Quantum",760,1220),_xlpm.wUsed,E171*MAX(1,MIN(MAX(2,INT(900/E171)),INT((_xlpm.cap-50)/E171))),_xlpm.kgmUsed,AR171/E171*_xlpm.wUsed,_xlpm.tier,IF(P171&lt;3000,1,IF(P171&lt;10000,2,IF(P171&lt;25000,3,IF(P171&lt;50000,4,IF(P171&lt;100000,5,IF(P171&lt;250000,6,IF(P171&lt;500000,7,8))))))),_xlpm.widthRow,IF(_xlpm.wUsed&lt;900,0,5),_xlpm.slitRow,IF(O171="Marma",7,IF(OR(O171="Bastin",O171="Quantum"),17,0)),_xlpm.slitRate,INDEX('Lmntn &amp; Prntng- Marma &amp; Bastin '!$D$1:$K$22,_xlpm.slitRow+_xlpm.widthRow,_xlpm.tier),_xlpm.numColors,IF(ISNUMBER(L171),L171,IFERROR(--RIGHT(L171,LEN(L171)-FIND("-",L171)),0)),_xlpm.printRate,IF(OR(K171&lt;&gt;"Printed",_xlpm.numColors=0),0,IF(O171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171))),MAX(_xlfn._xlws.FILTER(_xlpm.meters,(_xlpm.widths=_xlpm.qWidth)*(_xlpm.bands=_xlpm.band)))),INDEX(_xlpm.rates,_xlfn.XMATCH(1,(_xlpm.widths=_xlpm.qWidth)*(_xlpm.bands=_xlpm.band)*(_xlpm.meters=_xlpm.targetM),0))/HELPER!$AK$2),_xlfn.LET(_xlpm.colorOffset,IF(_xlpm.numColors&lt;=2,1,IF(_xlpm.numColors&lt;=4,2,3)),_xlpm.supplierRow,IF(O171="Marma",3,IF(O171="Bastin",13,0)),INDEX('Lmntn &amp; Prntng- Marma &amp; Bastin '!$D$1:$K$22,_xlpm.supplierRow+_xlpm.widthRow+_xlpm.colorOffset,_xlpm.tier)))),AH171+_xlpm.slitRate/_xlpm.kgmUsed+_xlpm.printRate/_xlpm.kgmUsed+AJ171),"")</f>
        <v>14.784068231079797</v>
      </c>
      <c r="AJ171" s="919" cm="1">
        <f t="array" ref="AJ171">IF(OR(K171&lt;&gt;"Printed",L171=0,L171="0",L171=""),0,IFERROR(_xlfn.LET(_xlpm.lam,TEXT(B171,"0"),_xlpm.crit,(TEXT(HELPER!$BZ$2:$BZ$250,"0")=_xlpm.lam)*(HELPER!$CC$2:$CC$250=D171)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WHITE"},0)))/ROWS(_xlpm.real),_xlpm.numColors,IF(ISNUMBER(L171),L171,IFERROR(--RIGHT(L171,LEN(L171)-FIND("-",L171)),0)),HELPER!$DB$1*_xlpm.numColors*MAX(1,M171)*1.05*_xlpm.nkRatio/Q171),0))</f>
        <v>9.9670730622052145E-2</v>
      </c>
      <c r="AK171" s="919">
        <f t="shared" si="63"/>
        <v>2.2261597710186476</v>
      </c>
      <c r="AL171" s="919">
        <f t="shared" si="64"/>
        <v>2070.3285870473424</v>
      </c>
      <c r="AM171" s="73" t="str">
        <f t="shared" si="65"/>
        <v>PASS</v>
      </c>
      <c r="AN171" s="908" t="str">
        <f t="shared" si="44"/>
        <v/>
      </c>
      <c r="AO171" s="919">
        <f t="shared" si="45"/>
        <v>121</v>
      </c>
      <c r="AP171" s="919">
        <f t="shared" si="46"/>
        <v>250000</v>
      </c>
      <c r="AQ171" s="919"/>
      <c r="AR171" s="919" cm="1">
        <f t="array" ref="AR171">IFERROR(_xlfn.LET(_xlpm.lam,TEXT(B171,"0"),_xlpm.thick,D171,_xlpm.crit,(TEXT(HELPER!$BZ$2:$BZ$250,"0")=_xlpm.lam)*(HELPER!$CC$2:$CC$250=_xlpm.thick)*(HELPER!$BW$2:$BW$250&lt;&gt;""),_xlpm.mats,TRIM(SUBSTITUTE(_xlfn._xlws.FILTER(HELPER!$BW$2:$BW$250,_xlpm.crit),CHAR(160),"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")),HELPER!$AQ$2:$AQ$20,1),_xlpm.mass,IF(ISNUMBER(SEARCH("paper",_xlpm.mats)),42,_xlpm.dens*_xlpm.ths),E171/1000000*SUM(_xlpm.mass)),"")</f>
        <v>6.7421999999999996E-2</v>
      </c>
      <c r="AS171" s="919">
        <f>IFERROR(IF(D171&gt;31,(5%+250/P171)*AF171,VLOOKUP(D171,HELPER!$BH$3:$BI$5,2,TRUE)*AF171),0)</f>
        <v>0.28711870886913765</v>
      </c>
      <c r="AT171" s="919">
        <v>0.15000000000000199</v>
      </c>
      <c r="AU171" s="919"/>
      <c r="AV171" s="919"/>
      <c r="AW171" s="919"/>
      <c r="AX171" s="919"/>
      <c r="AY171" s="919"/>
      <c r="AZ171" s="919">
        <f t="shared" si="47"/>
        <v>1680</v>
      </c>
    </row>
    <row r="172" spans="1:52">
      <c r="A172" s="73" t="s">
        <v>1593</v>
      </c>
      <c r="B172" s="73">
        <v>923</v>
      </c>
      <c r="C172" s="908" t="s">
        <v>1430</v>
      </c>
      <c r="D172" s="915" cm="1">
        <f t="array" ref="D17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2" s="915">
        <v>900</v>
      </c>
      <c r="F172" s="73" t="s">
        <v>1040</v>
      </c>
      <c r="G172" s="916">
        <v>1600000</v>
      </c>
      <c r="H172" s="916"/>
      <c r="I172" s="916">
        <v>140</v>
      </c>
      <c r="J172" s="916">
        <v>80</v>
      </c>
      <c r="K172" s="73" t="s">
        <v>123</v>
      </c>
      <c r="L172" s="921" t="s">
        <v>592</v>
      </c>
      <c r="M172" s="915">
        <v>8</v>
      </c>
      <c r="N172" s="73" t="s">
        <v>549</v>
      </c>
      <c r="O172" s="73" t="s">
        <v>250</v>
      </c>
      <c r="P172" s="916" cm="1">
        <f t="array" ref="P172">IFERROR(_xlfn.SWITCH(F172,"By Weight",IF(H172&lt;&gt;"",H172,G172)/AR172,"By Length",G172,"By Imp",G172/MAX(1,ROUNDDOWN(E172/I172,0))*J172/1000,"IMP",G172/MAX(1,ROUNDDOWN(E172/I172,0))*J172/1000,""),"")</f>
        <v>21333.333333333336</v>
      </c>
      <c r="Q172" s="916">
        <f t="shared" si="48"/>
        <v>2157.5040000000004</v>
      </c>
      <c r="R172" s="917">
        <f t="shared" si="49"/>
        <v>28103.960536872495</v>
      </c>
      <c r="S172" s="918">
        <f t="shared" si="50"/>
        <v>32600.594222772092</v>
      </c>
      <c r="T172" s="919">
        <f t="shared" si="51"/>
        <v>13.026145275685463</v>
      </c>
      <c r="U172" s="920">
        <f t="shared" si="52"/>
        <v>15.110328519795136</v>
      </c>
      <c r="V172" s="919">
        <f t="shared" si="53"/>
        <v>1.6467164377073744</v>
      </c>
      <c r="W172" s="919">
        <f t="shared" si="54"/>
        <v>16.282681594606849</v>
      </c>
      <c r="X172" s="919">
        <f t="shared" si="55"/>
        <v>2.1956219169431659E-2</v>
      </c>
      <c r="Y172" s="920">
        <f t="shared" si="56"/>
        <v>1.9101910677405542</v>
      </c>
      <c r="Z172" s="920">
        <f t="shared" si="57"/>
        <v>18.887910649743944</v>
      </c>
      <c r="AA172" s="920">
        <f t="shared" si="58"/>
        <v>2.5469214236540721E-2</v>
      </c>
      <c r="AB172" s="917">
        <f t="shared" si="59"/>
        <v>35129.950671090664</v>
      </c>
      <c r="AC172" s="918">
        <f t="shared" si="60"/>
        <v>40750.742778465166</v>
      </c>
      <c r="AD172" s="916">
        <f t="shared" si="61"/>
        <v>4943.9846538716347</v>
      </c>
      <c r="AE172" s="916">
        <f t="shared" si="62"/>
        <v>500</v>
      </c>
      <c r="AF172" s="919" cm="1">
        <f t="array" ref="AF172">IFERROR(_xlfn.LET(_xlpm.lam,TEXT(B172,"0"),_xlpm.thick,D172,_xlpm.crit,(TEXT(HELPER!$BZ$2:$BZ$250,"0")=_xlpm.lam)*(HELPER!$CC$2:$CC$250=_xlpm.thick)*(HELPER!$BW$2:$BW$250&lt;&gt;""),_xlpm.mats,TRIM(SUBSTITUTE(_xlfn._xlws.FILTER(HELPER!$BW$2:$BW$250,_xlpm.crit),CHAR(160),"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2" s="919">
        <f>IFERROR(IF(N172="Europe to Canada",IF(Q172&lt;1000,VLOOKUP(1000,HELPER!$AG$4:$AH$8,2,FALSE)/Q172,VLOOKUP(Q172,HELPER!$AG$4:$AH$8,2,TRUE)/Q172),IF(N172="Europe to US",HELPER!$AH$2,IF(N172="Europe to Europe",HELPER!$AH$3,0))),0)</f>
        <v>0.2</v>
      </c>
      <c r="AH172" s="919" cm="1">
        <f t="array" ref="AH172">IFERROR(_xlfn.LET(_xlpm.cap,IF(O172="Quantum",760,1220),_xlpm.wUsed,E172*MAX(1,MIN(MAX(2,INT(900/E172)),INT((_xlpm.cap-50)/E172))),_xlpm.kgmUsed,AR172/E172*_xlpm.wUsed,_xlpm.lam,TEXT(B172,"0"),_xlpm.crit,(TEXT(HELPER!$BZ$2:$BZ$250,"0")=_xlpm.lam)*(HELPER!$CC$2:$CC$250=D172)*(HELPER!$BW$2:$BW$250&lt;&gt;""),_xlpm.mats,_xlfn._xlws.FILTER(HELPER!$BW$2:$BW$250,_xlpm.crit),_xlpm.realLayers,SUM((_xlpm.mats&lt;&gt;"")*ISERROR(SEARCH("EPOTAL",_xlpm.mats&amp;""))*ISERROR(SEARCH("BASONAT",_xlpm.mats&amp;""))*ISERROR(SEARCH("ADH",_xlpm.mats&amp;""))*ISERROR(SEARCH("HARDENER",_xlpm.mats&amp;""))),_xlpm.steps,MAX(0,_xlpm.realLayers-1),_xlpm.tier,IF(P172&lt;3000,1,IF(P172&lt;10000,2,IF(P172&lt;25000,3,IF(P172&lt;50000,4,IF(P172&lt;100000,5,IF(P172&lt;250000,6,7)))))),_xlpm.widthRow,IF(_xlpm.wUsed&lt;900,0,5),_xlpm.supplierRow,IF(O172="Marma",3,IF(OR(O172="Bastin",O172="Quantum"),13,0)),_xlpm.rate,INDEX('Lmntn &amp; Prntng- Marma &amp; Bastin '!$D$1:$K$22,_xlpm.supplierRow+_xlpm.widthRow,_xlpm.tier),_xlpm.rate*_xlpm.steps/_xlpm.kgmUsed),"")</f>
        <v>1.8100916614754827</v>
      </c>
      <c r="AI172" s="919" cm="1">
        <f t="array" ref="AI172">IFERROR(_xlfn.LET(_xlpm.cap,IF(O172="Quantum",760,1220),_xlpm.wUsed,E172*MAX(1,MIN(MAX(2,INT(900/E172)),INT((_xlpm.cap-50)/E172))),_xlpm.kgmUsed,AR172/E172*_xlpm.wUsed,_xlpm.tier,IF(P172&lt;3000,1,IF(P172&lt;10000,2,IF(P172&lt;25000,3,IF(P172&lt;50000,4,IF(P172&lt;100000,5,IF(P172&lt;250000,6,IF(P172&lt;500000,7,8))))))),_xlpm.widthRow,IF(_xlpm.wUsed&lt;900,0,5),_xlpm.slitRow,IF(O172="Marma",7,IF(OR(O172="Bastin",O172="Quantum"),17,0)),_xlpm.slitRate,INDEX('Lmntn &amp; Prntng- Marma &amp; Bastin '!$D$1:$K$22,_xlpm.slitRow+_xlpm.widthRow,_xlpm.tier),_xlpm.numColors,IF(ISNUMBER(L172),L172,IFERROR(--RIGHT(L172,LEN(L172)-FIND("-",L172)),0)),_xlpm.printRate,IF(OR(K172&lt;&gt;"Printed",_xlpm.numColors=0),0,IF(O172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172))),MAX(_xlfn._xlws.FILTER(_xlpm.meters,(_xlpm.widths=_xlpm.qWidth)*(_xlpm.bands=_xlpm.band)))),INDEX(_xlpm.rates,_xlfn.XMATCH(1,(_xlpm.widths=_xlpm.qWidth)*(_xlpm.bands=_xlpm.band)*(_xlpm.meters=_xlpm.targetM),0))/HELPER!$AK$2),_xlfn.LET(_xlpm.colorOffset,IF(_xlpm.numColors&lt;=2,1,IF(_xlpm.numColors&lt;=4,2,3)),_xlpm.supplierRow,IF(O172="Marma",3,IF(O172="Bastin",13,0)),INDEX('Lmntn &amp; Prntng- Marma &amp; Bastin '!$D$1:$K$22,_xlpm.supplierRow+_xlpm.widthRow+_xlpm.colorOffset,_xlpm.tier)))),AH172+_xlpm.slitRate/_xlpm.kgmUsed+_xlpm.printRate/_xlpm.kgmUsed+AJ172),"")</f>
        <v>6.8489037721138022</v>
      </c>
      <c r="AJ172" s="919" cm="1">
        <f t="array" ref="AJ172">IF(OR(K172&lt;&gt;"Printed",L172=0,L172="0",L172=""),0,IFERROR(_xlfn.LET(_xlpm.lam,TEXT(B172,"0"),_xlpm.crit,(TEXT(HELPER!$BZ$2:$BZ$250,"0")=_xlpm.lam)*(HELPER!$CC$2:$CC$250=D172)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WHITE"},0)))/ROWS(_xlpm.real),_xlpm.numColors,IF(ISNUMBER(L172),L172,IFERROR(--RIGHT(L172,LEN(L172)-FIND("-",L172)),0)),HELPER!$DB$1*_xlpm.numColors*MAX(1,M172)*1.05*_xlpm.nkRatio/Q172),0))</f>
        <v>3.1147103319391292</v>
      </c>
      <c r="AK172" s="919">
        <f t="shared" si="63"/>
        <v>1.180441890829659</v>
      </c>
      <c r="AL172" s="919">
        <f t="shared" si="64"/>
        <v>1646.7164377073743</v>
      </c>
      <c r="AM172" s="73" t="str">
        <f t="shared" si="65"/>
        <v>PASS</v>
      </c>
      <c r="AN172" s="908" t="str">
        <f t="shared" si="44"/>
        <v/>
      </c>
      <c r="AO172" s="919">
        <f t="shared" si="45"/>
        <v>121</v>
      </c>
      <c r="AP172" s="919">
        <f t="shared" si="46"/>
        <v>21333.333333333336</v>
      </c>
      <c r="AQ172" s="919"/>
      <c r="AR172" s="919" cm="1">
        <f t="array" ref="AR172">IFERROR(_xlfn.LET(_xlpm.lam,TEXT(B172,"0"),_xlpm.thick,D172,_xlpm.crit,(TEXT(HELPER!$BZ$2:$BZ$250,"0")=_xlpm.lam)*(HELPER!$CC$2:$CC$250=_xlpm.thick)*(HELPER!$BW$2:$BW$250&lt;&gt;""),_xlpm.mats,TRIM(SUBSTITUTE(_xlfn._xlws.FILTER(HELPER!$BW$2:$BW$250,_xlpm.crit),CHAR(160),"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")),HELPER!$AQ$2:$AQ$20,1),_xlpm.mass,IF(ISNUMBER(SEARCH("paper",_xlpm.mats)),42,_xlpm.dens*_xlpm.ths),E172/1000000*SUM(_xlpm.mass)),"")</f>
        <v>0.101133</v>
      </c>
      <c r="AS172" s="919">
        <f>IFERROR(IF(D172&gt;31,(5%+250/P172)*AF172,VLOOKUP(D172,HELPER!$BH$3:$BI$5,2,TRUE)*AF172),0)</f>
        <v>0.34746289829445276</v>
      </c>
      <c r="AT172" s="919">
        <v>0.20000000000000101</v>
      </c>
      <c r="AU172" s="919"/>
      <c r="AV172" s="919"/>
      <c r="AW172" s="919"/>
      <c r="AX172" s="919"/>
      <c r="AY172" s="919"/>
      <c r="AZ172" s="919">
        <f t="shared" si="47"/>
        <v>6720</v>
      </c>
    </row>
    <row r="173" spans="1:52">
      <c r="A173" s="73" t="s">
        <v>1594</v>
      </c>
      <c r="B173" s="73">
        <v>923</v>
      </c>
      <c r="C173" s="908" t="s">
        <v>1432</v>
      </c>
      <c r="D173" s="915" cm="1">
        <f t="array" ref="D17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3" s="915">
        <v>250</v>
      </c>
      <c r="F173" s="73" t="s">
        <v>560</v>
      </c>
      <c r="G173" s="916">
        <v>500</v>
      </c>
      <c r="H173" s="916">
        <v>500</v>
      </c>
      <c r="I173" s="916"/>
      <c r="J173" s="916"/>
      <c r="K173" s="73" t="s">
        <v>124</v>
      </c>
      <c r="L173" s="921" t="s">
        <v>221</v>
      </c>
      <c r="M173" s="915">
        <v>1</v>
      </c>
      <c r="N173" s="73" t="s">
        <v>550</v>
      </c>
      <c r="O173" s="73" t="s">
        <v>240</v>
      </c>
      <c r="P173" s="916" cm="1">
        <f t="array" ref="P173">IFERROR(_xlfn.SWITCH(F173,"By Weight",IF(H173&lt;&gt;"",H173,G173)/AR173,"By Length",G173,"By Imp",G173/MAX(1,ROUNDDOWN(E173/I173,0))*J173/1000,"IMP",G173/MAX(1,ROUNDDOWN(E173/I173,0))*J173/1000,""),"")</f>
        <v>17798.344753937883</v>
      </c>
      <c r="Q173" s="916">
        <f t="shared" si="48"/>
        <v>500.00000000000006</v>
      </c>
      <c r="R173" s="917">
        <f t="shared" si="49"/>
        <v>7306.9549108648298</v>
      </c>
      <c r="S173" s="918">
        <f t="shared" si="50"/>
        <v>8476.0676966032024</v>
      </c>
      <c r="T173" s="919">
        <f t="shared" si="51"/>
        <v>14.613909821729658</v>
      </c>
      <c r="U173" s="920">
        <f t="shared" si="52"/>
        <v>16.952135393206401</v>
      </c>
      <c r="V173" s="919">
        <f t="shared" si="53"/>
        <v>0.48298971960816128</v>
      </c>
      <c r="W173" s="919">
        <f t="shared" si="54"/>
        <v>17.192835084387692</v>
      </c>
      <c r="X173" s="919" t="str">
        <f t="shared" si="55"/>
        <v/>
      </c>
      <c r="Y173" s="920">
        <f t="shared" si="56"/>
        <v>0.56026807474546703</v>
      </c>
      <c r="Z173" s="920">
        <f t="shared" si="57"/>
        <v>19.943688697889723</v>
      </c>
      <c r="AA173" s="920" t="str">
        <f t="shared" si="58"/>
        <v/>
      </c>
      <c r="AB173" s="917">
        <f t="shared" si="59"/>
        <v>8596.4175421938471</v>
      </c>
      <c r="AC173" s="918">
        <f t="shared" si="60"/>
        <v>9971.8443489448618</v>
      </c>
      <c r="AD173" s="916">
        <f t="shared" si="61"/>
        <v>17798.344753937883</v>
      </c>
      <c r="AE173" s="916">
        <f t="shared" si="62"/>
        <v>500</v>
      </c>
      <c r="AF173" s="919" cm="1">
        <f t="array" ref="AF173">IFERROR(_xlfn.LET(_xlpm.lam,TEXT(B173,"0"),_xlpm.thick,D173,_xlpm.crit,(TEXT(HELPER!$BZ$2:$BZ$250,"0")=_xlpm.lam)*(HELPER!$CC$2:$CC$250=_xlpm.thick)*(HELPER!$BW$2:$BW$250&lt;&gt;""),_xlpm.mats,TRIM(SUBSTITUTE(_xlfn._xlws.FILTER(HELPER!$BW$2:$BW$250,_xlpm.crit),CHAR(160),"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3" s="919">
        <f>IFERROR(IF(N173="Europe to Canada",IF(Q173&lt;1000,VLOOKUP(1000,HELPER!$AG$4:$AH$8,2,FALSE)/Q173,VLOOKUP(Q173,HELPER!$AG$4:$AH$8,2,TRUE)/Q173),IF(N173="Europe to US",HELPER!$AH$2,IF(N173="Europe to Europe",HELPER!$AH$3,0))),0)</f>
        <v>5.4</v>
      </c>
      <c r="AH173" s="919" cm="1">
        <f t="array" ref="AH173">IFERROR(_xlfn.LET(_xlpm.cap,IF(O173="Quantum",760,1220),_xlpm.wUsed,E173*MAX(1,MIN(MAX(2,INT(900/E173)),INT((_xlpm.cap-50)/E173))),_xlpm.kgmUsed,AR173/E173*_xlpm.wUsed,_xlpm.lam,TEXT(B173,"0"),_xlpm.crit,(TEXT(HELPER!$BZ$2:$BZ$250,"0")=_xlpm.lam)*(HELPER!$CC$2:$CC$250=D173)*(HELPER!$BW$2:$BW$250&lt;&gt;""),_xlpm.mats,_xlfn._xlws.FILTER(HELPER!$BW$2:$BW$250,_xlpm.crit),_xlpm.realLayers,SUM((_xlpm.mats&lt;&gt;"")*ISERROR(SEARCH("EPOTAL",_xlpm.mats&amp;""))*ISERROR(SEARCH("BASONAT",_xlpm.mats&amp;""))*ISERROR(SEARCH("ADH",_xlpm.mats&amp;""))*ISERROR(SEARCH("HARDENER",_xlpm.mats&amp;""))),_xlpm.steps,MAX(0,_xlpm.realLayers-1),_xlpm.tier,IF(P173&lt;3000,1,IF(P173&lt;10000,2,IF(P173&lt;25000,3,IF(P173&lt;50000,4,IF(P173&lt;100000,5,IF(P173&lt;250000,6,7)))))),_xlpm.widthRow,IF(_xlpm.wUsed&lt;900,0,5),_xlpm.supplierRow,IF(O173="Marma",3,IF(OR(O173="Bastin",O173="Quantum"),13,0)),_xlpm.rate,INDEX('Lmntn &amp; Prntng- Marma &amp; Bastin '!$D$1:$K$22,_xlpm.supplierRow+_xlpm.widthRow,_xlpm.tier),_xlpm.rate*_xlpm.steps/_xlpm.kgmUsed),"")</f>
        <v>2.8237429919017529</v>
      </c>
      <c r="AI173" s="919" cm="1">
        <f t="array" ref="AI173">IFERROR(_xlfn.LET(_xlpm.cap,IF(O173="Quantum",760,1220),_xlpm.wUsed,E173*MAX(1,MIN(MAX(2,INT(900/E173)),INT((_xlpm.cap-50)/E173))),_xlpm.kgmUsed,AR173/E173*_xlpm.wUsed,_xlpm.tier,IF(P173&lt;3000,1,IF(P173&lt;10000,2,IF(P173&lt;25000,3,IF(P173&lt;50000,4,IF(P173&lt;100000,5,IF(P173&lt;250000,6,IF(P173&lt;500000,7,8))))))),_xlpm.widthRow,IF(_xlpm.wUsed&lt;900,0,5),_xlpm.slitRow,IF(O173="Marma",7,IF(OR(O173="Bastin",O173="Quantum"),17,0)),_xlpm.slitRate,INDEX('Lmntn &amp; Prntng- Marma &amp; Bastin '!$D$1:$K$22,_xlpm.slitRow+_xlpm.widthRow,_xlpm.tier),_xlpm.numColors,IF(ISNUMBER(L173),L173,IFERROR(--RIGHT(L173,LEN(L173)-FIND("-",L173)),0)),_xlpm.printRate,IF(OR(K173&lt;&gt;"Printed",_xlpm.numColors=0),0,IF(O173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173))),MAX(_xlfn._xlws.FILTER(_xlpm.meters,(_xlpm.widths=_xlpm.qWidth)*(_xlpm.bands=_xlpm.band)))),INDEX(_xlpm.rates,_xlfn.XMATCH(1,(_xlpm.widths=_xlpm.qWidth)*(_xlpm.bands=_xlpm.band)*(_xlpm.meters=_xlpm.targetM),0))/HELPER!$AK$2),_xlfn.LET(_xlpm.colorOffset,IF(_xlpm.numColors&lt;=2,1,IF(_xlpm.numColors&lt;=4,2,3)),_xlpm.supplierRow,IF(O173="Marma",3,IF(O173="Bastin",13,0)),INDEX('Lmntn &amp; Prntng- Marma &amp; Bastin '!$D$1:$K$22,_xlpm.supplierRow+_xlpm.widthRow+_xlpm.colorOffset,_xlpm.tier)))),AH173+_xlpm.slitRate/_xlpm.kgmUsed+_xlpm.printRate/_xlpm.kgmUsed+AJ173),"")</f>
        <v>3.2235650084542136</v>
      </c>
      <c r="AJ173" s="919" cm="1">
        <f t="array" ref="AJ173">IF(OR(K173&lt;&gt;"Printed",L173=0,L173="0",L173=""),0,IFERROR(_xlfn.LET(_xlpm.lam,TEXT(B173,"0"),_xlpm.crit,(TEXT(HELPER!$BZ$2:$BZ$250,"0")=_xlpm.lam)*(HELPER!$CC$2:$CC$250=D173)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WHITE"},0)))/ROWS(_xlpm.real),_xlpm.numColors,IF(ISNUMBER(L173),L173,IFERROR(--RIGHT(L173,LEN(L173)-FIND("-",L173)),0)),HELPER!$DB$1*_xlpm.numColors*MAX(1,M173)*1.05*_xlpm.nkRatio/Q173),0))</f>
        <v>0</v>
      </c>
      <c r="AK173" s="919">
        <f t="shared" si="63"/>
        <v>1.2464250828597709</v>
      </c>
      <c r="AL173" s="919">
        <f t="shared" si="64"/>
        <v>482.98971960816129</v>
      </c>
      <c r="AM173" s="73" t="str">
        <f t="shared" si="65"/>
        <v>PASS</v>
      </c>
      <c r="AN173" s="908" t="str">
        <f t="shared" si="44"/>
        <v/>
      </c>
      <c r="AO173" s="919">
        <f t="shared" si="45"/>
        <v>121</v>
      </c>
      <c r="AP173" s="919">
        <f t="shared" si="46"/>
        <v>17798.344753937883</v>
      </c>
      <c r="AQ173" s="919"/>
      <c r="AR173" s="919" cm="1">
        <f t="array" ref="AR173">IFERROR(_xlfn.LET(_xlpm.lam,TEXT(B173,"0"),_xlpm.thick,D173,_xlpm.crit,(TEXT(HELPER!$BZ$2:$BZ$250,"0")=_xlpm.lam)*(HELPER!$CC$2:$CC$250=_xlpm.thick)*(HELPER!$BW$2:$BW$250&lt;&gt;""),_xlpm.mats,TRIM(SUBSTITUTE(_xlfn._xlws.FILTER(HELPER!$BW$2:$BW$250,_xlpm.crit),CHAR(160),"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")),HELPER!$AQ$2:$AQ$20,1),_xlpm.mass,IF(ISNUMBER(SEARCH("paper",_xlpm.mats)),42,_xlpm.dens*_xlpm.ths),E173/1000000*SUM(_xlpm.mass)),"")</f>
        <v>2.8092500000000003E-2</v>
      </c>
      <c r="AS173" s="919">
        <f>IFERROR(IF(D173&gt;31,(5%+250/P173)*AF173,VLOOKUP(D173,HELPER!$BH$3:$BI$5,2,TRUE)*AF173),0)</f>
        <v>0.36056620799823541</v>
      </c>
      <c r="AT173" s="919">
        <v>0.149999999999993</v>
      </c>
      <c r="AU173" s="919"/>
      <c r="AV173" s="919"/>
      <c r="AW173" s="919"/>
      <c r="AX173" s="919"/>
      <c r="AY173" s="919"/>
      <c r="AZ173" s="919">
        <f t="shared" si="47"/>
        <v>0</v>
      </c>
    </row>
    <row r="174" spans="1:52">
      <c r="A174" s="73" t="s">
        <v>1595</v>
      </c>
      <c r="B174" s="73">
        <v>923</v>
      </c>
      <c r="C174" s="908" t="s">
        <v>1434</v>
      </c>
      <c r="D174" s="915" cm="1">
        <f t="array" ref="D17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4" s="915">
        <v>600</v>
      </c>
      <c r="F174" s="73" t="s">
        <v>1040</v>
      </c>
      <c r="G174" s="916">
        <v>100000</v>
      </c>
      <c r="H174" s="916"/>
      <c r="I174" s="916">
        <v>300</v>
      </c>
      <c r="J174" s="916">
        <v>200</v>
      </c>
      <c r="K174" s="73" t="s">
        <v>123</v>
      </c>
      <c r="L174" s="921" t="s">
        <v>122</v>
      </c>
      <c r="M174" s="915">
        <v>4</v>
      </c>
      <c r="N174" s="73" t="s">
        <v>549</v>
      </c>
      <c r="O174" s="73" t="s">
        <v>250</v>
      </c>
      <c r="P174" s="916" cm="1">
        <f t="array" ref="P174">IFERROR(_xlfn.SWITCH(F174,"By Weight",IF(H174&lt;&gt;"",H174,G174)/AR174,"By Length",G174,"By Imp",G174/MAX(1,ROUNDDOWN(E174/I174,0))*J174/1000,"IMP",G174/MAX(1,ROUNDDOWN(E174/I174,0))*J174/1000,""),"")</f>
        <v>10000</v>
      </c>
      <c r="Q174" s="916">
        <f t="shared" si="48"/>
        <v>674.21999999999991</v>
      </c>
      <c r="R174" s="917">
        <f t="shared" si="49"/>
        <v>9251.2315310937483</v>
      </c>
      <c r="S174" s="918">
        <f t="shared" si="50"/>
        <v>10731.428576068747</v>
      </c>
      <c r="T174" s="919">
        <f t="shared" si="51"/>
        <v>13.721384015742265</v>
      </c>
      <c r="U174" s="920">
        <f t="shared" si="52"/>
        <v>15.916805458261026</v>
      </c>
      <c r="V174" s="919">
        <f t="shared" si="53"/>
        <v>1.0883801801286765</v>
      </c>
      <c r="W174" s="919">
        <f t="shared" si="54"/>
        <v>16.142804724402666</v>
      </c>
      <c r="X174" s="919">
        <f t="shared" si="55"/>
        <v>0.10883801801286766</v>
      </c>
      <c r="Y174" s="920">
        <f t="shared" si="56"/>
        <v>1.2625210089492647</v>
      </c>
      <c r="Z174" s="920">
        <f t="shared" si="57"/>
        <v>18.725653480307091</v>
      </c>
      <c r="AA174" s="920">
        <f t="shared" si="58"/>
        <v>0.12625210089492647</v>
      </c>
      <c r="AB174" s="917">
        <f t="shared" si="59"/>
        <v>10883.801801286763</v>
      </c>
      <c r="AC174" s="918">
        <f t="shared" si="60"/>
        <v>12625.210089492644</v>
      </c>
      <c r="AD174" s="916">
        <f t="shared" si="61"/>
        <v>7415.9769808074516</v>
      </c>
      <c r="AE174" s="916">
        <f t="shared" si="62"/>
        <v>500</v>
      </c>
      <c r="AF174" s="919" cm="1">
        <f t="array" ref="AF174">IFERROR(_xlfn.LET(_xlpm.lam,TEXT(B174,"0"),_xlpm.thick,D174,_xlpm.crit,(TEXT(HELPER!$BZ$2:$BZ$250,"0")=_xlpm.lam)*(HELPER!$CC$2:$CC$250=_xlpm.thick)*(HELPER!$BW$2:$BW$250&lt;&gt;""),_xlpm.mats,TRIM(SUBSTITUTE(_xlfn._xlws.FILTER(HELPER!$BW$2:$BW$250,_xlpm.crit),CHAR(160),"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4" s="919">
        <f>IFERROR(IF(N174="Europe to Canada",IF(Q174&lt;1000,VLOOKUP(1000,HELPER!$AG$4:$AH$8,2,FALSE)/Q174,VLOOKUP(Q174,HELPER!$AG$4:$AH$8,2,TRUE)/Q174),IF(N174="Europe to US",HELPER!$AH$2,IF(N174="Europe to Europe",HELPER!$AH$3,0))),0)</f>
        <v>0.2</v>
      </c>
      <c r="AH174" s="919" cm="1">
        <f t="array" ref="AH174">IFERROR(_xlfn.LET(_xlpm.cap,IF(O174="Quantum",760,1220),_xlpm.wUsed,E174*MAX(1,MIN(MAX(2,INT(900/E174)),INT((_xlpm.cap-50)/E174))),_xlpm.kgmUsed,AR174/E174*_xlpm.wUsed,_xlpm.lam,TEXT(B174,"0"),_xlpm.crit,(TEXT(HELPER!$BZ$2:$BZ$250,"0")=_xlpm.lam)*(HELPER!$CC$2:$CC$250=D174)*(HELPER!$BW$2:$BW$250&lt;&gt;""),_xlpm.mats,_xlfn._xlws.FILTER(HELPER!$BW$2:$BW$250,_xlpm.crit),_xlpm.realLayers,SUM((_xlpm.mats&lt;&gt;"")*ISERROR(SEARCH("EPOTAL",_xlpm.mats&amp;""))*ISERROR(SEARCH("BASONAT",_xlpm.mats&amp;""))*ISERROR(SEARCH("ADH",_xlpm.mats&amp;""))*ISERROR(SEARCH("HARDENER",_xlpm.mats&amp;""))),_xlpm.steps,MAX(0,_xlpm.realLayers-1),_xlpm.tier,IF(P174&lt;3000,1,IF(P174&lt;10000,2,IF(P174&lt;25000,3,IF(P174&lt;50000,4,IF(P174&lt;100000,5,IF(P174&lt;250000,6,7)))))),_xlpm.widthRow,IF(_xlpm.wUsed&lt;900,0,5),_xlpm.supplierRow,IF(O174="Marma",3,IF(OR(O174="Bastin",O174="Quantum"),13,0)),_xlpm.rate,INDEX('Lmntn &amp; Prntng- Marma &amp; Bastin '!$D$1:$K$22,_xlpm.supplierRow+_xlpm.widthRow,_xlpm.tier),_xlpm.rate*_xlpm.steps/_xlpm.kgmUsed),"")</f>
        <v>2.7151374922132243</v>
      </c>
      <c r="AI174" s="919" cm="1">
        <f t="array" ref="AI174">IFERROR(_xlfn.LET(_xlpm.cap,IF(O174="Quantum",760,1220),_xlpm.wUsed,E174*MAX(1,MIN(MAX(2,INT(900/E174)),INT((_xlpm.cap-50)/E174))),_xlpm.kgmUsed,AR174/E174*_xlpm.wUsed,_xlpm.tier,IF(P174&lt;3000,1,IF(P174&lt;10000,2,IF(P174&lt;25000,3,IF(P174&lt;50000,4,IF(P174&lt;100000,5,IF(P174&lt;250000,6,IF(P174&lt;500000,7,8))))))),_xlpm.widthRow,IF(_xlpm.wUsed&lt;900,0,5),_xlpm.slitRow,IF(O174="Marma",7,IF(OR(O174="Bastin",O174="Quantum"),17,0)),_xlpm.slitRate,INDEX('Lmntn &amp; Prntng- Marma &amp; Bastin '!$D$1:$K$22,_xlpm.slitRow+_xlpm.widthRow,_xlpm.tier),_xlpm.numColors,IF(ISNUMBER(L174),L174,IFERROR(--RIGHT(L174,LEN(L174)-FIND("-",L174)),0)),_xlpm.printRate,IF(OR(K174&lt;&gt;"Printed",_xlpm.numColors=0),0,IF(O174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174))),MAX(_xlfn._xlws.FILTER(_xlpm.meters,(_xlpm.widths=_xlpm.qWidth)*(_xlpm.bands=_xlpm.band)))),INDEX(_xlpm.rates,_xlfn.XMATCH(1,(_xlpm.widths=_xlpm.qWidth)*(_xlpm.bands=_xlpm.band)*(_xlpm.meters=_xlpm.targetM),0))/HELPER!$AK$2),_xlfn.LET(_xlpm.colorOffset,IF(_xlpm.numColors&lt;=2,1,IF(_xlpm.numColors&lt;=4,2,3)),_xlpm.supplierRow,IF(O174="Marma",3,IF(O174="Bastin",13,0)),INDEX('Lmntn &amp; Prntng- Marma &amp; Bastin '!$D$1:$K$22,_xlpm.supplierRow+_xlpm.widthRow+_xlpm.colorOffset,_xlpm.tier)))),AH174+_xlpm.slitRate/_xlpm.kgmUsed+_xlpm.printRate/_xlpm.kgmUsed+AJ174),"")</f>
        <v>7.4693720150692657</v>
      </c>
      <c r="AJ174" s="919" cm="1">
        <f t="array" ref="AJ174">IF(OR(K174&lt;&gt;"Printed",L174=0,L174="0",L174=""),0,IFERROR(_xlfn.LET(_xlpm.lam,TEXT(B174,"0"),_xlpm.crit,(TEXT(HELPER!$BZ$2:$BZ$250,"0")=_xlpm.lam)*(HELPER!$CC$2:$CC$250=D174)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WHITE"},0)))/ROWS(_xlpm.real),_xlpm.numColors,IF(ISNUMBER(L174),L174,IFERROR(--RIGHT(L174,LEN(L174)-FIND("-",L174)),0)),HELPER!$DB$1*_xlpm.numColors*MAX(1,M174)*1.05*_xlpm.nkRatio/Q174),0))</f>
        <v>2.491768265551304</v>
      </c>
      <c r="AK174" s="919">
        <f t="shared" si="63"/>
        <v>1.1703012689555663</v>
      </c>
      <c r="AL174" s="919">
        <f t="shared" si="64"/>
        <v>1088.3801801286766</v>
      </c>
      <c r="AM174" s="73" t="str">
        <f t="shared" si="65"/>
        <v>PASS</v>
      </c>
      <c r="AN174" s="908" t="str">
        <f t="shared" si="44"/>
        <v/>
      </c>
      <c r="AO174" s="919">
        <f t="shared" si="45"/>
        <v>121</v>
      </c>
      <c r="AP174" s="919">
        <f t="shared" si="46"/>
        <v>10000</v>
      </c>
      <c r="AQ174" s="919"/>
      <c r="AR174" s="919" cm="1">
        <f t="array" ref="AR174">IFERROR(_xlfn.LET(_xlpm.lam,TEXT(B174,"0"),_xlpm.thick,D174,_xlpm.crit,(TEXT(HELPER!$BZ$2:$BZ$250,"0")=_xlpm.lam)*(HELPER!$CC$2:$CC$250=_xlpm.thick)*(HELPER!$BW$2:$BW$250&lt;&gt;""),_xlpm.mats,TRIM(SUBSTITUTE(_xlfn._xlws.FILTER(HELPER!$BW$2:$BW$250,_xlpm.crit),CHAR(160),"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")),HELPER!$AQ$2:$AQ$20,1),_xlpm.mass,IF(ISNUMBER(SEARCH("paper",_xlpm.mats)),42,_xlpm.dens*_xlpm.ths),E174/1000000*SUM(_xlpm.mass)),"")</f>
        <v>6.7421999999999996E-2</v>
      </c>
      <c r="AS174" s="919">
        <f>IFERROR(IF(D174&gt;31,(5%+250/P174)*AF174,VLOOKUP(D174,HELPER!$BH$3:$BI$5,2,TRUE)*AF174),0)</f>
        <v>0.42223339539579074</v>
      </c>
      <c r="AT174" s="919">
        <v>0.15</v>
      </c>
      <c r="AU174" s="919"/>
      <c r="AV174" s="919"/>
      <c r="AW174" s="919"/>
      <c r="AX174" s="919"/>
      <c r="AY174" s="919"/>
      <c r="AZ174" s="919">
        <f t="shared" si="47"/>
        <v>1680</v>
      </c>
    </row>
    <row r="175" spans="1:52">
      <c r="A175" s="73" t="s">
        <v>1596</v>
      </c>
      <c r="B175" s="73">
        <v>923</v>
      </c>
      <c r="C175" s="908" t="s">
        <v>1436</v>
      </c>
      <c r="D175" s="915" cm="1">
        <f t="array" ref="D17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5" s="915">
        <v>450</v>
      </c>
      <c r="F175" s="73" t="s">
        <v>560</v>
      </c>
      <c r="G175" s="916">
        <v>500</v>
      </c>
      <c r="H175" s="916">
        <v>500</v>
      </c>
      <c r="I175" s="916"/>
      <c r="J175" s="916"/>
      <c r="K175" s="73" t="s">
        <v>123</v>
      </c>
      <c r="L175" s="921" t="s">
        <v>591</v>
      </c>
      <c r="M175" s="915">
        <v>2</v>
      </c>
      <c r="N175" s="73" t="s">
        <v>549</v>
      </c>
      <c r="O175" s="73" t="s">
        <v>1366</v>
      </c>
      <c r="P175" s="916" cm="1">
        <f t="array" ref="P175">IFERROR(_xlfn.SWITCH(F175,"By Weight",IF(H175&lt;&gt;"",H175,G175)/AR175,"By Length",G175,"By Imp",G175/MAX(1,ROUNDDOWN(E175/I175,0))*J175/1000,"IMP",G175/MAX(1,ROUNDDOWN(E175/I175,0))*J175/1000,""),"")</f>
        <v>9887.9693077432694</v>
      </c>
      <c r="Q175" s="916">
        <f t="shared" si="48"/>
        <v>500.00000000000006</v>
      </c>
      <c r="R175" s="917">
        <f t="shared" si="49"/>
        <v>14457.064540832363</v>
      </c>
      <c r="S175" s="918">
        <f t="shared" si="50"/>
        <v>16770.194867365539</v>
      </c>
      <c r="T175" s="919">
        <f t="shared" si="51"/>
        <v>28.914129081664722</v>
      </c>
      <c r="U175" s="920">
        <f t="shared" si="52"/>
        <v>33.540389734731072</v>
      </c>
      <c r="V175" s="919">
        <f t="shared" si="53"/>
        <v>1.8276078852600013</v>
      </c>
      <c r="W175" s="919">
        <f t="shared" si="54"/>
        <v>36.14266135208095</v>
      </c>
      <c r="X175" s="919" t="str">
        <f t="shared" si="55"/>
        <v/>
      </c>
      <c r="Y175" s="920">
        <f t="shared" si="56"/>
        <v>2.1200251469016012</v>
      </c>
      <c r="Z175" s="920">
        <f t="shared" si="57"/>
        <v>41.925487168413902</v>
      </c>
      <c r="AA175" s="920" t="str">
        <f t="shared" si="58"/>
        <v/>
      </c>
      <c r="AB175" s="917">
        <f t="shared" si="59"/>
        <v>18071.330676040478</v>
      </c>
      <c r="AC175" s="918">
        <f t="shared" si="60"/>
        <v>20962.743584206954</v>
      </c>
      <c r="AD175" s="916">
        <f t="shared" si="61"/>
        <v>9887.9693077432694</v>
      </c>
      <c r="AE175" s="916">
        <f t="shared" si="62"/>
        <v>500</v>
      </c>
      <c r="AF175" s="919" cm="1">
        <f t="array" ref="AF175">IFERROR(_xlfn.LET(_xlpm.lam,TEXT(B175,"0"),_xlpm.thick,D175,_xlpm.crit,(TEXT(HELPER!$BZ$2:$BZ$250,"0")=_xlpm.lam)*(HELPER!$CC$2:$CC$250=_xlpm.thick)*(HELPER!$BW$2:$BW$250&lt;&gt;""),_xlpm.mats,TRIM(SUBSTITUTE(_xlfn._xlws.FILTER(HELPER!$BW$2:$BW$250,_xlpm.crit),CHAR(160),"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5" s="919">
        <f>IFERROR(IF(N175="Europe to Canada",IF(Q175&lt;1000,VLOOKUP(1000,HELPER!$AG$4:$AH$8,2,FALSE)/Q175,VLOOKUP(Q175,HELPER!$AG$4:$AH$8,2,TRUE)/Q175),IF(N175="Europe to US",HELPER!$AH$2,IF(N175="Europe to Europe",HELPER!$AH$3,0))),0)</f>
        <v>0.2</v>
      </c>
      <c r="AH175" s="919" cm="1">
        <f t="array" ref="AH175">IFERROR(_xlfn.LET(_xlpm.cap,IF(O175="Quantum",760,1220),_xlpm.wUsed,E175*MAX(1,MIN(MAX(2,INT(900/E175)),INT((_xlpm.cap-50)/E175))),_xlpm.kgmUsed,AR175/E175*_xlpm.wUsed,_xlpm.lam,TEXT(B175,"0"),_xlpm.crit,(TEXT(HELPER!$BZ$2:$BZ$250,"0")=_xlpm.lam)*(HELPER!$CC$2:$CC$250=D175)*(HELPER!$BW$2:$BW$250&lt;&gt;""),_xlpm.mats,_xlfn._xlws.FILTER(HELPER!$BW$2:$BW$250,_xlpm.crit),_xlpm.realLayers,SUM((_xlpm.mats&lt;&gt;"")*ISERROR(SEARCH("EPOTAL",_xlpm.mats&amp;""))*ISERROR(SEARCH("BASONAT",_xlpm.mats&amp;""))*ISERROR(SEARCH("ADH",_xlpm.mats&amp;""))*ISERROR(SEARCH("HARDENER",_xlpm.mats&amp;""))),_xlpm.steps,MAX(0,_xlpm.realLayers-1),_xlpm.tier,IF(P175&lt;3000,1,IF(P175&lt;10000,2,IF(P175&lt;25000,3,IF(P175&lt;50000,4,IF(P175&lt;100000,5,IF(P175&lt;250000,6,7)))))),_xlpm.widthRow,IF(_xlpm.wUsed&lt;900,0,5),_xlpm.supplierRow,IF(O175="Marma",3,IF(OR(O175="Bastin",O175="Quantum"),13,0)),_xlpm.rate,INDEX('Lmntn &amp; Prntng- Marma &amp; Bastin '!$D$1:$K$22,_xlpm.supplierRow+_xlpm.widthRow,_xlpm.tier),_xlpm.rate*_xlpm.steps/_xlpm.kgmUsed),"")</f>
        <v>5.3540980688795949</v>
      </c>
      <c r="AI175" s="919" cm="1">
        <f t="array" ref="AI175">IFERROR(_xlfn.LET(_xlpm.cap,IF(O175="Quantum",760,1220),_xlpm.wUsed,E175*MAX(1,MIN(MAX(2,INT(900/E175)),INT((_xlpm.cap-50)/E175))),_xlpm.kgmUsed,AR175/E175*_xlpm.wUsed,_xlpm.tier,IF(P175&lt;3000,1,IF(P175&lt;10000,2,IF(P175&lt;25000,3,IF(P175&lt;50000,4,IF(P175&lt;100000,5,IF(P175&lt;250000,6,IF(P175&lt;500000,7,8))))))),_xlpm.widthRow,IF(_xlpm.wUsed&lt;900,0,5),_xlpm.slitRow,IF(O175="Marma",7,IF(OR(O175="Bastin",O175="Quantum"),17,0)),_xlpm.slitRate,INDEX('Lmntn &amp; Prntng- Marma &amp; Bastin '!$D$1:$K$22,_xlpm.slitRow+_xlpm.widthRow,_xlpm.tier),_xlpm.numColors,IF(ISNUMBER(L175),L175,IFERROR(--RIGHT(L175,LEN(L175)-FIND("-",L175)),0)),_xlpm.printRate,IF(OR(K175&lt;&gt;"Printed",_xlpm.numColors=0),0,IF(O175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175))),MAX(_xlfn._xlws.FILTER(_xlpm.meters,(_xlpm.widths=_xlpm.qWidth)*(_xlpm.bands=_xlpm.band)))),INDEX(_xlpm.rates,_xlfn.XMATCH(1,(_xlpm.widths=_xlpm.qWidth)*(_xlpm.bands=_xlpm.band)*(_xlpm.meters=_xlpm.targetM),0))/HELPER!$AK$2),_xlfn.LET(_xlpm.colorOffset,IF(_xlpm.numColors&lt;=2,1,IF(_xlpm.numColors&lt;=4,2,3)),_xlpm.supplierRow,IF(O175="Marma",3,IF(O175="Bastin",13,0)),INDEX('Lmntn &amp; Prntng- Marma &amp; Bastin '!$D$1:$K$22,_xlpm.supplierRow+_xlpm.widthRow+_xlpm.colorOffset,_xlpm.tier)))),AH175+_xlpm.slitRate/_xlpm.kgmUsed+_xlpm.printRate/_xlpm.kgmUsed+AJ175),"")</f>
        <v>22.660522446201778</v>
      </c>
      <c r="AJ175" s="919" cm="1">
        <f t="array" ref="AJ175">IF(OR(K175&lt;&gt;"Printed",L175=0,L175="0",L175=""),0,IFERROR(_xlfn.LET(_xlpm.lam,TEXT(B175,"0"),_xlpm.crit,(TEXT(HELPER!$BZ$2:$BZ$250,"0")=_xlpm.lam)*(HELPER!$CC$2:$CC$250=D175)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WHITE"},0)))/ROWS(_xlpm.real),_xlpm.numColors,IF(ISNUMBER(L175),L175,IFERROR(--RIGHT(L175,LEN(L175)-FIND("-",L175)),0)),HELPER!$DB$1*_xlpm.numColors*MAX(1,M175)*1.05*_xlpm.nkRatio/Q175),0))</f>
        <v>0.83999999999999986</v>
      </c>
      <c r="AK175" s="919">
        <f t="shared" si="63"/>
        <v>2.6202263587957009</v>
      </c>
      <c r="AL175" s="919">
        <f t="shared" si="64"/>
        <v>1827.6078852600012</v>
      </c>
      <c r="AM175" s="73" t="str">
        <f t="shared" si="65"/>
        <v>PASS</v>
      </c>
      <c r="AN175" s="908" t="str">
        <f t="shared" si="44"/>
        <v/>
      </c>
      <c r="AO175" s="919">
        <f t="shared" si="45"/>
        <v>121</v>
      </c>
      <c r="AP175" s="919">
        <f t="shared" si="46"/>
        <v>9887.9693077432694</v>
      </c>
      <c r="AQ175" s="919"/>
      <c r="AR175" s="919" cm="1">
        <f t="array" ref="AR175">IFERROR(_xlfn.LET(_xlpm.lam,TEXT(B175,"0"),_xlpm.thick,D175,_xlpm.crit,(TEXT(HELPER!$BZ$2:$BZ$250,"0")=_xlpm.lam)*(HELPER!$CC$2:$CC$250=_xlpm.thick)*(HELPER!$BW$2:$BW$250&lt;&gt;""),_xlpm.mats,TRIM(SUBSTITUTE(_xlfn._xlws.FILTER(HELPER!$BW$2:$BW$250,_xlpm.crit),CHAR(160),"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")),HELPER!$AQ$2:$AQ$20,1),_xlpm.mass,IF(ISNUMBER(SEARCH("paper",_xlpm.mats)),42,_xlpm.dens*_xlpm.ths),E175/1000000*SUM(_xlpm.mass)),"")</f>
        <v>5.05665E-2</v>
      </c>
      <c r="AS175" s="919">
        <f>IFERROR(IF(D175&gt;31,(5%+250/P175)*AF175,VLOOKUP(D175,HELPER!$BH$3:$BI$5,2,TRUE)*AF175),0)</f>
        <v>0.42382803018573539</v>
      </c>
      <c r="AT175" s="919">
        <v>0.20000000000000101</v>
      </c>
      <c r="AU175" s="919"/>
      <c r="AV175" s="919"/>
      <c r="AW175" s="919"/>
      <c r="AX175" s="919"/>
      <c r="AY175" s="919"/>
      <c r="AZ175" s="919">
        <f t="shared" si="47"/>
        <v>420</v>
      </c>
    </row>
    <row r="176" spans="1:52">
      <c r="A176" s="73" t="s">
        <v>1597</v>
      </c>
      <c r="B176" s="73">
        <v>928</v>
      </c>
      <c r="C176" s="908" t="s">
        <v>1418</v>
      </c>
      <c r="D176" s="915" cm="1">
        <f t="array" ref="D17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6" s="915">
        <v>120</v>
      </c>
      <c r="F176" s="73" t="s">
        <v>560</v>
      </c>
      <c r="G176" s="916">
        <v>100</v>
      </c>
      <c r="H176" s="916">
        <v>100</v>
      </c>
      <c r="I176" s="916"/>
      <c r="J176" s="916"/>
      <c r="K176" s="73" t="s">
        <v>124</v>
      </c>
      <c r="L176" s="921" t="s">
        <v>221</v>
      </c>
      <c r="M176" s="915">
        <v>1</v>
      </c>
      <c r="N176" s="73" t="s">
        <v>549</v>
      </c>
      <c r="O176" s="73" t="s">
        <v>250</v>
      </c>
      <c r="P176" s="916" cm="1">
        <f t="array" ref="P176">IFERROR(_xlfn.SWITCH(F176,"By Weight",IF(H176&lt;&gt;"",H176,G176)/AR176,"By Length",G176,"By Imp",G176/MAX(1,ROUNDDOWN(E176/I176,0))*J176/1000,"IMP",G176/MAX(1,ROUNDDOWN(E176/I176,0))*J176/1000,""),"")</f>
        <v>11842.167590355737</v>
      </c>
      <c r="Q176" s="916">
        <f t="shared" si="48"/>
        <v>100</v>
      </c>
      <c r="R176" s="917">
        <f t="shared" si="49"/>
        <v>1097.864484300386</v>
      </c>
      <c r="S176" s="918">
        <f t="shared" si="50"/>
        <v>1273.5228017884476</v>
      </c>
      <c r="T176" s="919">
        <f t="shared" si="51"/>
        <v>10.978644843003861</v>
      </c>
      <c r="U176" s="920">
        <f t="shared" si="52"/>
        <v>12.735228017884479</v>
      </c>
      <c r="V176" s="919">
        <f t="shared" si="53"/>
        <v>0.10906831589677797</v>
      </c>
      <c r="W176" s="919">
        <f t="shared" si="54"/>
        <v>12.916052756475056</v>
      </c>
      <c r="X176" s="919" t="str">
        <f t="shared" si="55"/>
        <v/>
      </c>
      <c r="Y176" s="920">
        <f t="shared" si="56"/>
        <v>0.12651924644026244</v>
      </c>
      <c r="Z176" s="920">
        <f t="shared" si="57"/>
        <v>14.982621197511063</v>
      </c>
      <c r="AA176" s="920" t="str">
        <f t="shared" si="58"/>
        <v/>
      </c>
      <c r="AB176" s="917">
        <f t="shared" si="59"/>
        <v>1291.6052756475056</v>
      </c>
      <c r="AC176" s="918">
        <f t="shared" si="60"/>
        <v>1498.2621197511064</v>
      </c>
      <c r="AD176" s="916">
        <f t="shared" si="61"/>
        <v>59210.837951778682</v>
      </c>
      <c r="AE176" s="916">
        <f t="shared" si="62"/>
        <v>500</v>
      </c>
      <c r="AF176" s="919" cm="1">
        <f t="array" ref="AF176">IFERROR(_xlfn.LET(_xlpm.lam,TEXT(B176,"0"),_xlpm.thick,D176,_xlpm.crit,(TEXT(HELPER!$BZ$2:$BZ$250,"0")=_xlpm.lam)*(HELPER!$CC$2:$CC$250=_xlpm.thick)*(HELPER!$BW$2:$BW$250&lt;&gt;""),_xlpm.mats,TRIM(SUBSTITUTE(_xlfn._xlws.FILTER(HELPER!$BW$2:$BW$250,_xlpm.crit),CHAR(160),"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6" s="919">
        <f>IFERROR(IF(N176="Europe to Canada",IF(Q176&lt;1000,VLOOKUP(1000,HELPER!$AG$4:$AH$8,2,FALSE)/Q176,VLOOKUP(Q176,HELPER!$AG$4:$AH$8,2,TRUE)/Q176),IF(N176="Europe to US",HELPER!$AH$2,IF(N176="Europe to Europe",HELPER!$AH$3,0))),0)</f>
        <v>0.2</v>
      </c>
      <c r="AH176" s="919" cm="1">
        <f t="array" ref="AH176">IFERROR(_xlfn.LET(_xlpm.cap,IF(O176="Quantum",760,1220),_xlpm.wUsed,E176*MAX(1,MIN(MAX(2,INT(900/E176)),INT((_xlpm.cap-50)/E176))),_xlpm.kgmUsed,AR176/E176*_xlpm.wUsed,_xlpm.lam,TEXT(B176,"0"),_xlpm.crit,(TEXT(HELPER!$BZ$2:$BZ$250,"0")=_xlpm.lam)*(HELPER!$CC$2:$CC$250=D176)*(HELPER!$BW$2:$BW$250&lt;&gt;""),_xlpm.mats,_xlfn._xlws.FILTER(HELPER!$BW$2:$BW$250,_xlpm.crit),_xlpm.realLayers,SUM((_xlpm.mats&lt;&gt;"")*ISERROR(SEARCH("EPOTAL",_xlpm.mats&amp;""))*ISERROR(SEARCH("BASONAT",_xlpm.mats&amp;""))*ISERROR(SEARCH("ADH",_xlpm.mats&amp;""))*ISERROR(SEARCH("HARDENER",_xlpm.mats&amp;""))),_xlpm.steps,MAX(0,_xlpm.realLayers-1),_xlpm.tier,IF(P176&lt;3000,1,IF(P176&lt;10000,2,IF(P176&lt;25000,3,IF(P176&lt;50000,4,IF(P176&lt;100000,5,IF(P176&lt;250000,6,7)))))),_xlpm.widthRow,IF(_xlpm.wUsed&lt;900,0,5),_xlpm.supplierRow,IF(O176="Marma",3,IF(OR(O176="Bastin",O176="Quantum"),13,0)),_xlpm.rate,INDEX('Lmntn &amp; Prntng- Marma &amp; Bastin '!$D$1:$K$22,_xlpm.supplierRow+_xlpm.widthRow,_xlpm.tier),_xlpm.rate*_xlpm.steps/_xlpm.kgmUsed),"")</f>
        <v>1.5484479993503724</v>
      </c>
      <c r="AI176" s="919" cm="1">
        <f t="array" ref="AI176">IFERROR(_xlfn.LET(_xlpm.cap,IF(O176="Quantum",760,1220),_xlpm.wUsed,E176*MAX(1,MIN(MAX(2,INT(900/E176)),INT((_xlpm.cap-50)/E176))),_xlpm.kgmUsed,AR176/E176*_xlpm.wUsed,_xlpm.tier,IF(P176&lt;3000,1,IF(P176&lt;10000,2,IF(P176&lt;25000,3,IF(P176&lt;50000,4,IF(P176&lt;100000,5,IF(P176&lt;250000,6,IF(P176&lt;500000,7,8))))))),_xlpm.widthRow,IF(_xlpm.wUsed&lt;900,0,5),_xlpm.slitRow,IF(O176="Marma",7,IF(OR(O176="Bastin",O176="Quantum"),17,0)),_xlpm.slitRate,INDEX('Lmntn &amp; Prntng- Marma &amp; Bastin '!$D$1:$K$22,_xlpm.slitRow+_xlpm.widthRow,_xlpm.tier),_xlpm.numColors,IF(ISNUMBER(L176),L176,IFERROR(--RIGHT(L176,LEN(L176)-FIND("-",L176)),0)),_xlpm.printRate,IF(OR(K176&lt;&gt;"Printed",_xlpm.numColors=0),0,IF(O176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176))),MAX(_xlfn._xlws.FILTER(_xlpm.meters,(_xlpm.widths=_xlpm.qWidth)*(_xlpm.bands=_xlpm.band)))),INDEX(_xlpm.rates,_xlfn.XMATCH(1,(_xlpm.widths=_xlpm.qWidth)*(_xlpm.bands=_xlpm.band)*(_xlpm.meters=_xlpm.targetM),0))/HELPER!$AK$2),_xlfn.LET(_xlpm.colorOffset,IF(_xlpm.numColors&lt;=2,1,IF(_xlpm.numColors&lt;=4,2,3)),_xlpm.supplierRow,IF(O176="Marma",3,IF(O176="Bastin",13,0)),INDEX('Lmntn &amp; Prntng- Marma &amp; Bastin '!$D$1:$K$22,_xlpm.supplierRow+_xlpm.widthRow+_xlpm.colorOffset,_xlpm.tier)))),AH176+_xlpm.slitRate/_xlpm.kgmUsed+_xlpm.printRate/_xlpm.kgmUsed+AJ176),"")</f>
        <v>1.9869465478389734</v>
      </c>
      <c r="AJ176" s="919" cm="1">
        <f t="array" ref="AJ176">IF(OR(K176&lt;&gt;"Printed",L176=0,L176="0",L176=""),0,IFERROR(_xlfn.LET(_xlpm.lam,TEXT(B176,"0"),_xlpm.crit,(TEXT(HELPER!$BZ$2:$BZ$250,"0")=_xlpm.lam)*(HELPER!$CC$2:$CC$250=D176)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WHITE"},0)))/ROWS(_xlpm.real),_xlpm.numColors,IF(ISNUMBER(L176),L176,IFERROR(--RIGHT(L176,LEN(L176)-FIND("-",L176)),0)),HELPER!$DB$1*_xlpm.numColors*MAX(1,M176)*1.05*_xlpm.nkRatio/Q176),0))</f>
        <v>0</v>
      </c>
      <c r="AK176" s="919">
        <f t="shared" si="63"/>
        <v>0.58638879514396758</v>
      </c>
      <c r="AL176" s="919">
        <f t="shared" si="64"/>
        <v>109.06831589677797</v>
      </c>
      <c r="AM176" s="73" t="str">
        <f t="shared" si="65"/>
        <v>PASS</v>
      </c>
      <c r="AN176" s="908" t="str">
        <f t="shared" si="44"/>
        <v/>
      </c>
      <c r="AO176" s="919">
        <f t="shared" si="45"/>
        <v>79</v>
      </c>
      <c r="AP176" s="919">
        <f t="shared" si="46"/>
        <v>11842.167590355737</v>
      </c>
      <c r="AQ176" s="919"/>
      <c r="AR176" s="919" cm="1">
        <f t="array" ref="AR176">IFERROR(_xlfn.LET(_xlpm.lam,TEXT(B176,"0"),_xlpm.thick,D176,_xlpm.crit,(TEXT(HELPER!$BZ$2:$BZ$250,"0")=_xlpm.lam)*(HELPER!$CC$2:$CC$250=_xlpm.thick)*(HELPER!$BW$2:$BW$250&lt;&gt;""),_xlpm.mats,TRIM(SUBSTITUTE(_xlfn._xlws.FILTER(HELPER!$BW$2:$BW$250,_xlpm.crit),CHAR(160),"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")),HELPER!$AQ$2:$AQ$20,1),_xlpm.mass,IF(ISNUMBER(SEARCH("paper",_xlpm.mats)),42,_xlpm.dens*_xlpm.ths),E176/1000000*SUM(_xlpm.mass)),"")</f>
        <v>8.4444000000000012E-3</v>
      </c>
      <c r="AS176" s="919">
        <f>IFERROR(IF(D176&gt;31,(5%+250/P176)*AF176,VLOOKUP(D176,HELPER!$BH$3:$BI$5,2,TRUE)*AF176),0)</f>
        <v>0.58368036316261385</v>
      </c>
      <c r="AT176" s="919">
        <v>0.149999999999995</v>
      </c>
      <c r="AU176" s="919"/>
      <c r="AV176" s="919"/>
      <c r="AW176" s="919"/>
      <c r="AX176" s="919"/>
      <c r="AY176" s="919"/>
      <c r="AZ176" s="919">
        <f t="shared" si="47"/>
        <v>0</v>
      </c>
    </row>
    <row r="177" spans="1:52">
      <c r="A177" s="73" t="s">
        <v>1598</v>
      </c>
      <c r="B177" s="73">
        <v>928</v>
      </c>
      <c r="C177" s="908" t="s">
        <v>1420</v>
      </c>
      <c r="D177" s="915" cm="1">
        <f t="array" ref="D17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7" s="915">
        <v>120</v>
      </c>
      <c r="F177" s="73" t="s">
        <v>1040</v>
      </c>
      <c r="G177" s="916">
        <v>1000</v>
      </c>
      <c r="H177" s="916"/>
      <c r="I177" s="916">
        <v>80</v>
      </c>
      <c r="J177" s="916">
        <v>80</v>
      </c>
      <c r="K177" s="73" t="s">
        <v>123</v>
      </c>
      <c r="L177" s="921" t="s">
        <v>591</v>
      </c>
      <c r="M177" s="915">
        <v>1</v>
      </c>
      <c r="N177" s="73" t="s">
        <v>550</v>
      </c>
      <c r="O177" s="73" t="s">
        <v>240</v>
      </c>
      <c r="P177" s="916" cm="1">
        <f t="array" ref="P177">IFERROR(_xlfn.SWITCH(F177,"By Weight",IF(H177&lt;&gt;"",H177,G177)/AR177,"By Length",G177,"By Imp",G177/MAX(1,ROUNDDOWN(E177/I177,0))*J177/1000,"IMP",G177/MAX(1,ROUNDDOWN(E177/I177,0))*J177/1000,""),"")</f>
        <v>80</v>
      </c>
      <c r="Q177" s="916">
        <f t="shared" si="48"/>
        <v>0.67555200000000015</v>
      </c>
      <c r="R177" s="917">
        <f t="shared" si="49"/>
        <v>347.41874610417858</v>
      </c>
      <c r="S177" s="918">
        <f t="shared" si="50"/>
        <v>403.00574548084711</v>
      </c>
      <c r="T177" s="919">
        <f t="shared" si="51"/>
        <v>514.2738769246165</v>
      </c>
      <c r="U177" s="920">
        <f t="shared" si="52"/>
        <v>596.55769723255514</v>
      </c>
      <c r="V177" s="919">
        <f t="shared" si="53"/>
        <v>5.1090992074143911</v>
      </c>
      <c r="W177" s="919">
        <f t="shared" si="54"/>
        <v>605.02809049954885</v>
      </c>
      <c r="X177" s="919">
        <f t="shared" si="55"/>
        <v>0.40872793659315132</v>
      </c>
      <c r="Y177" s="920">
        <f t="shared" si="56"/>
        <v>5.9265550806006928</v>
      </c>
      <c r="Z177" s="920">
        <f t="shared" si="57"/>
        <v>701.83258497947656</v>
      </c>
      <c r="AA177" s="920">
        <f t="shared" si="58"/>
        <v>0.47412440644805548</v>
      </c>
      <c r="AB177" s="917">
        <f t="shared" si="59"/>
        <v>408.7279365931513</v>
      </c>
      <c r="AC177" s="918">
        <f t="shared" si="60"/>
        <v>474.12440644805548</v>
      </c>
      <c r="AD177" s="916">
        <f t="shared" si="61"/>
        <v>59210.837951778682</v>
      </c>
      <c r="AE177" s="916">
        <f t="shared" si="62"/>
        <v>500</v>
      </c>
      <c r="AF177" s="919" cm="1">
        <f t="array" ref="AF177">IFERROR(_xlfn.LET(_xlpm.lam,TEXT(B177,"0"),_xlpm.thick,D177,_xlpm.crit,(TEXT(HELPER!$BZ$2:$BZ$250,"0")=_xlpm.lam)*(HELPER!$CC$2:$CC$250=_xlpm.thick)*(HELPER!$BW$2:$BW$250&lt;&gt;""),_xlpm.mats,TRIM(SUBSTITUTE(_xlfn._xlws.FILTER(HELPER!$BW$2:$BW$250,_xlpm.crit),CHAR(160),"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7" s="919">
        <f>IFERROR(IF(N177="Europe to Canada",IF(Q177&lt;1000,VLOOKUP(1000,HELPER!$AG$4:$AH$8,2,FALSE)/Q177,VLOOKUP(Q177,HELPER!$AG$4:$AH$8,2,TRUE)/Q177),IF(N177="Europe to US",HELPER!$AH$2,IF(N177="Europe to Europe",HELPER!$AH$3,0))),0)</f>
        <v>5.4</v>
      </c>
      <c r="AH177" s="919" cm="1">
        <f t="array" ref="AH177">IFERROR(_xlfn.LET(_xlpm.cap,IF(O177="Quantum",760,1220),_xlpm.wUsed,E177*MAX(1,MIN(MAX(2,INT(900/E177)),INT((_xlpm.cap-50)/E177))),_xlpm.kgmUsed,AR177/E177*_xlpm.wUsed,_xlpm.lam,TEXT(B177,"0"),_xlpm.crit,(TEXT(HELPER!$BZ$2:$BZ$250,"0")=_xlpm.lam)*(HELPER!$CC$2:$CC$250=D177)*(HELPER!$BW$2:$BW$250&lt;&gt;""),_xlpm.mats,_xlfn._xlws.FILTER(HELPER!$BW$2:$BW$250,_xlpm.crit),_xlpm.realLayers,SUM((_xlpm.mats&lt;&gt;"")*ISERROR(SEARCH("EPOTAL",_xlpm.mats&amp;""))*ISERROR(SEARCH("BASONAT",_xlpm.mats&amp;""))*ISERROR(SEARCH("ADH",_xlpm.mats&amp;""))*ISERROR(SEARCH("HARDENER",_xlpm.mats&amp;""))),_xlpm.steps,MAX(0,_xlpm.realLayers-1),_xlpm.tier,IF(P177&lt;3000,1,IF(P177&lt;10000,2,IF(P177&lt;25000,3,IF(P177&lt;50000,4,IF(P177&lt;100000,5,IF(P177&lt;250000,6,7)))))),_xlpm.widthRow,IF(_xlpm.wUsed&lt;900,0,5),_xlpm.supplierRow,IF(O177="Marma",3,IF(OR(O177="Bastin",O177="Quantum"),13,0)),_xlpm.rate,INDEX('Lmntn &amp; Prntng- Marma &amp; Bastin '!$D$1:$K$22,_xlpm.supplierRow+_xlpm.widthRow,_xlpm.tier),_xlpm.rate*_xlpm.steps/_xlpm.kgmUsed),"")</f>
        <v>2.5671958423841326</v>
      </c>
      <c r="AI177" s="919" cm="1">
        <f t="array" ref="AI177">IFERROR(_xlfn.LET(_xlpm.cap,IF(O177="Quantum",760,1220),_xlpm.wUsed,E177*MAX(1,MIN(MAX(2,INT(900/E177)),INT((_xlpm.cap-50)/E177))),_xlpm.kgmUsed,AR177/E177*_xlpm.wUsed,_xlpm.tier,IF(P177&lt;3000,1,IF(P177&lt;10000,2,IF(P177&lt;25000,3,IF(P177&lt;50000,4,IF(P177&lt;100000,5,IF(P177&lt;250000,6,IF(P177&lt;500000,7,8))))))),_xlpm.widthRow,IF(_xlpm.wUsed&lt;900,0,5),_xlpm.slitRow,IF(O177="Marma",7,IF(OR(O177="Bastin",O177="Quantum"),17,0)),_xlpm.slitRate,INDEX('Lmntn &amp; Prntng- Marma &amp; Bastin '!$D$1:$K$22,_xlpm.slitRow+_xlpm.widthRow,_xlpm.tier),_xlpm.numColors,IF(ISNUMBER(L177),L177,IFERROR(--RIGHT(L177,LEN(L177)-FIND("-",L177)),0)),_xlpm.printRate,IF(OR(K177&lt;&gt;"Printed",_xlpm.numColors=0),0,IF(O177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177))),MAX(_xlfn._xlws.FILTER(_xlpm.meters,(_xlpm.widths=_xlpm.qWidth)*(_xlpm.bands=_xlpm.band)))),INDEX(_xlpm.rates,_xlfn.XMATCH(1,(_xlpm.widths=_xlpm.qWidth)*(_xlpm.bands=_xlpm.band)*(_xlpm.meters=_xlpm.targetM),0))/HELPER!$AK$2),_xlfn.LET(_xlpm.colorOffset,IF(_xlpm.numColors&lt;=2,1,IF(_xlpm.numColors&lt;=4,2,3)),_xlpm.supplierRow,IF(O177="Marma",3,IF(O177="Bastin",13,0)),INDEX('Lmntn &amp; Prntng- Marma &amp; Bastin '!$D$1:$K$22,_xlpm.supplierRow+_xlpm.widthRow+_xlpm.colorOffset,_xlpm.tier)))),AH177+_xlpm.slitRate/_xlpm.kgmUsed+_xlpm.printRate/_xlpm.kgmUsed+AJ177),"")</f>
        <v>474.60540205850697</v>
      </c>
      <c r="AJ177" s="919" cm="1">
        <f t="array" ref="AJ177">IF(OR(K177&lt;&gt;"Printed",L177=0,L177="0",L177=""),0,IFERROR(_xlfn.LET(_xlpm.lam,TEXT(B177,"0"),_xlpm.crit,(TEXT(HELPER!$BZ$2:$BZ$250,"0")=_xlpm.lam)*(HELPER!$CC$2:$CC$250=D177)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WHITE"},0)))/ROWS(_xlpm.real),_xlpm.numColors,IF(ISNUMBER(L177),L177,IFERROR(--RIGHT(L177,LEN(L177)-FIND("-",L177)),0)),HELPER!$DB$1*_xlpm.numColors*MAX(1,M177)*1.05*_xlpm.nkRatio/Q177),0))</f>
        <v>466.28534887025711</v>
      </c>
      <c r="AK177" s="919">
        <f t="shared" si="63"/>
        <v>27.468275308679523</v>
      </c>
      <c r="AL177" s="919">
        <f t="shared" si="64"/>
        <v>5109.0992074143915</v>
      </c>
      <c r="AM177" s="73" t="str">
        <f t="shared" si="65"/>
        <v>PASS</v>
      </c>
      <c r="AN177" s="908" t="str">
        <f t="shared" si="44"/>
        <v/>
      </c>
      <c r="AO177" s="919">
        <f t="shared" si="45"/>
        <v>79</v>
      </c>
      <c r="AP177" s="919">
        <f t="shared" si="46"/>
        <v>80</v>
      </c>
      <c r="AQ177" s="919"/>
      <c r="AR177" s="919" cm="1">
        <f t="array" ref="AR177">IFERROR(_xlfn.LET(_xlpm.lam,TEXT(B177,"0"),_xlpm.thick,D177,_xlpm.crit,(TEXT(HELPER!$BZ$2:$BZ$250,"0")=_xlpm.lam)*(HELPER!$CC$2:$CC$250=_xlpm.thick)*(HELPER!$BW$2:$BW$250&lt;&gt;""),_xlpm.mats,TRIM(SUBSTITUTE(_xlfn._xlws.FILTER(HELPER!$BW$2:$BW$250,_xlpm.crit),CHAR(160),"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")),HELPER!$AQ$2:$AQ$20,1),_xlpm.mass,IF(ISNUMBER(SEARCH("paper",_xlpm.mats)),42,_xlpm.dens*_xlpm.ths),E177/1000000*SUM(_xlpm.mass)),"")</f>
        <v>8.4444000000000012E-3</v>
      </c>
      <c r="AS177" s="919">
        <f>IFERROR(IF(D177&gt;31,(5%+250/P177)*AF177,VLOOKUP(D177,HELPER!$BH$3:$BI$5,2,TRUE)*AF177),0)</f>
        <v>26.060456934107219</v>
      </c>
      <c r="AT177" s="919">
        <v>0.15</v>
      </c>
      <c r="AU177" s="919"/>
      <c r="AV177" s="919"/>
      <c r="AW177" s="919"/>
      <c r="AX177" s="919"/>
      <c r="AY177" s="919"/>
      <c r="AZ177" s="919">
        <f t="shared" si="47"/>
        <v>315</v>
      </c>
    </row>
    <row r="178" spans="1:52">
      <c r="A178" s="73" t="s">
        <v>1599</v>
      </c>
      <c r="B178" s="73">
        <v>928</v>
      </c>
      <c r="C178" s="908" t="s">
        <v>1422</v>
      </c>
      <c r="D178" s="915" cm="1">
        <f t="array" ref="D17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8" s="915">
        <v>350</v>
      </c>
      <c r="F178" s="73" t="s">
        <v>560</v>
      </c>
      <c r="G178" s="916">
        <v>5000</v>
      </c>
      <c r="H178" s="916">
        <v>5000</v>
      </c>
      <c r="I178" s="916"/>
      <c r="J178" s="916"/>
      <c r="K178" s="73" t="s">
        <v>123</v>
      </c>
      <c r="L178" s="921" t="s">
        <v>122</v>
      </c>
      <c r="M178" s="915">
        <v>4</v>
      </c>
      <c r="N178" s="73" t="s">
        <v>549</v>
      </c>
      <c r="O178" s="73" t="s">
        <v>1366</v>
      </c>
      <c r="P178" s="916" cm="1">
        <f t="array" ref="P178">IFERROR(_xlfn.SWITCH(F178,"By Weight",IF(H178&lt;&gt;"",H178,G178)/AR178,"By Length",G178,"By Imp",G178/MAX(1,ROUNDDOWN(E178/I178,0))*J178/1000,"IMP",G178/MAX(1,ROUNDDOWN(E178/I178,0))*J178/1000,""),"")</f>
        <v>203008.58726324121</v>
      </c>
      <c r="Q178" s="916">
        <f t="shared" si="48"/>
        <v>5000</v>
      </c>
      <c r="R178" s="917">
        <f t="shared" si="49"/>
        <v>136235.14340457434</v>
      </c>
      <c r="S178" s="918">
        <f t="shared" si="50"/>
        <v>158032.76634930621</v>
      </c>
      <c r="T178" s="919">
        <f t="shared" si="51"/>
        <v>27.247028680914866</v>
      </c>
      <c r="U178" s="920">
        <f t="shared" si="52"/>
        <v>31.606553269861241</v>
      </c>
      <c r="V178" s="919">
        <f t="shared" si="53"/>
        <v>0.83885086612073989</v>
      </c>
      <c r="W178" s="919">
        <f t="shared" si="54"/>
        <v>34.05878585114354</v>
      </c>
      <c r="X178" s="919" t="str">
        <f t="shared" si="55"/>
        <v/>
      </c>
      <c r="Y178" s="920">
        <f t="shared" si="56"/>
        <v>0.97306700470005825</v>
      </c>
      <c r="Z178" s="920">
        <f t="shared" si="57"/>
        <v>39.5081915873265</v>
      </c>
      <c r="AA178" s="920" t="str">
        <f t="shared" si="58"/>
        <v/>
      </c>
      <c r="AB178" s="917">
        <f t="shared" si="59"/>
        <v>170293.9292557177</v>
      </c>
      <c r="AC178" s="918">
        <f t="shared" si="60"/>
        <v>197540.95793663251</v>
      </c>
      <c r="AD178" s="916">
        <f t="shared" si="61"/>
        <v>20300.858726324121</v>
      </c>
      <c r="AE178" s="916">
        <f t="shared" si="62"/>
        <v>500</v>
      </c>
      <c r="AF178" s="919" cm="1">
        <f t="array" ref="AF178">IFERROR(_xlfn.LET(_xlpm.lam,TEXT(B178,"0"),_xlpm.thick,D178,_xlpm.crit,(TEXT(HELPER!$BZ$2:$BZ$250,"0")=_xlpm.lam)*(HELPER!$CC$2:$CC$250=_xlpm.thick)*(HELPER!$BW$2:$BW$250&lt;&gt;""),_xlpm.mats,TRIM(SUBSTITUTE(_xlfn._xlws.FILTER(HELPER!$BW$2:$BW$250,_xlpm.crit),CHAR(160),"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8" s="919">
        <f>IFERROR(IF(N178="Europe to Canada",IF(Q178&lt;1000,VLOOKUP(1000,HELPER!$AG$4:$AH$8,2,FALSE)/Q178,VLOOKUP(Q178,HELPER!$AG$4:$AH$8,2,TRUE)/Q178),IF(N178="Europe to US",HELPER!$AH$2,IF(N178="Europe to Europe",HELPER!$AH$3,0))),0)</f>
        <v>0.2</v>
      </c>
      <c r="AH178" s="919" cm="1">
        <f t="array" ref="AH178">IFERROR(_xlfn.LET(_xlpm.cap,IF(O178="Quantum",760,1220),_xlpm.wUsed,E178*MAX(1,MIN(MAX(2,INT(900/E178)),INT((_xlpm.cap-50)/E178))),_xlpm.kgmUsed,AR178/E178*_xlpm.wUsed,_xlpm.lam,TEXT(B178,"0"),_xlpm.crit,(TEXT(HELPER!$BZ$2:$BZ$250,"0")=_xlpm.lam)*(HELPER!$CC$2:$CC$250=D178)*(HELPER!$BW$2:$BW$250&lt;&gt;""),_xlpm.mats,_xlfn._xlws.FILTER(HELPER!$BW$2:$BW$250,_xlpm.crit),_xlpm.realLayers,SUM((_xlpm.mats&lt;&gt;"")*ISERROR(SEARCH("EPOTAL",_xlpm.mats&amp;""))*ISERROR(SEARCH("BASONAT",_xlpm.mats&amp;""))*ISERROR(SEARCH("ADH",_xlpm.mats&amp;""))*ISERROR(SEARCH("HARDENER",_xlpm.mats&amp;""))),_xlpm.steps,MAX(0,_xlpm.realLayers-1),_xlpm.tier,IF(P178&lt;3000,1,IF(P178&lt;10000,2,IF(P178&lt;25000,3,IF(P178&lt;50000,4,IF(P178&lt;100000,5,IF(P178&lt;250000,6,7)))))),_xlpm.widthRow,IF(_xlpm.wUsed&lt;900,0,5),_xlpm.supplierRow,IF(O178="Marma",3,IF(OR(O178="Bastin",O178="Quantum"),13,0)),_xlpm.rate,INDEX('Lmntn &amp; Prntng- Marma &amp; Bastin '!$D$1:$K$22,_xlpm.supplierRow+_xlpm.widthRow,_xlpm.tier),_xlpm.rate*_xlpm.steps/_xlpm.kgmUsed),"")</f>
        <v>2.2160620394242678</v>
      </c>
      <c r="AI178" s="919" cm="1">
        <f t="array" ref="AI178">IFERROR(_xlfn.LET(_xlpm.cap,IF(O178="Quantum",760,1220),_xlpm.wUsed,E178*MAX(1,MIN(MAX(2,INT(900/E178)),INT((_xlpm.cap-50)/E178))),_xlpm.kgmUsed,AR178/E178*_xlpm.wUsed,_xlpm.tier,IF(P178&lt;3000,1,IF(P178&lt;10000,2,IF(P178&lt;25000,3,IF(P178&lt;50000,4,IF(P178&lt;100000,5,IF(P178&lt;250000,6,IF(P178&lt;500000,7,8))))))),_xlpm.widthRow,IF(_xlpm.wUsed&lt;900,0,5),_xlpm.slitRow,IF(O178="Marma",7,IF(OR(O178="Bastin",O178="Quantum"),17,0)),_xlpm.slitRate,INDEX('Lmntn &amp; Prntng- Marma &amp; Bastin '!$D$1:$K$22,_xlpm.slitRow+_xlpm.widthRow,_xlpm.tier),_xlpm.numColors,IF(ISNUMBER(L178),L178,IFERROR(--RIGHT(L178,LEN(L178)-FIND("-",L178)),0)),_xlpm.printRate,IF(OR(K178&lt;&gt;"Printed",_xlpm.numColors=0),0,IF(O178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178))),MAX(_xlfn._xlws.FILTER(_xlpm.meters,(_xlpm.widths=_xlpm.qWidth)*(_xlpm.bands=_xlpm.band)))),INDEX(_xlpm.rates,_xlfn.XMATCH(1,(_xlpm.widths=_xlpm.qWidth)*(_xlpm.bands=_xlpm.band)*(_xlpm.meters=_xlpm.targetM),0))/HELPER!$AK$2),_xlfn.LET(_xlpm.colorOffset,IF(_xlpm.numColors&lt;=2,1,IF(_xlpm.numColors&lt;=4,2,3)),_xlpm.supplierRow,IF(O178="Marma",3,IF(O178="Bastin",13,0)),INDEX('Lmntn &amp; Prntng- Marma &amp; Bastin '!$D$1:$K$22,_xlpm.supplierRow+_xlpm.widthRow+_xlpm.colorOffset,_xlpm.tier)))),AH178+_xlpm.slitRate/_xlpm.kgmUsed+_xlpm.printRate/_xlpm.kgmUsed+AJ178),"")</f>
        <v>18.418501883429666</v>
      </c>
      <c r="AJ178" s="919" cm="1">
        <f t="array" ref="AJ178">IF(OR(K178&lt;&gt;"Printed",L178=0,L178="0",L178=""),0,IFERROR(_xlfn.LET(_xlpm.lam,TEXT(B178,"0"),_xlpm.crit,(TEXT(HELPER!$BZ$2:$BZ$250,"0")=_xlpm.lam)*(HELPER!$CC$2:$CC$250=D178)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WHITE"},0)))/ROWS(_xlpm.real),_xlpm.numColors,IF(ISNUMBER(L178),L178,IFERROR(--RIGHT(L178,LEN(L178)-FIND("-",L178)),0)),HELPER!$DB$1*_xlpm.numColors*MAX(1,M178)*1.05*_xlpm.nkRatio/Q178),0))</f>
        <v>0.504</v>
      </c>
      <c r="AK178" s="919">
        <f t="shared" si="63"/>
        <v>1.5462688776419169</v>
      </c>
      <c r="AL178" s="919">
        <f t="shared" si="64"/>
        <v>838.85086612073985</v>
      </c>
      <c r="AM178" s="73" t="str">
        <f t="shared" si="65"/>
        <v>PASS</v>
      </c>
      <c r="AN178" s="908" t="str">
        <f t="shared" si="44"/>
        <v/>
      </c>
      <c r="AO178" s="919">
        <f t="shared" si="45"/>
        <v>79</v>
      </c>
      <c r="AP178" s="919">
        <f t="shared" si="46"/>
        <v>203008.58726324121</v>
      </c>
      <c r="AQ178" s="919"/>
      <c r="AR178" s="919" cm="1">
        <f t="array" ref="AR178">IFERROR(_xlfn.LET(_xlpm.lam,TEXT(B178,"0"),_xlpm.thick,D178,_xlpm.crit,(TEXT(HELPER!$BZ$2:$BZ$250,"0")=_xlpm.lam)*(HELPER!$CC$2:$CC$250=_xlpm.thick)*(HELPER!$BW$2:$BW$250&lt;&gt;""),_xlpm.mats,TRIM(SUBSTITUTE(_xlfn._xlws.FILTER(HELPER!$BW$2:$BW$250,_xlpm.crit),CHAR(160),"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")),HELPER!$AQ$2:$AQ$20,1),_xlpm.mass,IF(ISNUMBER(SEARCH("paper",_xlpm.mats)),42,_xlpm.dens*_xlpm.ths),E178/1000000*SUM(_xlpm.mass)),"")</f>
        <v>2.4629500000000002E-2</v>
      </c>
      <c r="AS178" s="919">
        <f>IFERROR(IF(D178&gt;31,(5%+250/P178)*AF178,VLOOKUP(D178,HELPER!$BH$3:$BI$5,2,TRUE)*AF178),0)</f>
        <v>0.42050886548292626</v>
      </c>
      <c r="AT178" s="919">
        <v>0.19999999999999901</v>
      </c>
      <c r="AU178" s="919"/>
      <c r="AV178" s="919"/>
      <c r="AW178" s="919"/>
      <c r="AX178" s="919"/>
      <c r="AY178" s="919"/>
      <c r="AZ178" s="919">
        <f t="shared" si="47"/>
        <v>2520</v>
      </c>
    </row>
    <row r="179" spans="1:52">
      <c r="A179" s="73" t="s">
        <v>1600</v>
      </c>
      <c r="B179" s="73">
        <v>928</v>
      </c>
      <c r="C179" s="908" t="s">
        <v>1424</v>
      </c>
      <c r="D179" s="915" cm="1">
        <f t="array" ref="D17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9" s="915">
        <v>900</v>
      </c>
      <c r="F179" s="73" t="s">
        <v>560</v>
      </c>
      <c r="G179" s="916">
        <v>25000</v>
      </c>
      <c r="H179" s="916">
        <v>25000</v>
      </c>
      <c r="I179" s="916"/>
      <c r="J179" s="916"/>
      <c r="K179" s="73" t="s">
        <v>123</v>
      </c>
      <c r="L179" s="921" t="s">
        <v>592</v>
      </c>
      <c r="M179" s="915">
        <v>8</v>
      </c>
      <c r="N179" s="73" t="s">
        <v>550</v>
      </c>
      <c r="O179" s="73" t="s">
        <v>250</v>
      </c>
      <c r="P179" s="916" cm="1">
        <f t="array" ref="P179">IFERROR(_xlfn.SWITCH(F179,"By Weight",IF(H179&lt;&gt;"",H179,G179)/AR179,"By Length",G179,"By Imp",G179/MAX(1,ROUNDDOWN(E179/I179,0))*J179/1000,"IMP",G179/MAX(1,ROUNDDOWN(E179/I179,0))*J179/1000,""),"")</f>
        <v>394738.9196785246</v>
      </c>
      <c r="Q179" s="916">
        <f t="shared" si="48"/>
        <v>25000</v>
      </c>
      <c r="R179" s="917">
        <f t="shared" si="49"/>
        <v>452351.77542147628</v>
      </c>
      <c r="S179" s="918">
        <f t="shared" si="50"/>
        <v>524728.05948891246</v>
      </c>
      <c r="T179" s="919">
        <f t="shared" si="51"/>
        <v>18.094071016859051</v>
      </c>
      <c r="U179" s="920">
        <f t="shared" si="52"/>
        <v>20.989122379556498</v>
      </c>
      <c r="V179" s="919">
        <f t="shared" si="53"/>
        <v>1.3481785878949846</v>
      </c>
      <c r="W179" s="919">
        <f t="shared" si="54"/>
        <v>21.287142372775403</v>
      </c>
      <c r="X179" s="919" t="str">
        <f t="shared" si="55"/>
        <v/>
      </c>
      <c r="Y179" s="920">
        <f t="shared" si="56"/>
        <v>1.563887161958182</v>
      </c>
      <c r="Z179" s="920">
        <f t="shared" si="57"/>
        <v>24.693085152419467</v>
      </c>
      <c r="AA179" s="920" t="str">
        <f t="shared" si="58"/>
        <v/>
      </c>
      <c r="AB179" s="917">
        <f t="shared" si="59"/>
        <v>532178.55931938509</v>
      </c>
      <c r="AC179" s="918">
        <f t="shared" si="60"/>
        <v>617327.12881048664</v>
      </c>
      <c r="AD179" s="916">
        <f t="shared" si="61"/>
        <v>7894.778393570492</v>
      </c>
      <c r="AE179" s="916">
        <f t="shared" si="62"/>
        <v>500</v>
      </c>
      <c r="AF179" s="919" cm="1">
        <f t="array" ref="AF179">IFERROR(_xlfn.LET(_xlpm.lam,TEXT(B179,"0"),_xlpm.thick,D179,_xlpm.crit,(TEXT(HELPER!$BZ$2:$BZ$250,"0")=_xlpm.lam)*(HELPER!$CC$2:$CC$250=_xlpm.thick)*(HELPER!$BW$2:$BW$250&lt;&gt;""),_xlpm.mats,TRIM(SUBSTITUTE(_xlfn._xlws.FILTER(HELPER!$BW$2:$BW$250,_xlpm.crit),CHAR(160),"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9" s="919">
        <f>IFERROR(IF(N179="Europe to Canada",IF(Q179&lt;1000,VLOOKUP(1000,HELPER!$AG$4:$AH$8,2,FALSE)/Q179,VLOOKUP(Q179,HELPER!$AG$4:$AH$8,2,TRUE)/Q179),IF(N179="Europe to US",HELPER!$AH$2,IF(N179="Europe to Europe",HELPER!$AH$3,0))),0)</f>
        <v>5.4</v>
      </c>
      <c r="AH179" s="919" cm="1">
        <f t="array" ref="AH179">IFERROR(_xlfn.LET(_xlpm.cap,IF(O179="Quantum",760,1220),_xlpm.wUsed,E179*MAX(1,MIN(MAX(2,INT(900/E179)),INT((_xlpm.cap-50)/E179))),_xlpm.kgmUsed,AR179/E179*_xlpm.wUsed,_xlpm.lam,TEXT(B179,"0"),_xlpm.crit,(TEXT(HELPER!$BZ$2:$BZ$250,"0")=_xlpm.lam)*(HELPER!$CC$2:$CC$250=D179)*(HELPER!$BW$2:$BW$250&lt;&gt;""),_xlpm.mats,_xlfn._xlws.FILTER(HELPER!$BW$2:$BW$250,_xlpm.crit),_xlpm.realLayers,SUM((_xlpm.mats&lt;&gt;"")*ISERROR(SEARCH("EPOTAL",_xlpm.mats&amp;""))*ISERROR(SEARCH("BASONAT",_xlpm.mats&amp;""))*ISERROR(SEARCH("ADH",_xlpm.mats&amp;""))*ISERROR(SEARCH("HARDENER",_xlpm.mats&amp;""))),_xlpm.steps,MAX(0,_xlpm.realLayers-1),_xlpm.tier,IF(P179&lt;3000,1,IF(P179&lt;10000,2,IF(P179&lt;25000,3,IF(P179&lt;50000,4,IF(P179&lt;100000,5,IF(P179&lt;250000,6,7)))))),_xlpm.widthRow,IF(_xlpm.wUsed&lt;900,0,5),_xlpm.supplierRow,IF(O179="Marma",3,IF(OR(O179="Bastin",O179="Quantum"),13,0)),_xlpm.rate,INDEX('Lmntn &amp; Prntng- Marma &amp; Bastin '!$D$1:$K$22,_xlpm.supplierRow+_xlpm.widthRow,_xlpm.tier),_xlpm.rate*_xlpm.steps/_xlpm.kgmUsed),"")</f>
        <v>1.3177964094547865</v>
      </c>
      <c r="AI179" s="919" cm="1">
        <f t="array" ref="AI179">IFERROR(_xlfn.LET(_xlpm.cap,IF(O179="Quantum",760,1220),_xlpm.wUsed,E179*MAX(1,MIN(MAX(2,INT(900/E179)),INT((_xlpm.cap-50)/E179))),_xlpm.kgmUsed,AR179/E179*_xlpm.wUsed,_xlpm.tier,IF(P179&lt;3000,1,IF(P179&lt;10000,2,IF(P179&lt;25000,3,IF(P179&lt;50000,4,IF(P179&lt;100000,5,IF(P179&lt;250000,6,IF(P179&lt;500000,7,8))))))),_xlpm.widthRow,IF(_xlpm.wUsed&lt;900,0,5),_xlpm.slitRow,IF(O179="Marma",7,IF(OR(O179="Bastin",O179="Quantum"),17,0)),_xlpm.slitRate,INDEX('Lmntn &amp; Prntng- Marma &amp; Bastin '!$D$1:$K$22,_xlpm.slitRow+_xlpm.widthRow,_xlpm.tier),_xlpm.numColors,IF(ISNUMBER(L179),L179,IFERROR(--RIGHT(L179,LEN(L179)-FIND("-",L179)),0)),_xlpm.printRate,IF(OR(K179&lt;&gt;"Printed",_xlpm.numColors=0),0,IF(O179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179))),MAX(_xlfn._xlws.FILTER(_xlpm.meters,(_xlpm.widths=_xlpm.qWidth)*(_xlpm.bands=_xlpm.band)))),INDEX(_xlpm.rates,_xlfn.XMATCH(1,(_xlpm.widths=_xlpm.qWidth)*(_xlpm.bands=_xlpm.band)*(_xlpm.meters=_xlpm.targetM),0))/HELPER!$AK$2),_xlfn.LET(_xlpm.colorOffset,IF(_xlpm.numColors&lt;=2,1,IF(_xlpm.numColors&lt;=4,2,3)),_xlpm.supplierRow,IF(O179="Marma",3,IF(O179="Bastin",13,0)),INDEX('Lmntn &amp; Prntng- Marma &amp; Bastin '!$D$1:$K$22,_xlpm.supplierRow+_xlpm.widthRow+_xlpm.colorOffset,_xlpm.tier)))),AH179+_xlpm.slitRate/_xlpm.kgmUsed+_xlpm.printRate/_xlpm.kgmUsed+AJ179),"")</f>
        <v>4.0704538042597882</v>
      </c>
      <c r="AJ179" s="919" cm="1">
        <f t="array" ref="AJ179">IF(OR(K179&lt;&gt;"Printed",L179=0,L179="0",L179=""),0,IFERROR(_xlfn.LET(_xlpm.lam,TEXT(B179,"0"),_xlpm.crit,(TEXT(HELPER!$BZ$2:$BZ$250,"0")=_xlpm.lam)*(HELPER!$CC$2:$CC$250=D179)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WHITE"},0)))/ROWS(_xlpm.real),_xlpm.numColors,IF(ISNUMBER(L179),L179,IFERROR(--RIGHT(L179,LEN(L179)-FIND("-",L179)),0)),HELPER!$DB$1*_xlpm.numColors*MAX(1,M179)*1.05*_xlpm.nkRatio/Q179),0))</f>
        <v>0.4032</v>
      </c>
      <c r="AK179" s="919">
        <f t="shared" si="63"/>
        <v>0.96643626372400326</v>
      </c>
      <c r="AL179" s="919">
        <f t="shared" si="64"/>
        <v>1348.1785878949845</v>
      </c>
      <c r="AM179" s="73" t="str">
        <f t="shared" si="65"/>
        <v>PASS</v>
      </c>
      <c r="AN179" s="908" t="str">
        <f t="shared" si="44"/>
        <v/>
      </c>
      <c r="AO179" s="919">
        <f t="shared" si="45"/>
        <v>79</v>
      </c>
      <c r="AP179" s="919">
        <f t="shared" si="46"/>
        <v>394738.9196785246</v>
      </c>
      <c r="AQ179" s="919"/>
      <c r="AR179" s="919" cm="1">
        <f t="array" ref="AR179">IFERROR(_xlfn.LET(_xlpm.lam,TEXT(B179,"0"),_xlpm.thick,D179,_xlpm.crit,(TEXT(HELPER!$BZ$2:$BZ$250,"0")=_xlpm.lam)*(HELPER!$CC$2:$CC$250=_xlpm.thick)*(HELPER!$BW$2:$BW$250&lt;&gt;""),_xlpm.mats,TRIM(SUBSTITUTE(_xlfn._xlws.FILTER(HELPER!$BW$2:$BW$250,_xlpm.crit),CHAR(160),"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")),HELPER!$AQ$2:$AQ$20,1),_xlpm.mass,IF(ISNUMBER(SEARCH("paper",_xlpm.mats)),42,_xlpm.dens*_xlpm.ths),E179/1000000*SUM(_xlpm.mass)),"")</f>
        <v>6.3333E-2</v>
      </c>
      <c r="AS179" s="919">
        <f>IFERROR(IF(D179&gt;31,(5%+250/P179)*AF179,VLOOKUP(D179,HELPER!$BH$3:$BI$5,2,TRUE)*AF179),0)</f>
        <v>0.41559928059698875</v>
      </c>
      <c r="AT179" s="919">
        <v>0.15000000000000199</v>
      </c>
      <c r="AU179" s="919"/>
      <c r="AV179" s="919"/>
      <c r="AW179" s="919"/>
      <c r="AX179" s="919"/>
      <c r="AY179" s="919"/>
      <c r="AZ179" s="919">
        <f t="shared" si="47"/>
        <v>10080</v>
      </c>
    </row>
    <row r="180" spans="1:52">
      <c r="A180" s="73" t="s">
        <v>1601</v>
      </c>
      <c r="B180" s="73">
        <v>928</v>
      </c>
      <c r="C180" s="908" t="s">
        <v>1426</v>
      </c>
      <c r="D180" s="915" cm="1">
        <f t="array" ref="D18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0" s="915">
        <v>350</v>
      </c>
      <c r="F180" s="73" t="s">
        <v>561</v>
      </c>
      <c r="G180" s="916">
        <v>2000</v>
      </c>
      <c r="H180" s="916"/>
      <c r="I180" s="916"/>
      <c r="J180" s="916"/>
      <c r="K180" s="73" t="s">
        <v>124</v>
      </c>
      <c r="L180" s="921" t="s">
        <v>221</v>
      </c>
      <c r="M180" s="915">
        <v>1</v>
      </c>
      <c r="N180" s="73" t="s">
        <v>549</v>
      </c>
      <c r="O180" s="73" t="s">
        <v>240</v>
      </c>
      <c r="P180" s="916" cm="1">
        <f t="array" ref="P180">IFERROR(_xlfn.SWITCH(F180,"By Weight",IF(H180&lt;&gt;"",H180,G180)/AR180,"By Length",G180,"By Imp",G180/MAX(1,ROUNDDOWN(E180/I180,0))*J180/1000,"IMP",G180/MAX(1,ROUNDDOWN(E180/I180,0))*J180/1000,""),"")</f>
        <v>2000</v>
      </c>
      <c r="Q180" s="916">
        <f t="shared" si="48"/>
        <v>49.259000000000007</v>
      </c>
      <c r="R180" s="917">
        <f t="shared" si="49"/>
        <v>682.07133749218758</v>
      </c>
      <c r="S180" s="918">
        <f t="shared" si="50"/>
        <v>791.20275149093754</v>
      </c>
      <c r="T180" s="919">
        <f t="shared" si="51"/>
        <v>13.84663386370384</v>
      </c>
      <c r="U180" s="920">
        <f t="shared" si="52"/>
        <v>16.062095281896454</v>
      </c>
      <c r="V180" s="919">
        <f t="shared" si="53"/>
        <v>0.40121843381893241</v>
      </c>
      <c r="W180" s="919">
        <f t="shared" si="54"/>
        <v>16.290157486710342</v>
      </c>
      <c r="X180" s="919" t="str">
        <f t="shared" si="55"/>
        <v/>
      </c>
      <c r="Y180" s="920">
        <f t="shared" si="56"/>
        <v>0.46541338322996156</v>
      </c>
      <c r="Z180" s="920">
        <f t="shared" si="57"/>
        <v>18.896582684583997</v>
      </c>
      <c r="AA180" s="920" t="str">
        <f t="shared" si="58"/>
        <v/>
      </c>
      <c r="AB180" s="917">
        <f t="shared" si="59"/>
        <v>802.43686763786491</v>
      </c>
      <c r="AC180" s="918">
        <f t="shared" si="60"/>
        <v>930.82676645992319</v>
      </c>
      <c r="AD180" s="916">
        <f t="shared" si="61"/>
        <v>20300.858726324121</v>
      </c>
      <c r="AE180" s="916">
        <f t="shared" si="62"/>
        <v>500</v>
      </c>
      <c r="AF180" s="919" cm="1">
        <f t="array" ref="AF180">IFERROR(_xlfn.LET(_xlpm.lam,TEXT(B180,"0"),_xlpm.thick,D180,_xlpm.crit,(TEXT(HELPER!$BZ$2:$BZ$250,"0")=_xlpm.lam)*(HELPER!$CC$2:$CC$250=_xlpm.thick)*(HELPER!$BW$2:$BW$250&lt;&gt;""),_xlpm.mats,TRIM(SUBSTITUTE(_xlfn._xlws.FILTER(HELPER!$BW$2:$BW$250,_xlpm.crit),CHAR(160),"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0" s="919">
        <f>IFERROR(IF(N180="Europe to Canada",IF(Q180&lt;1000,VLOOKUP(1000,HELPER!$AG$4:$AH$8,2,FALSE)/Q180,VLOOKUP(Q180,HELPER!$AG$4:$AH$8,2,TRUE)/Q180),IF(N180="Europe to US",HELPER!$AH$2,IF(N180="Europe to Europe",HELPER!$AH$3,0))),0)</f>
        <v>0.2</v>
      </c>
      <c r="AH180" s="919" cm="1">
        <f t="array" ref="AH180">IFERROR(_xlfn.LET(_xlpm.cap,IF(O180="Quantum",760,1220),_xlpm.wUsed,E180*MAX(1,MIN(MAX(2,INT(900/E180)),INT((_xlpm.cap-50)/E180))),_xlpm.kgmUsed,AR180/E180*_xlpm.wUsed,_xlpm.lam,TEXT(B180,"0"),_xlpm.crit,(TEXT(HELPER!$BZ$2:$BZ$250,"0")=_xlpm.lam)*(HELPER!$CC$2:$CC$250=D180)*(HELPER!$BW$2:$BW$250&lt;&gt;""),_xlpm.mats,_xlfn._xlws.FILTER(HELPER!$BW$2:$BW$250,_xlpm.crit),_xlpm.realLayers,SUM((_xlpm.mats&lt;&gt;"")*ISERROR(SEARCH("EPOTAL",_xlpm.mats&amp;""))*ISERROR(SEARCH("BASONAT",_xlpm.mats&amp;""))*ISERROR(SEARCH("ADH",_xlpm.mats&amp;""))*ISERROR(SEARCH("HARDENER",_xlpm.mats&amp;""))),_xlpm.steps,MAX(0,_xlpm.realLayers-1),_xlpm.tier,IF(P180&lt;3000,1,IF(P180&lt;10000,2,IF(P180&lt;25000,3,IF(P180&lt;50000,4,IF(P180&lt;100000,5,IF(P180&lt;250000,6,7)))))),_xlpm.widthRow,IF(_xlpm.wUsed&lt;900,0,5),_xlpm.supplierRow,IF(O180="Marma",3,IF(OR(O180="Bastin",O180="Quantum"),13,0)),_xlpm.rate,INDEX('Lmntn &amp; Prntng- Marma &amp; Bastin '!$D$1:$K$22,_xlpm.supplierRow+_xlpm.widthRow,_xlpm.tier),_xlpm.rate*_xlpm.steps/_xlpm.kgmUsed),"")</f>
        <v>3.0806350108609593</v>
      </c>
      <c r="AI180" s="919" cm="1">
        <f t="array" ref="AI180">IFERROR(_xlfn.LET(_xlpm.cap,IF(O180="Quantum",760,1220),_xlpm.wUsed,E180*MAX(1,MIN(MAX(2,INT(900/E180)),INT((_xlpm.cap-50)/E180))),_xlpm.kgmUsed,AR180/E180*_xlpm.wUsed,_xlpm.tier,IF(P180&lt;3000,1,IF(P180&lt;10000,2,IF(P180&lt;25000,3,IF(P180&lt;50000,4,IF(P180&lt;100000,5,IF(P180&lt;250000,6,IF(P180&lt;500000,7,8))))))),_xlpm.widthRow,IF(_xlpm.wUsed&lt;900,0,5),_xlpm.slitRow,IF(O180="Marma",7,IF(OR(O180="Bastin",O180="Quantum"),17,0)),_xlpm.slitRate,INDEX('Lmntn &amp; Prntng- Marma &amp; Bastin '!$D$1:$K$22,_xlpm.slitRow+_xlpm.widthRow,_xlpm.tier),_xlpm.numColors,IF(ISNUMBER(L180),L180,IFERROR(--RIGHT(L180,LEN(L180)-FIND("-",L180)),0)),_xlpm.printRate,IF(OR(K180&lt;&gt;"Printed",_xlpm.numColors=0),0,IF(O180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180))),MAX(_xlfn._xlws.FILTER(_xlpm.meters,(_xlpm.widths=_xlpm.qWidth)*(_xlpm.bands=_xlpm.band)))),INDEX(_xlpm.rates,_xlfn.XMATCH(1,(_xlpm.widths=_xlpm.qWidth)*(_xlpm.bands=_xlpm.band)*(_xlpm.meters=_xlpm.targetM),0))/HELPER!$AK$2),_xlfn.LET(_xlpm.colorOffset,IF(_xlpm.numColors&lt;=2,1,IF(_xlpm.numColors&lt;=4,2,3)),_xlpm.supplierRow,IF(O180="Marma",3,IF(O180="Bastin",13,0)),INDEX('Lmntn &amp; Prntng- Marma &amp; Bastin '!$D$1:$K$22,_xlpm.supplierRow+_xlpm.widthRow+_xlpm.colorOffset,_xlpm.tier)))),AH180+_xlpm.slitRate/_xlpm.kgmUsed+_xlpm.printRate/_xlpm.kgmUsed+AJ180),"")</f>
        <v>4.0022127936011689</v>
      </c>
      <c r="AJ180" s="919" cm="1">
        <f t="array" ref="AJ180">IF(OR(K180&lt;&gt;"Printed",L180=0,L180="0",L180=""),0,IFERROR(_xlfn.LET(_xlpm.lam,TEXT(B180,"0"),_xlpm.crit,(TEXT(HELPER!$BZ$2:$BZ$250,"0")=_xlpm.lam)*(HELPER!$CC$2:$CC$250=D180)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WHITE"},0)))/ROWS(_xlpm.real),_xlpm.numColors,IF(ISNUMBER(L180),L180,IFERROR(--RIGHT(L180,LEN(L180)-FIND("-",L180)),0)),HELPER!$DB$1*_xlpm.numColors*MAX(1,M180)*1.05*_xlpm.nkRatio/Q180),0))</f>
        <v>0</v>
      </c>
      <c r="AK180" s="919">
        <f t="shared" si="63"/>
        <v>0.73957314989664957</v>
      </c>
      <c r="AL180" s="919">
        <f t="shared" si="64"/>
        <v>401.2184338189324</v>
      </c>
      <c r="AM180" s="73" t="str">
        <f t="shared" si="65"/>
        <v>PASS</v>
      </c>
      <c r="AN180" s="908" t="str">
        <f t="shared" si="44"/>
        <v/>
      </c>
      <c r="AO180" s="919">
        <f t="shared" si="45"/>
        <v>79</v>
      </c>
      <c r="AP180" s="919">
        <f t="shared" si="46"/>
        <v>2000</v>
      </c>
      <c r="AQ180" s="919"/>
      <c r="AR180" s="919" cm="1">
        <f t="array" ref="AR180">IFERROR(_xlfn.LET(_xlpm.lam,TEXT(B180,"0"),_xlpm.thick,D180,_xlpm.crit,(TEXT(HELPER!$BZ$2:$BZ$250,"0")=_xlpm.lam)*(HELPER!$CC$2:$CC$250=_xlpm.thick)*(HELPER!$BW$2:$BW$250&lt;&gt;""),_xlpm.mats,TRIM(SUBSTITUTE(_xlfn._xlws.FILTER(HELPER!$BW$2:$BW$250,_xlpm.crit),CHAR(160),"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")),HELPER!$AQ$2:$AQ$20,1),_xlpm.mass,IF(ISNUMBER(SEARCH("paper",_xlpm.mats)),42,_xlpm.dens*_xlpm.ths),E180/1000000*SUM(_xlpm.mass)),"")</f>
        <v>2.4629500000000002E-2</v>
      </c>
      <c r="AS180" s="919">
        <f>IFERROR(IF(D180&gt;31,(5%+250/P180)*AF180,VLOOKUP(D180,HELPER!$BH$3:$BI$5,2,TRUE)*AF180),0)</f>
        <v>1.4364031381003979</v>
      </c>
      <c r="AT180" s="919">
        <v>0.149999999999997</v>
      </c>
      <c r="AU180" s="919"/>
      <c r="AV180" s="919"/>
      <c r="AW180" s="919"/>
      <c r="AX180" s="919"/>
      <c r="AY180" s="919"/>
      <c r="AZ180" s="919">
        <f t="shared" si="47"/>
        <v>0</v>
      </c>
    </row>
    <row r="181" spans="1:52">
      <c r="A181" s="73" t="s">
        <v>1602</v>
      </c>
      <c r="B181" s="73">
        <v>928</v>
      </c>
      <c r="C181" s="908" t="s">
        <v>1428</v>
      </c>
      <c r="D181" s="915" cm="1">
        <f t="array" ref="D18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1" s="915">
        <v>600</v>
      </c>
      <c r="F181" s="73" t="s">
        <v>561</v>
      </c>
      <c r="G181" s="916">
        <v>250000</v>
      </c>
      <c r="H181" s="916"/>
      <c r="I181" s="916"/>
      <c r="J181" s="916"/>
      <c r="K181" s="73" t="s">
        <v>123</v>
      </c>
      <c r="L181" s="921" t="s">
        <v>122</v>
      </c>
      <c r="M181" s="915">
        <v>4</v>
      </c>
      <c r="N181" s="73" t="s">
        <v>550</v>
      </c>
      <c r="O181" s="73" t="s">
        <v>1366</v>
      </c>
      <c r="P181" s="916" cm="1">
        <f t="array" ref="P181">IFERROR(_xlfn.SWITCH(F181,"By Weight",IF(H181&lt;&gt;"",H181,G181)/AR181,"By Length",G181,"By Imp",G181/MAX(1,ROUNDDOWN(E181/I181,0))*J181/1000,"IMP",G181/MAX(1,ROUNDDOWN(E181/I181,0))*J181/1000,""),"")</f>
        <v>250000</v>
      </c>
      <c r="Q181" s="916">
        <f t="shared" si="48"/>
        <v>10555.499999999998</v>
      </c>
      <c r="R181" s="917">
        <f t="shared" si="49"/>
        <v>370966.42174755922</v>
      </c>
      <c r="S181" s="918">
        <f t="shared" si="50"/>
        <v>430321.04922716867</v>
      </c>
      <c r="T181" s="919">
        <f t="shared" si="51"/>
        <v>35.144372293833477</v>
      </c>
      <c r="U181" s="920">
        <f t="shared" si="52"/>
        <v>40.767471860846832</v>
      </c>
      <c r="V181" s="919">
        <f t="shared" si="53"/>
        <v>1.8548321087377939</v>
      </c>
      <c r="W181" s="919">
        <f t="shared" si="54"/>
        <v>43.930465367291795</v>
      </c>
      <c r="X181" s="919" t="str">
        <f t="shared" si="55"/>
        <v/>
      </c>
      <c r="Y181" s="920">
        <f t="shared" si="56"/>
        <v>2.1516052461358406</v>
      </c>
      <c r="Z181" s="920">
        <f t="shared" si="57"/>
        <v>50.959339826058482</v>
      </c>
      <c r="AA181" s="920" t="str">
        <f t="shared" si="58"/>
        <v/>
      </c>
      <c r="AB181" s="917">
        <f t="shared" si="59"/>
        <v>463708.02718444844</v>
      </c>
      <c r="AC181" s="918">
        <f t="shared" si="60"/>
        <v>537901.31153396016</v>
      </c>
      <c r="AD181" s="916">
        <f t="shared" si="61"/>
        <v>11842.167590355741</v>
      </c>
      <c r="AE181" s="916">
        <f t="shared" si="62"/>
        <v>500</v>
      </c>
      <c r="AF181" s="919" cm="1">
        <f t="array" ref="AF181">IFERROR(_xlfn.LET(_xlpm.lam,TEXT(B181,"0"),_xlpm.thick,D181,_xlpm.crit,(TEXT(HELPER!$BZ$2:$BZ$250,"0")=_xlpm.lam)*(HELPER!$CC$2:$CC$250=_xlpm.thick)*(HELPER!$BW$2:$BW$250&lt;&gt;""),_xlpm.mats,TRIM(SUBSTITUTE(_xlfn._xlws.FILTER(HELPER!$BW$2:$BW$250,_xlpm.crit),CHAR(160),"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1" s="919">
        <f>IFERROR(IF(N181="Europe to Canada",IF(Q181&lt;1000,VLOOKUP(1000,HELPER!$AG$4:$AH$8,2,FALSE)/Q181,VLOOKUP(Q181,HELPER!$AG$4:$AH$8,2,TRUE)/Q181),IF(N181="Europe to US",HELPER!$AH$2,IF(N181="Europe to Europe",HELPER!$AH$3,0))),0)</f>
        <v>5.4</v>
      </c>
      <c r="AH181" s="919" cm="1">
        <f t="array" ref="AH181">IFERROR(_xlfn.LET(_xlpm.cap,IF(O181="Quantum",760,1220),_xlpm.wUsed,E181*MAX(1,MIN(MAX(2,INT(900/E181)),INT((_xlpm.cap-50)/E181))),_xlpm.kgmUsed,AR181/E181*_xlpm.wUsed,_xlpm.lam,TEXT(B181,"0"),_xlpm.crit,(TEXT(HELPER!$BZ$2:$BZ$250,"0")=_xlpm.lam)*(HELPER!$CC$2:$CC$250=D181)*(HELPER!$BW$2:$BW$250&lt;&gt;""),_xlpm.mats,_xlfn._xlws.FILTER(HELPER!$BW$2:$BW$250,_xlpm.crit),_xlpm.realLayers,SUM((_xlpm.mats&lt;&gt;"")*ISERROR(SEARCH("EPOTAL",_xlpm.mats&amp;""))*ISERROR(SEARCH("BASONAT",_xlpm.mats&amp;""))*ISERROR(SEARCH("ADH",_xlpm.mats&amp;""))*ISERROR(SEARCH("HARDENER",_xlpm.mats&amp;""))),_xlpm.steps,MAX(0,_xlpm.realLayers-1),_xlpm.tier,IF(P181&lt;3000,1,IF(P181&lt;10000,2,IF(P181&lt;25000,3,IF(P181&lt;50000,4,IF(P181&lt;100000,5,IF(P181&lt;250000,6,7)))))),_xlpm.widthRow,IF(_xlpm.wUsed&lt;900,0,5),_xlpm.supplierRow,IF(O181="Marma",3,IF(OR(O181="Bastin",O181="Quantum"),13,0)),_xlpm.rate,INDEX('Lmntn &amp; Prntng- Marma &amp; Bastin '!$D$1:$K$22,_xlpm.supplierRow+_xlpm.widthRow,_xlpm.tier),_xlpm.rate*_xlpm.steps/_xlpm.kgmUsed),"")</f>
        <v>2.569702998436834</v>
      </c>
      <c r="AI181" s="919" cm="1">
        <f t="array" ref="AI181">IFERROR(_xlfn.LET(_xlpm.cap,IF(O181="Quantum",760,1220),_xlpm.wUsed,E181*MAX(1,MIN(MAX(2,INT(900/E181)),INT((_xlpm.cap-50)/E181))),_xlpm.kgmUsed,AR181/E181*_xlpm.wUsed,_xlpm.tier,IF(P181&lt;3000,1,IF(P181&lt;10000,2,IF(P181&lt;25000,3,IF(P181&lt;50000,4,IF(P181&lt;100000,5,IF(P181&lt;250000,6,IF(P181&lt;500000,7,8))))))),_xlpm.widthRow,IF(_xlpm.wUsed&lt;900,0,5),_xlpm.slitRow,IF(O181="Marma",7,IF(OR(O181="Bastin",O181="Quantum"),17,0)),_xlpm.slitRate,INDEX('Lmntn &amp; Prntng- Marma &amp; Bastin '!$D$1:$K$22,_xlpm.slitRow+_xlpm.widthRow,_xlpm.tier),_xlpm.numColors,IF(ISNUMBER(L181),L181,IFERROR(--RIGHT(L181,LEN(L181)-FIND("-",L181)),0)),_xlpm.printRate,IF(OR(K181&lt;&gt;"Printed",_xlpm.numColors=0),0,IF(O181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181))),MAX(_xlfn._xlws.FILTER(_xlpm.meters,(_xlpm.widths=_xlpm.qWidth)*(_xlpm.bands=_xlpm.band)))),INDEX(_xlpm.rates,_xlfn.XMATCH(1,(_xlpm.widths=_xlpm.qWidth)*(_xlpm.bands=_xlpm.band)*(_xlpm.meters=_xlpm.targetM),0))/HELPER!$AK$2),_xlfn.LET(_xlpm.colorOffset,IF(_xlpm.numColors&lt;=2,1,IF(_xlpm.numColors&lt;=4,2,3)),_xlpm.supplierRow,IF(O181="Marma",3,IF(O181="Bastin",13,0)),INDEX('Lmntn &amp; Prntng- Marma &amp; Bastin '!$D$1:$K$22,_xlpm.supplierRow+_xlpm.widthRow+_xlpm.colorOffset,_xlpm.tier)))),AH181+_xlpm.slitRate/_xlpm.kgmUsed+_xlpm.printRate/_xlpm.kgmUsed+AJ181),"")</f>
        <v>21.11774544729909</v>
      </c>
      <c r="AJ181" s="919" cm="1">
        <f t="array" ref="AJ181">IF(OR(K181&lt;&gt;"Printed",L181=0,L181="0",L181=""),0,IFERROR(_xlfn.LET(_xlpm.lam,TEXT(B181,"0"),_xlpm.crit,(TEXT(HELPER!$BZ$2:$BZ$250,"0")=_xlpm.lam)*(HELPER!$CC$2:$CC$250=D181)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WHITE"},0)))/ROWS(_xlpm.real),_xlpm.numColors,IF(ISNUMBER(L181),L181,IFERROR(--RIGHT(L181,LEN(L181)-FIND("-",L181)),0)),HELPER!$DB$1*_xlpm.numColors*MAX(1,M181)*1.05*_xlpm.nkRatio/Q181),0))</f>
        <v>0.23873809862157172</v>
      </c>
      <c r="AK181" s="919">
        <f t="shared" si="63"/>
        <v>1.9944431276750474</v>
      </c>
      <c r="AL181" s="919">
        <f t="shared" si="64"/>
        <v>1854.832108737794</v>
      </c>
      <c r="AM181" s="73" t="str">
        <f t="shared" si="65"/>
        <v>PASS</v>
      </c>
      <c r="AN181" s="908" t="str">
        <f t="shared" si="44"/>
        <v/>
      </c>
      <c r="AO181" s="919">
        <f t="shared" si="45"/>
        <v>79</v>
      </c>
      <c r="AP181" s="919">
        <f t="shared" si="46"/>
        <v>250000</v>
      </c>
      <c r="AQ181" s="919"/>
      <c r="AR181" s="919" cm="1">
        <f t="array" ref="AR181">IFERROR(_xlfn.LET(_xlpm.lam,TEXT(B181,"0"),_xlpm.thick,D181,_xlpm.crit,(TEXT(HELPER!$BZ$2:$BZ$250,"0")=_xlpm.lam)*(HELPER!$CC$2:$CC$250=_xlpm.thick)*(HELPER!$BW$2:$BW$250&lt;&gt;""),_xlpm.mats,TRIM(SUBSTITUTE(_xlfn._xlws.FILTER(HELPER!$BW$2:$BW$250,_xlpm.crit),CHAR(160),"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")),HELPER!$AQ$2:$AQ$20,1),_xlpm.mass,IF(ISNUMBER(SEARCH("paper",_xlpm.mats)),42,_xlpm.dens*_xlpm.ths),E181/1000000*SUM(_xlpm.mass)),"")</f>
        <v>4.2221999999999996E-2</v>
      </c>
      <c r="AS181" s="919">
        <f>IFERROR(IF(D181&gt;31,(5%+250/P181)*AF181,VLOOKUP(D181,HELPER!$BH$3:$BI$5,2,TRUE)*AF181),0)</f>
        <v>0.41860891453211602</v>
      </c>
      <c r="AT181" s="919">
        <v>0.19999999999999901</v>
      </c>
      <c r="AU181" s="919"/>
      <c r="AV181" s="919"/>
      <c r="AW181" s="919"/>
      <c r="AX181" s="919"/>
      <c r="AY181" s="919"/>
      <c r="AZ181" s="919">
        <f t="shared" si="47"/>
        <v>2520</v>
      </c>
    </row>
    <row r="182" spans="1:52">
      <c r="A182" s="73" t="s">
        <v>1603</v>
      </c>
      <c r="B182" s="73">
        <v>928</v>
      </c>
      <c r="C182" s="908" t="s">
        <v>1430</v>
      </c>
      <c r="D182" s="915" cm="1">
        <f t="array" ref="D18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2" s="915">
        <v>900</v>
      </c>
      <c r="F182" s="73" t="s">
        <v>1040</v>
      </c>
      <c r="G182" s="916">
        <v>1600000</v>
      </c>
      <c r="H182" s="916"/>
      <c r="I182" s="916">
        <v>140</v>
      </c>
      <c r="J182" s="916">
        <v>80</v>
      </c>
      <c r="K182" s="73" t="s">
        <v>123</v>
      </c>
      <c r="L182" s="921" t="s">
        <v>592</v>
      </c>
      <c r="M182" s="915">
        <v>8</v>
      </c>
      <c r="N182" s="73" t="s">
        <v>549</v>
      </c>
      <c r="O182" s="73" t="s">
        <v>250</v>
      </c>
      <c r="P182" s="916" cm="1">
        <f t="array" ref="P182">IFERROR(_xlfn.SWITCH(F182,"By Weight",IF(H182&lt;&gt;"",H182,G182)/AR182,"By Length",G182,"By Imp",G182/MAX(1,ROUNDDOWN(E182/I182,0))*J182/1000,"IMP",G182/MAX(1,ROUNDDOWN(E182/I182,0))*J182/1000,""),"")</f>
        <v>21333.333333333336</v>
      </c>
      <c r="Q182" s="916">
        <f t="shared" si="48"/>
        <v>1351.1040000000003</v>
      </c>
      <c r="R182" s="917">
        <f t="shared" si="49"/>
        <v>28228.457836872494</v>
      </c>
      <c r="S182" s="918">
        <f t="shared" si="50"/>
        <v>32745.011090772092</v>
      </c>
      <c r="T182" s="919">
        <f t="shared" si="51"/>
        <v>20.892883032595929</v>
      </c>
      <c r="U182" s="920">
        <f t="shared" si="52"/>
        <v>24.235744317811275</v>
      </c>
      <c r="V182" s="919">
        <f t="shared" si="53"/>
        <v>1.5567164248275307</v>
      </c>
      <c r="W182" s="919">
        <f t="shared" si="54"/>
        <v>24.579862391289385</v>
      </c>
      <c r="X182" s="919">
        <f t="shared" si="55"/>
        <v>2.0756218997700412E-2</v>
      </c>
      <c r="Y182" s="920">
        <f t="shared" si="56"/>
        <v>1.8057910527999355</v>
      </c>
      <c r="Z182" s="920">
        <f t="shared" si="57"/>
        <v>28.512640373895685</v>
      </c>
      <c r="AA182" s="920">
        <f t="shared" si="58"/>
        <v>2.4077214037332477E-2</v>
      </c>
      <c r="AB182" s="917">
        <f t="shared" si="59"/>
        <v>33209.950396320659</v>
      </c>
      <c r="AC182" s="918">
        <f t="shared" si="60"/>
        <v>38523.542459731965</v>
      </c>
      <c r="AD182" s="916">
        <f t="shared" si="61"/>
        <v>7894.778393570492</v>
      </c>
      <c r="AE182" s="916">
        <f t="shared" si="62"/>
        <v>500</v>
      </c>
      <c r="AF182" s="919" cm="1">
        <f t="array" ref="AF182">IFERROR(_xlfn.LET(_xlpm.lam,TEXT(B182,"0"),_xlpm.thick,D182,_xlpm.crit,(TEXT(HELPER!$BZ$2:$BZ$250,"0")=_xlpm.lam)*(HELPER!$CC$2:$CC$250=_xlpm.thick)*(HELPER!$BW$2:$BW$250&lt;&gt;""),_xlpm.mats,TRIM(SUBSTITUTE(_xlfn._xlws.FILTER(HELPER!$BW$2:$BW$250,_xlpm.crit),CHAR(160),"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2" s="919">
        <f>IFERROR(IF(N182="Europe to Canada",IF(Q182&lt;1000,VLOOKUP(1000,HELPER!$AG$4:$AH$8,2,FALSE)/Q182,VLOOKUP(Q182,HELPER!$AG$4:$AH$8,2,TRUE)/Q182),IF(N182="Europe to US",HELPER!$AH$2,IF(N182="Europe to Europe",HELPER!$AH$3,0))),0)</f>
        <v>0.2</v>
      </c>
      <c r="AH182" s="919" cm="1">
        <f t="array" ref="AH182">IFERROR(_xlfn.LET(_xlpm.cap,IF(O182="Quantum",760,1220),_xlpm.wUsed,E182*MAX(1,MIN(MAX(2,INT(900/E182)),INT((_xlpm.cap-50)/E182))),_xlpm.kgmUsed,AR182/E182*_xlpm.wUsed,_xlpm.lam,TEXT(B182,"0"),_xlpm.crit,(TEXT(HELPER!$BZ$2:$BZ$250,"0")=_xlpm.lam)*(HELPER!$CC$2:$CC$250=D182)*(HELPER!$BW$2:$BW$250&lt;&gt;""),_xlpm.mats,_xlfn._xlws.FILTER(HELPER!$BW$2:$BW$250,_xlpm.crit),_xlpm.realLayers,SUM((_xlpm.mats&lt;&gt;"")*ISERROR(SEARCH("EPOTAL",_xlpm.mats&amp;""))*ISERROR(SEARCH("BASONAT",_xlpm.mats&amp;""))*ISERROR(SEARCH("ADH",_xlpm.mats&amp;""))*ISERROR(SEARCH("HARDENER",_xlpm.mats&amp;""))),_xlpm.steps,MAX(0,_xlpm.realLayers-1),_xlpm.tier,IF(P182&lt;3000,1,IF(P182&lt;10000,2,IF(P182&lt;25000,3,IF(P182&lt;50000,4,IF(P182&lt;100000,5,IF(P182&lt;250000,6,7)))))),_xlpm.widthRow,IF(_xlpm.wUsed&lt;900,0,5),_xlpm.supplierRow,IF(O182="Marma",3,IF(OR(O182="Bastin",O182="Quantum"),13,0)),_xlpm.rate,INDEX('Lmntn &amp; Prntng- Marma &amp; Bastin '!$D$1:$K$22,_xlpm.supplierRow+_xlpm.widthRow,_xlpm.tier),_xlpm.rate*_xlpm.steps/_xlpm.kgmUsed),"")</f>
        <v>1.4452181327270144</v>
      </c>
      <c r="AI182" s="919" cm="1">
        <f t="array" ref="AI182">IFERROR(_xlfn.LET(_xlpm.cap,IF(O182="Quantum",760,1220),_xlpm.wUsed,E182*MAX(1,MIN(MAX(2,INT(900/E182)),INT((_xlpm.cap-50)/E182))),_xlpm.kgmUsed,AR182/E182*_xlpm.wUsed,_xlpm.tier,IF(P182&lt;3000,1,IF(P182&lt;10000,2,IF(P182&lt;25000,3,IF(P182&lt;50000,4,IF(P182&lt;100000,5,IF(P182&lt;250000,6,IF(P182&lt;500000,7,8))))))),_xlpm.widthRow,IF(_xlpm.wUsed&lt;900,0,5),_xlpm.slitRow,IF(O182="Marma",7,IF(OR(O182="Bastin",O182="Quantum"),17,0)),_xlpm.slitRate,INDEX('Lmntn &amp; Prntng- Marma &amp; Bastin '!$D$1:$K$22,_xlpm.slitRow+_xlpm.widthRow,_xlpm.tier),_xlpm.numColors,IF(ISNUMBER(L182),L182,IFERROR(--RIGHT(L182,LEN(L182)-FIND("-",L182)),0)),_xlpm.printRate,IF(OR(K182&lt;&gt;"Printed",_xlpm.numColors=0),0,IF(O182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182))),MAX(_xlfn._xlws.FILTER(_xlpm.meters,(_xlpm.widths=_xlpm.qWidth)*(_xlpm.bands=_xlpm.band)))),INDEX(_xlpm.rates,_xlfn.XMATCH(1,(_xlpm.widths=_xlpm.qWidth)*(_xlpm.bands=_xlpm.band)*(_xlpm.meters=_xlpm.targetM),0))/HELPER!$AK$2),_xlfn.LET(_xlpm.colorOffset,IF(_xlpm.numColors&lt;=2,1,IF(_xlpm.numColors&lt;=4,2,3)),_xlpm.supplierRow,IF(O182="Marma",3,IF(O182="Bastin",13,0)),INDEX('Lmntn &amp; Prntng- Marma &amp; Bastin '!$D$1:$K$22,_xlpm.supplierRow+_xlpm.widthRow+_xlpm.colorOffset,_xlpm.tier)))),AH182+_xlpm.slitRate/_xlpm.kgmUsed+_xlpm.printRate/_xlpm.kgmUsed+AJ182),"")</f>
        <v>11.97827649385289</v>
      </c>
      <c r="AJ182" s="919" cm="1">
        <f t="array" ref="AJ182">IF(OR(K182&lt;&gt;"Printed",L182=0,L182="0",L182=""),0,IFERROR(_xlfn.LET(_xlpm.lam,TEXT(B182,"0"),_xlpm.crit,(TEXT(HELPER!$BZ$2:$BZ$250,"0")=_xlpm.lam)*(HELPER!$CC$2:$CC$250=D182)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WHITE"},0)))/ROWS(_xlpm.real),_xlpm.numColors,IF(ISNUMBER(L182),L182,IFERROR(--RIGHT(L182,LEN(L182)-FIND("-",L182)),0)),HELPER!$DB$1*_xlpm.numColors*MAX(1,M182)*1.05*_xlpm.nkRatio/Q182),0))</f>
        <v>7.4605655819241141</v>
      </c>
      <c r="AK182" s="919">
        <f t="shared" si="63"/>
        <v>1.1159257525645381</v>
      </c>
      <c r="AL182" s="919">
        <f t="shared" si="64"/>
        <v>1556.7164248275308</v>
      </c>
      <c r="AM182" s="73" t="str">
        <f t="shared" si="65"/>
        <v>PASS</v>
      </c>
      <c r="AN182" s="908" t="str">
        <f t="shared" si="44"/>
        <v/>
      </c>
      <c r="AO182" s="919">
        <f t="shared" si="45"/>
        <v>79</v>
      </c>
      <c r="AP182" s="919">
        <f t="shared" si="46"/>
        <v>21333.333333333336</v>
      </c>
      <c r="AQ182" s="919"/>
      <c r="AR182" s="919" cm="1">
        <f t="array" ref="AR182">IFERROR(_xlfn.LET(_xlpm.lam,TEXT(B182,"0"),_xlpm.thick,D182,_xlpm.crit,(TEXT(HELPER!$BZ$2:$BZ$250,"0")=_xlpm.lam)*(HELPER!$CC$2:$CC$250=_xlpm.thick)*(HELPER!$BW$2:$BW$250&lt;&gt;""),_xlpm.mats,TRIM(SUBSTITUTE(_xlfn._xlws.FILTER(HELPER!$BW$2:$BW$250,_xlpm.crit),CHAR(160),"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")),HELPER!$AQ$2:$AQ$20,1),_xlpm.mass,IF(ISNUMBER(SEARCH("paper",_xlpm.mats)),42,_xlpm.dens*_xlpm.ths),E182/1000000*SUM(_xlpm.mass)),"")</f>
        <v>6.3333E-2</v>
      </c>
      <c r="AS182" s="919">
        <f>IFERROR(IF(D182&gt;31,(5%+250/P182)*AF182,VLOOKUP(D182,HELPER!$BH$3:$BI$5,2,TRUE)*AF182),0)</f>
        <v>0.50658860674076545</v>
      </c>
      <c r="AT182" s="919">
        <v>0.15000000000000199</v>
      </c>
      <c r="AU182" s="919"/>
      <c r="AV182" s="919"/>
      <c r="AW182" s="919"/>
      <c r="AX182" s="919"/>
      <c r="AY182" s="919"/>
      <c r="AZ182" s="919">
        <f t="shared" si="47"/>
        <v>10080</v>
      </c>
    </row>
    <row r="183" spans="1:52">
      <c r="A183" s="73" t="s">
        <v>1604</v>
      </c>
      <c r="B183" s="73">
        <v>928</v>
      </c>
      <c r="C183" s="908" t="s">
        <v>1432</v>
      </c>
      <c r="D183" s="915" cm="1">
        <f t="array" ref="D18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3" s="915">
        <v>250</v>
      </c>
      <c r="F183" s="73" t="s">
        <v>560</v>
      </c>
      <c r="G183" s="916">
        <v>500</v>
      </c>
      <c r="H183" s="916">
        <v>500</v>
      </c>
      <c r="I183" s="916"/>
      <c r="J183" s="916"/>
      <c r="K183" s="73" t="s">
        <v>124</v>
      </c>
      <c r="L183" s="921" t="s">
        <v>221</v>
      </c>
      <c r="M183" s="915">
        <v>1</v>
      </c>
      <c r="N183" s="73" t="s">
        <v>550</v>
      </c>
      <c r="O183" s="73" t="s">
        <v>240</v>
      </c>
      <c r="P183" s="916" cm="1">
        <f t="array" ref="P183">IFERROR(_xlfn.SWITCH(F183,"By Weight",IF(H183&lt;&gt;"",H183,G183)/AR183,"By Length",G183,"By Imp",G183/MAX(1,ROUNDDOWN(E183/I183,0))*J183/1000,"IMP",G183/MAX(1,ROUNDDOWN(E183/I183,0))*J183/1000,""),"")</f>
        <v>28421.202216853773</v>
      </c>
      <c r="Q183" s="916">
        <f t="shared" si="48"/>
        <v>500</v>
      </c>
      <c r="R183" s="917">
        <f t="shared" si="49"/>
        <v>8407.5659466243997</v>
      </c>
      <c r="S183" s="918">
        <f t="shared" si="50"/>
        <v>9752.7764980843021</v>
      </c>
      <c r="T183" s="919">
        <f t="shared" si="51"/>
        <v>16.8151318932488</v>
      </c>
      <c r="U183" s="920">
        <f t="shared" si="52"/>
        <v>19.505552996168607</v>
      </c>
      <c r="V183" s="919">
        <f t="shared" si="53"/>
        <v>0.34802377391997552</v>
      </c>
      <c r="W183" s="919">
        <f t="shared" si="54"/>
        <v>19.782508109704448</v>
      </c>
      <c r="X183" s="919" t="str">
        <f t="shared" si="55"/>
        <v/>
      </c>
      <c r="Y183" s="920">
        <f t="shared" si="56"/>
        <v>0.40370757774717159</v>
      </c>
      <c r="Z183" s="920">
        <f t="shared" si="57"/>
        <v>22.947709407257157</v>
      </c>
      <c r="AA183" s="920" t="str">
        <f t="shared" si="58"/>
        <v/>
      </c>
      <c r="AB183" s="917">
        <f t="shared" si="59"/>
        <v>9891.2540548522247</v>
      </c>
      <c r="AC183" s="918">
        <f t="shared" si="60"/>
        <v>11473.85470362858</v>
      </c>
      <c r="AD183" s="916">
        <f t="shared" si="61"/>
        <v>28421.202216853773</v>
      </c>
      <c r="AE183" s="916">
        <f t="shared" si="62"/>
        <v>500</v>
      </c>
      <c r="AF183" s="919" cm="1">
        <f t="array" ref="AF183">IFERROR(_xlfn.LET(_xlpm.lam,TEXT(B183,"0"),_xlpm.thick,D183,_xlpm.crit,(TEXT(HELPER!$BZ$2:$BZ$250,"0")=_xlpm.lam)*(HELPER!$CC$2:$CC$250=_xlpm.thick)*(HELPER!$BW$2:$BW$250&lt;&gt;""),_xlpm.mats,TRIM(SUBSTITUTE(_xlfn._xlws.FILTER(HELPER!$BW$2:$BW$250,_xlpm.crit),CHAR(160),"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3" s="919">
        <f>IFERROR(IF(N183="Europe to Canada",IF(Q183&lt;1000,VLOOKUP(1000,HELPER!$AG$4:$AH$8,2,FALSE)/Q183,VLOOKUP(Q183,HELPER!$AG$4:$AH$8,2,TRUE)/Q183),IF(N183="Europe to US",HELPER!$AH$2,IF(N183="Europe to Europe",HELPER!$AH$3,0))),0)</f>
        <v>5.4</v>
      </c>
      <c r="AH183" s="919" cm="1">
        <f t="array" ref="AH183">IFERROR(_xlfn.LET(_xlpm.cap,IF(O183="Quantum",760,1220),_xlpm.wUsed,E183*MAX(1,MIN(MAX(2,INT(900/E183)),INT((_xlpm.cap-50)/E183))),_xlpm.kgmUsed,AR183/E183*_xlpm.wUsed,_xlpm.lam,TEXT(B183,"0"),_xlpm.crit,(TEXT(HELPER!$BZ$2:$BZ$250,"0")=_xlpm.lam)*(HELPER!$CC$2:$CC$250=D183)*(HELPER!$BW$2:$BW$250&lt;&gt;""),_xlpm.mats,_xlfn._xlws.FILTER(HELPER!$BW$2:$BW$250,_xlpm.crit),_xlpm.realLayers,SUM((_xlpm.mats&lt;&gt;"")*ISERROR(SEARCH("EPOTAL",_xlpm.mats&amp;""))*ISERROR(SEARCH("BASONAT",_xlpm.mats&amp;""))*ISERROR(SEARCH("ADH",_xlpm.mats&amp;""))*ISERROR(SEARCH("HARDENER",_xlpm.mats&amp;""))),_xlpm.steps,MAX(0,_xlpm.realLayers-1),_xlpm.tier,IF(P183&lt;3000,1,IF(P183&lt;10000,2,IF(P183&lt;25000,3,IF(P183&lt;50000,4,IF(P183&lt;100000,5,IF(P183&lt;250000,6,7)))))),_xlpm.widthRow,IF(_xlpm.wUsed&lt;900,0,5),_xlpm.supplierRow,IF(O183="Marma",3,IF(OR(O183="Bastin",O183="Quantum"),13,0)),_xlpm.rate,INDEX('Lmntn &amp; Prntng- Marma &amp; Bastin '!$D$1:$K$22,_xlpm.supplierRow+_xlpm.widthRow,_xlpm.tier),_xlpm.rate*_xlpm.steps/_xlpm.kgmUsed),"")</f>
        <v>2.1303964757709246</v>
      </c>
      <c r="AI183" s="919" cm="1">
        <f t="array" ref="AI183">IFERROR(_xlfn.LET(_xlpm.cap,IF(O183="Quantum",760,1220),_xlpm.wUsed,E183*MAX(1,MIN(MAX(2,INT(900/E183)),INT((_xlpm.cap-50)/E183))),_xlpm.kgmUsed,AR183/E183*_xlpm.wUsed,_xlpm.tier,IF(P183&lt;3000,1,IF(P183&lt;10000,2,IF(P183&lt;25000,3,IF(P183&lt;50000,4,IF(P183&lt;100000,5,IF(P183&lt;250000,6,IF(P183&lt;500000,7,8))))))),_xlpm.widthRow,IF(_xlpm.wUsed&lt;900,0,5),_xlpm.slitRow,IF(O183="Marma",7,IF(OR(O183="Bastin",O183="Quantum"),17,0)),_xlpm.slitRate,INDEX('Lmntn &amp; Prntng- Marma &amp; Bastin '!$D$1:$K$22,_xlpm.slitRow+_xlpm.widthRow,_xlpm.tier),_xlpm.numColors,IF(ISNUMBER(L183),L183,IFERROR(--RIGHT(L183,LEN(L183)-FIND("-",L183)),0)),_xlpm.printRate,IF(OR(K183&lt;&gt;"Printed",_xlpm.numColors=0),0,IF(O183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183))),MAX(_xlfn._xlws.FILTER(_xlpm.meters,(_xlpm.widths=_xlpm.qWidth)*(_xlpm.bands=_xlpm.band)))),INDEX(_xlpm.rates,_xlfn.XMATCH(1,(_xlpm.widths=_xlpm.qWidth)*(_xlpm.bands=_xlpm.band)*(_xlpm.meters=_xlpm.targetM),0))/HELPER!$AK$2),_xlfn.LET(_xlpm.colorOffset,IF(_xlpm.numColors&lt;=2,1,IF(_xlpm.numColors&lt;=4,2,3)),_xlpm.supplierRow,IF(O183="Marma",3,IF(O183="Bastin",13,0)),INDEX('Lmntn &amp; Prntng- Marma &amp; Bastin '!$D$1:$K$22,_xlpm.supplierRow+_xlpm.widthRow+_xlpm.colorOffset,_xlpm.tier)))),AH183+_xlpm.slitRate/_xlpm.kgmUsed+_xlpm.printRate/_xlpm.kgmUsed+AJ183),"")</f>
        <v>2.7245132869120359</v>
      </c>
      <c r="AJ183" s="919" cm="1">
        <f t="array" ref="AJ183">IF(OR(K183&lt;&gt;"Printed",L183=0,L183="0",L183=""),0,IFERROR(_xlfn.LET(_xlpm.lam,TEXT(B183,"0"),_xlpm.crit,(TEXT(HELPER!$BZ$2:$BZ$250,"0")=_xlpm.lam)*(HELPER!$CC$2:$CC$250=D183)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WHITE"},0)))/ROWS(_xlpm.real),_xlpm.numColors,IF(ISNUMBER(L183),L183,IFERROR(--RIGHT(L183,LEN(L183)-FIND("-",L183)),0)),HELPER!$DB$1*_xlpm.numColors*MAX(1,M183)*1.05*_xlpm.nkRatio/Q183),0))</f>
        <v>0</v>
      </c>
      <c r="AK183" s="919">
        <f t="shared" si="63"/>
        <v>0.89812586818058193</v>
      </c>
      <c r="AL183" s="919">
        <f t="shared" si="64"/>
        <v>348.0237739199755</v>
      </c>
      <c r="AM183" s="73" t="str">
        <f t="shared" si="65"/>
        <v>PASS</v>
      </c>
      <c r="AN183" s="908" t="str">
        <f t="shared" si="44"/>
        <v/>
      </c>
      <c r="AO183" s="919">
        <f t="shared" si="45"/>
        <v>79</v>
      </c>
      <c r="AP183" s="919">
        <f t="shared" si="46"/>
        <v>28421.202216853773</v>
      </c>
      <c r="AQ183" s="919"/>
      <c r="AR183" s="919" cm="1">
        <f t="array" ref="AR183">IFERROR(_xlfn.LET(_xlpm.lam,TEXT(B183,"0"),_xlpm.thick,D183,_xlpm.crit,(TEXT(HELPER!$BZ$2:$BZ$250,"0")=_xlpm.lam)*(HELPER!$CC$2:$CC$250=_xlpm.thick)*(HELPER!$BW$2:$BW$250&lt;&gt;""),_xlpm.mats,TRIM(SUBSTITUTE(_xlfn._xlws.FILTER(HELPER!$BW$2:$BW$250,_xlpm.crit),CHAR(160),"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")),HELPER!$AQ$2:$AQ$20,1),_xlpm.mass,IF(ISNUMBER(SEARCH("paper",_xlpm.mats)),42,_xlpm.dens*_xlpm.ths),E183/1000000*SUM(_xlpm.mass)),"")</f>
        <v>1.75925E-2</v>
      </c>
      <c r="AS183" s="919">
        <f>IFERROR(IF(D183&gt;31,(5%+250/P183)*AF183,VLOOKUP(D183,HELPER!$BH$3:$BI$5,2,TRUE)*AF183),0)</f>
        <v>0.48260067433448872</v>
      </c>
      <c r="AT183" s="919">
        <v>0.149999999999999</v>
      </c>
      <c r="AU183" s="919"/>
      <c r="AV183" s="919"/>
      <c r="AW183" s="919"/>
      <c r="AX183" s="919"/>
      <c r="AY183" s="919"/>
      <c r="AZ183" s="919">
        <f t="shared" si="47"/>
        <v>0</v>
      </c>
    </row>
    <row r="184" spans="1:52">
      <c r="A184" s="73" t="s">
        <v>1605</v>
      </c>
      <c r="B184" s="73">
        <v>928</v>
      </c>
      <c r="C184" s="908" t="s">
        <v>1434</v>
      </c>
      <c r="D184" s="915" cm="1">
        <f t="array" ref="D18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4" s="915">
        <v>600</v>
      </c>
      <c r="F184" s="73" t="s">
        <v>1040</v>
      </c>
      <c r="G184" s="916">
        <v>100000</v>
      </c>
      <c r="H184" s="916"/>
      <c r="I184" s="916">
        <v>300</v>
      </c>
      <c r="J184" s="916">
        <v>200</v>
      </c>
      <c r="K184" s="73" t="s">
        <v>123</v>
      </c>
      <c r="L184" s="921" t="s">
        <v>122</v>
      </c>
      <c r="M184" s="915">
        <v>4</v>
      </c>
      <c r="N184" s="73" t="s">
        <v>549</v>
      </c>
      <c r="O184" s="73" t="s">
        <v>250</v>
      </c>
      <c r="P184" s="916" cm="1">
        <f t="array" ref="P184">IFERROR(_xlfn.SWITCH(F184,"By Weight",IF(H184&lt;&gt;"",H184,G184)/AR184,"By Length",G184,"By Imp",G184/MAX(1,ROUNDDOWN(E184/I184,0))*J184/1000,"IMP",G184/MAX(1,ROUNDDOWN(E184/I184,0))*J184/1000,""),"")</f>
        <v>10000</v>
      </c>
      <c r="Q184" s="916">
        <f t="shared" si="48"/>
        <v>422.21999999999997</v>
      </c>
      <c r="R184" s="917">
        <f t="shared" si="49"/>
        <v>8770.6525310937486</v>
      </c>
      <c r="S184" s="918">
        <f t="shared" si="50"/>
        <v>10173.956936068747</v>
      </c>
      <c r="T184" s="919">
        <f t="shared" si="51"/>
        <v>20.772707429997986</v>
      </c>
      <c r="U184" s="920">
        <f t="shared" si="52"/>
        <v>24.096340618797662</v>
      </c>
      <c r="V184" s="919">
        <f t="shared" si="53"/>
        <v>1.0963315663867186</v>
      </c>
      <c r="W184" s="919">
        <f t="shared" si="54"/>
        <v>25.965884287497481</v>
      </c>
      <c r="X184" s="919">
        <f t="shared" si="55"/>
        <v>0.10963315663867186</v>
      </c>
      <c r="Y184" s="920">
        <f t="shared" si="56"/>
        <v>1.2717446170085935</v>
      </c>
      <c r="Z184" s="920">
        <f t="shared" si="57"/>
        <v>30.120425773497075</v>
      </c>
      <c r="AA184" s="920">
        <f t="shared" si="58"/>
        <v>0.12717446170085936</v>
      </c>
      <c r="AB184" s="917">
        <f t="shared" si="59"/>
        <v>10963.315663867186</v>
      </c>
      <c r="AC184" s="918">
        <f t="shared" si="60"/>
        <v>12717.446170085936</v>
      </c>
      <c r="AD184" s="916">
        <f t="shared" si="61"/>
        <v>11842.167590355741</v>
      </c>
      <c r="AE184" s="916">
        <f t="shared" si="62"/>
        <v>500</v>
      </c>
      <c r="AF184" s="919" cm="1">
        <f t="array" ref="AF184">IFERROR(_xlfn.LET(_xlpm.lam,TEXT(B184,"0"),_xlpm.thick,D184,_xlpm.crit,(TEXT(HELPER!$BZ$2:$BZ$250,"0")=_xlpm.lam)*(HELPER!$CC$2:$CC$250=_xlpm.thick)*(HELPER!$BW$2:$BW$250&lt;&gt;""),_xlpm.mats,TRIM(SUBSTITUTE(_xlfn._xlws.FILTER(HELPER!$BW$2:$BW$250,_xlpm.crit),CHAR(160),"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4" s="919">
        <f>IFERROR(IF(N184="Europe to Canada",IF(Q184&lt;1000,VLOOKUP(1000,HELPER!$AG$4:$AH$8,2,FALSE)/Q184,VLOOKUP(Q184,HELPER!$AG$4:$AH$8,2,TRUE)/Q184),IF(N184="Europe to US",HELPER!$AH$2,IF(N184="Europe to Europe",HELPER!$AH$3,0))),0)</f>
        <v>0.2</v>
      </c>
      <c r="AH184" s="919" cm="1">
        <f t="array" ref="AH184">IFERROR(_xlfn.LET(_xlpm.cap,IF(O184="Quantum",760,1220),_xlpm.wUsed,E184*MAX(1,MIN(MAX(2,INT(900/E184)),INT((_xlpm.cap-50)/E184))),_xlpm.kgmUsed,AR184/E184*_xlpm.wUsed,_xlpm.lam,TEXT(B184,"0"),_xlpm.crit,(TEXT(HELPER!$BZ$2:$BZ$250,"0")=_xlpm.lam)*(HELPER!$CC$2:$CC$250=D184)*(HELPER!$BW$2:$BW$250&lt;&gt;""),_xlpm.mats,_xlfn._xlws.FILTER(HELPER!$BW$2:$BW$250,_xlpm.crit),_xlpm.realLayers,SUM((_xlpm.mats&lt;&gt;"")*ISERROR(SEARCH("EPOTAL",_xlpm.mats&amp;""))*ISERROR(SEARCH("BASONAT",_xlpm.mats&amp;""))*ISERROR(SEARCH("ADH",_xlpm.mats&amp;""))*ISERROR(SEARCH("HARDENER",_xlpm.mats&amp;""))),_xlpm.steps,MAX(0,_xlpm.realLayers-1),_xlpm.tier,IF(P184&lt;3000,1,IF(P184&lt;10000,2,IF(P184&lt;25000,3,IF(P184&lt;50000,4,IF(P184&lt;100000,5,IF(P184&lt;250000,6,7)))))),_xlpm.widthRow,IF(_xlpm.wUsed&lt;900,0,5),_xlpm.supplierRow,IF(O184="Marma",3,IF(OR(O184="Bastin",O184="Quantum"),13,0)),_xlpm.rate,INDEX('Lmntn &amp; Prntng- Marma &amp; Bastin '!$D$1:$K$22,_xlpm.supplierRow+_xlpm.widthRow,_xlpm.tier),_xlpm.rate*_xlpm.steps/_xlpm.kgmUsed),"")</f>
        <v>2.1678271990905218</v>
      </c>
      <c r="AI184" s="919" cm="1">
        <f t="array" ref="AI184">IFERROR(_xlfn.LET(_xlpm.cap,IF(O184="Quantum",760,1220),_xlpm.wUsed,E184*MAX(1,MIN(MAX(2,INT(900/E184)),INT((_xlpm.cap-50)/E184))),_xlpm.kgmUsed,AR184/E184*_xlpm.wUsed,_xlpm.tier,IF(P184&lt;3000,1,IF(P184&lt;10000,2,IF(P184&lt;25000,3,IF(P184&lt;50000,4,IF(P184&lt;100000,5,IF(P184&lt;250000,6,IF(P184&lt;500000,7,8))))))),_xlpm.widthRow,IF(_xlpm.wUsed&lt;900,0,5),_xlpm.slitRow,IF(O184="Marma",7,IF(OR(O184="Bastin",O184="Quantum"),17,0)),_xlpm.slitRate,INDEX('Lmntn &amp; Prntng- Marma &amp; Bastin '!$D$1:$K$22,_xlpm.slitRow+_xlpm.widthRow,_xlpm.tier),_xlpm.numColors,IF(ISNUMBER(L184),L184,IFERROR(--RIGHT(L184,LEN(L184)-FIND("-",L184)),0)),_xlpm.printRate,IF(OR(K184&lt;&gt;"Printed",_xlpm.numColors=0),0,IF(O184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184))),MAX(_xlfn._xlws.FILTER(_xlpm.meters,(_xlpm.widths=_xlpm.qWidth)*(_xlpm.bands=_xlpm.band)))),INDEX(_xlpm.rates,_xlfn.XMATCH(1,(_xlpm.widths=_xlpm.qWidth)*(_xlpm.bands=_xlpm.band)*(_xlpm.meters=_xlpm.targetM),0))/HELPER!$AK$2),_xlfn.LET(_xlpm.colorOffset,IF(_xlpm.numColors&lt;=2,1,IF(_xlpm.numColors&lt;=4,2,3)),_xlpm.supplierRow,IF(O184="Marma",3,IF(O184="Bastin",13,0)),INDEX('Lmntn &amp; Prntng- Marma &amp; Bastin '!$D$1:$K$22,_xlpm.supplierRow+_xlpm.widthRow+_xlpm.colorOffset,_xlpm.tier)))),AH184+_xlpm.slitRate/_xlpm.kgmUsed+_xlpm.printRate/_xlpm.kgmUsed+AJ184),"")</f>
        <v>11.749088153095544</v>
      </c>
      <c r="AJ184" s="919" cm="1">
        <f t="array" ref="AJ184">IF(OR(K184&lt;&gt;"Printed",L184=0,L184="0",L184=""),0,IFERROR(_xlfn.LET(_xlpm.lam,TEXT(B184,"0"),_xlpm.crit,(TEXT(HELPER!$BZ$2:$BZ$250,"0")=_xlpm.lam)*(HELPER!$CC$2:$CC$250=D184)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WHITE"},0)))/ROWS(_xlpm.real),_xlpm.numColors,IF(ISNUMBER(L184),L184,IFERROR(--RIGHT(L184,LEN(L184)-FIND("-",L184)),0)),HELPER!$DB$1*_xlpm.numColors*MAX(1,M184)*1.05*_xlpm.nkRatio/Q184),0))</f>
        <v>5.9684524655392925</v>
      </c>
      <c r="AK184" s="919">
        <f t="shared" si="63"/>
        <v>1.1788511466523857</v>
      </c>
      <c r="AL184" s="919">
        <f t="shared" si="64"/>
        <v>1096.3315663867186</v>
      </c>
      <c r="AM184" s="73" t="str">
        <f t="shared" si="65"/>
        <v>PASS</v>
      </c>
      <c r="AN184" s="908" t="str">
        <f t="shared" si="44"/>
        <v/>
      </c>
      <c r="AO184" s="919">
        <f t="shared" si="45"/>
        <v>79</v>
      </c>
      <c r="AP184" s="919">
        <f t="shared" si="46"/>
        <v>10000</v>
      </c>
      <c r="AQ184" s="919"/>
      <c r="AR184" s="919" cm="1">
        <f t="array" ref="AR184">IFERROR(_xlfn.LET(_xlpm.lam,TEXT(B184,"0"),_xlpm.thick,D184,_xlpm.crit,(TEXT(HELPER!$BZ$2:$BZ$250,"0")=_xlpm.lam)*(HELPER!$CC$2:$CC$250=_xlpm.thick)*(HELPER!$BW$2:$BW$250&lt;&gt;""),_xlpm.mats,TRIM(SUBSTITUTE(_xlfn._xlws.FILTER(HELPER!$BW$2:$BW$250,_xlpm.crit),CHAR(160),"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")),HELPER!$AQ$2:$AQ$20,1),_xlpm.mass,IF(ISNUMBER(SEARCH("paper",_xlpm.mats)),42,_xlpm.dens*_xlpm.ths),E184/1000000*SUM(_xlpm.mass)),"")</f>
        <v>4.2221999999999996E-2</v>
      </c>
      <c r="AS184" s="919">
        <f>IFERROR(IF(D184&gt;31,(5%+250/P184)*AF184,VLOOKUP(D184,HELPER!$BH$3:$BI$5,2,TRUE)*AF184),0)</f>
        <v>0.61560134490017071</v>
      </c>
      <c r="AT184" s="919">
        <v>0.2</v>
      </c>
      <c r="AU184" s="919"/>
      <c r="AV184" s="919"/>
      <c r="AW184" s="919"/>
      <c r="AX184" s="919"/>
      <c r="AY184" s="919"/>
      <c r="AZ184" s="919">
        <f t="shared" si="47"/>
        <v>2520</v>
      </c>
    </row>
    <row r="185" spans="1:52">
      <c r="A185" s="73" t="s">
        <v>1606</v>
      </c>
      <c r="B185" s="73">
        <v>928</v>
      </c>
      <c r="C185" s="908" t="s">
        <v>1436</v>
      </c>
      <c r="D185" s="915" cm="1">
        <f t="array" ref="D18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5" s="915">
        <v>450</v>
      </c>
      <c r="F185" s="73" t="s">
        <v>560</v>
      </c>
      <c r="G185" s="916">
        <v>500</v>
      </c>
      <c r="H185" s="916">
        <v>500</v>
      </c>
      <c r="I185" s="916"/>
      <c r="J185" s="916"/>
      <c r="K185" s="73" t="s">
        <v>123</v>
      </c>
      <c r="L185" s="921" t="s">
        <v>591</v>
      </c>
      <c r="M185" s="915">
        <v>2</v>
      </c>
      <c r="N185" s="73" t="s">
        <v>549</v>
      </c>
      <c r="O185" s="73" t="s">
        <v>1366</v>
      </c>
      <c r="P185" s="916" cm="1">
        <f t="array" ref="P185">IFERROR(_xlfn.SWITCH(F185,"By Weight",IF(H185&lt;&gt;"",H185,G185)/AR185,"By Length",G185,"By Imp",G185/MAX(1,ROUNDDOWN(E185/I185,0))*J185/1000,"IMP",G185/MAX(1,ROUNDDOWN(E185/I185,0))*J185/1000,""),"")</f>
        <v>15789.556787140984</v>
      </c>
      <c r="Q185" s="916">
        <f t="shared" si="48"/>
        <v>499.99999999999994</v>
      </c>
      <c r="R185" s="917">
        <f t="shared" si="49"/>
        <v>18404.367200679844</v>
      </c>
      <c r="S185" s="918">
        <f t="shared" si="50"/>
        <v>21349.065952788616</v>
      </c>
      <c r="T185" s="919">
        <f t="shared" si="51"/>
        <v>36.808734401359693</v>
      </c>
      <c r="U185" s="920">
        <f t="shared" si="52"/>
        <v>42.698131905577242</v>
      </c>
      <c r="V185" s="919">
        <f t="shared" si="53"/>
        <v>1.371298574024302</v>
      </c>
      <c r="W185" s="919">
        <f t="shared" si="54"/>
        <v>43.304393413364345</v>
      </c>
      <c r="X185" s="919" t="str">
        <f t="shared" si="55"/>
        <v/>
      </c>
      <c r="Y185" s="920">
        <f t="shared" si="56"/>
        <v>1.5907063458681903</v>
      </c>
      <c r="Z185" s="920">
        <f t="shared" si="57"/>
        <v>50.233096359502639</v>
      </c>
      <c r="AA185" s="920" t="str">
        <f t="shared" si="58"/>
        <v/>
      </c>
      <c r="AB185" s="917">
        <f t="shared" si="59"/>
        <v>21652.196706682171</v>
      </c>
      <c r="AC185" s="918">
        <f t="shared" si="60"/>
        <v>25116.548179751317</v>
      </c>
      <c r="AD185" s="916">
        <f t="shared" si="61"/>
        <v>15789.556787140984</v>
      </c>
      <c r="AE185" s="916">
        <f t="shared" si="62"/>
        <v>500</v>
      </c>
      <c r="AF185" s="919" cm="1">
        <f t="array" ref="AF185">IFERROR(_xlfn.LET(_xlpm.lam,TEXT(B185,"0"),_xlpm.thick,D185,_xlpm.crit,(TEXT(HELPER!$BZ$2:$BZ$250,"0")=_xlpm.lam)*(HELPER!$CC$2:$CC$250=_xlpm.thick)*(HELPER!$BW$2:$BW$250&lt;&gt;""),_xlpm.mats,TRIM(SUBSTITUTE(_xlfn._xlws.FILTER(HELPER!$BW$2:$BW$250,_xlpm.crit),CHAR(160),"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5" s="919">
        <f>IFERROR(IF(N185="Europe to Canada",IF(Q185&lt;1000,VLOOKUP(1000,HELPER!$AG$4:$AH$8,2,FALSE)/Q185,VLOOKUP(Q185,HELPER!$AG$4:$AH$8,2,TRUE)/Q185),IF(N185="Europe to US",HELPER!$AH$2,IF(N185="Europe to Europe",HELPER!$AH$3,0))),0)</f>
        <v>0.2</v>
      </c>
      <c r="AH185" s="919" cm="1">
        <f t="array" ref="AH185">IFERROR(_xlfn.LET(_xlpm.cap,IF(O185="Quantum",760,1220),_xlpm.wUsed,E185*MAX(1,MIN(MAX(2,INT(900/E185)),INT((_xlpm.cap-50)/E185))),_xlpm.kgmUsed,AR185/E185*_xlpm.wUsed,_xlpm.lam,TEXT(B185,"0"),_xlpm.crit,(TEXT(HELPER!$BZ$2:$BZ$250,"0")=_xlpm.lam)*(HELPER!$CC$2:$CC$250=D185)*(HELPER!$BW$2:$BW$250&lt;&gt;""),_xlpm.mats,_xlfn._xlws.FILTER(HELPER!$BW$2:$BW$250,_xlpm.crit),_xlpm.realLayers,SUM((_xlpm.mats&lt;&gt;"")*ISERROR(SEARCH("EPOTAL",_xlpm.mats&amp;""))*ISERROR(SEARCH("BASONAT",_xlpm.mats&amp;""))*ISERROR(SEARCH("ADH",_xlpm.mats&amp;""))*ISERROR(SEARCH("HARDENER",_xlpm.mats&amp;""))),_xlpm.steps,MAX(0,_xlpm.realLayers-1),_xlpm.tier,IF(P185&lt;3000,1,IF(P185&lt;10000,2,IF(P185&lt;25000,3,IF(P185&lt;50000,4,IF(P185&lt;100000,5,IF(P185&lt;250000,6,7)))))),_xlpm.widthRow,IF(_xlpm.wUsed&lt;900,0,5),_xlpm.supplierRow,IF(O185="Marma",3,IF(OR(O185="Bastin",O185="Quantum"),13,0)),_xlpm.rate,INDEX('Lmntn &amp; Prntng- Marma &amp; Bastin '!$D$1:$K$22,_xlpm.supplierRow+_xlpm.widthRow,_xlpm.tier),_xlpm.rate*_xlpm.steps/_xlpm.kgmUsed),"")</f>
        <v>3.757567145090237</v>
      </c>
      <c r="AI185" s="919" cm="1">
        <f t="array" ref="AI185">IFERROR(_xlfn.LET(_xlpm.cap,IF(O185="Quantum",760,1220),_xlpm.wUsed,E185*MAX(1,MIN(MAX(2,INT(900/E185)),INT((_xlpm.cap-50)/E185))),_xlpm.kgmUsed,AR185/E185*_xlpm.wUsed,_xlpm.tier,IF(P185&lt;3000,1,IF(P185&lt;10000,2,IF(P185&lt;25000,3,IF(P185&lt;50000,4,IF(P185&lt;100000,5,IF(P185&lt;250000,6,IF(P185&lt;500000,7,8))))))),_xlpm.widthRow,IF(_xlpm.wUsed&lt;900,0,5),_xlpm.slitRow,IF(O185="Marma",7,IF(OR(O185="Bastin",O185="Quantum"),17,0)),_xlpm.slitRate,INDEX('Lmntn &amp; Prntng- Marma &amp; Bastin '!$D$1:$K$22,_xlpm.slitRow+_xlpm.widthRow,_xlpm.tier),_xlpm.numColors,IF(ISNUMBER(L185),L185,IFERROR(--RIGHT(L185,LEN(L185)-FIND("-",L185)),0)),_xlpm.printRate,IF(OR(K185&lt;&gt;"Printed",_xlpm.numColors=0),0,IF(O185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185))),MAX(_xlfn._xlws.FILTER(_xlpm.meters,(_xlpm.widths=_xlpm.qWidth)*(_xlpm.bands=_xlpm.band)))),INDEX(_xlpm.rates,_xlfn.XMATCH(1,(_xlpm.widths=_xlpm.qWidth)*(_xlpm.bands=_xlpm.band)*(_xlpm.meters=_xlpm.targetM),0))/HELPER!$AK$2),_xlfn.LET(_xlpm.colorOffset,IF(_xlpm.numColors&lt;=2,1,IF(_xlpm.numColors&lt;=4,2,3)),_xlpm.supplierRow,IF(O185="Marma",3,IF(O185="Bastin",13,0)),INDEX('Lmntn &amp; Prntng- Marma &amp; Bastin '!$D$1:$K$22,_xlpm.supplierRow+_xlpm.widthRow+_xlpm.colorOffset,_xlpm.tier)))),AH185+_xlpm.slitRate/_xlpm.kgmUsed+_xlpm.printRate/_xlpm.kgmUsed+AJ185),"")</f>
        <v>27.860355972835432</v>
      </c>
      <c r="AJ185" s="919" cm="1">
        <f t="array" ref="AJ185">IF(OR(K185&lt;&gt;"Printed",L185=0,L185="0",L185=""),0,IFERROR(_xlfn.LET(_xlpm.lam,TEXT(B185,"0"),_xlpm.crit,(TEXT(HELPER!$BZ$2:$BZ$250,"0")=_xlpm.lam)*(HELPER!$CC$2:$CC$250=D185)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WHITE"},0)))/ROWS(_xlpm.real),_xlpm.numColors,IF(ISNUMBER(L185),L185,IFERROR(--RIGHT(L185,LEN(L185)-FIND("-",L185)),0)),HELPER!$DB$1*_xlpm.numColors*MAX(1,M185)*1.05*_xlpm.nkRatio/Q185),0))</f>
        <v>1.2600000000000002</v>
      </c>
      <c r="AK185" s="919">
        <f t="shared" si="63"/>
        <v>1.9660194609667412</v>
      </c>
      <c r="AL185" s="919">
        <f t="shared" si="64"/>
        <v>1371.2985740243021</v>
      </c>
      <c r="AM185" s="73" t="str">
        <f t="shared" si="65"/>
        <v>PASS</v>
      </c>
      <c r="AN185" s="908" t="str">
        <f t="shared" si="44"/>
        <v/>
      </c>
      <c r="AO185" s="919">
        <f t="shared" si="45"/>
        <v>79</v>
      </c>
      <c r="AP185" s="919">
        <f t="shared" si="46"/>
        <v>15789.556787140984</v>
      </c>
      <c r="AQ185" s="919"/>
      <c r="AR185" s="919" cm="1">
        <f t="array" ref="AR185">IFERROR(_xlfn.LET(_xlpm.lam,TEXT(B185,"0"),_xlpm.thick,D185,_xlpm.crit,(TEXT(HELPER!$BZ$2:$BZ$250,"0")=_xlpm.lam)*(HELPER!$CC$2:$CC$250=_xlpm.thick)*(HELPER!$BW$2:$BW$250&lt;&gt;""),_xlpm.mats,TRIM(SUBSTITUTE(_xlfn._xlws.FILTER(HELPER!$BW$2:$BW$250,_xlpm.crit),CHAR(160),"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")),HELPER!$AQ$2:$AQ$20,1),_xlpm.mass,IF(ISNUMBER(SEARCH("paper",_xlpm.mats)),42,_xlpm.dens*_xlpm.ths),E185/1000000*SUM(_xlpm.mass)),"")</f>
        <v>3.16665E-2</v>
      </c>
      <c r="AS185" s="919">
        <f>IFERROR(IF(D185&gt;31,(5%+250/P185)*AF185,VLOOKUP(D185,HELPER!$BH$3:$BI$5,2,TRUE)*AF185),0)</f>
        <v>0.54036049652198881</v>
      </c>
      <c r="AT185" s="919">
        <v>0.15</v>
      </c>
      <c r="AU185" s="919"/>
      <c r="AV185" s="919"/>
      <c r="AW185" s="919"/>
      <c r="AX185" s="919"/>
      <c r="AY185" s="919"/>
      <c r="AZ185" s="919">
        <f t="shared" si="47"/>
        <v>630</v>
      </c>
    </row>
    <row r="186" spans="1:52">
      <c r="A186" s="73" t="s">
        <v>2211</v>
      </c>
      <c r="B186" s="73">
        <v>120</v>
      </c>
      <c r="C186" s="908" t="s">
        <v>2212</v>
      </c>
      <c r="D186" s="915" cm="1">
        <f t="array" ref="D18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6" s="915">
        <v>120</v>
      </c>
      <c r="F186" s="73" t="s">
        <v>560</v>
      </c>
      <c r="G186" s="916">
        <v>100</v>
      </c>
      <c r="H186" s="916">
        <v>100</v>
      </c>
      <c r="I186" s="916"/>
      <c r="J186" s="916"/>
      <c r="K186" s="73" t="s">
        <v>124</v>
      </c>
      <c r="L186" s="921" t="s">
        <v>221</v>
      </c>
      <c r="M186" s="915">
        <v>1</v>
      </c>
      <c r="N186" s="73" t="s">
        <v>548</v>
      </c>
      <c r="O186" s="73" t="s">
        <v>250</v>
      </c>
      <c r="P186" s="916" cm="1">
        <f t="array" ref="P186">IFERROR(_xlfn.SWITCH(F186,"By Weight",IF(H186&lt;&gt;"",H186,G186)/AR186,"By Length",G186,"By Imp",G186/MAX(1,ROUNDDOWN(E186/I186,0))*J186/1000,"IMP",G186/MAX(1,ROUNDDOWN(E186/I186,0))*J186/1000,""),"")</f>
        <v>8759.0217924462195</v>
      </c>
      <c r="Q186" s="916">
        <f>IFERROR(P186*AR186,"")</f>
        <v>100</v>
      </c>
      <c r="R186" s="917">
        <f>IFERROR(Q186*T186,"")</f>
        <v>4242.3668314756424</v>
      </c>
      <c r="S186" s="918">
        <f>IFERROR(R186*1.16,"")</f>
        <v>4921.145524511745</v>
      </c>
      <c r="T186" s="919">
        <f>IFERROR(AF186+AG186+AI186+AS186,"")</f>
        <v>42.423668314756419</v>
      </c>
      <c r="U186" s="920">
        <f>IFERROR(T186*1.16,"")</f>
        <v>49.211455245117442</v>
      </c>
      <c r="V186" s="919">
        <f>IFERROR(W186*AR186,"")</f>
        <v>0.56981474872460125</v>
      </c>
      <c r="W186" s="919">
        <f>IFERROR(T186/(1-AT186),"")</f>
        <v>49.910198017360493</v>
      </c>
      <c r="X186" s="919" t="str">
        <f>IF(OR(I186="",J186=""),"",IFERROR(V186*(J186/1000)/MAX(1,ROUNDDOWN(E186/I186,0)),""))</f>
        <v/>
      </c>
      <c r="Y186" s="920">
        <f>IFERROR(V186*1.16,"")</f>
        <v>0.66098510852053738</v>
      </c>
      <c r="Z186" s="920">
        <f>IFERROR(W186*1.16,"")</f>
        <v>57.895829700138165</v>
      </c>
      <c r="AA186" s="920" t="str">
        <f>IFERROR(X186*1.16,"")</f>
        <v/>
      </c>
      <c r="AB186" s="917">
        <f>IFERROR(W186*Q186,"")</f>
        <v>4991.019801736049</v>
      </c>
      <c r="AC186" s="918">
        <f>IFERROR(AB186*1.16,"")</f>
        <v>5789.5829700138165</v>
      </c>
      <c r="AD186" s="916">
        <f>IFERROR(AE186/AR186,"")</f>
        <v>43795.108962231097</v>
      </c>
      <c r="AE186" s="916">
        <f>_xlfn.LET(_xlpm.lam,UPPER(SUBSTITUTE(B186&amp;"","LAMINATE","")),IF(_xlpm.lam="608W",2000,IF(_xlpm.lam="608",750,500)))</f>
        <v>500</v>
      </c>
      <c r="AF186" s="919" cm="1">
        <f t="array" ref="AF186">IFERROR(_xlfn.LET(_xlpm.lam,TEXT(B186,"0"),_xlpm.thick,D186,_xlpm.crit,(TEXT(HELPER!$BZ$2:$BZ$250,"0")=_xlpm.lam)*(HELPER!$CC$2:$CC$250=_xlpm.thick)*(HELPER!$BW$2:$BW$250&lt;&gt;""),_xlpm.mats,TRIM(SUBSTITUTE(_xlfn._xlws.FILTER(HELPER!$BW$2:$BW$250,_xlpm.crit),CHAR(160),"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86" s="919">
        <f>IFERROR(IF(N186="Europe to Canada",IF(Q186&lt;1000,VLOOKUP(1000,HELPER!$AG$4:$AH$8,2,FALSE)/Q186,VLOOKUP(Q186,HELPER!$AG$4:$AH$8,2,TRUE)/Q186),IF(N186="Europe to US",HELPER!$AH$2,IF(N186="Europe to Europe",HELPER!$AH$3,0))),0)</f>
        <v>34.482758620689701</v>
      </c>
      <c r="AH186" s="919" cm="1">
        <f t="array" ref="AH186">IFERROR(_xlfn.LET(_xlpm.cap,IF(O186="Quantum",760,1220),_xlpm.wUsed,E186*MAX(1,MIN(MAX(2,INT(900/E186)),INT((_xlpm.cap-50)/E186))),_xlpm.kgmUsed,AR186/E186*_xlpm.wUsed,_xlpm.lam,TEXT(B186,"0"),_xlpm.crit,(TEXT(HELPER!$BZ$2:$BZ$250,"0")=_xlpm.lam)*(HELPER!$CC$2:$CC$250=D186)*(HELPER!$BW$2:$BW$250&lt;&gt;""),_xlpm.mats,_xlfn._xlws.FILTER(HELPER!$BW$2:$BW$250,_xlpm.crit),_xlpm.realLayers,SUM((_xlpm.mats&lt;&gt;"")*ISERROR(SEARCH("EPOTAL",_xlpm.mats&amp;""))*ISERROR(SEARCH("BASONAT",_xlpm.mats&amp;""))*ISERROR(SEARCH("ADH",_xlpm.mats&amp;""))*ISERROR(SEARCH("HARDENER",_xlpm.mats&amp;""))),_xlpm.steps,MAX(0,_xlpm.realLayers-1),_xlpm.tier,IF(P186&lt;3000,1,IF(P186&lt;10000,2,IF(P186&lt;25000,3,IF(P186&lt;50000,4,IF(P186&lt;100000,5,IF(P186&lt;250000,6,7)))))),_xlpm.widthRow,IF(_xlpm.wUsed&lt;900,0,5),_xlpm.supplierRow,IF(O186="Marma",3,IF(OR(O186="Bastin",O186="Quantum"),13,0)),_xlpm.rate,INDEX('Lmntn &amp; Prntng- Marma &amp; Bastin '!$D$1:$K$22,_xlpm.supplierRow+_xlpm.widthRow,_xlpm.tier),_xlpm.rate*_xlpm.steps/_xlpm.kgmUsed),"")</f>
        <v>2.6059341121354995</v>
      </c>
      <c r="AI186" s="919" cm="1">
        <f t="array" ref="AI186">IFERROR(_xlfn.LET(_xlpm.cap,IF(O186="Quantum",760,1220),_xlpm.wUsed,E186*MAX(1,MIN(MAX(2,INT(900/E186)),INT((_xlpm.cap-50)/E186))),_xlpm.kgmUsed,AR186/E186*_xlpm.wUsed,_xlpm.tier,IF(P186&lt;3000,1,IF(P186&lt;10000,2,IF(P186&lt;25000,3,IF(P186&lt;50000,4,IF(P186&lt;100000,5,IF(P186&lt;250000,6,IF(P186&lt;500000,7,8))))))),_xlpm.widthRow,IF(_xlpm.wUsed&lt;900,0,5),_xlpm.slitRow,IF(O186="Marma",7,IF(OR(O186="Bastin",O186="Quantum"),17,0)),_xlpm.slitRate,INDEX('Lmntn &amp; Prntng- Marma &amp; Bastin '!$D$1:$K$22,_xlpm.slitRow+_xlpm.widthRow,_xlpm.tier),_xlpm.numColors,IF(ISNUMBER(L186),L186,IFERROR(--RIGHT(L186,LEN(L186)-FIND("-",L186)),0)),_xlpm.printRate,IF(OR(K186&lt;&gt;"Printed",_xlpm.numColors=0),0,IF(O186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186))),MAX(_xlfn._xlws.FILTER(_xlpm.meters,(_xlpm.widths=_xlpm.qWidth)*(_xlpm.bands=_xlpm.band)))),INDEX(_xlpm.rates,_xlfn.XMATCH(1,(_xlpm.widths=_xlpm.qWidth)*(_xlpm.bands=_xlpm.band)*(_xlpm.meters=_xlpm.targetM),0))/HELPER!$AK$2),_xlfn.LET(_xlpm.colorOffset,IF(_xlpm.numColors&lt;=2,1,IF(_xlpm.numColors&lt;=4,2,3)),_xlpm.supplierRow,IF(O186="Marma",3,IF(O186="Bastin",13,0)),INDEX('Lmntn &amp; Prntng- Marma &amp; Bastin '!$D$1:$K$22,_xlpm.supplierRow+_xlpm.widthRow+_xlpm.colorOffset,_xlpm.tier)))),AH186+_xlpm.slitRate/_xlpm.kgmUsed+_xlpm.printRate/_xlpm.kgmUsed+AJ186),"")</f>
        <v>2.9865761734586624</v>
      </c>
      <c r="AJ186" s="919" cm="1">
        <f t="array" ref="AJ186">IF(OR(K186&lt;&gt;"Printed",L186=0,L186="0",L186=""),0,IFERROR(_xlfn.LET(_xlpm.lam,TEXT(B186,"0"),_xlpm.crit,(TEXT(HELPER!$BZ$2:$BZ$250,"0")=_xlpm.lam)*(HELPER!$CC$2:$CC$250=D186)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WHITE"},0)))/ROWS(_xlpm.real),_xlpm.numColors,IF(ISNUMBER(L186),L186,IFERROR(--RIGHT(L186,LEN(L186)-FIND("-",L186)),0)),HELPER!$DB$1*_xlpm.numColors*MAX(1,M186)*1.05*_xlpm.nkRatio/Q186),0))</f>
        <v>0</v>
      </c>
      <c r="AK186" s="919">
        <f>IFERROR(V186/(E186/1000*1.55),"")</f>
        <v>3.0635201544333399</v>
      </c>
      <c r="AL186" s="919">
        <f>IFERROR(V186*1000,"")</f>
        <v>569.81474872460126</v>
      </c>
      <c r="AM186" s="73" t="str">
        <f>IF(AND(ISNUMBER(P186),ISNUMBER(Q186),ISNUMBER(R186),ISNUMBER(T186),Q186&gt;0),IF(ABS(T186-R186/Q186)&lt;0.02,IF(AN186="","PASS","CHECK"),"CHECK"),"CHECK")</f>
        <v>PASS</v>
      </c>
      <c r="AN186" s="908" t="str">
        <f t="shared" si="44"/>
        <v/>
      </c>
      <c r="AO186" s="919">
        <f t="shared" si="45"/>
        <v>98</v>
      </c>
      <c r="AP186" s="919">
        <f t="shared" si="46"/>
        <v>8759.0217924462195</v>
      </c>
      <c r="AQ186" s="919"/>
      <c r="AR186" s="919" cm="1">
        <f t="array" ref="AR186">IFERROR(_xlfn.LET(_xlpm.lam,TEXT(B186,"0"),_xlpm.thick,D186,_xlpm.crit,(TEXT(HELPER!$BZ$2:$BZ$250,"0")=_xlpm.lam)*(HELPER!$CC$2:$CC$250=_xlpm.thick)*(HELPER!$BW$2:$BW$250&lt;&gt;""),_xlpm.mats,TRIM(SUBSTITUTE(_xlfn._xlws.FILTER(HELPER!$BW$2:$BW$250,_xlpm.crit),CHAR(160),"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")),HELPER!$AQ$2:$AQ$20,1),_xlpm.mass,IF(ISNUMBER(SEARCH("paper",_xlpm.mats)),42,_xlpm.dens*_xlpm.ths),E186/1000000*SUM(_xlpm.mass)),"")</f>
        <v>1.14168E-2</v>
      </c>
      <c r="AS186" s="919">
        <f>IFERROR(IF(D186&gt;31,(5%+250/P186)*AF186,VLOOKUP(D186,HELPER!$BH$3:$BI$5,2,TRUE)*AF186),0)</f>
        <v>0.36078637955276432</v>
      </c>
      <c r="AT186" s="919">
        <v>0.15</v>
      </c>
      <c r="AU186" s="919"/>
      <c r="AV186" s="919"/>
      <c r="AW186" s="919"/>
      <c r="AX186" s="919"/>
      <c r="AY186" s="919"/>
      <c r="AZ186" s="919">
        <f t="shared" si="47"/>
        <v>0</v>
      </c>
    </row>
    <row r="187" spans="1:52">
      <c r="A187" s="73" t="s">
        <v>2213</v>
      </c>
      <c r="B187" s="73">
        <v>120</v>
      </c>
      <c r="C187" s="908" t="s">
        <v>2214</v>
      </c>
      <c r="D187" s="915" cm="1">
        <f t="array" ref="D18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7" s="915">
        <v>350</v>
      </c>
      <c r="F187" s="73" t="s">
        <v>560</v>
      </c>
      <c r="G187" s="916">
        <v>5000</v>
      </c>
      <c r="H187" s="916">
        <v>5000</v>
      </c>
      <c r="I187" s="916"/>
      <c r="J187" s="916"/>
      <c r="K187" s="73" t="s">
        <v>123</v>
      </c>
      <c r="L187" s="921" t="s">
        <v>122</v>
      </c>
      <c r="M187" s="915">
        <v>4</v>
      </c>
      <c r="N187" s="73" t="s">
        <v>548</v>
      </c>
      <c r="O187" s="73" t="s">
        <v>1366</v>
      </c>
      <c r="P187" s="916" cm="1">
        <f t="array" ref="P187">IFERROR(_xlfn.SWITCH(F187,"By Weight",IF(H187&lt;&gt;"",H187,G187)/AR187,"By Length",G187,"By Imp",G187/MAX(1,ROUNDDOWN(E187/I187,0))*J187/1000,"IMP",G187/MAX(1,ROUNDDOWN(E187/I187,0))*J187/1000,""),"")</f>
        <v>150154.65929907805</v>
      </c>
      <c r="Q187" s="916">
        <f t="shared" ref="Q187:Q250" si="66">IFERROR(P187*AR187,"")</f>
        <v>5000</v>
      </c>
      <c r="R187" s="917">
        <f t="shared" ref="R187:R250" si="67">IFERROR(Q187*T187,"")</f>
        <v>107826.04013960094</v>
      </c>
      <c r="S187" s="918">
        <f t="shared" ref="S187:S250" si="68">IFERROR(R187*1.16,"")</f>
        <v>125078.20656193708</v>
      </c>
      <c r="T187" s="919">
        <f t="shared" ref="T187:T250" si="69">IFERROR(AF187+AG187+AI187+AS187,"")</f>
        <v>21.565208027920189</v>
      </c>
      <c r="U187" s="920">
        <f t="shared" ref="U187:U250" si="70">IFERROR(T187*1.16,"")</f>
        <v>25.015641312387416</v>
      </c>
      <c r="V187" s="919">
        <f t="shared" ref="V187:V250" si="71">IFERROR(W187*AR187,"")</f>
        <v>0.84482336720201501</v>
      </c>
      <c r="W187" s="919">
        <f t="shared" ref="W187:W250" si="72">IFERROR(T187/(1-AT187),"")</f>
        <v>25.370832974023692</v>
      </c>
      <c r="X187" s="919" t="str">
        <f t="shared" ref="X187:X250" si="73">IF(OR(I187="",J187=""),"",IFERROR(V187*(J187/1000)/MAX(1,ROUNDDOWN(E187/I187,0)),""))</f>
        <v/>
      </c>
      <c r="Y187" s="920">
        <f t="shared" ref="Y187:Y250" si="74">IFERROR(V187*1.16,"")</f>
        <v>0.97999510595433736</v>
      </c>
      <c r="Z187" s="920">
        <f t="shared" ref="Z187:Z250" si="75">IFERROR(W187*1.16,"")</f>
        <v>29.430166249867479</v>
      </c>
      <c r="AA187" s="920" t="str">
        <f t="shared" ref="AA187:AA250" si="76">IFERROR(X187*1.16,"")</f>
        <v/>
      </c>
      <c r="AB187" s="917">
        <f t="shared" ref="AB187:AB250" si="77">IFERROR(W187*Q187,"")</f>
        <v>126854.16487011846</v>
      </c>
      <c r="AC187" s="918">
        <f t="shared" ref="AC187:AC250" si="78">IFERROR(AB187*1.16,"")</f>
        <v>147150.83124933741</v>
      </c>
      <c r="AD187" s="916">
        <f t="shared" ref="AD187:AD250" si="79">IFERROR(AE187/AR187,"")</f>
        <v>15015.465929907805</v>
      </c>
      <c r="AE187" s="916">
        <f t="shared" ref="AE187:AE250" si="80">_xlfn.LET(_xlpm.lam,UPPER(SUBSTITUTE(B187&amp;"","LAMINATE","")),IF(_xlpm.lam="608W",2000,IF(_xlpm.lam="608",750,500)))</f>
        <v>500</v>
      </c>
      <c r="AF187" s="919" cm="1">
        <f t="array" ref="AF187">IFERROR(_xlfn.LET(_xlpm.lam,TEXT(B187,"0"),_xlpm.thick,D187,_xlpm.crit,(TEXT(HELPER!$BZ$2:$BZ$250,"0")=_xlpm.lam)*(HELPER!$CC$2:$CC$250=_xlpm.thick)*(HELPER!$BW$2:$BW$250&lt;&gt;""),_xlpm.mats,TRIM(SUBSTITUTE(_xlfn._xlws.FILTER(HELPER!$BW$2:$BW$250,_xlpm.crit),CHAR(160),"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87" s="919">
        <f>IFERROR(IF(N187="Europe to Canada",IF(Q187&lt;1000,VLOOKUP(1000,HELPER!$AG$4:$AH$8,2,FALSE)/Q187,VLOOKUP(Q187,HELPER!$AG$4:$AH$8,2,TRUE)/Q187),IF(N187="Europe to US",HELPER!$AH$2,IF(N187="Europe to Europe",HELPER!$AH$3,0))),0)</f>
        <v>1.8448275862068959</v>
      </c>
      <c r="AH187" s="919" cm="1">
        <f t="array" ref="AH187">IFERROR(_xlfn.LET(_xlpm.cap,IF(O187="Quantum",760,1220),_xlpm.wUsed,E187*MAX(1,MIN(MAX(2,INT(900/E187)),INT((_xlpm.cap-50)/E187))),_xlpm.kgmUsed,AR187/E187*_xlpm.wUsed,_xlpm.lam,TEXT(B187,"0"),_xlpm.crit,(TEXT(HELPER!$BZ$2:$BZ$250,"0")=_xlpm.lam)*(HELPER!$CC$2:$CC$250=D187)*(HELPER!$BW$2:$BW$250&lt;&gt;""),_xlpm.mats,_xlfn._xlws.FILTER(HELPER!$BW$2:$BW$250,_xlpm.crit),_xlpm.realLayers,SUM((_xlpm.mats&lt;&gt;"")*ISERROR(SEARCH("EPOTAL",_xlpm.mats&amp;""))*ISERROR(SEARCH("BASONAT",_xlpm.mats&amp;""))*ISERROR(SEARCH("ADH",_xlpm.mats&amp;""))*ISERROR(SEARCH("HARDENER",_xlpm.mats&amp;""))),_xlpm.steps,MAX(0,_xlpm.realLayers-1),_xlpm.tier,IF(P187&lt;3000,1,IF(P187&lt;10000,2,IF(P187&lt;25000,3,IF(P187&lt;50000,4,IF(P187&lt;100000,5,IF(P187&lt;250000,6,7)))))),_xlpm.widthRow,IF(_xlpm.wUsed&lt;900,0,5),_xlpm.supplierRow,IF(O187="Marma",3,IF(OR(O187="Bastin",O187="Quantum"),13,0)),_xlpm.rate,INDEX('Lmntn &amp; Prntng- Marma &amp; Bastin '!$D$1:$K$22,_xlpm.supplierRow+_xlpm.widthRow,_xlpm.tier),_xlpm.rate*_xlpm.steps/_xlpm.kgmUsed),"")</f>
        <v>3.278206552749332</v>
      </c>
      <c r="AI187" s="919" cm="1">
        <f t="array" ref="AI187">IFERROR(_xlfn.LET(_xlpm.cap,IF(O187="Quantum",760,1220),_xlpm.wUsed,E187*MAX(1,MIN(MAX(2,INT(900/E187)),INT((_xlpm.cap-50)/E187))),_xlpm.kgmUsed,AR187/E187*_xlpm.wUsed,_xlpm.tier,IF(P187&lt;3000,1,IF(P187&lt;10000,2,IF(P187&lt;25000,3,IF(P187&lt;50000,4,IF(P187&lt;100000,5,IF(P187&lt;250000,6,IF(P187&lt;500000,7,8))))))),_xlpm.widthRow,IF(_xlpm.wUsed&lt;900,0,5),_xlpm.slitRow,IF(O187="Marma",7,IF(OR(O187="Bastin",O187="Quantum"),17,0)),_xlpm.slitRate,INDEX('Lmntn &amp; Prntng- Marma &amp; Bastin '!$D$1:$K$22,_xlpm.slitRow+_xlpm.widthRow,_xlpm.tier),_xlpm.numColors,IF(ISNUMBER(L187),L187,IFERROR(--RIGHT(L187,LEN(L187)-FIND("-",L187)),0)),_xlpm.printRate,IF(OR(K187&lt;&gt;"Printed",_xlpm.numColors=0),0,IF(O187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187))),MAX(_xlfn._xlws.FILTER(_xlpm.meters,(_xlpm.widths=_xlpm.qWidth)*(_xlpm.bands=_xlpm.band)))),INDEX(_xlpm.rates,_xlfn.XMATCH(1,(_xlpm.widths=_xlpm.qWidth)*(_xlpm.bands=_xlpm.band)*(_xlpm.meters=_xlpm.targetM),0))/HELPER!$AK$2),_xlfn.LET(_xlpm.colorOffset,IF(_xlpm.numColors&lt;=2,1,IF(_xlpm.numColors&lt;=4,2,3)),_xlpm.supplierRow,IF(O187="Marma",3,IF(O187="Bastin",13,0)),INDEX('Lmntn &amp; Prntng- Marma &amp; Bastin '!$D$1:$K$22,_xlpm.supplierRow+_xlpm.widthRow+_xlpm.colorOffset,_xlpm.tier)))),AH187+_xlpm.slitRate/_xlpm.kgmUsed+_xlpm.printRate/_xlpm.kgmUsed+AJ187),"")</f>
        <v>14.889507917292743</v>
      </c>
      <c r="AJ187" s="919" cm="1">
        <f t="array" ref="AJ187">IF(OR(K187&lt;&gt;"Printed",L187=0,L187="0",L187=""),0,IFERROR(_xlfn.LET(_xlpm.lam,TEXT(B187,"0"),_xlpm.crit,(TEXT(HELPER!$BZ$2:$BZ$250,"0")=_xlpm.lam)*(HELPER!$CC$2:$CC$250=D187)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WHITE"},0)))/ROWS(_xlpm.real),_xlpm.numColors,IF(ISNUMBER(L187),L187,IFERROR(--RIGHT(L187,LEN(L187)-FIND("-",L187)),0)),HELPER!$DB$1*_xlpm.numColors*MAX(1,M187)*1.05*_xlpm.nkRatio/Q187),0))</f>
        <v>0</v>
      </c>
      <c r="AK187" s="919">
        <f t="shared" ref="AK187:AK250" si="81">IFERROR(V187/(E187/1000*1.55),"")</f>
        <v>1.5572780962249124</v>
      </c>
      <c r="AL187" s="919">
        <f t="shared" ref="AL187:AL250" si="82">IFERROR(V187*1000,"")</f>
        <v>844.82336720201499</v>
      </c>
      <c r="AM187" s="73" t="str">
        <f t="shared" ref="AM187:AM250" si="83">IF(AND(ISNUMBER(P187),ISNUMBER(Q187),ISNUMBER(R187),ISNUMBER(T187),Q187&gt;0),IF(ABS(T187-R187/Q187)&lt;0.02,IF(AN187="","PASS","CHECK"),"CHECK"),"CHECK")</f>
        <v>PASS</v>
      </c>
      <c r="AN187" s="908" t="str">
        <f t="shared" si="44"/>
        <v/>
      </c>
      <c r="AO187" s="919">
        <f t="shared" si="45"/>
        <v>98</v>
      </c>
      <c r="AP187" s="919">
        <f t="shared" si="46"/>
        <v>150154.65929907805</v>
      </c>
      <c r="AQ187" s="919"/>
      <c r="AR187" s="919" cm="1">
        <f t="array" ref="AR187">IFERROR(_xlfn.LET(_xlpm.lam,TEXT(B187,"0"),_xlpm.thick,D187,_xlpm.crit,(TEXT(HELPER!$BZ$2:$BZ$250,"0")=_xlpm.lam)*(HELPER!$CC$2:$CC$250=_xlpm.thick)*(HELPER!$BW$2:$BW$250&lt;&gt;""),_xlpm.mats,TRIM(SUBSTITUTE(_xlfn._xlws.FILTER(HELPER!$BW$2:$BW$250,_xlpm.crit),CHAR(160),"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")),HELPER!$AQ$2:$AQ$20,1),_xlpm.mass,IF(ISNUMBER(SEARCH("paper",_xlpm.mats)),42,_xlpm.dens*_xlpm.ths),E187/1000000*SUM(_xlpm.mass)),"")</f>
        <v>3.3299000000000002E-2</v>
      </c>
      <c r="AS187" s="919">
        <f>IFERROR(IF(D187&gt;31,(5%+250/P187)*AF187,VLOOKUP(D187,HELPER!$BH$3:$BI$5,2,TRUE)*AF187),0)</f>
        <v>0.23732538336526435</v>
      </c>
      <c r="AT187" s="919">
        <v>0.149999999999998</v>
      </c>
      <c r="AU187" s="919"/>
      <c r="AV187" s="919"/>
      <c r="AW187" s="919"/>
      <c r="AX187" s="919"/>
      <c r="AY187" s="919"/>
      <c r="AZ187" s="919">
        <f t="shared" si="47"/>
        <v>0</v>
      </c>
    </row>
    <row r="188" spans="1:52">
      <c r="A188" s="73" t="s">
        <v>2215</v>
      </c>
      <c r="B188" s="73">
        <v>120</v>
      </c>
      <c r="C188" s="908" t="s">
        <v>2216</v>
      </c>
      <c r="D188" s="915" cm="1">
        <f t="array" ref="D18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8" s="915">
        <v>350</v>
      </c>
      <c r="F188" s="73" t="s">
        <v>561</v>
      </c>
      <c r="G188" s="916">
        <v>2000</v>
      </c>
      <c r="H188" s="916"/>
      <c r="I188" s="916"/>
      <c r="J188" s="916"/>
      <c r="K188" s="73" t="s">
        <v>124</v>
      </c>
      <c r="L188" s="921" t="s">
        <v>221</v>
      </c>
      <c r="M188" s="915">
        <v>1</v>
      </c>
      <c r="N188" s="73" t="s">
        <v>548</v>
      </c>
      <c r="O188" s="73" t="s">
        <v>240</v>
      </c>
      <c r="P188" s="916" cm="1">
        <f t="array" ref="P188">IFERROR(_xlfn.SWITCH(F188,"By Weight",IF(H188&lt;&gt;"",H188,G188)/AR188,"By Length",G188,"By Imp",G188/MAX(1,ROUNDDOWN(E188/I188,0))*J188/1000,"IMP",G188/MAX(1,ROUNDDOWN(E188/I188,0))*J188/1000,""),"")</f>
        <v>2000</v>
      </c>
      <c r="Q188" s="916">
        <f t="shared" si="66"/>
        <v>66.597999999999999</v>
      </c>
      <c r="R188" s="917">
        <f t="shared" si="67"/>
        <v>4156.6270987564703</v>
      </c>
      <c r="S188" s="918">
        <f t="shared" si="68"/>
        <v>4821.6874345575052</v>
      </c>
      <c r="T188" s="919">
        <f t="shared" si="69"/>
        <v>62.413692584709302</v>
      </c>
      <c r="U188" s="920">
        <f t="shared" si="70"/>
        <v>72.399883398262787</v>
      </c>
      <c r="V188" s="919">
        <f t="shared" si="71"/>
        <v>2.5978919367227844</v>
      </c>
      <c r="W188" s="919">
        <f t="shared" si="72"/>
        <v>78.017115730886346</v>
      </c>
      <c r="X188" s="919" t="str">
        <f t="shared" si="73"/>
        <v/>
      </c>
      <c r="Y188" s="920">
        <f t="shared" si="74"/>
        <v>3.0135546465984295</v>
      </c>
      <c r="Z188" s="920">
        <f t="shared" si="75"/>
        <v>90.499854247828154</v>
      </c>
      <c r="AA188" s="920" t="str">
        <f t="shared" si="76"/>
        <v/>
      </c>
      <c r="AB188" s="917">
        <f t="shared" si="77"/>
        <v>5195.783873445569</v>
      </c>
      <c r="AC188" s="918">
        <f t="shared" si="78"/>
        <v>6027.1092931968597</v>
      </c>
      <c r="AD188" s="916">
        <f t="shared" si="79"/>
        <v>15015.465929907805</v>
      </c>
      <c r="AE188" s="916">
        <f t="shared" si="80"/>
        <v>500</v>
      </c>
      <c r="AF188" s="919" cm="1">
        <f t="array" ref="AF188">IFERROR(_xlfn.LET(_xlpm.lam,TEXT(B188,"0"),_xlpm.thick,D188,_xlpm.crit,(TEXT(HELPER!$BZ$2:$BZ$250,"0")=_xlpm.lam)*(HELPER!$CC$2:$CC$250=_xlpm.thick)*(HELPER!$BW$2:$BW$250&lt;&gt;""),_xlpm.mats,TRIM(SUBSTITUTE(_xlfn._xlws.FILTER(HELPER!$BW$2:$BW$250,_xlpm.crit),CHAR(160),"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88" s="919">
        <f>IFERROR(IF(N188="Europe to Canada",IF(Q188&lt;1000,VLOOKUP(1000,HELPER!$AG$4:$AH$8,2,FALSE)/Q188,VLOOKUP(Q188,HELPER!$AG$4:$AH$8,2,TRUE)/Q188),IF(N188="Europe to US",HELPER!$AH$2,IF(N188="Europe to Europe",HELPER!$AH$3,0))),0)</f>
        <v>51.777468723820085</v>
      </c>
      <c r="AH188" s="919" cm="1">
        <f t="array" ref="AH188">IFERROR(_xlfn.LET(_xlpm.cap,IF(O188="Quantum",760,1220),_xlpm.wUsed,E188*MAX(1,MIN(MAX(2,INT(900/E188)),INT((_xlpm.cap-50)/E188))),_xlpm.kgmUsed,AR188/E188*_xlpm.wUsed,_xlpm.lam,TEXT(B188,"0"),_xlpm.crit,(TEXT(HELPER!$BZ$2:$BZ$250,"0")=_xlpm.lam)*(HELPER!$CC$2:$CC$250=D188)*(HELPER!$BW$2:$BW$250&lt;&gt;""),_xlpm.mats,_xlfn._xlws.FILTER(HELPER!$BW$2:$BW$250,_xlpm.crit),_xlpm.realLayers,SUM((_xlpm.mats&lt;&gt;"")*ISERROR(SEARCH("EPOTAL",_xlpm.mats&amp;""))*ISERROR(SEARCH("BASONAT",_xlpm.mats&amp;""))*ISERROR(SEARCH("ADH",_xlpm.mats&amp;""))*ISERROR(SEARCH("HARDENER",_xlpm.mats&amp;""))),_xlpm.steps,MAX(0,_xlpm.realLayers-1),_xlpm.tier,IF(P188&lt;3000,1,IF(P188&lt;10000,2,IF(P188&lt;25000,3,IF(P188&lt;50000,4,IF(P188&lt;100000,5,IF(P188&lt;250000,6,7)))))),_xlpm.widthRow,IF(_xlpm.wUsed&lt;900,0,5),_xlpm.supplierRow,IF(O188="Marma",3,IF(OR(O188="Bastin",O188="Quantum"),13,0)),_xlpm.rate,INDEX('Lmntn &amp; Prntng- Marma &amp; Bastin '!$D$1:$K$22,_xlpm.supplierRow+_xlpm.widthRow,_xlpm.tier),_xlpm.rate*_xlpm.steps/_xlpm.kgmUsed),"")</f>
        <v>4.5571638787951585</v>
      </c>
      <c r="AI188" s="919" cm="1">
        <f t="array" ref="AI188">IFERROR(_xlfn.LET(_xlpm.cap,IF(O188="Quantum",760,1220),_xlpm.wUsed,E188*MAX(1,MIN(MAX(2,INT(900/E188)),INT((_xlpm.cap-50)/E188))),_xlpm.kgmUsed,AR188/E188*_xlpm.wUsed,_xlpm.tier,IF(P188&lt;3000,1,IF(P188&lt;10000,2,IF(P188&lt;25000,3,IF(P188&lt;50000,4,IF(P188&lt;100000,5,IF(P188&lt;250000,6,IF(P188&lt;500000,7,8))))))),_xlpm.widthRow,IF(_xlpm.wUsed&lt;900,0,5),_xlpm.slitRow,IF(O188="Marma",7,IF(OR(O188="Bastin",O188="Quantum"),17,0)),_xlpm.slitRate,INDEX('Lmntn &amp; Prntng- Marma &amp; Bastin '!$D$1:$K$22,_xlpm.slitRow+_xlpm.widthRow,_xlpm.tier),_xlpm.numColors,IF(ISNUMBER(L188),L188,IFERROR(--RIGHT(L188,LEN(L188)-FIND("-",L188)),0)),_xlpm.printRate,IF(OR(K188&lt;&gt;"Printed",_xlpm.numColors=0),0,IF(O188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188))),MAX(_xlfn._xlws.FILTER(_xlpm.meters,(_xlpm.widths=_xlpm.qWidth)*(_xlpm.bands=_xlpm.band)))),INDEX(_xlpm.rates,_xlfn.XMATCH(1,(_xlpm.widths=_xlpm.qWidth)*(_xlpm.bands=_xlpm.band)*(_xlpm.meters=_xlpm.targetM),0))/HELPER!$AK$2),_xlfn.LET(_xlpm.colorOffset,IF(_xlpm.numColors&lt;=2,1,IF(_xlpm.numColors&lt;=4,2,3)),_xlpm.supplierRow,IF(O188="Marma",3,IF(O188="Bastin",13,0)),INDEX('Lmntn &amp; Prntng- Marma &amp; Bastin '!$D$1:$K$22,_xlpm.supplierRow+_xlpm.widthRow+_xlpm.colorOffset,_xlpm.tier)))),AH188+_xlpm.slitRate/_xlpm.kgmUsed+_xlpm.printRate/_xlpm.kgmUsed+AJ188),"")</f>
        <v>5.2388059701492535</v>
      </c>
      <c r="AJ188" s="919" cm="1">
        <f t="array" ref="AJ188">IF(OR(K188&lt;&gt;"Printed",L188=0,L188="0",L188=""),0,IFERROR(_xlfn.LET(_xlpm.lam,TEXT(B188,"0"),_xlpm.crit,(TEXT(HELPER!$BZ$2:$BZ$250,"0")=_xlpm.lam)*(HELPER!$CC$2:$CC$250=D188)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WHITE"},0)))/ROWS(_xlpm.real),_xlpm.numColors,IF(ISNUMBER(L188),L188,IFERROR(--RIGHT(L188,LEN(L188)-FIND("-",L188)),0)),HELPER!$DB$1*_xlpm.numColors*MAX(1,M188)*1.05*_xlpm.nkRatio/Q188),0))</f>
        <v>0</v>
      </c>
      <c r="AK188" s="919">
        <f t="shared" si="81"/>
        <v>4.788740897184856</v>
      </c>
      <c r="AL188" s="919">
        <f t="shared" si="82"/>
        <v>2597.8919367227845</v>
      </c>
      <c r="AM188" s="73" t="str">
        <f t="shared" si="83"/>
        <v>PASS</v>
      </c>
      <c r="AN188" s="908" t="str">
        <f t="shared" si="44"/>
        <v/>
      </c>
      <c r="AO188" s="919">
        <f t="shared" si="45"/>
        <v>98</v>
      </c>
      <c r="AP188" s="919">
        <f t="shared" si="46"/>
        <v>2000</v>
      </c>
      <c r="AQ188" s="919"/>
      <c r="AR188" s="919" cm="1">
        <f t="array" ref="AR188">IFERROR(_xlfn.LET(_xlpm.lam,TEXT(B188,"0"),_xlpm.thick,D188,_xlpm.crit,(TEXT(HELPER!$BZ$2:$BZ$250,"0")=_xlpm.lam)*(HELPER!$CC$2:$CC$250=_xlpm.thick)*(HELPER!$BW$2:$BW$250&lt;&gt;""),_xlpm.mats,TRIM(SUBSTITUTE(_xlfn._xlws.FILTER(HELPER!$BW$2:$BW$250,_xlpm.crit),CHAR(160),"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")),HELPER!$AQ$2:$AQ$20,1),_xlpm.mass,IF(ISNUMBER(SEARCH("paper",_xlpm.mats)),42,_xlpm.dens*_xlpm.ths),E188/1000000*SUM(_xlpm.mass)),"")</f>
        <v>3.3299000000000002E-2</v>
      </c>
      <c r="AS188" s="919">
        <f>IFERROR(IF(D188&gt;31,(5%+250/P188)*AF188,VLOOKUP(D188,HELPER!$BH$3:$BI$5,2,TRUE)*AF188),0)</f>
        <v>0.80387074968467509</v>
      </c>
      <c r="AT188" s="919">
        <v>0.19999999999999701</v>
      </c>
      <c r="AU188" s="919"/>
      <c r="AV188" s="919"/>
      <c r="AW188" s="919"/>
      <c r="AX188" s="919"/>
      <c r="AY188" s="919"/>
      <c r="AZ188" s="919">
        <f t="shared" si="47"/>
        <v>0</v>
      </c>
    </row>
    <row r="189" spans="1:52">
      <c r="A189" s="73" t="s">
        <v>2217</v>
      </c>
      <c r="B189" s="73">
        <v>120</v>
      </c>
      <c r="C189" s="908" t="s">
        <v>2218</v>
      </c>
      <c r="D189" s="915" cm="1">
        <f t="array" ref="D18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9" s="915">
        <v>900</v>
      </c>
      <c r="F189" s="73" t="s">
        <v>1040</v>
      </c>
      <c r="G189" s="916">
        <v>1600000</v>
      </c>
      <c r="H189" s="916"/>
      <c r="I189" s="916">
        <v>140</v>
      </c>
      <c r="J189" s="916">
        <v>80</v>
      </c>
      <c r="K189" s="73" t="s">
        <v>123</v>
      </c>
      <c r="L189" s="921" t="s">
        <v>592</v>
      </c>
      <c r="M189" s="915">
        <v>8</v>
      </c>
      <c r="N189" s="73" t="s">
        <v>548</v>
      </c>
      <c r="O189" s="73" t="s">
        <v>250</v>
      </c>
      <c r="P189" s="916" cm="1">
        <f t="array" ref="P189">IFERROR(_xlfn.SWITCH(F189,"By Weight",IF(H189&lt;&gt;"",H189,G189)/AR189,"By Length",G189,"By Imp",G189/MAX(1,ROUNDDOWN(E189/I189,0))*J189/1000,"IMP",G189/MAX(1,ROUNDDOWN(E189/I189,0))*J189/1000,""),"")</f>
        <v>21333.333333333336</v>
      </c>
      <c r="Q189" s="916">
        <f t="shared" si="66"/>
        <v>1826.6880000000001</v>
      </c>
      <c r="R189" s="917">
        <f t="shared" si="67"/>
        <v>20413.671224894591</v>
      </c>
      <c r="S189" s="918">
        <f t="shared" si="68"/>
        <v>23679.858620877723</v>
      </c>
      <c r="T189" s="919">
        <f t="shared" si="69"/>
        <v>11.175236945167752</v>
      </c>
      <c r="U189" s="920">
        <f t="shared" si="70"/>
        <v>12.963274856394591</v>
      </c>
      <c r="V189" s="919">
        <f t="shared" si="71"/>
        <v>1.1257539278434516</v>
      </c>
      <c r="W189" s="919">
        <f t="shared" si="72"/>
        <v>13.147337582550296</v>
      </c>
      <c r="X189" s="919">
        <f t="shared" si="73"/>
        <v>1.5010052371246023E-2</v>
      </c>
      <c r="Y189" s="920">
        <f t="shared" si="74"/>
        <v>1.3058745562984038</v>
      </c>
      <c r="Z189" s="920">
        <f t="shared" si="75"/>
        <v>15.250911595758343</v>
      </c>
      <c r="AA189" s="920">
        <f t="shared" si="76"/>
        <v>1.7411660750645385E-2</v>
      </c>
      <c r="AB189" s="917">
        <f t="shared" si="77"/>
        <v>24016.083793993635</v>
      </c>
      <c r="AC189" s="918">
        <f t="shared" si="78"/>
        <v>27858.657201032616</v>
      </c>
      <c r="AD189" s="916">
        <f t="shared" si="79"/>
        <v>5839.3478616308139</v>
      </c>
      <c r="AE189" s="916">
        <f t="shared" si="80"/>
        <v>500</v>
      </c>
      <c r="AF189" s="919" cm="1">
        <f t="array" ref="AF189">IFERROR(_xlfn.LET(_xlpm.lam,TEXT(B189,"0"),_xlpm.thick,D189,_xlpm.crit,(TEXT(HELPER!$BZ$2:$BZ$250,"0")=_xlpm.lam)*(HELPER!$CC$2:$CC$250=_xlpm.thick)*(HELPER!$BW$2:$BW$250&lt;&gt;""),_xlpm.mats,TRIM(SUBSTITUTE(_xlfn._xlws.FILTER(HELPER!$BW$2:$BW$250,_xlpm.crit),CHAR(160),"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4.5935471410552866</v>
      </c>
      <c r="AG189" s="919">
        <f>IFERROR(IF(N189="Europe to Canada",IF(Q189&lt;1000,VLOOKUP(1000,HELPER!$AG$4:$AH$8,2,FALSE)/Q189,VLOOKUP(Q189,HELPER!$AG$4:$AH$8,2,TRUE)/Q189),IF(N189="Europe to US",HELPER!$AH$2,IF(N189="Europe to Europe",HELPER!$AH$3,0))),0)</f>
        <v>1.8877202138892739</v>
      </c>
      <c r="AH189" s="919" cm="1">
        <f t="array" ref="AH189">IFERROR(_xlfn.LET(_xlpm.cap,IF(O189="Quantum",760,1220),_xlpm.wUsed,E189*MAX(1,MIN(MAX(2,INT(900/E189)),INT((_xlpm.cap-50)/E189))),_xlpm.kgmUsed,AR189/E189*_xlpm.wUsed,_xlpm.lam,TEXT(B189,"0"),_xlpm.crit,(TEXT(HELPER!$BZ$2:$BZ$250,"0")=_xlpm.lam)*(HELPER!$CC$2:$CC$250=D189)*(HELPER!$BW$2:$BW$250&lt;&gt;""),_xlpm.mats,_xlfn._xlws.FILTER(HELPER!$BW$2:$BW$250,_xlpm.crit),_xlpm.realLayers,SUM((_xlpm.mats&lt;&gt;"")*ISERROR(SEARCH("EPOTAL",_xlpm.mats&amp;""))*ISERROR(SEARCH("BASONAT",_xlpm.mats&amp;""))*ISERROR(SEARCH("ADH",_xlpm.mats&amp;""))*ISERROR(SEARCH("HARDENER",_xlpm.mats&amp;""))),_xlpm.steps,MAX(0,_xlpm.realLayers-1),_xlpm.tier,IF(P189&lt;3000,1,IF(P189&lt;10000,2,IF(P189&lt;25000,3,IF(P189&lt;50000,4,IF(P189&lt;100000,5,IF(P189&lt;250000,6,7)))))),_xlpm.widthRow,IF(_xlpm.wUsed&lt;900,0,5),_xlpm.supplierRow,IF(O189="Marma",3,IF(OR(O189="Bastin",O189="Quantum"),13,0)),_xlpm.rate,INDEX('Lmntn &amp; Prntng- Marma &amp; Bastin '!$D$1:$K$22,_xlpm.supplierRow+_xlpm.widthRow,_xlpm.tier),_xlpm.rate*_xlpm.steps/_xlpm.kgmUsed),"")</f>
        <v>2.1379020391002737</v>
      </c>
      <c r="AI189" s="919" cm="1">
        <f t="array" ref="AI189">IFERROR(_xlfn.LET(_xlpm.cap,IF(O189="Quantum",760,1220),_xlpm.wUsed,E189*MAX(1,MIN(MAX(2,INT(900/E189)),INT((_xlpm.cap-50)/E189))),_xlpm.kgmUsed,AR189/E189*_xlpm.wUsed,_xlpm.tier,IF(P189&lt;3000,1,IF(P189&lt;10000,2,IF(P189&lt;25000,3,IF(P189&lt;50000,4,IF(P189&lt;100000,5,IF(P189&lt;250000,6,IF(P189&lt;500000,7,8))))))),_xlpm.widthRow,IF(_xlpm.wUsed&lt;900,0,5),_xlpm.slitRow,IF(O189="Marma",7,IF(OR(O189="Bastin",O189="Quantum"),17,0)),_xlpm.slitRate,INDEX('Lmntn &amp; Prntng- Marma &amp; Bastin '!$D$1:$K$22,_xlpm.slitRow+_xlpm.widthRow,_xlpm.tier),_xlpm.numColors,IF(ISNUMBER(L189),L189,IFERROR(--RIGHT(L189,LEN(L189)-FIND("-",L189)),0)),_xlpm.printRate,IF(OR(K189&lt;&gt;"Printed",_xlpm.numColors=0),0,IF(O189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189))),MAX(_xlfn._xlws.FILTER(_xlpm.meters,(_xlpm.widths=_xlpm.qWidth)*(_xlpm.bands=_xlpm.band)))),INDEX(_xlpm.rates,_xlfn.XMATCH(1,(_xlpm.widths=_xlpm.qWidth)*(_xlpm.bands=_xlpm.band)*(_xlpm.meters=_xlpm.targetM),0))/HELPER!$AK$2),_xlfn.LET(_xlpm.colorOffset,IF(_xlpm.numColors&lt;=2,1,IF(_xlpm.numColors&lt;=4,2,3)),_xlpm.supplierRow,IF(O189="Marma",3,IF(O189="Bastin",13,0)),INDEX('Lmntn &amp; Prntng- Marma &amp; Bastin '!$D$1:$K$22,_xlpm.supplierRow+_xlpm.widthRow+_xlpm.colorOffset,_xlpm.tier)))),AH189+_xlpm.slitRate/_xlpm.kgmUsed+_xlpm.printRate/_xlpm.kgmUsed+AJ189),"")</f>
        <v>4.4104616026111838</v>
      </c>
      <c r="AJ189" s="919" cm="1">
        <f t="array" ref="AJ189">IF(OR(K189&lt;&gt;"Printed",L189=0,L189="0",L189=""),0,IFERROR(_xlfn.LET(_xlpm.lam,TEXT(B189,"0"),_xlpm.crit,(TEXT(HELPER!$BZ$2:$BZ$250,"0")=_xlpm.lam)*(HELPER!$CC$2:$CC$250=D189)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WHITE"},0)))/ROWS(_xlpm.real),_xlpm.numColors,IF(ISNUMBER(L189),L189,IFERROR(--RIGHT(L189,LEN(L189)-FIND("-",L189)),0)),HELPER!$DB$1*_xlpm.numColors*MAX(1,M189)*1.05*_xlpm.nkRatio/Q189),0))</f>
        <v>0</v>
      </c>
      <c r="AK189" s="919">
        <f t="shared" si="81"/>
        <v>0.8069920629702162</v>
      </c>
      <c r="AL189" s="919">
        <f t="shared" si="82"/>
        <v>1125.7539278434517</v>
      </c>
      <c r="AM189" s="73" t="str">
        <f t="shared" si="83"/>
        <v>PASS</v>
      </c>
      <c r="AN189" s="908" t="str">
        <f t="shared" si="44"/>
        <v/>
      </c>
      <c r="AO189" s="919">
        <f t="shared" si="45"/>
        <v>98</v>
      </c>
      <c r="AP189" s="919">
        <f t="shared" si="46"/>
        <v>21333.333333333336</v>
      </c>
      <c r="AQ189" s="919"/>
      <c r="AR189" s="919" cm="1">
        <f t="array" ref="AR189">IFERROR(_xlfn.LET(_xlpm.lam,TEXT(B189,"0"),_xlpm.thick,D189,_xlpm.crit,(TEXT(HELPER!$BZ$2:$BZ$250,"0")=_xlpm.lam)*(HELPER!$CC$2:$CC$250=_xlpm.thick)*(HELPER!$BW$2:$BW$250&lt;&gt;""),_xlpm.mats,TRIM(SUBSTITUTE(_xlfn._xlws.FILTER(HELPER!$BW$2:$BW$250,_xlpm.crit),CHAR(160),"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")),HELPER!$AQ$2:$AQ$20,1),_xlpm.mass,IF(ISNUMBER(SEARCH("paper",_xlpm.mats)),42,_xlpm.dens*_xlpm.ths),E189/1000000*SUM(_xlpm.mass)),"")</f>
        <v>8.5625999999999994E-2</v>
      </c>
      <c r="AS189" s="919">
        <f>IFERROR(IF(D189&gt;31,(5%+250/P189)*AF189,VLOOKUP(D189,HELPER!$BH$3:$BI$5,2,TRUE)*AF189),0)</f>
        <v>0.28350798761200596</v>
      </c>
      <c r="AT189" s="919">
        <v>0.15</v>
      </c>
      <c r="AU189" s="919"/>
      <c r="AV189" s="919"/>
      <c r="AW189" s="919"/>
      <c r="AX189" s="919"/>
      <c r="AY189" s="919"/>
      <c r="AZ189" s="919">
        <f t="shared" si="47"/>
        <v>0</v>
      </c>
    </row>
    <row r="190" spans="1:52">
      <c r="A190" s="73" t="s">
        <v>2219</v>
      </c>
      <c r="B190" s="73">
        <v>418</v>
      </c>
      <c r="C190" s="908" t="s">
        <v>2212</v>
      </c>
      <c r="D190" s="915" cm="1">
        <f t="array" ref="D19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0" s="915">
        <v>120</v>
      </c>
      <c r="F190" s="73" t="s">
        <v>560</v>
      </c>
      <c r="G190" s="916">
        <v>100</v>
      </c>
      <c r="H190" s="916">
        <v>100</v>
      </c>
      <c r="I190" s="916"/>
      <c r="J190" s="916"/>
      <c r="K190" s="73" t="s">
        <v>124</v>
      </c>
      <c r="L190" s="921" t="s">
        <v>221</v>
      </c>
      <c r="M190" s="915">
        <v>1</v>
      </c>
      <c r="N190" s="73" t="s">
        <v>548</v>
      </c>
      <c r="O190" s="73" t="s">
        <v>250</v>
      </c>
      <c r="P190" s="916" cm="1">
        <f t="array" ref="P190">IFERROR(_xlfn.SWITCH(F190,"By Weight",IF(H190&lt;&gt;"",H190,G190)/AR190,"By Length",G190,"By Imp",G190/MAX(1,ROUNDDOWN(E190/I190,0))*J190/1000,"IMP",G190/MAX(1,ROUNDDOWN(E190/I190,0))*J190/1000,""),"")</f>
        <v>12369.50175646925</v>
      </c>
      <c r="Q190" s="916">
        <f t="shared" si="66"/>
        <v>100</v>
      </c>
      <c r="R190" s="917">
        <f t="shared" si="67"/>
        <v>4540.7642973509855</v>
      </c>
      <c r="S190" s="918">
        <f t="shared" si="68"/>
        <v>5267.2865849271429</v>
      </c>
      <c r="T190" s="919">
        <f t="shared" si="69"/>
        <v>45.407642973509859</v>
      </c>
      <c r="U190" s="920">
        <f t="shared" si="70"/>
        <v>52.672865849271432</v>
      </c>
      <c r="V190" s="919">
        <f t="shared" si="71"/>
        <v>0.45886693606880219</v>
      </c>
      <c r="W190" s="919">
        <f t="shared" si="72"/>
        <v>56.759553716887112</v>
      </c>
      <c r="X190" s="919" t="str">
        <f t="shared" si="73"/>
        <v/>
      </c>
      <c r="Y190" s="920">
        <f t="shared" si="74"/>
        <v>0.53228564583981053</v>
      </c>
      <c r="Z190" s="920">
        <f t="shared" si="75"/>
        <v>65.841082311589048</v>
      </c>
      <c r="AA190" s="920" t="str">
        <f t="shared" si="76"/>
        <v/>
      </c>
      <c r="AB190" s="917">
        <f t="shared" si="77"/>
        <v>5675.9553716887112</v>
      </c>
      <c r="AC190" s="918">
        <f t="shared" si="78"/>
        <v>6584.1082311589043</v>
      </c>
      <c r="AD190" s="916">
        <f t="shared" si="79"/>
        <v>61847.508782346245</v>
      </c>
      <c r="AE190" s="916">
        <f t="shared" si="80"/>
        <v>500</v>
      </c>
      <c r="AF190" s="919" cm="1">
        <f t="array" ref="AF190">IFERROR(_xlfn.LET(_xlpm.lam,TEXT(B190,"0"),_xlpm.thick,D190,_xlpm.crit,(TEXT(HELPER!$BZ$2:$BZ$250,"0")=_xlpm.lam)*(HELPER!$CC$2:$CC$250=_xlpm.thick)*(HELPER!$BW$2:$BW$250&lt;&gt;""),_xlpm.mats,TRIM(SUBSTITUTE(_xlfn._xlws.FILTER(HELPER!$BW$2:$BW$250,_xlpm.crit),CHAR(160),"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0" s="919">
        <f>IFERROR(IF(N190="Europe to Canada",IF(Q190&lt;1000,VLOOKUP(1000,HELPER!$AG$4:$AH$8,2,FALSE)/Q190,VLOOKUP(Q190,HELPER!$AG$4:$AH$8,2,TRUE)/Q190),IF(N190="Europe to US",HELPER!$AH$2,IF(N190="Europe to Europe",HELPER!$AH$3,0))),0)</f>
        <v>34.482758620689701</v>
      </c>
      <c r="AH190" s="919" cm="1">
        <f t="array" ref="AH190">IFERROR(_xlfn.LET(_xlpm.cap,IF(O190="Quantum",760,1220),_xlpm.wUsed,E190*MAX(1,MIN(MAX(2,INT(900/E190)),INT((_xlpm.cap-50)/E190))),_xlpm.kgmUsed,AR190/E190*_xlpm.wUsed,_xlpm.lam,TEXT(B190,"0"),_xlpm.crit,(TEXT(HELPER!$BZ$2:$BZ$250,"0")=_xlpm.lam)*(HELPER!$CC$2:$CC$250=D190)*(HELPER!$BW$2:$BW$250&lt;&gt;""),_xlpm.mats,_xlfn._xlws.FILTER(HELPER!$BW$2:$BW$250,_xlpm.crit),_xlpm.realLayers,SUM((_xlpm.mats&lt;&gt;"")*ISERROR(SEARCH("EPOTAL",_xlpm.mats&amp;""))*ISERROR(SEARCH("BASONAT",_xlpm.mats&amp;""))*ISERROR(SEARCH("ADH",_xlpm.mats&amp;""))*ISERROR(SEARCH("HARDENER",_xlpm.mats&amp;""))),_xlpm.steps,MAX(0,_xlpm.realLayers-1),_xlpm.tier,IF(P190&lt;3000,1,IF(P190&lt;10000,2,IF(P190&lt;25000,3,IF(P190&lt;50000,4,IF(P190&lt;100000,5,IF(P190&lt;250000,6,7)))))),_xlpm.widthRow,IF(_xlpm.wUsed&lt;900,0,5),_xlpm.supplierRow,IF(O190="Marma",3,IF(OR(O190="Bastin",O190="Quantum"),13,0)),_xlpm.rate,INDEX('Lmntn &amp; Prntng- Marma &amp; Bastin '!$D$1:$K$22,_xlpm.supplierRow+_xlpm.widthRow,_xlpm.tier),_xlpm.rate*_xlpm.steps/_xlpm.kgmUsed),"")</f>
        <v>1.617400708242329</v>
      </c>
      <c r="AI190" s="919" cm="1">
        <f t="array" ref="AI190">IFERROR(_xlfn.LET(_xlpm.cap,IF(O190="Quantum",760,1220),_xlpm.wUsed,E190*MAX(1,MIN(MAX(2,INT(900/E190)),INT((_xlpm.cap-50)/E190))),_xlpm.kgmUsed,AR190/E190*_xlpm.wUsed,_xlpm.tier,IF(P190&lt;3000,1,IF(P190&lt;10000,2,IF(P190&lt;25000,3,IF(P190&lt;50000,4,IF(P190&lt;100000,5,IF(P190&lt;250000,6,IF(P190&lt;500000,7,8))))))),_xlpm.widthRow,IF(_xlpm.wUsed&lt;900,0,5),_xlpm.slitRow,IF(O190="Marma",7,IF(OR(O190="Bastin",O190="Quantum"),17,0)),_xlpm.slitRate,INDEX('Lmntn &amp; Prntng- Marma &amp; Bastin '!$D$1:$K$22,_xlpm.slitRow+_xlpm.widthRow,_xlpm.tier),_xlpm.numColors,IF(ISNUMBER(L190),L190,IFERROR(--RIGHT(L190,LEN(L190)-FIND("-",L190)),0)),_xlpm.printRate,IF(OR(K190&lt;&gt;"Printed",_xlpm.numColors=0),0,IF(O190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190))),MAX(_xlfn._xlws.FILTER(_xlpm.meters,(_xlpm.widths=_xlpm.qWidth)*(_xlpm.bands=_xlpm.band)))),INDEX(_xlpm.rates,_xlfn.XMATCH(1,(_xlpm.widths=_xlpm.qWidth)*(_xlpm.bands=_xlpm.band)*(_xlpm.meters=_xlpm.targetM),0))/HELPER!$AK$2),_xlfn.LET(_xlpm.colorOffset,IF(_xlpm.numColors&lt;=2,1,IF(_xlpm.numColors&lt;=4,2,3)),_xlpm.supplierRow,IF(O190="Marma",3,IF(O190="Bastin",13,0)),INDEX('Lmntn &amp; Prntng- Marma &amp; Bastin '!$D$1:$K$22,_xlpm.supplierRow+_xlpm.widthRow+_xlpm.colorOffset,_xlpm.tier)))),AH190+_xlpm.slitRate/_xlpm.kgmUsed+_xlpm.printRate/_xlpm.kgmUsed+AJ190),"")</f>
        <v>2.0754256875675905</v>
      </c>
      <c r="AJ190" s="919" cm="1">
        <f t="array" ref="AJ190">IF(OR(K190&lt;&gt;"Printed",L190=0,L190="0",L190=""),0,IFERROR(_xlfn.LET(_xlpm.lam,TEXT(B190,"0"),_xlpm.crit,(TEXT(HELPER!$BZ$2:$BZ$250,"0")=_xlpm.lam)*(HELPER!$CC$2:$CC$250=D190)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WHITE"},0)))/ROWS(_xlpm.real),_xlpm.numColors,IF(ISNUMBER(L190),L190,IFERROR(--RIGHT(L190,LEN(L190)-FIND("-",L190)),0)),HELPER!$DB$1*_xlpm.numColors*MAX(1,M190)*1.05*_xlpm.nkRatio/Q190),0))</f>
        <v>0</v>
      </c>
      <c r="AK190" s="919">
        <f t="shared" si="81"/>
        <v>2.4670265380043128</v>
      </c>
      <c r="AL190" s="919">
        <f t="shared" si="82"/>
        <v>458.8669360688022</v>
      </c>
      <c r="AM190" s="73" t="str">
        <f t="shared" si="83"/>
        <v>PASS</v>
      </c>
      <c r="AN190" s="908" t="str">
        <f t="shared" si="44"/>
        <v/>
      </c>
      <c r="AO190" s="919">
        <f t="shared" si="45"/>
        <v>51</v>
      </c>
      <c r="AP190" s="919">
        <f t="shared" si="46"/>
        <v>12369.50175646925</v>
      </c>
      <c r="AQ190" s="919"/>
      <c r="AR190" s="919" cm="1">
        <f t="array" ref="AR190">IFERROR(_xlfn.LET(_xlpm.lam,TEXT(B190,"0"),_xlpm.thick,D190,_xlpm.crit,(TEXT(HELPER!$BZ$2:$BZ$250,"0")=_xlpm.lam)*(HELPER!$CC$2:$CC$250=_xlpm.thick)*(HELPER!$BW$2:$BW$250&lt;&gt;""),_xlpm.mats,TRIM(SUBSTITUTE(_xlfn._xlws.FILTER(HELPER!$BW$2:$BW$250,_xlpm.crit),CHAR(160),"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")),HELPER!$AQ$2:$AQ$20,1),_xlpm.mass,IF(ISNUMBER(SEARCH("paper",_xlpm.mats)),42,_xlpm.dens*_xlpm.ths),E190/1000000*SUM(_xlpm.mass)),"")</f>
        <v>8.0844000000000003E-3</v>
      </c>
      <c r="AS190" s="919">
        <f>IFERROR(IF(D190&gt;31,(5%+250/P190)*AF190,VLOOKUP(D190,HELPER!$BH$3:$BI$5,2,TRUE)*AF190),0)</f>
        <v>0.58056714269059861</v>
      </c>
      <c r="AT190" s="919">
        <v>0.19999999999999701</v>
      </c>
      <c r="AU190" s="919"/>
      <c r="AV190" s="919"/>
      <c r="AW190" s="919"/>
      <c r="AX190" s="919"/>
      <c r="AY190" s="919"/>
      <c r="AZ190" s="919">
        <f t="shared" si="47"/>
        <v>0</v>
      </c>
    </row>
    <row r="191" spans="1:52">
      <c r="A191" s="73" t="s">
        <v>2220</v>
      </c>
      <c r="B191" s="73">
        <v>418</v>
      </c>
      <c r="C191" s="908" t="s">
        <v>2214</v>
      </c>
      <c r="D191" s="915" cm="1">
        <f t="array" ref="D19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1" s="915">
        <v>350</v>
      </c>
      <c r="F191" s="73" t="s">
        <v>560</v>
      </c>
      <c r="G191" s="916">
        <v>5000</v>
      </c>
      <c r="H191" s="916">
        <v>5000</v>
      </c>
      <c r="I191" s="916"/>
      <c r="J191" s="916"/>
      <c r="K191" s="73" t="s">
        <v>123</v>
      </c>
      <c r="L191" s="921" t="s">
        <v>122</v>
      </c>
      <c r="M191" s="915">
        <v>4</v>
      </c>
      <c r="N191" s="73" t="s">
        <v>548</v>
      </c>
      <c r="O191" s="73" t="s">
        <v>1366</v>
      </c>
      <c r="P191" s="916" cm="1">
        <f t="array" ref="P191">IFERROR(_xlfn.SWITCH(F191,"By Weight",IF(H191&lt;&gt;"",H191,G191)/AR191,"By Length",G191,"By Imp",G191/MAX(1,ROUNDDOWN(E191/I191,0))*J191/1000,"IMP",G191/MAX(1,ROUNDDOWN(E191/I191,0))*J191/1000,""),"")</f>
        <v>212048.60153947285</v>
      </c>
      <c r="Q191" s="916">
        <f t="shared" si="66"/>
        <v>5000</v>
      </c>
      <c r="R191" s="917">
        <f t="shared" si="67"/>
        <v>148765.75424878765</v>
      </c>
      <c r="S191" s="918">
        <f t="shared" si="68"/>
        <v>172568.27492859366</v>
      </c>
      <c r="T191" s="919">
        <f t="shared" si="69"/>
        <v>29.753150849757528</v>
      </c>
      <c r="U191" s="920">
        <f t="shared" si="70"/>
        <v>34.51365498571873</v>
      </c>
      <c r="V191" s="919">
        <f t="shared" si="71"/>
        <v>0.82536990642571495</v>
      </c>
      <c r="W191" s="919">
        <f t="shared" si="72"/>
        <v>35.003706882067682</v>
      </c>
      <c r="X191" s="919" t="str">
        <f t="shared" si="73"/>
        <v/>
      </c>
      <c r="Y191" s="920">
        <f t="shared" si="74"/>
        <v>0.95742909145382926</v>
      </c>
      <c r="Z191" s="920">
        <f t="shared" si="75"/>
        <v>40.604299983198509</v>
      </c>
      <c r="AA191" s="920" t="str">
        <f t="shared" si="76"/>
        <v/>
      </c>
      <c r="AB191" s="917">
        <f t="shared" si="77"/>
        <v>175018.53441033841</v>
      </c>
      <c r="AC191" s="918">
        <f t="shared" si="78"/>
        <v>203021.49991599255</v>
      </c>
      <c r="AD191" s="916">
        <f t="shared" si="79"/>
        <v>21204.860153947284</v>
      </c>
      <c r="AE191" s="916">
        <f t="shared" si="80"/>
        <v>500</v>
      </c>
      <c r="AF191" s="919" cm="1">
        <f t="array" ref="AF191">IFERROR(_xlfn.LET(_xlpm.lam,TEXT(B191,"0"),_xlpm.thick,D191,_xlpm.crit,(TEXT(HELPER!$BZ$2:$BZ$250,"0")=_xlpm.lam)*(HELPER!$CC$2:$CC$250=_xlpm.thick)*(HELPER!$BW$2:$BW$250&lt;&gt;""),_xlpm.mats,TRIM(SUBSTITUTE(_xlfn._xlws.FILTER(HELPER!$BW$2:$BW$250,_xlpm.crit),CHAR(160),"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1" s="919">
        <f>IFERROR(IF(N191="Europe to Canada",IF(Q191&lt;1000,VLOOKUP(1000,HELPER!$AG$4:$AH$8,2,FALSE)/Q191,VLOOKUP(Q191,HELPER!$AG$4:$AH$8,2,TRUE)/Q191),IF(N191="Europe to US",HELPER!$AH$2,IF(N191="Europe to Europe",HELPER!$AH$3,0))),0)</f>
        <v>1.8448275862068959</v>
      </c>
      <c r="AH191" s="919" cm="1">
        <f t="array" ref="AH191">IFERROR(_xlfn.LET(_xlpm.cap,IF(O191="Quantum",760,1220),_xlpm.wUsed,E191*MAX(1,MIN(MAX(2,INT(900/E191)),INT((_xlpm.cap-50)/E191))),_xlpm.kgmUsed,AR191/E191*_xlpm.wUsed,_xlpm.lam,TEXT(B191,"0"),_xlpm.crit,(TEXT(HELPER!$BZ$2:$BZ$250,"0")=_xlpm.lam)*(HELPER!$CC$2:$CC$250=D191)*(HELPER!$BW$2:$BW$250&lt;&gt;""),_xlpm.mats,_xlfn._xlws.FILTER(HELPER!$BW$2:$BW$250,_xlpm.crit),_xlpm.realLayers,SUM((_xlpm.mats&lt;&gt;"")*ISERROR(SEARCH("EPOTAL",_xlpm.mats&amp;""))*ISERROR(SEARCH("BASONAT",_xlpm.mats&amp;""))*ISERROR(SEARCH("ADH",_xlpm.mats&amp;""))*ISERROR(SEARCH("HARDENER",_xlpm.mats&amp;""))),_xlpm.steps,MAX(0,_xlpm.realLayers-1),_xlpm.tier,IF(P191&lt;3000,1,IF(P191&lt;10000,2,IF(P191&lt;25000,3,IF(P191&lt;50000,4,IF(P191&lt;100000,5,IF(P191&lt;250000,6,7)))))),_xlpm.widthRow,IF(_xlpm.wUsed&lt;900,0,5),_xlpm.supplierRow,IF(O191="Marma",3,IF(OR(O191="Bastin",O191="Quantum"),13,0)),_xlpm.rate,INDEX('Lmntn &amp; Prntng- Marma &amp; Bastin '!$D$1:$K$22,_xlpm.supplierRow+_xlpm.widthRow,_xlpm.tier),_xlpm.rate*_xlpm.steps/_xlpm.kgmUsed),"")</f>
        <v>2.3147437392650398</v>
      </c>
      <c r="AI191" s="919" cm="1">
        <f t="array" ref="AI191">IFERROR(_xlfn.LET(_xlpm.cap,IF(O191="Quantum",760,1220),_xlpm.wUsed,E191*MAX(1,MIN(MAX(2,INT(900/E191)),INT((_xlpm.cap-50)/E191))),_xlpm.kgmUsed,AR191/E191*_xlpm.wUsed,_xlpm.tier,IF(P191&lt;3000,1,IF(P191&lt;10000,2,IF(P191&lt;25000,3,IF(P191&lt;50000,4,IF(P191&lt;100000,5,IF(P191&lt;250000,6,IF(P191&lt;500000,7,8))))))),_xlpm.widthRow,IF(_xlpm.wUsed&lt;900,0,5),_xlpm.slitRow,IF(O191="Marma",7,IF(OR(O191="Bastin",O191="Quantum"),17,0)),_xlpm.slitRate,INDEX('Lmntn &amp; Prntng- Marma &amp; Bastin '!$D$1:$K$22,_xlpm.slitRow+_xlpm.widthRow,_xlpm.tier),_xlpm.numColors,IF(ISNUMBER(L191),L191,IFERROR(--RIGHT(L191,LEN(L191)-FIND("-",L191)),0)),_xlpm.printRate,IF(OR(K191&lt;&gt;"Printed",_xlpm.numColors=0),0,IF(O191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191))),MAX(_xlfn._xlws.FILTER(_xlpm.meters,(_xlpm.widths=_xlpm.qWidth)*(_xlpm.bands=_xlpm.band)))),INDEX(_xlpm.rates,_xlfn.XMATCH(1,(_xlpm.widths=_xlpm.qWidth)*(_xlpm.bands=_xlpm.band)*(_xlpm.meters=_xlpm.targetM),0))/HELPER!$AK$2),_xlfn.LET(_xlpm.colorOffset,IF(_xlpm.numColors&lt;=2,1,IF(_xlpm.numColors&lt;=4,2,3)),_xlpm.supplierRow,IF(O191="Marma",3,IF(O191="Bastin",13,0)),INDEX('Lmntn &amp; Prntng- Marma &amp; Bastin '!$D$1:$K$22,_xlpm.supplierRow+_xlpm.widthRow+_xlpm.colorOffset,_xlpm.tier)))),AH191+_xlpm.slitRate/_xlpm.kgmUsed+_xlpm.printRate/_xlpm.kgmUsed+AJ191),"")</f>
        <v>19.216238348477749</v>
      </c>
      <c r="AJ191" s="919" cm="1">
        <f t="array" ref="AJ191">IF(OR(K191&lt;&gt;"Printed",L191=0,L191="0",L191=""),0,IFERROR(_xlfn.LET(_xlpm.lam,TEXT(B191,"0"),_xlpm.crit,(TEXT(HELPER!$BZ$2:$BZ$250,"0")=_xlpm.lam)*(HELPER!$CC$2:$CC$250=D191)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WHITE"},0)))/ROWS(_xlpm.real),_xlpm.numColors,IF(ISNUMBER(L191),L191,IFERROR(--RIGHT(L191,LEN(L191)-FIND("-",L191)),0)),HELPER!$DB$1*_xlpm.numColors*MAX(1,M191)*1.05*_xlpm.nkRatio/Q191),0))</f>
        <v>0.504</v>
      </c>
      <c r="AK191" s="919">
        <f t="shared" si="81"/>
        <v>1.5214191823515484</v>
      </c>
      <c r="AL191" s="919">
        <f t="shared" si="82"/>
        <v>825.36990642571493</v>
      </c>
      <c r="AM191" s="73" t="str">
        <f t="shared" si="83"/>
        <v>PASS</v>
      </c>
      <c r="AN191" s="908" t="str">
        <f t="shared" si="44"/>
        <v/>
      </c>
      <c r="AO191" s="919">
        <f t="shared" si="45"/>
        <v>51</v>
      </c>
      <c r="AP191" s="919">
        <f t="shared" si="46"/>
        <v>212048.60153947285</v>
      </c>
      <c r="AQ191" s="919"/>
      <c r="AR191" s="919" cm="1">
        <f t="array" ref="AR191">IFERROR(_xlfn.LET(_xlpm.lam,TEXT(B191,"0"),_xlpm.thick,D191,_xlpm.crit,(TEXT(HELPER!$BZ$2:$BZ$250,"0")=_xlpm.lam)*(HELPER!$CC$2:$CC$250=_xlpm.thick)*(HELPER!$BW$2:$BW$250&lt;&gt;""),_xlpm.mats,TRIM(SUBSTITUTE(_xlfn._xlws.FILTER(HELPER!$BW$2:$BW$250,_xlpm.crit),CHAR(160),"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")),HELPER!$AQ$2:$AQ$20,1),_xlpm.mass,IF(ISNUMBER(SEARCH("paper",_xlpm.mats)),42,_xlpm.dens*_xlpm.ths),E191/1000000*SUM(_xlpm.mass)),"")</f>
        <v>2.35795E-2</v>
      </c>
      <c r="AS191" s="919">
        <f>IFERROR(IF(D191&gt;31,(5%+250/P191)*AF191,VLOOKUP(D191,HELPER!$BH$3:$BI$5,2,TRUE)*AF191),0)</f>
        <v>0.42319339251091115</v>
      </c>
      <c r="AT191" s="919">
        <v>0.15</v>
      </c>
      <c r="AU191" s="919"/>
      <c r="AV191" s="919"/>
      <c r="AW191" s="919"/>
      <c r="AX191" s="919"/>
      <c r="AY191" s="919"/>
      <c r="AZ191" s="919">
        <f t="shared" si="47"/>
        <v>2520</v>
      </c>
    </row>
    <row r="192" spans="1:52">
      <c r="A192" s="73" t="s">
        <v>2221</v>
      </c>
      <c r="B192" s="73">
        <v>418</v>
      </c>
      <c r="C192" s="908" t="s">
        <v>2216</v>
      </c>
      <c r="D192" s="915" cm="1">
        <f t="array" ref="D19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2" s="915">
        <v>350</v>
      </c>
      <c r="F192" s="73" t="s">
        <v>561</v>
      </c>
      <c r="G192" s="916">
        <v>2000</v>
      </c>
      <c r="H192" s="916"/>
      <c r="I192" s="916"/>
      <c r="J192" s="916"/>
      <c r="K192" s="73" t="s">
        <v>124</v>
      </c>
      <c r="L192" s="921" t="s">
        <v>221</v>
      </c>
      <c r="M192" s="915">
        <v>1</v>
      </c>
      <c r="N192" s="73" t="s">
        <v>548</v>
      </c>
      <c r="O192" s="73" t="s">
        <v>240</v>
      </c>
      <c r="P192" s="916" cm="1">
        <f t="array" ref="P192">IFERROR(_xlfn.SWITCH(F192,"By Weight",IF(H192&lt;&gt;"",H192,G192)/AR192,"By Length",G192,"By Imp",G192/MAX(1,ROUNDDOWN(E192/I192,0))*J192/1000,"IMP",G192/MAX(1,ROUNDDOWN(E192/I192,0))*J192/1000,""),"")</f>
        <v>2000</v>
      </c>
      <c r="Q192" s="916">
        <f t="shared" si="66"/>
        <v>47.158999999999999</v>
      </c>
      <c r="R192" s="917">
        <f t="shared" si="67"/>
        <v>4103.6152320611573</v>
      </c>
      <c r="S192" s="918">
        <f t="shared" si="68"/>
        <v>4760.1936691909423</v>
      </c>
      <c r="T192" s="919">
        <f t="shared" si="69"/>
        <v>87.016587121464781</v>
      </c>
      <c r="U192" s="920">
        <f t="shared" si="70"/>
        <v>100.93924106089914</v>
      </c>
      <c r="V192" s="919">
        <f t="shared" si="71"/>
        <v>2.4138913129771544</v>
      </c>
      <c r="W192" s="919">
        <f t="shared" si="72"/>
        <v>102.37245543701751</v>
      </c>
      <c r="X192" s="919" t="str">
        <f t="shared" si="73"/>
        <v/>
      </c>
      <c r="Y192" s="920">
        <f t="shared" si="74"/>
        <v>2.800113923053499</v>
      </c>
      <c r="Z192" s="920">
        <f t="shared" si="75"/>
        <v>118.7520483069403</v>
      </c>
      <c r="AA192" s="920" t="str">
        <f t="shared" si="76"/>
        <v/>
      </c>
      <c r="AB192" s="917">
        <f t="shared" si="77"/>
        <v>4827.7826259543081</v>
      </c>
      <c r="AC192" s="918">
        <f t="shared" si="78"/>
        <v>5600.2278461069973</v>
      </c>
      <c r="AD192" s="916">
        <f t="shared" si="79"/>
        <v>21204.860153947284</v>
      </c>
      <c r="AE192" s="916">
        <f t="shared" si="80"/>
        <v>500</v>
      </c>
      <c r="AF192" s="919" cm="1">
        <f t="array" ref="AF192">IFERROR(_xlfn.LET(_xlpm.lam,TEXT(B192,"0"),_xlpm.thick,D192,_xlpm.crit,(TEXT(HELPER!$BZ$2:$BZ$250,"0")=_xlpm.lam)*(HELPER!$CC$2:$CC$250=_xlpm.thick)*(HELPER!$BW$2:$BW$250&lt;&gt;""),_xlpm.mats,TRIM(SUBSTITUTE(_xlfn._xlws.FILTER(HELPER!$BW$2:$BW$250,_xlpm.crit),CHAR(160),"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2" s="919">
        <f>IFERROR(IF(N192="Europe to Canada",IF(Q192&lt;1000,VLOOKUP(1000,HELPER!$AG$4:$AH$8,2,FALSE)/Q192,VLOOKUP(Q192,HELPER!$AG$4:$AH$8,2,TRUE)/Q192),IF(N192="Europe to US",HELPER!$AH$2,IF(N192="Europe to Europe",HELPER!$AH$3,0))),0)</f>
        <v>73.120207427404523</v>
      </c>
      <c r="AH192" s="919" cm="1">
        <f t="array" ref="AH192">IFERROR(_xlfn.LET(_xlpm.cap,IF(O192="Quantum",760,1220),_xlpm.wUsed,E192*MAX(1,MIN(MAX(2,INT(900/E192)),INT((_xlpm.cap-50)/E192))),_xlpm.kgmUsed,AR192/E192*_xlpm.wUsed,_xlpm.lam,TEXT(B192,"0"),_xlpm.crit,(TEXT(HELPER!$BZ$2:$BZ$250,"0")=_xlpm.lam)*(HELPER!$CC$2:$CC$250=D192)*(HELPER!$BW$2:$BW$250&lt;&gt;""),_xlpm.mats,_xlfn._xlws.FILTER(HELPER!$BW$2:$BW$250,_xlpm.crit),_xlpm.realLayers,SUM((_xlpm.mats&lt;&gt;"")*ISERROR(SEARCH("EPOTAL",_xlpm.mats&amp;""))*ISERROR(SEARCH("BASONAT",_xlpm.mats&amp;""))*ISERROR(SEARCH("ADH",_xlpm.mats&amp;""))*ISERROR(SEARCH("HARDENER",_xlpm.mats&amp;""))),_xlpm.steps,MAX(0,_xlpm.realLayers-1),_xlpm.tier,IF(P192&lt;3000,1,IF(P192&lt;10000,2,IF(P192&lt;25000,3,IF(P192&lt;50000,4,IF(P192&lt;100000,5,IF(P192&lt;250000,6,7)))))),_xlpm.widthRow,IF(_xlpm.wUsed&lt;900,0,5),_xlpm.supplierRow,IF(O192="Marma",3,IF(OR(O192="Bastin",O192="Quantum"),13,0)),_xlpm.rate,INDEX('Lmntn &amp; Prntng- Marma &amp; Bastin '!$D$1:$K$22,_xlpm.supplierRow+_xlpm.widthRow,_xlpm.tier),_xlpm.rate*_xlpm.steps/_xlpm.kgmUsed),"")</f>
        <v>3.2178163235013466</v>
      </c>
      <c r="AI192" s="919" cm="1">
        <f t="array" ref="AI192">IFERROR(_xlfn.LET(_xlpm.cap,IF(O192="Quantum",760,1220),_xlpm.wUsed,E192*MAX(1,MIN(MAX(2,INT(900/E192)),INT((_xlpm.cap-50)/E192))),_xlpm.kgmUsed,AR192/E192*_xlpm.wUsed,_xlpm.tier,IF(P192&lt;3000,1,IF(P192&lt;10000,2,IF(P192&lt;25000,3,IF(P192&lt;50000,4,IF(P192&lt;100000,5,IF(P192&lt;250000,6,IF(P192&lt;500000,7,8))))))),_xlpm.widthRow,IF(_xlpm.wUsed&lt;900,0,5),_xlpm.slitRow,IF(O192="Marma",7,IF(OR(O192="Bastin",O192="Quantum"),17,0)),_xlpm.slitRate,INDEX('Lmntn &amp; Prntng- Marma &amp; Bastin '!$D$1:$K$22,_xlpm.slitRow+_xlpm.widthRow,_xlpm.tier),_xlpm.numColors,IF(ISNUMBER(L192),L192,IFERROR(--RIGHT(L192,LEN(L192)-FIND("-",L192)),0)),_xlpm.printRate,IF(OR(K192&lt;&gt;"Printed",_xlpm.numColors=0),0,IF(O192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192))),MAX(_xlfn._xlws.FILTER(_xlpm.meters,(_xlpm.widths=_xlpm.qWidth)*(_xlpm.bands=_xlpm.band)))),INDEX(_xlpm.rates,_xlfn.XMATCH(1,(_xlpm.widths=_xlpm.qWidth)*(_xlpm.bands=_xlpm.band)*(_xlpm.meters=_xlpm.targetM),0))/HELPER!$AK$2),_xlfn.LET(_xlpm.colorOffset,IF(_xlpm.numColors&lt;=2,1,IF(_xlpm.numColors&lt;=4,2,3)),_xlpm.supplierRow,IF(O192="Marma",3,IF(O192="Bastin",13,0)),INDEX('Lmntn &amp; Prntng- Marma &amp; Bastin '!$D$1:$K$22,_xlpm.supplierRow+_xlpm.widthRow+_xlpm.colorOffset,_xlpm.tier)))),AH192+_xlpm.slitRate/_xlpm.kgmUsed+_xlpm.printRate/_xlpm.kgmUsed+AJ192),"")</f>
        <v>4.180432155049937</v>
      </c>
      <c r="AJ192" s="919" cm="1">
        <f t="array" ref="AJ192">IF(OR(K192&lt;&gt;"Printed",L192=0,L192="0",L192=""),0,IFERROR(_xlfn.LET(_xlpm.lam,TEXT(B192,"0"),_xlpm.crit,(TEXT(HELPER!$BZ$2:$BZ$250,"0")=_xlpm.lam)*(HELPER!$CC$2:$CC$250=D192)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WHITE"},0)))/ROWS(_xlpm.real),_xlpm.numColors,IF(ISNUMBER(L192),L192,IFERROR(--RIGHT(L192,LEN(L192)-FIND("-",L192)),0)),HELPER!$DB$1*_xlpm.numColors*MAX(1,M192)*1.05*_xlpm.nkRatio/Q192),0))</f>
        <v>0</v>
      </c>
      <c r="AK192" s="919">
        <f t="shared" si="81"/>
        <v>4.4495692405108835</v>
      </c>
      <c r="AL192" s="919">
        <f t="shared" si="82"/>
        <v>2413.8913129771545</v>
      </c>
      <c r="AM192" s="73" t="str">
        <f t="shared" si="83"/>
        <v>PASS</v>
      </c>
      <c r="AN192" s="908" t="str">
        <f t="shared" si="44"/>
        <v/>
      </c>
      <c r="AO192" s="919">
        <f t="shared" si="45"/>
        <v>51</v>
      </c>
      <c r="AP192" s="919">
        <f t="shared" si="46"/>
        <v>2000</v>
      </c>
      <c r="AQ192" s="919"/>
      <c r="AR192" s="919" cm="1">
        <f t="array" ref="AR192">IFERROR(_xlfn.LET(_xlpm.lam,TEXT(B192,"0"),_xlpm.thick,D192,_xlpm.crit,(TEXT(HELPER!$BZ$2:$BZ$250,"0")=_xlpm.lam)*(HELPER!$CC$2:$CC$250=_xlpm.thick)*(HELPER!$BW$2:$BW$250&lt;&gt;""),_xlpm.mats,TRIM(SUBSTITUTE(_xlfn._xlws.FILTER(HELPER!$BW$2:$BW$250,_xlpm.crit),CHAR(160),"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")),HELPER!$AQ$2:$AQ$20,1),_xlpm.mass,IF(ISNUMBER(SEARCH("paper",_xlpm.mats)),42,_xlpm.dens*_xlpm.ths),E192/1000000*SUM(_xlpm.mass)),"")</f>
        <v>2.35795E-2</v>
      </c>
      <c r="AS192" s="919">
        <f>IFERROR(IF(D192&gt;31,(5%+250/P192)*AF192,VLOOKUP(D192,HELPER!$BH$3:$BI$5,2,TRUE)*AF192),0)</f>
        <v>1.447056016448345</v>
      </c>
      <c r="AT192" s="919">
        <v>0.15000000000000099</v>
      </c>
      <c r="AU192" s="919"/>
      <c r="AV192" s="919"/>
      <c r="AW192" s="919"/>
      <c r="AX192" s="919"/>
      <c r="AY192" s="919"/>
      <c r="AZ192" s="919">
        <f t="shared" si="47"/>
        <v>0</v>
      </c>
    </row>
    <row r="193" spans="1:52">
      <c r="A193" s="73" t="s">
        <v>2222</v>
      </c>
      <c r="B193" s="73">
        <v>418</v>
      </c>
      <c r="C193" s="908" t="s">
        <v>2218</v>
      </c>
      <c r="D193" s="915" cm="1">
        <f t="array" ref="D19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3" s="915">
        <v>900</v>
      </c>
      <c r="F193" s="73" t="s">
        <v>1040</v>
      </c>
      <c r="G193" s="916">
        <v>1600000</v>
      </c>
      <c r="H193" s="916"/>
      <c r="I193" s="916">
        <v>140</v>
      </c>
      <c r="J193" s="916">
        <v>80</v>
      </c>
      <c r="K193" s="73" t="s">
        <v>123</v>
      </c>
      <c r="L193" s="921" t="s">
        <v>592</v>
      </c>
      <c r="M193" s="915">
        <v>8</v>
      </c>
      <c r="N193" s="73" t="s">
        <v>548</v>
      </c>
      <c r="O193" s="73" t="s">
        <v>250</v>
      </c>
      <c r="P193" s="916" cm="1">
        <f t="array" ref="P193">IFERROR(_xlfn.SWITCH(F193,"By Weight",IF(H193&lt;&gt;"",H193,G193)/AR193,"By Length",G193,"By Imp",G193/MAX(1,ROUNDDOWN(E193/I193,0))*J193/1000,"IMP",G193/MAX(1,ROUNDDOWN(E193/I193,0))*J193/1000,""),"")</f>
        <v>21333.333333333336</v>
      </c>
      <c r="Q193" s="916">
        <f t="shared" si="66"/>
        <v>1293.5040000000001</v>
      </c>
      <c r="R193" s="917">
        <f t="shared" si="67"/>
        <v>30988.151543941465</v>
      </c>
      <c r="S193" s="918">
        <f t="shared" si="68"/>
        <v>35946.2557909721</v>
      </c>
      <c r="T193" s="919">
        <f t="shared" si="69"/>
        <v>23.956749684532451</v>
      </c>
      <c r="U193" s="920">
        <f t="shared" si="70"/>
        <v>27.789829634057639</v>
      </c>
      <c r="V193" s="919">
        <f t="shared" si="71"/>
        <v>1.8157120045278179</v>
      </c>
      <c r="W193" s="919">
        <f t="shared" si="72"/>
        <v>29.945937105665529</v>
      </c>
      <c r="X193" s="919">
        <f t="shared" si="73"/>
        <v>2.4209493393704238E-2</v>
      </c>
      <c r="Y193" s="920">
        <f t="shared" si="74"/>
        <v>2.1062259252522688</v>
      </c>
      <c r="Z193" s="920">
        <f t="shared" si="75"/>
        <v>34.737287042572014</v>
      </c>
      <c r="AA193" s="920">
        <f t="shared" si="76"/>
        <v>2.8083012336696914E-2</v>
      </c>
      <c r="AB193" s="917">
        <f t="shared" si="77"/>
        <v>38735.189429926788</v>
      </c>
      <c r="AC193" s="918">
        <f t="shared" si="78"/>
        <v>44932.819738715072</v>
      </c>
      <c r="AD193" s="916">
        <f t="shared" si="79"/>
        <v>8246.3345043128338</v>
      </c>
      <c r="AE193" s="916">
        <f t="shared" si="80"/>
        <v>500</v>
      </c>
      <c r="AF193" s="919" cm="1">
        <f t="array" ref="AF193">IFERROR(_xlfn.LET(_xlpm.lam,TEXT(B193,"0"),_xlpm.thick,D193,_xlpm.crit,(TEXT(HELPER!$BZ$2:$BZ$250,"0")=_xlpm.lam)*(HELPER!$CC$2:$CC$250=_xlpm.thick)*(HELPER!$BW$2:$BW$250&lt;&gt;""),_xlpm.mats,TRIM(SUBSTITUTE(_xlfn._xlws.FILTER(HELPER!$BW$2:$BW$250,_xlpm.crit),CHAR(160),"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3" s="919">
        <f>IFERROR(IF(N193="Europe to Canada",IF(Q193&lt;1000,VLOOKUP(1000,HELPER!$AG$4:$AH$8,2,FALSE)/Q193,VLOOKUP(Q193,HELPER!$AG$4:$AH$8,2,TRUE)/Q193),IF(N193="Europe to US",HELPER!$AH$2,IF(N193="Europe to Europe",HELPER!$AH$3,0))),0)</f>
        <v>2.6658408957907898</v>
      </c>
      <c r="AH193" s="919" cm="1">
        <f t="array" ref="AH193">IFERROR(_xlfn.LET(_xlpm.cap,IF(O193="Quantum",760,1220),_xlpm.wUsed,E193*MAX(1,MIN(MAX(2,INT(900/E193)),INT((_xlpm.cap-50)/E193))),_xlpm.kgmUsed,AR193/E193*_xlpm.wUsed,_xlpm.lam,TEXT(B193,"0"),_xlpm.crit,(TEXT(HELPER!$BZ$2:$BZ$250,"0")=_xlpm.lam)*(HELPER!$CC$2:$CC$250=D193)*(HELPER!$BW$2:$BW$250&lt;&gt;""),_xlpm.mats,_xlfn._xlws.FILTER(HELPER!$BW$2:$BW$250,_xlpm.crit),_xlpm.realLayers,SUM((_xlpm.mats&lt;&gt;"")*ISERROR(SEARCH("EPOTAL",_xlpm.mats&amp;""))*ISERROR(SEARCH("BASONAT",_xlpm.mats&amp;""))*ISERROR(SEARCH("ADH",_xlpm.mats&amp;""))*ISERROR(SEARCH("HARDENER",_xlpm.mats&amp;""))),_xlpm.steps,MAX(0,_xlpm.realLayers-1),_xlpm.tier,IF(P193&lt;3000,1,IF(P193&lt;10000,2,IF(P193&lt;25000,3,IF(P193&lt;50000,4,IF(P193&lt;100000,5,IF(P193&lt;250000,6,7)))))),_xlpm.widthRow,IF(_xlpm.wUsed&lt;900,0,5),_xlpm.supplierRow,IF(O193="Marma",3,IF(OR(O193="Bastin",O193="Quantum"),13,0)),_xlpm.rate,INDEX('Lmntn &amp; Prntng- Marma &amp; Bastin '!$D$1:$K$22,_xlpm.supplierRow+_xlpm.widthRow,_xlpm.tier),_xlpm.rate*_xlpm.steps/_xlpm.kgmUsed),"")</f>
        <v>1.5095739943595072</v>
      </c>
      <c r="AI193" s="919" cm="1">
        <f t="array" ref="AI193">IFERROR(_xlfn.LET(_xlpm.cap,IF(O193="Quantum",760,1220),_xlpm.wUsed,E193*MAX(1,MIN(MAX(2,INT(900/E193)),INT((_xlpm.cap-50)/E193))),_xlpm.kgmUsed,AR193/E193*_xlpm.wUsed,_xlpm.tier,IF(P193&lt;3000,1,IF(P193&lt;10000,2,IF(P193&lt;25000,3,IF(P193&lt;50000,4,IF(P193&lt;100000,5,IF(P193&lt;250000,6,IF(P193&lt;500000,7,8))))))),_xlpm.widthRow,IF(_xlpm.wUsed&lt;900,0,5),_xlpm.slitRow,IF(O193="Marma",7,IF(OR(O193="Bastin",O193="Quantum"),17,0)),_xlpm.slitRate,INDEX('Lmntn &amp; Prntng- Marma &amp; Bastin '!$D$1:$K$22,_xlpm.slitRow+_xlpm.widthRow,_xlpm.tier),_xlpm.numColors,IF(ISNUMBER(L193),L193,IFERROR(--RIGHT(L193,LEN(L193)-FIND("-",L193)),0)),_xlpm.printRate,IF(OR(K193&lt;&gt;"Printed",_xlpm.numColors=0),0,IF(O193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193))),MAX(_xlfn._xlws.FILTER(_xlpm.meters,(_xlpm.widths=_xlpm.qWidth)*(_xlpm.bands=_xlpm.band)))),INDEX(_xlpm.rates,_xlfn.XMATCH(1,(_xlpm.widths=_xlpm.qWidth)*(_xlpm.bands=_xlpm.band)*(_xlpm.meters=_xlpm.targetM),0))/HELPER!$AK$2),_xlfn.LET(_xlpm.colorOffset,IF(_xlpm.numColors&lt;=2,1,IF(_xlpm.numColors&lt;=4,2,3)),_xlpm.supplierRow,IF(O193="Marma",3,IF(O193="Bastin",13,0)),INDEX('Lmntn &amp; Prntng- Marma &amp; Bastin '!$D$1:$K$22,_xlpm.supplierRow+_xlpm.widthRow+_xlpm.colorOffset,_xlpm.tier)))),AH193+_xlpm.slitRate/_xlpm.kgmUsed+_xlpm.printRate/_xlpm.kgmUsed+AJ193),"")</f>
        <v>12.511671617521566</v>
      </c>
      <c r="AJ193" s="919" cm="1">
        <f t="array" ref="AJ193">IF(OR(K193&lt;&gt;"Printed",L193=0,L193="0",L193=""),0,IFERROR(_xlfn.LET(_xlpm.lam,TEXT(B193,"0"),_xlpm.crit,(TEXT(HELPER!$BZ$2:$BZ$250,"0")=_xlpm.lam)*(HELPER!$CC$2:$CC$250=D193)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WHITE"},0)))/ROWS(_xlpm.real),_xlpm.numColors,IF(ISNUMBER(L193),L193,IFERROR(--RIGHT(L193,LEN(L193)-FIND("-",L193)),0)),HELPER!$DB$1*_xlpm.numColors*MAX(1,M193)*1.05*_xlpm.nkRatio/Q193),0))</f>
        <v>7.7927861065756261</v>
      </c>
      <c r="AK193" s="919">
        <f t="shared" si="81"/>
        <v>1.3015856663281848</v>
      </c>
      <c r="AL193" s="919">
        <f t="shared" si="82"/>
        <v>1815.712004527818</v>
      </c>
      <c r="AM193" s="73" t="str">
        <f t="shared" si="83"/>
        <v>PASS</v>
      </c>
      <c r="AN193" s="908" t="str">
        <f t="shared" si="44"/>
        <v/>
      </c>
      <c r="AO193" s="919">
        <f t="shared" si="45"/>
        <v>51</v>
      </c>
      <c r="AP193" s="919">
        <f t="shared" si="46"/>
        <v>21333.333333333336</v>
      </c>
      <c r="AQ193" s="919"/>
      <c r="AR193" s="919" cm="1">
        <f t="array" ref="AR193">IFERROR(_xlfn.LET(_xlpm.lam,TEXT(B193,"0"),_xlpm.thick,D193,_xlpm.crit,(TEXT(HELPER!$BZ$2:$BZ$250,"0")=_xlpm.lam)*(HELPER!$CC$2:$CC$250=_xlpm.thick)*(HELPER!$BW$2:$BW$250&lt;&gt;""),_xlpm.mats,TRIM(SUBSTITUTE(_xlfn._xlws.FILTER(HELPER!$BW$2:$BW$250,_xlpm.crit),CHAR(160),"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")),HELPER!$AQ$2:$AQ$20,1),_xlpm.mass,IF(ISNUMBER(SEARCH("paper",_xlpm.mats)),42,_xlpm.dens*_xlpm.ths),E193/1000000*SUM(_xlpm.mass)),"")</f>
        <v>6.0632999999999999E-2</v>
      </c>
      <c r="AS193" s="919">
        <f>IFERROR(IF(D193&gt;31,(5%+250/P193)*AF193,VLOOKUP(D193,HELPER!$BH$3:$BI$5,2,TRUE)*AF193),0)</f>
        <v>0.51034564865812171</v>
      </c>
      <c r="AT193" s="919">
        <v>0.19999999999999901</v>
      </c>
      <c r="AU193" s="919"/>
      <c r="AV193" s="919"/>
      <c r="AW193" s="919"/>
      <c r="AX193" s="919"/>
      <c r="AY193" s="919"/>
      <c r="AZ193" s="919">
        <f t="shared" si="47"/>
        <v>10080</v>
      </c>
    </row>
    <row r="194" spans="1:52">
      <c r="A194" s="73" t="s">
        <v>2223</v>
      </c>
      <c r="B194" s="73">
        <v>428</v>
      </c>
      <c r="C194" s="908" t="s">
        <v>2212</v>
      </c>
      <c r="D194" s="915" cm="1">
        <f t="array" ref="D19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194" s="915">
        <v>120</v>
      </c>
      <c r="F194" s="73" t="s">
        <v>560</v>
      </c>
      <c r="G194" s="916">
        <v>100</v>
      </c>
      <c r="H194" s="916">
        <v>100</v>
      </c>
      <c r="I194" s="916"/>
      <c r="J194" s="916"/>
      <c r="K194" s="73" t="s">
        <v>124</v>
      </c>
      <c r="L194" s="921" t="s">
        <v>221</v>
      </c>
      <c r="M194" s="915">
        <v>1</v>
      </c>
      <c r="N194" s="73" t="s">
        <v>548</v>
      </c>
      <c r="O194" s="73" t="s">
        <v>250</v>
      </c>
      <c r="P194" s="916" cm="1">
        <f t="array" ref="P194">IFERROR(_xlfn.SWITCH(F194,"By Weight",IF(H194&lt;&gt;"",H194,G194)/AR194,"By Length",G194,"By Imp",G194/MAX(1,ROUNDDOWN(E194/I194,0))*J194/1000,"IMP",G194/MAX(1,ROUNDDOWN(E194/I194,0))*J194/1000,""),"")</f>
        <v>8120.5742870135764</v>
      </c>
      <c r="Q194" s="916">
        <f t="shared" si="66"/>
        <v>100</v>
      </c>
      <c r="R194" s="917">
        <f t="shared" si="67"/>
        <v>4626.166562320037</v>
      </c>
      <c r="S194" s="918">
        <f t="shared" si="68"/>
        <v>5366.3532122912429</v>
      </c>
      <c r="T194" s="919">
        <f t="shared" si="69"/>
        <v>46.261665623200372</v>
      </c>
      <c r="U194" s="920">
        <f t="shared" si="70"/>
        <v>53.663532122912429</v>
      </c>
      <c r="V194" s="919">
        <f t="shared" si="71"/>
        <v>0.67021724135334282</v>
      </c>
      <c r="W194" s="919">
        <f t="shared" si="72"/>
        <v>54.425488968471285</v>
      </c>
      <c r="X194" s="919" t="str">
        <f t="shared" si="73"/>
        <v/>
      </c>
      <c r="Y194" s="920">
        <f t="shared" si="74"/>
        <v>0.77745199996987757</v>
      </c>
      <c r="Z194" s="920">
        <f t="shared" si="75"/>
        <v>63.133567203426686</v>
      </c>
      <c r="AA194" s="920" t="str">
        <f t="shared" si="76"/>
        <v/>
      </c>
      <c r="AB194" s="917">
        <f t="shared" si="77"/>
        <v>5442.5488968471282</v>
      </c>
      <c r="AC194" s="918">
        <f t="shared" si="78"/>
        <v>6313.3567203426683</v>
      </c>
      <c r="AD194" s="916">
        <f t="shared" si="79"/>
        <v>40602.871435067886</v>
      </c>
      <c r="AE194" s="916">
        <f t="shared" si="80"/>
        <v>500</v>
      </c>
      <c r="AF194" s="919" cm="1">
        <f t="array" ref="AF194">IFERROR(_xlfn.LET(_xlpm.lam,TEXT(B194,"0"),_xlpm.thick,D194,_xlpm.crit,(TEXT(HELPER!$BZ$2:$BZ$250,"0")=_xlpm.lam)*(HELPER!$CC$2:$CC$250=_xlpm.thick)*(HELPER!$BW$2:$BW$250&lt;&gt;""),_xlpm.mats,TRIM(SUBSTITUTE(_xlfn._xlws.FILTER(HELPER!$BW$2:$BW$250,_xlpm.crit),CHAR(160),"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194" s="919">
        <f>IFERROR(IF(N194="Europe to Canada",IF(Q194&lt;1000,VLOOKUP(1000,HELPER!$AG$4:$AH$8,2,FALSE)/Q194,VLOOKUP(Q194,HELPER!$AG$4:$AH$8,2,TRUE)/Q194),IF(N194="Europe to US",HELPER!$AH$2,IF(N194="Europe to Europe",HELPER!$AH$3,0))),0)</f>
        <v>34.482758620689701</v>
      </c>
      <c r="AH194" s="919" cm="1">
        <f t="array" ref="AH194">IFERROR(_xlfn.LET(_xlpm.cap,IF(O194="Quantum",760,1220),_xlpm.wUsed,E194*MAX(1,MIN(MAX(2,INT(900/E194)),INT((_xlpm.cap-50)/E194))),_xlpm.kgmUsed,AR194/E194*_xlpm.wUsed,_xlpm.lam,TEXT(B194,"0"),_xlpm.crit,(TEXT(HELPER!$BZ$2:$BZ$250,"0")=_xlpm.lam)*(HELPER!$CC$2:$CC$250=D194)*(HELPER!$BW$2:$BW$250&lt;&gt;""),_xlpm.mats,_xlfn._xlws.FILTER(HELPER!$BW$2:$BW$250,_xlpm.crit),_xlpm.realLayers,SUM((_xlpm.mats&lt;&gt;"")*ISERROR(SEARCH("EPOTAL",_xlpm.mats&amp;""))*ISERROR(SEARCH("BASONAT",_xlpm.mats&amp;""))*ISERROR(SEARCH("ADH",_xlpm.mats&amp;""))*ISERROR(SEARCH("HARDENER",_xlpm.mats&amp;""))),_xlpm.steps,MAX(0,_xlpm.realLayers-1),_xlpm.tier,IF(P194&lt;3000,1,IF(P194&lt;10000,2,IF(P194&lt;25000,3,IF(P194&lt;50000,4,IF(P194&lt;100000,5,IF(P194&lt;250000,6,7)))))),_xlpm.widthRow,IF(_xlpm.wUsed&lt;900,0,5),_xlpm.supplierRow,IF(O194="Marma",3,IF(OR(O194="Bastin",O194="Quantum"),13,0)),_xlpm.rate,INDEX('Lmntn &amp; Prntng- Marma &amp; Bastin '!$D$1:$K$22,_xlpm.supplierRow+_xlpm.widthRow,_xlpm.tier),_xlpm.rate*_xlpm.steps/_xlpm.kgmUsed),"")</f>
        <v>2.4159868585906392</v>
      </c>
      <c r="AI194" s="919" cm="1">
        <f t="array" ref="AI194">IFERROR(_xlfn.LET(_xlpm.cap,IF(O194="Quantum",760,1220),_xlpm.wUsed,E194*MAX(1,MIN(MAX(2,INT(900/E194)),INT((_xlpm.cap-50)/E194))),_xlpm.kgmUsed,AR194/E194*_xlpm.wUsed,_xlpm.tier,IF(P194&lt;3000,1,IF(P194&lt;10000,2,IF(P194&lt;25000,3,IF(P194&lt;50000,4,IF(P194&lt;100000,5,IF(P194&lt;250000,6,IF(P194&lt;500000,7,8))))))),_xlpm.widthRow,IF(_xlpm.wUsed&lt;900,0,5),_xlpm.slitRow,IF(O194="Marma",7,IF(OR(O194="Bastin",O194="Quantum"),17,0)),_xlpm.slitRate,INDEX('Lmntn &amp; Prntng- Marma &amp; Bastin '!$D$1:$K$22,_xlpm.slitRow+_xlpm.widthRow,_xlpm.tier),_xlpm.numColors,IF(ISNUMBER(L194),L194,IFERROR(--RIGHT(L194,LEN(L194)-FIND("-",L194)),0)),_xlpm.printRate,IF(OR(K194&lt;&gt;"Printed",_xlpm.numColors=0),0,IF(O194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194))),MAX(_xlfn._xlws.FILTER(_xlpm.meters,(_xlpm.widths=_xlpm.qWidth)*(_xlpm.bands=_xlpm.band)))),INDEX(_xlpm.rates,_xlfn.XMATCH(1,(_xlpm.widths=_xlpm.qWidth)*(_xlpm.bands=_xlpm.band)*(_xlpm.meters=_xlpm.targetM),0))/HELPER!$AK$2),_xlfn.LET(_xlpm.colorOffset,IF(_xlpm.numColors&lt;=2,1,IF(_xlpm.numColors&lt;=4,2,3)),_xlpm.supplierRow,IF(O194="Marma",3,IF(O194="Bastin",13,0)),INDEX('Lmntn &amp; Prntng- Marma &amp; Bastin '!$D$1:$K$22,_xlpm.supplierRow+_xlpm.widthRow+_xlpm.colorOffset,_xlpm.tier)))),AH194+_xlpm.slitRate/_xlpm.kgmUsed+_xlpm.printRate/_xlpm.kgmUsed+AJ194),"")</f>
        <v>2.7688838154634294</v>
      </c>
      <c r="AJ194" s="919" cm="1">
        <f t="array" ref="AJ194">IF(OR(K194&lt;&gt;"Printed",L194=0,L194="0",L194=""),0,IFERROR(_xlfn.LET(_xlpm.lam,TEXT(B194,"0"),_xlpm.crit,(TEXT(HELPER!$BZ$2:$BZ$250,"0")=_xlpm.lam)*(HELPER!$CC$2:$CC$250=D194)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WHITE"},0)))/ROWS(_xlpm.real),_xlpm.numColors,IF(ISNUMBER(L194),L194,IFERROR(--RIGHT(L194,LEN(L194)-FIND("-",L194)),0)),HELPER!$DB$1*_xlpm.numColors*MAX(1,M194)*1.05*_xlpm.nkRatio/Q194),0))</f>
        <v>0</v>
      </c>
      <c r="AK194" s="919">
        <f t="shared" si="81"/>
        <v>3.6033185018996927</v>
      </c>
      <c r="AL194" s="919">
        <f t="shared" si="82"/>
        <v>670.21724135334284</v>
      </c>
      <c r="AM194" s="73" t="str">
        <f t="shared" si="83"/>
        <v>PASS</v>
      </c>
      <c r="AN194" s="908" t="str">
        <f t="shared" si="44"/>
        <v/>
      </c>
      <c r="AO194" s="919">
        <f t="shared" si="45"/>
        <v>80</v>
      </c>
      <c r="AP194" s="919">
        <f t="shared" si="46"/>
        <v>8120.5742870135764</v>
      </c>
      <c r="AQ194" s="919"/>
      <c r="AR194" s="919" cm="1">
        <f t="array" ref="AR194">IFERROR(_xlfn.LET(_xlpm.lam,TEXT(B194,"0"),_xlpm.thick,D194,_xlpm.crit,(TEXT(HELPER!$BZ$2:$BZ$250,"0")=_xlpm.lam)*(HELPER!$CC$2:$CC$250=_xlpm.thick)*(HELPER!$BW$2:$BW$250&lt;&gt;""),_xlpm.mats,TRIM(SUBSTITUTE(_xlfn._xlws.FILTER(HELPER!$BW$2:$BW$250,_xlpm.crit),CHAR(160),"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")),HELPER!$AQ$2:$AQ$20,1),_xlpm.mass,IF(ISNUMBER(SEARCH("paper",_xlpm.mats)),42,_xlpm.dens*_xlpm.ths),E194/1000000*SUM(_xlpm.mass)),"")</f>
        <v>1.2314400000000001E-2</v>
      </c>
      <c r="AS194" s="919">
        <f>IFERROR(IF(D194&gt;31,(5%+250/P194)*AF194,VLOOKUP(D194,HELPER!$BH$3:$BI$5,2,TRUE)*AF194),0)</f>
        <v>0.67347627854986847</v>
      </c>
      <c r="AT194" s="919">
        <v>0.15000000000000399</v>
      </c>
      <c r="AU194" s="919"/>
      <c r="AV194" s="919"/>
      <c r="AW194" s="919"/>
      <c r="AX194" s="919"/>
      <c r="AY194" s="919"/>
      <c r="AZ194" s="919">
        <f t="shared" si="47"/>
        <v>0</v>
      </c>
    </row>
    <row r="195" spans="1:52">
      <c r="A195" s="73" t="s">
        <v>2224</v>
      </c>
      <c r="B195" s="73">
        <v>428</v>
      </c>
      <c r="C195" s="908" t="s">
        <v>2214</v>
      </c>
      <c r="D195" s="915" cm="1">
        <f t="array" ref="D19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195" s="915">
        <v>350</v>
      </c>
      <c r="F195" s="73" t="s">
        <v>560</v>
      </c>
      <c r="G195" s="916">
        <v>5000</v>
      </c>
      <c r="H195" s="916">
        <v>5000</v>
      </c>
      <c r="I195" s="916"/>
      <c r="J195" s="916"/>
      <c r="K195" s="73" t="s">
        <v>123</v>
      </c>
      <c r="L195" s="921" t="s">
        <v>122</v>
      </c>
      <c r="M195" s="915">
        <v>4</v>
      </c>
      <c r="N195" s="73" t="s">
        <v>548</v>
      </c>
      <c r="O195" s="73" t="s">
        <v>1366</v>
      </c>
      <c r="P195" s="916" cm="1">
        <f t="array" ref="P195">IFERROR(_xlfn.SWITCH(F195,"By Weight",IF(H195&lt;&gt;"",H195,G195)/AR195,"By Length",G195,"By Imp",G195/MAX(1,ROUNDDOWN(E195/I195,0))*J195/1000,"IMP",G195/MAX(1,ROUNDDOWN(E195/I195,0))*J195/1000,""),"")</f>
        <v>139209.84492023275</v>
      </c>
      <c r="Q195" s="916">
        <f t="shared" si="66"/>
        <v>5000</v>
      </c>
      <c r="R195" s="917">
        <f t="shared" si="67"/>
        <v>123766.90310727888</v>
      </c>
      <c r="S195" s="918">
        <f t="shared" si="68"/>
        <v>143569.6076044435</v>
      </c>
      <c r="T195" s="919">
        <f t="shared" si="69"/>
        <v>24.753380621455776</v>
      </c>
      <c r="U195" s="920">
        <f t="shared" si="70"/>
        <v>28.713921520888697</v>
      </c>
      <c r="V195" s="919">
        <f t="shared" si="71"/>
        <v>1.1113339647260327</v>
      </c>
      <c r="W195" s="919">
        <f t="shared" si="72"/>
        <v>30.941725776819684</v>
      </c>
      <c r="X195" s="919" t="str">
        <f t="shared" si="73"/>
        <v/>
      </c>
      <c r="Y195" s="920">
        <f t="shared" si="74"/>
        <v>1.289147399082198</v>
      </c>
      <c r="Z195" s="920">
        <f t="shared" si="75"/>
        <v>35.89240190111083</v>
      </c>
      <c r="AA195" s="920" t="str">
        <f t="shared" si="76"/>
        <v/>
      </c>
      <c r="AB195" s="917">
        <f t="shared" si="77"/>
        <v>154708.62888409843</v>
      </c>
      <c r="AC195" s="918">
        <f t="shared" si="78"/>
        <v>179462.00950555416</v>
      </c>
      <c r="AD195" s="916">
        <f t="shared" si="79"/>
        <v>13920.984492023274</v>
      </c>
      <c r="AE195" s="916">
        <f t="shared" si="80"/>
        <v>500</v>
      </c>
      <c r="AF195" s="919" cm="1">
        <f t="array" ref="AF195">IFERROR(_xlfn.LET(_xlpm.lam,TEXT(B195,"0"),_xlpm.thick,D195,_xlpm.crit,(TEXT(HELPER!$BZ$2:$BZ$250,"0")=_xlpm.lam)*(HELPER!$CC$2:$CC$250=_xlpm.thick)*(HELPER!$BW$2:$BW$250&lt;&gt;""),_xlpm.mats,TRIM(SUBSTITUTE(_xlfn._xlws.FILTER(HELPER!$BW$2:$BW$250,_xlpm.crit),CHAR(160),"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195" s="919">
        <f>IFERROR(IF(N195="Europe to Canada",IF(Q195&lt;1000,VLOOKUP(1000,HELPER!$AG$4:$AH$8,2,FALSE)/Q195,VLOOKUP(Q195,HELPER!$AG$4:$AH$8,2,TRUE)/Q195),IF(N195="Europe to US",HELPER!$AH$2,IF(N195="Europe to Europe",HELPER!$AH$3,0))),0)</f>
        <v>1.8448275862068959</v>
      </c>
      <c r="AH195" s="919" cm="1">
        <f t="array" ref="AH195">IFERROR(_xlfn.LET(_xlpm.cap,IF(O195="Quantum",760,1220),_xlpm.wUsed,E195*MAX(1,MIN(MAX(2,INT(900/E195)),INT((_xlpm.cap-50)/E195))),_xlpm.kgmUsed,AR195/E195*_xlpm.wUsed,_xlpm.lam,TEXT(B195,"0"),_xlpm.crit,(TEXT(HELPER!$BZ$2:$BZ$250,"0")=_xlpm.lam)*(HELPER!$CC$2:$CC$250=D195)*(HELPER!$BW$2:$BW$250&lt;&gt;""),_xlpm.mats,_xlfn._xlws.FILTER(HELPER!$BW$2:$BW$250,_xlpm.crit),_xlpm.realLayers,SUM((_xlpm.mats&lt;&gt;"")*ISERROR(SEARCH("EPOTAL",_xlpm.mats&amp;""))*ISERROR(SEARCH("BASONAT",_xlpm.mats&amp;""))*ISERROR(SEARCH("ADH",_xlpm.mats&amp;""))*ISERROR(SEARCH("HARDENER",_xlpm.mats&amp;""))),_xlpm.steps,MAX(0,_xlpm.realLayers-1),_xlpm.tier,IF(P195&lt;3000,1,IF(P195&lt;10000,2,IF(P195&lt;25000,3,IF(P195&lt;50000,4,IF(P195&lt;100000,5,IF(P195&lt;250000,6,7)))))),_xlpm.widthRow,IF(_xlpm.wUsed&lt;900,0,5),_xlpm.supplierRow,IF(O195="Marma",3,IF(OR(O195="Bastin",O195="Quantum"),13,0)),_xlpm.rate,INDEX('Lmntn &amp; Prntng- Marma &amp; Bastin '!$D$1:$K$22,_xlpm.supplierRow+_xlpm.widthRow,_xlpm.tier),_xlpm.rate*_xlpm.steps/_xlpm.kgmUsed),"")</f>
        <v>3.0392571762675056</v>
      </c>
      <c r="AI195" s="919" cm="1">
        <f t="array" ref="AI195">IFERROR(_xlfn.LET(_xlpm.cap,IF(O195="Quantum",760,1220),_xlpm.wUsed,E195*MAX(1,MIN(MAX(2,INT(900/E195)),INT((_xlpm.cap-50)/E195))),_xlpm.kgmUsed,AR195/E195*_xlpm.wUsed,_xlpm.tier,IF(P195&lt;3000,1,IF(P195&lt;10000,2,IF(P195&lt;25000,3,IF(P195&lt;50000,4,IF(P195&lt;100000,5,IF(P195&lt;250000,6,IF(P195&lt;500000,7,8))))))),_xlpm.widthRow,IF(_xlpm.wUsed&lt;900,0,5),_xlpm.slitRow,IF(O195="Marma",7,IF(OR(O195="Bastin",O195="Quantum"),17,0)),_xlpm.slitRate,INDEX('Lmntn &amp; Prntng- Marma &amp; Bastin '!$D$1:$K$22,_xlpm.slitRow+_xlpm.widthRow,_xlpm.tier),_xlpm.numColors,IF(ISNUMBER(L195),L195,IFERROR(--RIGHT(L195,LEN(L195)-FIND("-",L195)),0)),_xlpm.printRate,IF(OR(K195&lt;&gt;"Printed",_xlpm.numColors=0),0,IF(O195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195))),MAX(_xlfn._xlws.FILTER(_xlpm.meters,(_xlpm.widths=_xlpm.qWidth)*(_xlpm.bands=_xlpm.band)))),INDEX(_xlpm.rates,_xlfn.XMATCH(1,(_xlpm.widths=_xlpm.qWidth)*(_xlpm.bands=_xlpm.band)*(_xlpm.meters=_xlpm.targetM),0))/HELPER!$AK$2),_xlfn.LET(_xlpm.colorOffset,IF(_xlpm.numColors&lt;=2,1,IF(_xlpm.numColors&lt;=4,2,3)),_xlpm.supplierRow,IF(O195="Marma",3,IF(O195="Bastin",13,0)),INDEX('Lmntn &amp; Prntng- Marma &amp; Bastin '!$D$1:$K$22,_xlpm.supplierRow+_xlpm.widthRow+_xlpm.colorOffset,_xlpm.tier)))),AH195+_xlpm.slitRate/_xlpm.kgmUsed+_xlpm.printRate/_xlpm.kgmUsed+AJ195),"")</f>
        <v>14.140207593561014</v>
      </c>
      <c r="AJ195" s="919" cm="1">
        <f t="array" ref="AJ195">IF(OR(K195&lt;&gt;"Printed",L195=0,L195="0",L195=""),0,IFERROR(_xlfn.LET(_xlpm.lam,TEXT(B195,"0"),_xlpm.crit,(TEXT(HELPER!$BZ$2:$BZ$250,"0")=_xlpm.lam)*(HELPER!$CC$2:$CC$250=D195)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WHITE"},0)))/ROWS(_xlpm.real),_xlpm.numColors,IF(ISNUMBER(L195),L195,IFERROR(--RIGHT(L195,LEN(L195)-FIND("-",L195)),0)),HELPER!$DB$1*_xlpm.numColors*MAX(1,M195)*1.05*_xlpm.nkRatio/Q195),0))</f>
        <v>0.33600000000000002</v>
      </c>
      <c r="AK195" s="919">
        <f t="shared" si="81"/>
        <v>2.0485418704627332</v>
      </c>
      <c r="AL195" s="919">
        <f t="shared" si="82"/>
        <v>1111.3339647260327</v>
      </c>
      <c r="AM195" s="73" t="str">
        <f t="shared" si="83"/>
        <v>PASS</v>
      </c>
      <c r="AN195" s="908" t="str">
        <f t="shared" si="44"/>
        <v/>
      </c>
      <c r="AO195" s="919">
        <f t="shared" si="45"/>
        <v>80</v>
      </c>
      <c r="AP195" s="919">
        <f t="shared" si="46"/>
        <v>139209.84492023275</v>
      </c>
      <c r="AQ195" s="919"/>
      <c r="AR195" s="919" cm="1">
        <f t="array" ref="AR195">IFERROR(_xlfn.LET(_xlpm.lam,TEXT(B195,"0"),_xlpm.thick,D195,_xlpm.crit,(TEXT(HELPER!$BZ$2:$BZ$250,"0")=_xlpm.lam)*(HELPER!$CC$2:$CC$250=_xlpm.thick)*(HELPER!$BW$2:$BW$250&lt;&gt;""),_xlpm.mats,TRIM(SUBSTITUTE(_xlfn._xlws.FILTER(HELPER!$BW$2:$BW$250,_xlpm.crit),CHAR(160),"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")),HELPER!$AQ$2:$AQ$20,1),_xlpm.mass,IF(ISNUMBER(SEARCH("paper",_xlpm.mats)),42,_xlpm.dens*_xlpm.ths),E195/1000000*SUM(_xlpm.mass)),"")</f>
        <v>3.5917000000000004E-2</v>
      </c>
      <c r="AS195" s="919">
        <f>IFERROR(IF(D195&gt;31,(5%+250/P195)*AF195,VLOOKUP(D195,HELPER!$BH$3:$BI$5,2,TRUE)*AF195),0)</f>
        <v>0.43179853319049344</v>
      </c>
      <c r="AT195" s="919">
        <v>0.19999999999999901</v>
      </c>
      <c r="AU195" s="919"/>
      <c r="AV195" s="919"/>
      <c r="AW195" s="919"/>
      <c r="AX195" s="919"/>
      <c r="AY195" s="919"/>
      <c r="AZ195" s="919">
        <f t="shared" si="47"/>
        <v>1680</v>
      </c>
    </row>
    <row r="196" spans="1:52">
      <c r="A196" s="73" t="s">
        <v>2225</v>
      </c>
      <c r="B196" s="73">
        <v>428</v>
      </c>
      <c r="C196" s="908" t="s">
        <v>2216</v>
      </c>
      <c r="D196" s="915" cm="1">
        <f t="array" ref="D19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196" s="915">
        <v>350</v>
      </c>
      <c r="F196" s="73" t="s">
        <v>561</v>
      </c>
      <c r="G196" s="916">
        <v>2000</v>
      </c>
      <c r="H196" s="916"/>
      <c r="I196" s="916"/>
      <c r="J196" s="916"/>
      <c r="K196" s="73" t="s">
        <v>124</v>
      </c>
      <c r="L196" s="921" t="s">
        <v>221</v>
      </c>
      <c r="M196" s="915">
        <v>1</v>
      </c>
      <c r="N196" s="73" t="s">
        <v>548</v>
      </c>
      <c r="O196" s="73" t="s">
        <v>240</v>
      </c>
      <c r="P196" s="916" cm="1">
        <f t="array" ref="P196">IFERROR(_xlfn.SWITCH(F196,"By Weight",IF(H196&lt;&gt;"",H196,G196)/AR196,"By Length",G196,"By Imp",G196/MAX(1,ROUNDDOWN(E196/I196,0))*J196/1000,"IMP",G196/MAX(1,ROUNDDOWN(E196/I196,0))*J196/1000,""),"")</f>
        <v>2000</v>
      </c>
      <c r="Q196" s="916">
        <f t="shared" si="66"/>
        <v>71.834000000000003</v>
      </c>
      <c r="R196" s="917">
        <f t="shared" si="67"/>
        <v>4500.8156870533448</v>
      </c>
      <c r="S196" s="918">
        <f t="shared" si="68"/>
        <v>5220.9461969818794</v>
      </c>
      <c r="T196" s="919">
        <f t="shared" si="69"/>
        <v>62.655785380924691</v>
      </c>
      <c r="U196" s="920">
        <f t="shared" si="70"/>
        <v>72.680711041872641</v>
      </c>
      <c r="V196" s="919">
        <f t="shared" si="71"/>
        <v>2.6475386394431313</v>
      </c>
      <c r="W196" s="919">
        <f t="shared" si="72"/>
        <v>73.712688683440462</v>
      </c>
      <c r="X196" s="919" t="str">
        <f t="shared" si="73"/>
        <v/>
      </c>
      <c r="Y196" s="920">
        <f t="shared" si="74"/>
        <v>3.0711448217540323</v>
      </c>
      <c r="Z196" s="920">
        <f t="shared" si="75"/>
        <v>85.506718872790927</v>
      </c>
      <c r="AA196" s="920" t="str">
        <f t="shared" si="76"/>
        <v/>
      </c>
      <c r="AB196" s="917">
        <f t="shared" si="77"/>
        <v>5295.0772788862623</v>
      </c>
      <c r="AC196" s="918">
        <f t="shared" si="78"/>
        <v>6142.2896435080638</v>
      </c>
      <c r="AD196" s="916">
        <f t="shared" si="79"/>
        <v>13920.984492023274</v>
      </c>
      <c r="AE196" s="916">
        <f t="shared" si="80"/>
        <v>500</v>
      </c>
      <c r="AF196" s="919" cm="1">
        <f t="array" ref="AF196">IFERROR(_xlfn.LET(_xlpm.lam,TEXT(B196,"0"),_xlpm.thick,D196,_xlpm.crit,(TEXT(HELPER!$BZ$2:$BZ$250,"0")=_xlpm.lam)*(HELPER!$CC$2:$CC$250=_xlpm.thick)*(HELPER!$BW$2:$BW$250&lt;&gt;""),_xlpm.mats,TRIM(SUBSTITUTE(_xlfn._xlws.FILTER(HELPER!$BW$2:$BW$250,_xlpm.crit),CHAR(160),"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196" s="919">
        <f>IFERROR(IF(N196="Europe to Canada",IF(Q196&lt;1000,VLOOKUP(1000,HELPER!$AG$4:$AH$8,2,FALSE)/Q196,VLOOKUP(Q196,HELPER!$AG$4:$AH$8,2,TRUE)/Q196),IF(N196="Europe to US",HELPER!$AH$2,IF(N196="Europe to Europe",HELPER!$AH$3,0))),0)</f>
        <v>48.003394800080322</v>
      </c>
      <c r="AH196" s="919" cm="1">
        <f t="array" ref="AH196">IFERROR(_xlfn.LET(_xlpm.cap,IF(O196="Quantum",760,1220),_xlpm.wUsed,E196*MAX(1,MIN(MAX(2,INT(900/E196)),INT((_xlpm.cap-50)/E196))),_xlpm.kgmUsed,AR196/E196*_xlpm.wUsed,_xlpm.lam,TEXT(B196,"0"),_xlpm.crit,(TEXT(HELPER!$BZ$2:$BZ$250,"0")=_xlpm.lam)*(HELPER!$CC$2:$CC$250=D196)*(HELPER!$BW$2:$BW$250&lt;&gt;""),_xlpm.mats,_xlfn._xlws.FILTER(HELPER!$BW$2:$BW$250,_xlpm.crit),_xlpm.realLayers,SUM((_xlpm.mats&lt;&gt;"")*ISERROR(SEARCH("EPOTAL",_xlpm.mats&amp;""))*ISERROR(SEARCH("BASONAT",_xlpm.mats&amp;""))*ISERROR(SEARCH("ADH",_xlpm.mats&amp;""))*ISERROR(SEARCH("HARDENER",_xlpm.mats&amp;""))),_xlpm.steps,MAX(0,_xlpm.realLayers-1),_xlpm.tier,IF(P196&lt;3000,1,IF(P196&lt;10000,2,IF(P196&lt;25000,3,IF(P196&lt;50000,4,IF(P196&lt;100000,5,IF(P196&lt;250000,6,7)))))),_xlpm.widthRow,IF(_xlpm.wUsed&lt;900,0,5),_xlpm.supplierRow,IF(O196="Marma",3,IF(OR(O196="Bastin",O196="Quantum"),13,0)),_xlpm.rate,INDEX('Lmntn &amp; Prntng- Marma &amp; Bastin '!$D$1:$K$22,_xlpm.supplierRow+_xlpm.widthRow,_xlpm.tier),_xlpm.rate*_xlpm.steps/_xlpm.kgmUsed),"")</f>
        <v>4.2249909513600796</v>
      </c>
      <c r="AI196" s="919" cm="1">
        <f t="array" ref="AI196">IFERROR(_xlfn.LET(_xlpm.cap,IF(O196="Quantum",760,1220),_xlpm.wUsed,E196*MAX(1,MIN(MAX(2,INT(900/E196)),INT((_xlpm.cap-50)/E196))),_xlpm.kgmUsed,AR196/E196*_xlpm.wUsed,_xlpm.tier,IF(P196&lt;3000,1,IF(P196&lt;10000,2,IF(P196&lt;25000,3,IF(P196&lt;50000,4,IF(P196&lt;100000,5,IF(P196&lt;250000,6,IF(P196&lt;500000,7,8))))))),_xlpm.widthRow,IF(_xlpm.wUsed&lt;900,0,5),_xlpm.slitRow,IF(O196="Marma",7,IF(OR(O196="Bastin",O196="Quantum"),17,0)),_xlpm.slitRate,INDEX('Lmntn &amp; Prntng- Marma &amp; Bastin '!$D$1:$K$22,_xlpm.slitRow+_xlpm.widthRow,_xlpm.tier),_xlpm.numColors,IF(ISNUMBER(L196),L196,IFERROR(--RIGHT(L196,LEN(L196)-FIND("-",L196)),0)),_xlpm.printRate,IF(OR(K196&lt;&gt;"Printed",_xlpm.numColors=0),0,IF(O196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196))),MAX(_xlfn._xlws.FILTER(_xlpm.meters,(_xlpm.widths=_xlpm.qWidth)*(_xlpm.bands=_xlpm.band)))),INDEX(_xlpm.rates,_xlfn.XMATCH(1,(_xlpm.widths=_xlpm.qWidth)*(_xlpm.bands=_xlpm.band)*(_xlpm.meters=_xlpm.targetM),0))/HELPER!$AK$2),_xlfn.LET(_xlpm.colorOffset,IF(_xlpm.numColors&lt;=2,1,IF(_xlpm.numColors&lt;=4,2,3)),_xlpm.supplierRow,IF(O196="Marma",3,IF(O196="Bastin",13,0)),INDEX('Lmntn &amp; Prntng- Marma &amp; Bastin '!$D$1:$K$22,_xlpm.supplierRow+_xlpm.widthRow+_xlpm.colorOffset,_xlpm.tier)))),AH196+_xlpm.slitRate/_xlpm.kgmUsed+_xlpm.printRate/_xlpm.kgmUsed+AJ196),"")</f>
        <v>4.8569479633599677</v>
      </c>
      <c r="AJ196" s="919" cm="1">
        <f t="array" ref="AJ196">IF(OR(K196&lt;&gt;"Printed",L196=0,L196="0",L196=""),0,IFERROR(_xlfn.LET(_xlpm.lam,TEXT(B196,"0"),_xlpm.crit,(TEXT(HELPER!$BZ$2:$BZ$250,"0")=_xlpm.lam)*(HELPER!$CC$2:$CC$250=D196)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WHITE"},0)))/ROWS(_xlpm.real),_xlpm.numColors,IF(ISNUMBER(L196),L196,IFERROR(--RIGHT(L196,LEN(L196)-FIND("-",L196)),0)),HELPER!$DB$1*_xlpm.numColors*MAX(1,M196)*1.05*_xlpm.nkRatio/Q196),0))</f>
        <v>0</v>
      </c>
      <c r="AK196" s="919">
        <f t="shared" si="81"/>
        <v>4.8802555565772003</v>
      </c>
      <c r="AL196" s="919">
        <f t="shared" si="82"/>
        <v>2647.5386394431312</v>
      </c>
      <c r="AM196" s="73" t="str">
        <f t="shared" si="83"/>
        <v>PASS</v>
      </c>
      <c r="AN196" s="908" t="str">
        <f t="shared" si="44"/>
        <v/>
      </c>
      <c r="AO196" s="919">
        <f t="shared" si="45"/>
        <v>80</v>
      </c>
      <c r="AP196" s="919">
        <f t="shared" si="46"/>
        <v>2000</v>
      </c>
      <c r="AQ196" s="919"/>
      <c r="AR196" s="919" cm="1">
        <f t="array" ref="AR196">IFERROR(_xlfn.LET(_xlpm.lam,TEXT(B196,"0"),_xlpm.thick,D196,_xlpm.crit,(TEXT(HELPER!$BZ$2:$BZ$250,"0")=_xlpm.lam)*(HELPER!$CC$2:$CC$250=_xlpm.thick)*(HELPER!$BW$2:$BW$250&lt;&gt;""),_xlpm.mats,TRIM(SUBSTITUTE(_xlfn._xlws.FILTER(HELPER!$BW$2:$BW$250,_xlpm.crit),CHAR(160),"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")),HELPER!$AQ$2:$AQ$20,1),_xlpm.mass,IF(ISNUMBER(SEARCH("paper",_xlpm.mats)),42,_xlpm.dens*_xlpm.ths),E196/1000000*SUM(_xlpm.mass)),"")</f>
        <v>3.5917000000000004E-2</v>
      </c>
      <c r="AS196" s="919">
        <f>IFERROR(IF(D196&gt;31,(5%+250/P196)*AF196,VLOOKUP(D196,HELPER!$BH$3:$BI$5,2,TRUE)*AF196),0)</f>
        <v>1.4588957089870394</v>
      </c>
      <c r="AT196" s="919">
        <v>0.149999999999996</v>
      </c>
      <c r="AU196" s="919"/>
      <c r="AV196" s="919"/>
      <c r="AW196" s="919"/>
      <c r="AX196" s="919"/>
      <c r="AY196" s="919"/>
      <c r="AZ196" s="919">
        <f t="shared" si="47"/>
        <v>0</v>
      </c>
    </row>
    <row r="197" spans="1:52">
      <c r="A197" s="73" t="s">
        <v>2226</v>
      </c>
      <c r="B197" s="73">
        <v>428</v>
      </c>
      <c r="C197" s="908" t="s">
        <v>2218</v>
      </c>
      <c r="D197" s="915" cm="1">
        <f t="array" ref="D19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80</v>
      </c>
      <c r="E197" s="915">
        <v>900</v>
      </c>
      <c r="F197" s="73" t="s">
        <v>1040</v>
      </c>
      <c r="G197" s="916">
        <v>1600000</v>
      </c>
      <c r="H197" s="916"/>
      <c r="I197" s="916">
        <v>140</v>
      </c>
      <c r="J197" s="916">
        <v>80</v>
      </c>
      <c r="K197" s="73" t="s">
        <v>123</v>
      </c>
      <c r="L197" s="921" t="s">
        <v>592</v>
      </c>
      <c r="M197" s="915">
        <v>8</v>
      </c>
      <c r="N197" s="73" t="s">
        <v>548</v>
      </c>
      <c r="O197" s="73" t="s">
        <v>250</v>
      </c>
      <c r="P197" s="916" cm="1">
        <f t="array" ref="P197">IFERROR(_xlfn.SWITCH(F197,"By Weight",IF(H197&lt;&gt;"",H197,G197)/AR197,"By Length",G197,"By Imp",G197/MAX(1,ROUNDDOWN(E197/I197,0))*J197/1000,"IMP",G197/MAX(1,ROUNDDOWN(E197/I197,0))*J197/1000,""),"")</f>
        <v>21333.333333333336</v>
      </c>
      <c r="Q197" s="916">
        <f t="shared" si="66"/>
        <v>1970.3040000000001</v>
      </c>
      <c r="R197" s="917">
        <f t="shared" si="67"/>
        <v>35664.108151863336</v>
      </c>
      <c r="S197" s="918">
        <f t="shared" si="68"/>
        <v>41370.365456161468</v>
      </c>
      <c r="T197" s="919">
        <f t="shared" si="69"/>
        <v>18.100814976705795</v>
      </c>
      <c r="U197" s="920">
        <f t="shared" si="70"/>
        <v>20.996945372978722</v>
      </c>
      <c r="V197" s="919">
        <f t="shared" si="71"/>
        <v>1.9667706701395173</v>
      </c>
      <c r="W197" s="919">
        <f t="shared" si="72"/>
        <v>21.295076443183238</v>
      </c>
      <c r="X197" s="919">
        <f t="shared" si="73"/>
        <v>2.6223608935193567E-2</v>
      </c>
      <c r="Y197" s="920">
        <f t="shared" si="74"/>
        <v>2.2814539773618399</v>
      </c>
      <c r="Z197" s="920">
        <f t="shared" si="75"/>
        <v>24.702288674092554</v>
      </c>
      <c r="AA197" s="920">
        <f t="shared" si="76"/>
        <v>3.0419386364824535E-2</v>
      </c>
      <c r="AB197" s="917">
        <f t="shared" si="77"/>
        <v>41957.774296309704</v>
      </c>
      <c r="AC197" s="918">
        <f t="shared" si="78"/>
        <v>48671.01818371925</v>
      </c>
      <c r="AD197" s="916">
        <f t="shared" si="79"/>
        <v>5413.7161913423852</v>
      </c>
      <c r="AE197" s="916">
        <f t="shared" si="80"/>
        <v>500</v>
      </c>
      <c r="AF197" s="919" cm="1">
        <f t="array" ref="AF197">IFERROR(_xlfn.LET(_xlpm.lam,TEXT(B197,"0"),_xlpm.thick,D197,_xlpm.crit,(TEXT(HELPER!$BZ$2:$BZ$250,"0")=_xlpm.lam)*(HELPER!$CC$2:$CC$250=_xlpm.thick)*(HELPER!$BW$2:$BW$250&lt;&gt;""),_xlpm.mats,TRIM(SUBSTITUTE(_xlfn._xlws.FILTER(HELPER!$BW$2:$BW$250,_xlpm.crit),CHAR(160),"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8.3365469084973682</v>
      </c>
      <c r="AG197" s="919">
        <f>IFERROR(IF(N197="Europe to Canada",IF(Q197&lt;1000,VLOOKUP(1000,HELPER!$AG$4:$AH$8,2,FALSE)/Q197,VLOOKUP(Q197,HELPER!$AG$4:$AH$8,2,TRUE)/Q197),IF(N197="Europe to US",HELPER!$AH$2,IF(N197="Europe to Europe",HELPER!$AH$3,0))),0)</f>
        <v>1.7501237687529285</v>
      </c>
      <c r="AH197" s="919" cm="1">
        <f t="array" ref="AH197">IFERROR(_xlfn.LET(_xlpm.cap,IF(O197="Quantum",760,1220),_xlpm.wUsed,E197*MAX(1,MIN(MAX(2,INT(900/E197)),INT((_xlpm.cap-50)/E197))),_xlpm.kgmUsed,AR197/E197*_xlpm.wUsed,_xlpm.lam,TEXT(B197,"0"),_xlpm.crit,(TEXT(HELPER!$BZ$2:$BZ$250,"0")=_xlpm.lam)*(HELPER!$CC$2:$CC$250=D197)*(HELPER!$BW$2:$BW$250&lt;&gt;""),_xlpm.mats,_xlfn._xlws.FILTER(HELPER!$BW$2:$BW$250,_xlpm.crit),_xlpm.realLayers,SUM((_xlpm.mats&lt;&gt;"")*ISERROR(SEARCH("EPOTAL",_xlpm.mats&amp;""))*ISERROR(SEARCH("BASONAT",_xlpm.mats&amp;""))*ISERROR(SEARCH("ADH",_xlpm.mats&amp;""))*ISERROR(SEARCH("HARDENER",_xlpm.mats&amp;""))),_xlpm.steps,MAX(0,_xlpm.realLayers-1),_xlpm.tier,IF(P197&lt;3000,1,IF(P197&lt;10000,2,IF(P197&lt;25000,3,IF(P197&lt;50000,4,IF(P197&lt;100000,5,IF(P197&lt;250000,6,7)))))),_xlpm.widthRow,IF(_xlpm.wUsed&lt;900,0,5),_xlpm.supplierRow,IF(O197="Marma",3,IF(OR(O197="Bastin",O197="Quantum"),13,0)),_xlpm.rate,INDEX('Lmntn &amp; Prntng- Marma &amp; Bastin '!$D$1:$K$22,_xlpm.supplierRow+_xlpm.widthRow,_xlpm.tier),_xlpm.rate*_xlpm.steps/_xlpm.kgmUsed),"")</f>
        <v>1.9820697719742741</v>
      </c>
      <c r="AI197" s="919" cm="1">
        <f t="array" ref="AI197">IFERROR(_xlfn.LET(_xlpm.cap,IF(O197="Quantum",760,1220),_xlpm.wUsed,E197*MAX(1,MIN(MAX(2,INT(900/E197)),INT((_xlpm.cap-50)/E197))),_xlpm.kgmUsed,AR197/E197*_xlpm.wUsed,_xlpm.tier,IF(P197&lt;3000,1,IF(P197&lt;10000,2,IF(P197&lt;25000,3,IF(P197&lt;50000,4,IF(P197&lt;100000,5,IF(P197&lt;250000,6,IF(P197&lt;500000,7,8))))))),_xlpm.widthRow,IF(_xlpm.wUsed&lt;900,0,5),_xlpm.slitRow,IF(O197="Marma",7,IF(OR(O197="Bastin",O197="Quantum"),17,0)),_xlpm.slitRate,INDEX('Lmntn &amp; Prntng- Marma &amp; Bastin '!$D$1:$K$22,_xlpm.slitRow+_xlpm.widthRow,_xlpm.tier),_xlpm.numColors,IF(ISNUMBER(L197),L197,IFERROR(--RIGHT(L197,LEN(L197)-FIND("-",L197)),0)),_xlpm.printRate,IF(OR(K197&lt;&gt;"Printed",_xlpm.numColors=0),0,IF(O197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197))),MAX(_xlfn._xlws.FILTER(_xlpm.meters,(_xlpm.widths=_xlpm.qWidth)*(_xlpm.bands=_xlpm.band)))),INDEX(_xlpm.rates,_xlfn.XMATCH(1,(_xlpm.widths=_xlpm.qWidth)*(_xlpm.bands=_xlpm.band)*(_xlpm.meters=_xlpm.targetM),0))/HELPER!$AK$2),_xlfn.LET(_xlpm.colorOffset,IF(_xlpm.numColors&lt;=2,1,IF(_xlpm.numColors&lt;=4,2,3)),_xlpm.supplierRow,IF(O197="Marma",3,IF(O197="Bastin",13,0)),INDEX('Lmntn &amp; Prntng- Marma &amp; Bastin '!$D$1:$K$22,_xlpm.supplierRow+_xlpm.widthRow+_xlpm.colorOffset,_xlpm.tier)))),AH197+_xlpm.slitRate/_xlpm.kgmUsed+_xlpm.printRate/_xlpm.kgmUsed+AJ197),"")</f>
        <v>7.4996230449466772</v>
      </c>
      <c r="AJ197" s="919" cm="1">
        <f t="array" ref="AJ197">IF(OR(K197&lt;&gt;"Printed",L197=0,L197="0",L197=""),0,IFERROR(_xlfn.LET(_xlpm.lam,TEXT(B197,"0"),_xlpm.crit,(TEXT(HELPER!$BZ$2:$BZ$250,"0")=_xlpm.lam)*(HELPER!$CC$2:$CC$250=D197)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WHITE"},0)))/ROWS(_xlpm.real),_xlpm.numColors,IF(ISNUMBER(L197),L197,IFERROR(--RIGHT(L197,LEN(L197)-FIND("-",L197)),0)),HELPER!$DB$1*_xlpm.numColors*MAX(1,M197)*1.05*_xlpm.nkRatio/Q197),0))</f>
        <v>3.4106412005457023</v>
      </c>
      <c r="AK197" s="919">
        <f t="shared" si="81"/>
        <v>1.4098714481286863</v>
      </c>
      <c r="AL197" s="919">
        <f t="shared" si="82"/>
        <v>1966.7706701395173</v>
      </c>
      <c r="AM197" s="73" t="str">
        <f t="shared" si="83"/>
        <v>PASS</v>
      </c>
      <c r="AN197" s="908" t="str">
        <f t="shared" si="44"/>
        <v/>
      </c>
      <c r="AO197" s="919">
        <f t="shared" si="45"/>
        <v>80</v>
      </c>
      <c r="AP197" s="919">
        <f t="shared" si="46"/>
        <v>21333.333333333336</v>
      </c>
      <c r="AQ197" s="919"/>
      <c r="AR197" s="919" cm="1">
        <f t="array" ref="AR197">IFERROR(_xlfn.LET(_xlpm.lam,TEXT(B197,"0"),_xlpm.thick,D197,_xlpm.crit,(TEXT(HELPER!$BZ$2:$BZ$250,"0")=_xlpm.lam)*(HELPER!$CC$2:$CC$250=_xlpm.thick)*(HELPER!$BW$2:$BW$250&lt;&gt;""),_xlpm.mats,TRIM(SUBSTITUTE(_xlfn._xlws.FILTER(HELPER!$BW$2:$BW$250,_xlpm.crit),CHAR(160),"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")),HELPER!$AQ$2:$AQ$20,1),_xlpm.mass,IF(ISNUMBER(SEARCH("paper",_xlpm.mats)),42,_xlpm.dens*_xlpm.ths),E197/1000000*SUM(_xlpm.mass)),"")</f>
        <v>9.2357999999999996E-2</v>
      </c>
      <c r="AS197" s="919">
        <f>IFERROR(IF(D197&gt;31,(5%+250/P197)*AF197,VLOOKUP(D197,HELPER!$BH$3:$BI$5,2,TRUE)*AF197),0)</f>
        <v>0.51452125450882202</v>
      </c>
      <c r="AT197" s="919">
        <v>0.149999999999998</v>
      </c>
      <c r="AU197" s="919"/>
      <c r="AV197" s="919"/>
      <c r="AW197" s="919"/>
      <c r="AX197" s="919"/>
      <c r="AY197" s="919"/>
      <c r="AZ197" s="919">
        <f t="shared" si="47"/>
        <v>6720</v>
      </c>
    </row>
    <row r="198" spans="1:52">
      <c r="A198" s="73" t="s">
        <v>2227</v>
      </c>
      <c r="B198" s="73">
        <v>608</v>
      </c>
      <c r="C198" s="908" t="s">
        <v>2212</v>
      </c>
      <c r="D198" s="915" cm="1">
        <f t="array" ref="D19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198" s="915">
        <v>120</v>
      </c>
      <c r="F198" s="73" t="s">
        <v>560</v>
      </c>
      <c r="G198" s="916">
        <v>100</v>
      </c>
      <c r="H198" s="916">
        <v>100</v>
      </c>
      <c r="I198" s="916"/>
      <c r="J198" s="916"/>
      <c r="K198" s="73" t="s">
        <v>124</v>
      </c>
      <c r="L198" s="921" t="s">
        <v>221</v>
      </c>
      <c r="M198" s="915">
        <v>1</v>
      </c>
      <c r="N198" s="73" t="s">
        <v>548</v>
      </c>
      <c r="O198" s="73" t="s">
        <v>250</v>
      </c>
      <c r="P198" s="916" cm="1">
        <f t="array" ref="P198">IFERROR(_xlfn.SWITCH(F198,"By Weight",IF(H198&lt;&gt;"",H198,G198)/AR198,"By Length",G198,"By Imp",G198/MAX(1,ROUNDDOWN(E198/I198,0))*J198/1000,"IMP",G198/MAX(1,ROUNDDOWN(E198/I198,0))*J198/1000,""),"")</f>
        <v>6441.4727783360386</v>
      </c>
      <c r="Q198" s="916">
        <f t="shared" si="66"/>
        <v>100</v>
      </c>
      <c r="R198" s="917">
        <f t="shared" si="67"/>
        <v>4341.8681659579224</v>
      </c>
      <c r="S198" s="918">
        <f t="shared" si="68"/>
        <v>5036.5670725111895</v>
      </c>
      <c r="T198" s="919">
        <f t="shared" si="69"/>
        <v>43.418681659579221</v>
      </c>
      <c r="U198" s="920">
        <f t="shared" si="70"/>
        <v>50.36567072511189</v>
      </c>
      <c r="V198" s="919">
        <f t="shared" si="71"/>
        <v>0.79299880183055305</v>
      </c>
      <c r="W198" s="919">
        <f t="shared" si="72"/>
        <v>51.080801952446024</v>
      </c>
      <c r="X198" s="919" t="str">
        <f t="shared" si="73"/>
        <v/>
      </c>
      <c r="Y198" s="920">
        <f t="shared" si="74"/>
        <v>0.91987861012344152</v>
      </c>
      <c r="Z198" s="920">
        <f t="shared" si="75"/>
        <v>59.253730264837387</v>
      </c>
      <c r="AA198" s="920" t="str">
        <f t="shared" si="76"/>
        <v/>
      </c>
      <c r="AB198" s="917">
        <f t="shared" si="77"/>
        <v>5108.0801952446027</v>
      </c>
      <c r="AC198" s="918">
        <f t="shared" si="78"/>
        <v>5925.3730264837386</v>
      </c>
      <c r="AD198" s="916">
        <f t="shared" si="79"/>
        <v>48311.045837520287</v>
      </c>
      <c r="AE198" s="916">
        <f t="shared" si="80"/>
        <v>750</v>
      </c>
      <c r="AF198" s="919" cm="1">
        <f t="array" ref="AF198">IFERROR(_xlfn.LET(_xlpm.lam,TEXT(B198,"0"),_xlpm.thick,D198,_xlpm.crit,(TEXT(HELPER!$BZ$2:$BZ$250,"0")=_xlpm.lam)*(HELPER!$CC$2:$CC$250=_xlpm.thick)*(HELPER!$BW$2:$BW$250&lt;&gt;""),_xlpm.mats,TRIM(SUBSTITUTE(_xlfn._xlws.FILTER(HELPER!$BW$2:$BW$250,_xlpm.crit),CHAR(160),"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198" s="919">
        <f>IFERROR(IF(N198="Europe to Canada",IF(Q198&lt;1000,VLOOKUP(1000,HELPER!$AG$4:$AH$8,2,FALSE)/Q198,VLOOKUP(Q198,HELPER!$AG$4:$AH$8,2,TRUE)/Q198),IF(N198="Europe to US",HELPER!$AH$2,IF(N198="Europe to Europe",HELPER!$AH$3,0))),0)</f>
        <v>34.482758620689701</v>
      </c>
      <c r="AH198" s="919" cm="1">
        <f t="array" ref="AH198">IFERROR(_xlfn.LET(_xlpm.cap,IF(O198="Quantum",760,1220),_xlpm.wUsed,E198*MAX(1,MIN(MAX(2,INT(900/E198)),INT((_xlpm.cap-50)/E198))),_xlpm.kgmUsed,AR198/E198*_xlpm.wUsed,_xlpm.lam,TEXT(B198,"0"),_xlpm.crit,(TEXT(HELPER!$BZ$2:$BZ$250,"0")=_xlpm.lam)*(HELPER!$CC$2:$CC$250=D198)*(HELPER!$BW$2:$BW$250&lt;&gt;""),_xlpm.mats,_xlfn._xlws.FILTER(HELPER!$BW$2:$BW$250,_xlpm.crit),_xlpm.realLayers,SUM((_xlpm.mats&lt;&gt;"")*ISERROR(SEARCH("EPOTAL",_xlpm.mats&amp;""))*ISERROR(SEARCH("BASONAT",_xlpm.mats&amp;""))*ISERROR(SEARCH("ADH",_xlpm.mats&amp;""))*ISERROR(SEARCH("HARDENER",_xlpm.mats&amp;""))),_xlpm.steps,MAX(0,_xlpm.realLayers-1),_xlpm.tier,IF(P198&lt;3000,1,IF(P198&lt;10000,2,IF(P198&lt;25000,3,IF(P198&lt;50000,4,IF(P198&lt;100000,5,IF(P198&lt;250000,6,7)))))),_xlpm.widthRow,IF(_xlpm.wUsed&lt;900,0,5),_xlpm.supplierRow,IF(O198="Marma",3,IF(OR(O198="Bastin",O198="Quantum"),13,0)),_xlpm.rate,INDEX('Lmntn &amp; Prntng- Marma &amp; Bastin '!$D$1:$K$22,_xlpm.supplierRow+_xlpm.widthRow,_xlpm.tier),_xlpm.rate*_xlpm.steps/_xlpm.kgmUsed),"")</f>
        <v>1.9164301725946618</v>
      </c>
      <c r="AI198" s="919" cm="1">
        <f t="array" ref="AI198">IFERROR(_xlfn.LET(_xlpm.cap,IF(O198="Quantum",760,1220),_xlpm.wUsed,E198*MAX(1,MIN(MAX(2,INT(900/E198)),INT((_xlpm.cap-50)/E198))),_xlpm.kgmUsed,AR198/E198*_xlpm.wUsed,_xlpm.tier,IF(P198&lt;3000,1,IF(P198&lt;10000,2,IF(P198&lt;25000,3,IF(P198&lt;50000,4,IF(P198&lt;100000,5,IF(P198&lt;250000,6,IF(P198&lt;500000,7,8))))))),_xlpm.widthRow,IF(_xlpm.wUsed&lt;900,0,5),_xlpm.slitRow,IF(O198="Marma",7,IF(OR(O198="Bastin",O198="Quantum"),17,0)),_xlpm.slitRate,INDEX('Lmntn &amp; Prntng- Marma &amp; Bastin '!$D$1:$K$22,_xlpm.slitRow+_xlpm.widthRow,_xlpm.tier),_xlpm.numColors,IF(ISNUMBER(L198),L198,IFERROR(--RIGHT(L198,LEN(L198)-FIND("-",L198)),0)),_xlpm.printRate,IF(OR(K198&lt;&gt;"Printed",_xlpm.numColors=0),0,IF(O198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198))),MAX(_xlfn._xlws.FILTER(_xlpm.meters,(_xlpm.widths=_xlpm.qWidth)*(_xlpm.bands=_xlpm.band)))),INDEX(_xlpm.rates,_xlfn.XMATCH(1,(_xlpm.widths=_xlpm.qWidth)*(_xlpm.bands=_xlpm.band)*(_xlpm.meters=_xlpm.targetM),0))/HELPER!$AK$2),_xlfn.LET(_xlpm.colorOffset,IF(_xlpm.numColors&lt;=2,1,IF(_xlpm.numColors&lt;=4,2,3)),_xlpm.supplierRow,IF(O198="Marma",3,IF(O198="Bastin",13,0)),INDEX('Lmntn &amp; Prntng- Marma &amp; Bastin '!$D$1:$K$22,_xlpm.supplierRow+_xlpm.widthRow+_xlpm.colorOffset,_xlpm.tier)))),AH198+_xlpm.slitRate/_xlpm.kgmUsed+_xlpm.printRate/_xlpm.kgmUsed+AJ198),"")</f>
        <v>2.196358175333208</v>
      </c>
      <c r="AJ198" s="919" cm="1">
        <f t="array" ref="AJ198">IF(OR(K198&lt;&gt;"Printed",L198=0,L198="0",L198=""),0,IFERROR(_xlfn.LET(_xlpm.lam,TEXT(B198,"0"),_xlpm.crit,(TEXT(HELPER!$BZ$2:$BZ$250,"0")=_xlpm.lam)*(HELPER!$CC$2:$CC$250=D198)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WHITE"},0)))/ROWS(_xlpm.real),_xlpm.numColors,IF(ISNUMBER(L198),L198,IFERROR(--RIGHT(L198,LEN(L198)-FIND("-",L198)),0)),HELPER!$DB$1*_xlpm.numColors*MAX(1,M198)*1.05*_xlpm.nkRatio/Q198),0))</f>
        <v>0</v>
      </c>
      <c r="AK198" s="919">
        <f t="shared" si="81"/>
        <v>4.2634344184438335</v>
      </c>
      <c r="AL198" s="919">
        <f t="shared" si="82"/>
        <v>792.99880183055302</v>
      </c>
      <c r="AM198" s="73" t="str">
        <f t="shared" si="83"/>
        <v>PASS</v>
      </c>
      <c r="AN198" s="908" t="str">
        <f t="shared" ref="AN198:AN257" si="84">_xlfn.TEXTJOIN("; ",TRUE,IF(AF198="","Missing BOM/price mapping",""),IF(AR198="","Missing thickness mapping",""),IF(E198+50&gt;IF(O198="Quantum",760,1220),"Lamination width exceeds supplier maximum",""))</f>
        <v/>
      </c>
      <c r="AO198" s="919">
        <f t="shared" ref="AO198:AO257" si="85">D198</f>
        <v>100</v>
      </c>
      <c r="AP198" s="919">
        <f t="shared" ref="AP198:AP257" si="86">P198</f>
        <v>6441.4727783360386</v>
      </c>
      <c r="AQ198" s="919"/>
      <c r="AR198" s="919" cm="1">
        <f t="array" ref="AR198">IFERROR(_xlfn.LET(_xlpm.lam,TEXT(B198,"0"),_xlpm.thick,D198,_xlpm.crit,(TEXT(HELPER!$BZ$2:$BZ$250,"0")=_xlpm.lam)*(HELPER!$CC$2:$CC$250=_xlpm.thick)*(HELPER!$BW$2:$BW$250&lt;&gt;""),_xlpm.mats,TRIM(SUBSTITUTE(_xlfn._xlws.FILTER(HELPER!$BW$2:$BW$250,_xlpm.crit),CHAR(160),"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")),HELPER!$AQ$2:$AQ$20,1),_xlpm.mass,IF(ISNUMBER(SEARCH("paper",_xlpm.mats)),42,_xlpm.dens*_xlpm.ths),E198/1000000*SUM(_xlpm.mass)),"")</f>
        <v>1.5524400000000001E-2</v>
      </c>
      <c r="AS198" s="919">
        <f>IFERROR(IF(D198&gt;31,(5%+250/P198)*AF198,VLOOKUP(D198,HELPER!$BH$3:$BI$5,2,TRUE)*AF198),0)</f>
        <v>0.54972579731220528</v>
      </c>
      <c r="AT198" s="919">
        <v>0.149999999999998</v>
      </c>
      <c r="AU198" s="919"/>
      <c r="AV198" s="919"/>
      <c r="AW198" s="919"/>
      <c r="AX198" s="919"/>
      <c r="AY198" s="919"/>
      <c r="AZ198" s="919">
        <f t="shared" ref="AZ198:AZ257" si="87">IFERROR(AJ198*Q198,0)</f>
        <v>0</v>
      </c>
    </row>
    <row r="199" spans="1:52">
      <c r="A199" s="73" t="s">
        <v>2228</v>
      </c>
      <c r="B199" s="73">
        <v>608</v>
      </c>
      <c r="C199" s="908" t="s">
        <v>2214</v>
      </c>
      <c r="D199" s="915" cm="1">
        <f t="array" ref="D19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199" s="915">
        <v>350</v>
      </c>
      <c r="F199" s="73" t="s">
        <v>560</v>
      </c>
      <c r="G199" s="916">
        <v>5000</v>
      </c>
      <c r="H199" s="916">
        <v>5000</v>
      </c>
      <c r="I199" s="916"/>
      <c r="J199" s="916"/>
      <c r="K199" s="73" t="s">
        <v>123</v>
      </c>
      <c r="L199" s="921" t="s">
        <v>122</v>
      </c>
      <c r="M199" s="915">
        <v>4</v>
      </c>
      <c r="N199" s="73" t="s">
        <v>548</v>
      </c>
      <c r="O199" s="73" t="s">
        <v>1366</v>
      </c>
      <c r="P199" s="916" cm="1">
        <f t="array" ref="P199">IFERROR(_xlfn.SWITCH(F199,"By Weight",IF(H199&lt;&gt;"",H199,G199)/AR199,"By Length",G199,"By Imp",G199/MAX(1,ROUNDDOWN(E199/I199,0))*J199/1000,"IMP",G199/MAX(1,ROUNDDOWN(E199/I199,0))*J199/1000,""),"")</f>
        <v>110425.24762861781</v>
      </c>
      <c r="Q199" s="916">
        <f t="shared" si="66"/>
        <v>5000</v>
      </c>
      <c r="R199" s="917">
        <f t="shared" si="67"/>
        <v>98220.331096933238</v>
      </c>
      <c r="S199" s="918">
        <f t="shared" si="68"/>
        <v>113935.58407244255</v>
      </c>
      <c r="T199" s="919">
        <f t="shared" si="69"/>
        <v>19.644066219386648</v>
      </c>
      <c r="U199" s="920">
        <f t="shared" si="70"/>
        <v>22.78711681448851</v>
      </c>
      <c r="V199" s="919">
        <f t="shared" si="71"/>
        <v>1.0464394075067291</v>
      </c>
      <c r="W199" s="919">
        <f t="shared" si="72"/>
        <v>23.110666140454935</v>
      </c>
      <c r="X199" s="919" t="str">
        <f t="shared" si="73"/>
        <v/>
      </c>
      <c r="Y199" s="920">
        <f t="shared" si="74"/>
        <v>1.2138697127078057</v>
      </c>
      <c r="Z199" s="920">
        <f t="shared" si="75"/>
        <v>26.808372722927722</v>
      </c>
      <c r="AA199" s="920" t="str">
        <f t="shared" si="76"/>
        <v/>
      </c>
      <c r="AB199" s="917">
        <f t="shared" si="77"/>
        <v>115553.33070227467</v>
      </c>
      <c r="AC199" s="918">
        <f t="shared" si="78"/>
        <v>134041.86361463863</v>
      </c>
      <c r="AD199" s="916">
        <f t="shared" si="79"/>
        <v>16563.78714429267</v>
      </c>
      <c r="AE199" s="916">
        <f t="shared" si="80"/>
        <v>750</v>
      </c>
      <c r="AF199" s="919" cm="1">
        <f t="array" ref="AF199">IFERROR(_xlfn.LET(_xlpm.lam,TEXT(B199,"0"),_xlpm.thick,D199,_xlpm.crit,(TEXT(HELPER!$BZ$2:$BZ$250,"0")=_xlpm.lam)*(HELPER!$CC$2:$CC$250=_xlpm.thick)*(HELPER!$BW$2:$BW$250&lt;&gt;""),_xlpm.mats,TRIM(SUBSTITUTE(_xlfn._xlws.FILTER(HELPER!$BW$2:$BW$250,_xlpm.crit),CHAR(160),"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199" s="919">
        <f>IFERROR(IF(N199="Europe to Canada",IF(Q199&lt;1000,VLOOKUP(1000,HELPER!$AG$4:$AH$8,2,FALSE)/Q199,VLOOKUP(Q199,HELPER!$AG$4:$AH$8,2,TRUE)/Q199),IF(N199="Europe to US",HELPER!$AH$2,IF(N199="Europe to Europe",HELPER!$AH$3,0))),0)</f>
        <v>1.8448275862068959</v>
      </c>
      <c r="AH199" s="919" cm="1">
        <f t="array" ref="AH199">IFERROR(_xlfn.LET(_xlpm.cap,IF(O199="Quantum",760,1220),_xlpm.wUsed,E199*MAX(1,MIN(MAX(2,INT(900/E199)),INT((_xlpm.cap-50)/E199))),_xlpm.kgmUsed,AR199/E199*_xlpm.wUsed,_xlpm.lam,TEXT(B199,"0"),_xlpm.crit,(TEXT(HELPER!$BZ$2:$BZ$250,"0")=_xlpm.lam)*(HELPER!$CC$2:$CC$250=D199)*(HELPER!$BW$2:$BW$250&lt;&gt;""),_xlpm.mats,_xlfn._xlws.FILTER(HELPER!$BW$2:$BW$250,_xlpm.crit),_xlpm.realLayers,SUM((_xlpm.mats&lt;&gt;"")*ISERROR(SEARCH("EPOTAL",_xlpm.mats&amp;""))*ISERROR(SEARCH("BASONAT",_xlpm.mats&amp;""))*ISERROR(SEARCH("ADH",_xlpm.mats&amp;""))*ISERROR(SEARCH("HARDENER",_xlpm.mats&amp;""))),_xlpm.steps,MAX(0,_xlpm.realLayers-1),_xlpm.tier,IF(P199&lt;3000,1,IF(P199&lt;10000,2,IF(P199&lt;25000,3,IF(P199&lt;50000,4,IF(P199&lt;100000,5,IF(P199&lt;250000,6,7)))))),_xlpm.widthRow,IF(_xlpm.wUsed&lt;900,0,5),_xlpm.supplierRow,IF(O199="Marma",3,IF(OR(O199="Bastin",O199="Quantum"),13,0)),_xlpm.rate,INDEX('Lmntn &amp; Prntng- Marma &amp; Bastin '!$D$1:$K$22,_xlpm.supplierRow+_xlpm.widthRow,_xlpm.tier),_xlpm.rate*_xlpm.steps/_xlpm.kgmUsed),"")</f>
        <v>2.4108260912775101</v>
      </c>
      <c r="AI199" s="919" cm="1">
        <f t="array" ref="AI199">IFERROR(_xlfn.LET(_xlpm.cap,IF(O199="Quantum",760,1220),_xlpm.wUsed,E199*MAX(1,MIN(MAX(2,INT(900/E199)),INT((_xlpm.cap-50)/E199))),_xlpm.kgmUsed,AR199/E199*_xlpm.wUsed,_xlpm.tier,IF(P199&lt;3000,1,IF(P199&lt;10000,2,IF(P199&lt;25000,3,IF(P199&lt;50000,4,IF(P199&lt;100000,5,IF(P199&lt;250000,6,IF(P199&lt;500000,7,8))))))),_xlpm.widthRow,IF(_xlpm.wUsed&lt;900,0,5),_xlpm.slitRow,IF(O199="Marma",7,IF(OR(O199="Bastin",O199="Quantum"),17,0)),_xlpm.slitRate,INDEX('Lmntn &amp; Prntng- Marma &amp; Bastin '!$D$1:$K$22,_xlpm.slitRow+_xlpm.widthRow,_xlpm.tier),_xlpm.numColors,IF(ISNUMBER(L199),L199,IFERROR(--RIGHT(L199,LEN(L199)-FIND("-",L199)),0)),_xlpm.printRate,IF(OR(K199&lt;&gt;"Printed",_xlpm.numColors=0),0,IF(O199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199))),MAX(_xlfn._xlws.FILTER(_xlpm.meters,(_xlpm.widths=_xlpm.qWidth)*(_xlpm.bands=_xlpm.band)))),INDEX(_xlpm.rates,_xlfn.XMATCH(1,(_xlpm.widths=_xlpm.qWidth)*(_xlpm.bands=_xlpm.band)*(_xlpm.meters=_xlpm.targetM),0))/HELPER!$AK$2),_xlfn.LET(_xlpm.colorOffset,IF(_xlpm.numColors&lt;=2,1,IF(_xlpm.numColors&lt;=4,2,3)),_xlpm.supplierRow,IF(O199="Marma",3,IF(O199="Bastin",13,0)),INDEX('Lmntn &amp; Prntng- Marma &amp; Bastin '!$D$1:$K$22,_xlpm.supplierRow+_xlpm.widthRow+_xlpm.colorOffset,_xlpm.tier)))),AH199+_xlpm.slitRate/_xlpm.kgmUsed+_xlpm.printRate/_xlpm.kgmUsed+AJ199),"")</f>
        <v>11.285893972723441</v>
      </c>
      <c r="AJ199" s="919" cm="1">
        <f t="array" ref="AJ199">IF(OR(K199&lt;&gt;"Printed",L199=0,L199="0",L199=""),0,IFERROR(_xlfn.LET(_xlpm.lam,TEXT(B199,"0"),_xlpm.crit,(TEXT(HELPER!$BZ$2:$BZ$250,"0")=_xlpm.lam)*(HELPER!$CC$2:$CC$250=D199)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WHITE"},0)))/ROWS(_xlpm.real),_xlpm.numColors,IF(ISNUMBER(L199),L199,IFERROR(--RIGHT(L199,LEN(L199)-FIND("-",L199)),0)),HELPER!$DB$1*_xlpm.numColors*MAX(1,M199)*1.05*_xlpm.nkRatio/Q199),0))</f>
        <v>0.33600000000000002</v>
      </c>
      <c r="AK199" s="919">
        <f t="shared" si="81"/>
        <v>1.9289205668326805</v>
      </c>
      <c r="AL199" s="919">
        <f t="shared" si="82"/>
        <v>1046.4394075067291</v>
      </c>
      <c r="AM199" s="73" t="str">
        <f t="shared" si="83"/>
        <v>PASS</v>
      </c>
      <c r="AN199" s="908" t="str">
        <f t="shared" si="84"/>
        <v/>
      </c>
      <c r="AO199" s="919">
        <f t="shared" si="85"/>
        <v>100</v>
      </c>
      <c r="AP199" s="919">
        <f t="shared" si="86"/>
        <v>110425.24762861781</v>
      </c>
      <c r="AQ199" s="919"/>
      <c r="AR199" s="919" cm="1">
        <f t="array" ref="AR199">IFERROR(_xlfn.LET(_xlpm.lam,TEXT(B199,"0"),_xlpm.thick,D199,_xlpm.crit,(TEXT(HELPER!$BZ$2:$BZ$250,"0")=_xlpm.lam)*(HELPER!$CC$2:$CC$250=_xlpm.thick)*(HELPER!$BW$2:$BW$250&lt;&gt;""),_xlpm.mats,TRIM(SUBSTITUTE(_xlfn._xlws.FILTER(HELPER!$BW$2:$BW$250,_xlpm.crit),CHAR(160),"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")),HELPER!$AQ$2:$AQ$20,1),_xlpm.mass,IF(ISNUMBER(SEARCH("paper",_xlpm.mats)),42,_xlpm.dens*_xlpm.ths),E199/1000000*SUM(_xlpm.mass)),"")</f>
        <v>4.52795E-2</v>
      </c>
      <c r="AS199" s="919">
        <f>IFERROR(IF(D199&gt;31,(5%+250/P199)*AF199,VLOOKUP(D199,HELPER!$BH$3:$BI$5,2,TRUE)*AF199),0)</f>
        <v>0.32350559421220532</v>
      </c>
      <c r="AT199" s="919">
        <v>0.15000000000000199</v>
      </c>
      <c r="AU199" s="919"/>
      <c r="AV199" s="919"/>
      <c r="AW199" s="919"/>
      <c r="AX199" s="919"/>
      <c r="AY199" s="919"/>
      <c r="AZ199" s="919">
        <f t="shared" si="87"/>
        <v>1680</v>
      </c>
    </row>
    <row r="200" spans="1:52">
      <c r="A200" s="73" t="s">
        <v>2229</v>
      </c>
      <c r="B200" s="73">
        <v>608</v>
      </c>
      <c r="C200" s="908" t="s">
        <v>2216</v>
      </c>
      <c r="D200" s="915" cm="1">
        <f t="array" ref="D20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0" s="915">
        <v>350</v>
      </c>
      <c r="F200" s="73" t="s">
        <v>561</v>
      </c>
      <c r="G200" s="916">
        <v>2000</v>
      </c>
      <c r="H200" s="916"/>
      <c r="I200" s="916"/>
      <c r="J200" s="916"/>
      <c r="K200" s="73" t="s">
        <v>124</v>
      </c>
      <c r="L200" s="921" t="s">
        <v>221</v>
      </c>
      <c r="M200" s="915">
        <v>1</v>
      </c>
      <c r="N200" s="73" t="s">
        <v>548</v>
      </c>
      <c r="O200" s="73" t="s">
        <v>240</v>
      </c>
      <c r="P200" s="916" cm="1">
        <f t="array" ref="P200">IFERROR(_xlfn.SWITCH(F200,"By Weight",IF(H200&lt;&gt;"",H200,G200)/AR200,"By Length",G200,"By Imp",G200/MAX(1,ROUNDDOWN(E200/I200,0))*J200/1000,"IMP",G200/MAX(1,ROUNDDOWN(E200/I200,0))*J200/1000,""),"")</f>
        <v>2000</v>
      </c>
      <c r="Q200" s="916">
        <f t="shared" si="66"/>
        <v>90.558999999999997</v>
      </c>
      <c r="R200" s="917">
        <f t="shared" si="67"/>
        <v>4455.8109843689699</v>
      </c>
      <c r="S200" s="918">
        <f t="shared" si="68"/>
        <v>5168.740741868005</v>
      </c>
      <c r="T200" s="919">
        <f t="shared" si="69"/>
        <v>49.203403133525882</v>
      </c>
      <c r="U200" s="920">
        <f t="shared" si="70"/>
        <v>57.075947634890021</v>
      </c>
      <c r="V200" s="919">
        <f t="shared" si="71"/>
        <v>2.7848818652306102</v>
      </c>
      <c r="W200" s="919">
        <f t="shared" si="72"/>
        <v>61.504253916907437</v>
      </c>
      <c r="X200" s="919" t="str">
        <f t="shared" si="73"/>
        <v/>
      </c>
      <c r="Y200" s="920">
        <f t="shared" si="74"/>
        <v>3.2304629636675077</v>
      </c>
      <c r="Z200" s="920">
        <f t="shared" si="75"/>
        <v>71.344934543612624</v>
      </c>
      <c r="AA200" s="920" t="str">
        <f t="shared" si="76"/>
        <v/>
      </c>
      <c r="AB200" s="917">
        <f t="shared" si="77"/>
        <v>5569.7637304612208</v>
      </c>
      <c r="AC200" s="918">
        <f t="shared" si="78"/>
        <v>6460.9259273350153</v>
      </c>
      <c r="AD200" s="916">
        <f t="shared" si="79"/>
        <v>16563.78714429267</v>
      </c>
      <c r="AE200" s="916">
        <f t="shared" si="80"/>
        <v>750</v>
      </c>
      <c r="AF200" s="919" cm="1">
        <f t="array" ref="AF200">IFERROR(_xlfn.LET(_xlpm.lam,TEXT(B200,"0"),_xlpm.thick,D200,_xlpm.crit,(TEXT(HELPER!$BZ$2:$BZ$250,"0")=_xlpm.lam)*(HELPER!$CC$2:$CC$250=_xlpm.thick)*(HELPER!$BW$2:$BW$250&lt;&gt;""),_xlpm.mats,TRIM(SUBSTITUTE(_xlfn._xlws.FILTER(HELPER!$BW$2:$BW$250,_xlpm.crit),CHAR(160),"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200" s="919">
        <f>IFERROR(IF(N200="Europe to Canada",IF(Q200&lt;1000,VLOOKUP(1000,HELPER!$AG$4:$AH$8,2,FALSE)/Q200,VLOOKUP(Q200,HELPER!$AG$4:$AH$8,2,TRUE)/Q200),IF(N200="Europe to US",HELPER!$AH$2,IF(N200="Europe to Europe",HELPER!$AH$3,0))),0)</f>
        <v>38.077671596075156</v>
      </c>
      <c r="AH200" s="919" cm="1">
        <f t="array" ref="AH200">IFERROR(_xlfn.LET(_xlpm.cap,IF(O200="Quantum",760,1220),_xlpm.wUsed,E200*MAX(1,MIN(MAX(2,INT(900/E200)),INT((_xlpm.cap-50)/E200))),_xlpm.kgmUsed,AR200/E200*_xlpm.wUsed,_xlpm.lam,TEXT(B200,"0"),_xlpm.crit,(TEXT(HELPER!$BZ$2:$BZ$250,"0")=_xlpm.lam)*(HELPER!$CC$2:$CC$250=D200)*(HELPER!$BW$2:$BW$250&lt;&gt;""),_xlpm.mats,_xlfn._xlws.FILTER(HELPER!$BW$2:$BW$250,_xlpm.crit),_xlpm.realLayers,SUM((_xlpm.mats&lt;&gt;"")*ISERROR(SEARCH("EPOTAL",_xlpm.mats&amp;""))*ISERROR(SEARCH("BASONAT",_xlpm.mats&amp;""))*ISERROR(SEARCH("ADH",_xlpm.mats&amp;""))*ISERROR(SEARCH("HARDENER",_xlpm.mats&amp;""))),_xlpm.steps,MAX(0,_xlpm.realLayers-1),_xlpm.tier,IF(P200&lt;3000,1,IF(P200&lt;10000,2,IF(P200&lt;25000,3,IF(P200&lt;50000,4,IF(P200&lt;100000,5,IF(P200&lt;250000,6,7)))))),_xlpm.widthRow,IF(_xlpm.wUsed&lt;900,0,5),_xlpm.supplierRow,IF(O200="Marma",3,IF(OR(O200="Bastin",O200="Quantum"),13,0)),_xlpm.rate,INDEX('Lmntn &amp; Prntng- Marma &amp; Bastin '!$D$1:$K$22,_xlpm.supplierRow+_xlpm.widthRow,_xlpm.tier),_xlpm.rate*_xlpm.steps/_xlpm.kgmUsed),"")</f>
        <v>3.351384180479025</v>
      </c>
      <c r="AI200" s="919" cm="1">
        <f t="array" ref="AI200">IFERROR(_xlfn.LET(_xlpm.cap,IF(O200="Quantum",760,1220),_xlpm.wUsed,E200*MAX(1,MIN(MAX(2,INT(900/E200)),INT((_xlpm.cap-50)/E200))),_xlpm.kgmUsed,AR200/E200*_xlpm.wUsed,_xlpm.tier,IF(P200&lt;3000,1,IF(P200&lt;10000,2,IF(P200&lt;25000,3,IF(P200&lt;50000,4,IF(P200&lt;100000,5,IF(P200&lt;250000,6,IF(P200&lt;500000,7,8))))))),_xlpm.widthRow,IF(_xlpm.wUsed&lt;900,0,5),_xlpm.slitRow,IF(O200="Marma",7,IF(OR(O200="Bastin",O200="Quantum"),17,0)),_xlpm.slitRate,INDEX('Lmntn &amp; Prntng- Marma &amp; Bastin '!$D$1:$K$22,_xlpm.slitRow+_xlpm.widthRow,_xlpm.tier),_xlpm.numColors,IF(ISNUMBER(L200),L200,IFERROR(--RIGHT(L200,LEN(L200)-FIND("-",L200)),0)),_xlpm.printRate,IF(OR(K200&lt;&gt;"Printed",_xlpm.numColors=0),0,IF(O200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200))),MAX(_xlfn._xlws.FILTER(_xlpm.meters,(_xlpm.widths=_xlpm.qWidth)*(_xlpm.bands=_xlpm.band)))),INDEX(_xlpm.rates,_xlfn.XMATCH(1,(_xlpm.widths=_xlpm.qWidth)*(_xlpm.bands=_xlpm.band)*(_xlpm.meters=_xlpm.targetM),0))/HELPER!$AK$2),_xlfn.LET(_xlpm.colorOffset,IF(_xlpm.numColors&lt;=2,1,IF(_xlpm.numColors&lt;=4,2,3)),_xlpm.supplierRow,IF(O200="Marma",3,IF(O200="Bastin",13,0)),INDEX('Lmntn &amp; Prntng- Marma &amp; Bastin '!$D$1:$K$22,_xlpm.supplierRow+_xlpm.widthRow+_xlpm.colorOffset,_xlpm.tier)))),AH200+_xlpm.slitRate/_xlpm.kgmUsed+_xlpm.printRate/_xlpm.kgmUsed+AJ200),"")</f>
        <v>3.8526706346138986</v>
      </c>
      <c r="AJ200" s="919" cm="1">
        <f t="array" ref="AJ200">IF(OR(K200&lt;&gt;"Printed",L200=0,L200="0",L200=""),0,IFERROR(_xlfn.LET(_xlpm.lam,TEXT(B200,"0"),_xlpm.crit,(TEXT(HELPER!$BZ$2:$BZ$250,"0")=_xlpm.lam)*(HELPER!$CC$2:$CC$250=D200)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WHITE"},0)))/ROWS(_xlpm.real),_xlpm.numColors,IF(ISNUMBER(L200),L200,IFERROR(--RIGHT(L200,LEN(L200)-FIND("-",L200)),0)),HELPER!$DB$1*_xlpm.numColors*MAX(1,M200)*1.05*_xlpm.nkRatio/Q200),0))</f>
        <v>0</v>
      </c>
      <c r="AK200" s="919">
        <f t="shared" si="81"/>
        <v>5.1334227930518166</v>
      </c>
      <c r="AL200" s="919">
        <f t="shared" si="82"/>
        <v>2784.8818652306104</v>
      </c>
      <c r="AM200" s="73" t="str">
        <f t="shared" si="83"/>
        <v>PASS</v>
      </c>
      <c r="AN200" s="908" t="str">
        <f t="shared" si="84"/>
        <v/>
      </c>
      <c r="AO200" s="919">
        <f t="shared" si="85"/>
        <v>100</v>
      </c>
      <c r="AP200" s="919">
        <f t="shared" si="86"/>
        <v>2000</v>
      </c>
      <c r="AQ200" s="919"/>
      <c r="AR200" s="919" cm="1">
        <f t="array" ref="AR200">IFERROR(_xlfn.LET(_xlpm.lam,TEXT(B200,"0"),_xlpm.thick,D200,_xlpm.crit,(TEXT(HELPER!$BZ$2:$BZ$250,"0")=_xlpm.lam)*(HELPER!$CC$2:$CC$250=_xlpm.thick)*(HELPER!$BW$2:$BW$250&lt;&gt;""),_xlpm.mats,TRIM(SUBSTITUTE(_xlfn._xlws.FILTER(HELPER!$BW$2:$BW$250,_xlpm.crit),CHAR(160),"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")),HELPER!$AQ$2:$AQ$20,1),_xlpm.mass,IF(ISNUMBER(SEARCH("paper",_xlpm.mats)),42,_xlpm.dens*_xlpm.ths),E200/1000000*SUM(_xlpm.mass)),"")</f>
        <v>4.52795E-2</v>
      </c>
      <c r="AS200" s="919">
        <f>IFERROR(IF(D200&gt;31,(5%+250/P200)*AF200,VLOOKUP(D200,HELPER!$BH$3:$BI$5,2,TRUE)*AF200),0)</f>
        <v>1.0832218365927184</v>
      </c>
      <c r="AT200" s="919">
        <v>0.20000000000000101</v>
      </c>
      <c r="AU200" s="919"/>
      <c r="AV200" s="919"/>
      <c r="AW200" s="919"/>
      <c r="AX200" s="919"/>
      <c r="AY200" s="919"/>
      <c r="AZ200" s="919">
        <f t="shared" si="87"/>
        <v>0</v>
      </c>
    </row>
    <row r="201" spans="1:52">
      <c r="A201" s="73" t="s">
        <v>2230</v>
      </c>
      <c r="B201" s="73">
        <v>608</v>
      </c>
      <c r="C201" s="908" t="s">
        <v>2218</v>
      </c>
      <c r="D201" s="915" cm="1">
        <f t="array" ref="D20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1" s="915">
        <v>900</v>
      </c>
      <c r="F201" s="73" t="s">
        <v>1040</v>
      </c>
      <c r="G201" s="916">
        <v>1600000</v>
      </c>
      <c r="H201" s="916"/>
      <c r="I201" s="916">
        <v>140</v>
      </c>
      <c r="J201" s="916">
        <v>80</v>
      </c>
      <c r="K201" s="73" t="s">
        <v>123</v>
      </c>
      <c r="L201" s="921" t="s">
        <v>592</v>
      </c>
      <c r="M201" s="915">
        <v>8</v>
      </c>
      <c r="N201" s="73" t="s">
        <v>548</v>
      </c>
      <c r="O201" s="73" t="s">
        <v>250</v>
      </c>
      <c r="P201" s="916" cm="1">
        <f t="array" ref="P201">IFERROR(_xlfn.SWITCH(F201,"By Weight",IF(H201&lt;&gt;"",H201,G201)/AR201,"By Length",G201,"By Imp",G201/MAX(1,ROUNDDOWN(E201/I201,0))*J201/1000,"IMP",G201/MAX(1,ROUNDDOWN(E201/I201,0))*J201/1000,""),"")</f>
        <v>21333.333333333336</v>
      </c>
      <c r="Q201" s="916">
        <f t="shared" si="66"/>
        <v>2483.904</v>
      </c>
      <c r="R201" s="917">
        <f t="shared" si="67"/>
        <v>36100.426983750614</v>
      </c>
      <c r="S201" s="918">
        <f t="shared" si="68"/>
        <v>41876.49530115071</v>
      </c>
      <c r="T201" s="919">
        <f t="shared" si="69"/>
        <v>14.533744856383587</v>
      </c>
      <c r="U201" s="920">
        <f t="shared" si="70"/>
        <v>16.859144033404959</v>
      </c>
      <c r="V201" s="919">
        <f t="shared" si="71"/>
        <v>1.9908323704274216</v>
      </c>
      <c r="W201" s="919">
        <f t="shared" si="72"/>
        <v>17.09852336045126</v>
      </c>
      <c r="X201" s="919">
        <f t="shared" si="73"/>
        <v>2.6544431605698957E-2</v>
      </c>
      <c r="Y201" s="920">
        <f t="shared" si="74"/>
        <v>2.309365549695809</v>
      </c>
      <c r="Z201" s="920">
        <f t="shared" si="75"/>
        <v>19.834287098123461</v>
      </c>
      <c r="AA201" s="920">
        <f t="shared" si="76"/>
        <v>3.0791540662610788E-2</v>
      </c>
      <c r="AB201" s="917">
        <f t="shared" si="77"/>
        <v>42471.090569118329</v>
      </c>
      <c r="AC201" s="918">
        <f t="shared" si="78"/>
        <v>49266.465060177259</v>
      </c>
      <c r="AD201" s="916">
        <f t="shared" si="79"/>
        <v>6441.4727783360395</v>
      </c>
      <c r="AE201" s="916">
        <f t="shared" si="80"/>
        <v>750</v>
      </c>
      <c r="AF201" s="919" cm="1">
        <f t="array" ref="AF201">IFERROR(_xlfn.LET(_xlpm.lam,TEXT(B201,"0"),_xlpm.thick,D201,_xlpm.crit,(TEXT(HELPER!$BZ$2:$BZ$250,"0")=_xlpm.lam)*(HELPER!$CC$2:$CC$250=_xlpm.thick)*(HELPER!$BW$2:$BW$250&lt;&gt;""),_xlpm.mats,TRIM(SUBSTITUTE(_xlfn._xlws.FILTER(HELPER!$BW$2:$BW$250,_xlpm.crit),CHAR(160),"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201" s="919">
        <f>IFERROR(IF(N201="Europe to Canada",IF(Q201&lt;1000,VLOOKUP(1000,HELPER!$AG$4:$AH$8,2,FALSE)/Q201,VLOOKUP(Q201,HELPER!$AG$4:$AH$8,2,TRUE)/Q201),IF(N201="Europe to US",HELPER!$AH$2,IF(N201="Europe to Europe",HELPER!$AH$3,0))),0)</f>
        <v>2.0129602432300122</v>
      </c>
      <c r="AH201" s="919" cm="1">
        <f t="array" ref="AH201">IFERROR(_xlfn.LET(_xlpm.cap,IF(O201="Quantum",760,1220),_xlpm.wUsed,E201*MAX(1,MIN(MAX(2,INT(900/E201)),INT((_xlpm.cap-50)/E201))),_xlpm.kgmUsed,AR201/E201*_xlpm.wUsed,_xlpm.lam,TEXT(B201,"0"),_xlpm.crit,(TEXT(HELPER!$BZ$2:$BZ$250,"0")=_xlpm.lam)*(HELPER!$CC$2:$CC$250=D201)*(HELPER!$BW$2:$BW$250&lt;&gt;""),_xlpm.mats,_xlfn._xlws.FILTER(HELPER!$BW$2:$BW$250,_xlpm.crit),_xlpm.realLayers,SUM((_xlpm.mats&lt;&gt;"")*ISERROR(SEARCH("EPOTAL",_xlpm.mats&amp;""))*ISERROR(SEARCH("BASONAT",_xlpm.mats&amp;""))*ISERROR(SEARCH("ADH",_xlpm.mats&amp;""))*ISERROR(SEARCH("HARDENER",_xlpm.mats&amp;""))),_xlpm.steps,MAX(0,_xlpm.realLayers-1),_xlpm.tier,IF(P201&lt;3000,1,IF(P201&lt;10000,2,IF(P201&lt;25000,3,IF(P201&lt;50000,4,IF(P201&lt;100000,5,IF(P201&lt;250000,6,7)))))),_xlpm.widthRow,IF(_xlpm.wUsed&lt;900,0,5),_xlpm.supplierRow,IF(O201="Marma",3,IF(OR(O201="Bastin",O201="Quantum"),13,0)),_xlpm.rate,INDEX('Lmntn &amp; Prntng- Marma &amp; Bastin '!$D$1:$K$22,_xlpm.supplierRow+_xlpm.widthRow,_xlpm.tier),_xlpm.rate*_xlpm.steps/_xlpm.kgmUsed),"")</f>
        <v>1.5722346757362604</v>
      </c>
      <c r="AI201" s="919" cm="1">
        <f t="array" ref="AI201">IFERROR(_xlfn.LET(_xlpm.cap,IF(O201="Quantum",760,1220),_xlpm.wUsed,E201*MAX(1,MIN(MAX(2,INT(900/E201)),INT((_xlpm.cap-50)/E201))),_xlpm.kgmUsed,AR201/E201*_xlpm.wUsed,_xlpm.tier,IF(P201&lt;3000,1,IF(P201&lt;10000,2,IF(P201&lt;25000,3,IF(P201&lt;50000,4,IF(P201&lt;100000,5,IF(P201&lt;250000,6,IF(P201&lt;500000,7,8))))))),_xlpm.widthRow,IF(_xlpm.wUsed&lt;900,0,5),_xlpm.slitRow,IF(O201="Marma",7,IF(OR(O201="Bastin",O201="Quantum"),17,0)),_xlpm.slitRate,INDEX('Lmntn &amp; Prntng- Marma &amp; Bastin '!$D$1:$K$22,_xlpm.slitRow+_xlpm.widthRow,_xlpm.tier),_xlpm.numColors,IF(ISNUMBER(L201),L201,IFERROR(--RIGHT(L201,LEN(L201)-FIND("-",L201)),0)),_xlpm.printRate,IF(OR(K201&lt;&gt;"Printed",_xlpm.numColors=0),0,IF(O201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201))),MAX(_xlfn._xlws.FILTER(_xlpm.meters,(_xlpm.widths=_xlpm.qWidth)*(_xlpm.bands=_xlpm.band)))),INDEX(_xlpm.rates,_xlfn.XMATCH(1,(_xlpm.widths=_xlpm.qWidth)*(_xlpm.bands=_xlpm.band)*(_xlpm.meters=_xlpm.targetM),0))/HELPER!$AK$2),_xlfn.LET(_xlpm.colorOffset,IF(_xlpm.numColors&lt;=2,1,IF(_xlpm.numColors&lt;=4,2,3)),_xlpm.supplierRow,IF(O201="Marma",3,IF(O201="Bastin",13,0)),INDEX('Lmntn &amp; Prntng- Marma &amp; Bastin '!$D$1:$K$22,_xlpm.supplierRow+_xlpm.widthRow+_xlpm.colorOffset,_xlpm.tier)))),AH201+_xlpm.slitRate/_xlpm.kgmUsed+_xlpm.printRate/_xlpm.kgmUsed+AJ201),"")</f>
        <v>5.9489164170397153</v>
      </c>
      <c r="AJ201" s="919" cm="1">
        <f t="array" ref="AJ201">IF(OR(K201&lt;&gt;"Printed",L201=0,L201="0",L201=""),0,IFERROR(_xlfn.LET(_xlpm.lam,TEXT(B201,"0"),_xlpm.crit,(TEXT(HELPER!$BZ$2:$BZ$250,"0")=_xlpm.lam)*(HELPER!$CC$2:$CC$250=D201)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WHITE"},0)))/ROWS(_xlpm.real),_xlpm.numColors,IF(ISNUMBER(L201),L201,IFERROR(--RIGHT(L201,LEN(L201)-FIND("-",L201)),0)),HELPER!$DB$1*_xlpm.numColors*MAX(1,M201)*1.05*_xlpm.nkRatio/Q201),0))</f>
        <v>2.7054185669011361</v>
      </c>
      <c r="AK201" s="919">
        <f t="shared" si="81"/>
        <v>1.4271199788010189</v>
      </c>
      <c r="AL201" s="919">
        <f t="shared" si="82"/>
        <v>1990.8323704274217</v>
      </c>
      <c r="AM201" s="73" t="str">
        <f t="shared" si="83"/>
        <v>PASS</v>
      </c>
      <c r="AN201" s="908" t="str">
        <f t="shared" si="84"/>
        <v/>
      </c>
      <c r="AO201" s="919">
        <f t="shared" si="85"/>
        <v>100</v>
      </c>
      <c r="AP201" s="919">
        <f t="shared" si="86"/>
        <v>21333.333333333336</v>
      </c>
      <c r="AQ201" s="919"/>
      <c r="AR201" s="919" cm="1">
        <f t="array" ref="AR201">IFERROR(_xlfn.LET(_xlpm.lam,TEXT(B201,"0"),_xlpm.thick,D201,_xlpm.crit,(TEXT(HELPER!$BZ$2:$BZ$250,"0")=_xlpm.lam)*(HELPER!$CC$2:$CC$250=_xlpm.thick)*(HELPER!$BW$2:$BW$250&lt;&gt;""),_xlpm.mats,TRIM(SUBSTITUTE(_xlfn._xlws.FILTER(HELPER!$BW$2:$BW$250,_xlpm.crit),CHAR(160),"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")),HELPER!$AQ$2:$AQ$20,1),_xlpm.mass,IF(ISNUMBER(SEARCH("paper",_xlpm.mats)),42,_xlpm.dens*_xlpm.ths),E201/1000000*SUM(_xlpm.mass)),"")</f>
        <v>0.11643299999999999</v>
      </c>
      <c r="AS201" s="919">
        <f>IFERROR(IF(D201&gt;31,(5%+250/P201)*AF201,VLOOKUP(D201,HELPER!$BH$3:$BI$5,2,TRUE)*AF201),0)</f>
        <v>0.38202912986975346</v>
      </c>
      <c r="AT201" s="919">
        <v>0.149999999999999</v>
      </c>
      <c r="AU201" s="919"/>
      <c r="AV201" s="919"/>
      <c r="AW201" s="919"/>
      <c r="AX201" s="919"/>
      <c r="AY201" s="919"/>
      <c r="AZ201" s="919">
        <f t="shared" si="87"/>
        <v>6720</v>
      </c>
    </row>
    <row r="202" spans="1:52">
      <c r="A202" s="73" t="s">
        <v>2231</v>
      </c>
      <c r="B202" s="73" t="s">
        <v>567</v>
      </c>
      <c r="C202" s="908" t="s">
        <v>2212</v>
      </c>
      <c r="D202" s="915" cm="1">
        <f t="array" ref="D20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2" s="915">
        <v>120</v>
      </c>
      <c r="F202" s="73" t="s">
        <v>560</v>
      </c>
      <c r="G202" s="916">
        <v>100</v>
      </c>
      <c r="H202" s="916">
        <v>100</v>
      </c>
      <c r="I202" s="916"/>
      <c r="J202" s="916"/>
      <c r="K202" s="73" t="s">
        <v>124</v>
      </c>
      <c r="L202" s="921" t="s">
        <v>221</v>
      </c>
      <c r="M202" s="915">
        <v>1</v>
      </c>
      <c r="N202" s="73" t="s">
        <v>548</v>
      </c>
      <c r="O202" s="73" t="s">
        <v>250</v>
      </c>
      <c r="P202" s="916" cm="1">
        <f t="array" ref="P202">IFERROR(_xlfn.SWITCH(F202,"By Weight",IF(H202&lt;&gt;"",H202,G202)/AR202,"By Length",G202,"By Imp",G202/MAX(1,ROUNDDOWN(E202/I202,0))*J202/1000,"IMP",G202/MAX(1,ROUNDDOWN(E202/I202,0))*J202/1000,""),"")</f>
        <v>6441.4727783360386</v>
      </c>
      <c r="Q202" s="916">
        <f t="shared" si="66"/>
        <v>100</v>
      </c>
      <c r="R202" s="917">
        <f t="shared" si="67"/>
        <v>4466.265262457282</v>
      </c>
      <c r="S202" s="918">
        <f t="shared" si="68"/>
        <v>5180.8677044504466</v>
      </c>
      <c r="T202" s="919">
        <f t="shared" si="69"/>
        <v>44.662652624572821</v>
      </c>
      <c r="U202" s="920">
        <f t="shared" si="70"/>
        <v>51.808677044504471</v>
      </c>
      <c r="V202" s="919">
        <f t="shared" si="71"/>
        <v>0.86670110550614998</v>
      </c>
      <c r="W202" s="919">
        <f t="shared" si="72"/>
        <v>55.82831578071616</v>
      </c>
      <c r="X202" s="919" t="str">
        <f t="shared" si="73"/>
        <v/>
      </c>
      <c r="Y202" s="920">
        <f t="shared" si="74"/>
        <v>1.005373282387134</v>
      </c>
      <c r="Z202" s="920">
        <f t="shared" si="75"/>
        <v>64.760846305630736</v>
      </c>
      <c r="AA202" s="920" t="str">
        <f t="shared" si="76"/>
        <v/>
      </c>
      <c r="AB202" s="917">
        <f t="shared" si="77"/>
        <v>5582.8315780716157</v>
      </c>
      <c r="AC202" s="918">
        <f t="shared" si="78"/>
        <v>6476.0846305630739</v>
      </c>
      <c r="AD202" s="916">
        <f t="shared" si="79"/>
        <v>32207.363891680194</v>
      </c>
      <c r="AE202" s="916">
        <f t="shared" si="80"/>
        <v>500</v>
      </c>
      <c r="AF202" s="919" cm="1">
        <f t="array" ref="AF202">IFERROR(_xlfn.LET(_xlpm.lam,TEXT(B202,"0"),_xlpm.thick,D202,_xlpm.crit,(TEXT(HELPER!$BZ$2:$BZ$250,"0")=_xlpm.lam)*(HELPER!$CC$2:$CC$250=_xlpm.thick)*(HELPER!$BW$2:$BW$250&lt;&gt;""),_xlpm.mats,TRIM(SUBSTITUTE(_xlfn._xlws.FILTER(HELPER!$BW$2:$BW$250,_xlpm.crit),CHAR(160),"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2" s="919">
        <f>IFERROR(IF(N202="Europe to Canada",IF(Q202&lt;1000,VLOOKUP(1000,HELPER!$AG$4:$AH$8,2,FALSE)/Q202,VLOOKUP(Q202,HELPER!$AG$4:$AH$8,2,TRUE)/Q202),IF(N202="Europe to US",HELPER!$AH$2,IF(N202="Europe to Europe",HELPER!$AH$3,0))),0)</f>
        <v>34.482758620689701</v>
      </c>
      <c r="AH202" s="919" cm="1">
        <f t="array" ref="AH202">IFERROR(_xlfn.LET(_xlpm.cap,IF(O202="Quantum",760,1220),_xlpm.wUsed,E202*MAX(1,MIN(MAX(2,INT(900/E202)),INT((_xlpm.cap-50)/E202))),_xlpm.kgmUsed,AR202/E202*_xlpm.wUsed,_xlpm.lam,TEXT(B202,"0"),_xlpm.crit,(TEXT(HELPER!$BZ$2:$BZ$250,"0")=_xlpm.lam)*(HELPER!$CC$2:$CC$250=D202)*(HELPER!$BW$2:$BW$250&lt;&gt;""),_xlpm.mats,_xlfn._xlws.FILTER(HELPER!$BW$2:$BW$250,_xlpm.crit),_xlpm.realLayers,SUM((_xlpm.mats&lt;&gt;"")*ISERROR(SEARCH("EPOTAL",_xlpm.mats&amp;""))*ISERROR(SEARCH("BASONAT",_xlpm.mats&amp;""))*ISERROR(SEARCH("ADH",_xlpm.mats&amp;""))*ISERROR(SEARCH("HARDENER",_xlpm.mats&amp;""))),_xlpm.steps,MAX(0,_xlpm.realLayers-1),_xlpm.tier,IF(P202&lt;3000,1,IF(P202&lt;10000,2,IF(P202&lt;25000,3,IF(P202&lt;50000,4,IF(P202&lt;100000,5,IF(P202&lt;250000,6,7)))))),_xlpm.widthRow,IF(_xlpm.wUsed&lt;900,0,5),_xlpm.supplierRow,IF(O202="Marma",3,IF(OR(O202="Bastin",O202="Quantum"),13,0)),_xlpm.rate,INDEX('Lmntn &amp; Prntng- Marma &amp; Bastin '!$D$1:$K$22,_xlpm.supplierRow+_xlpm.widthRow,_xlpm.tier),_xlpm.rate*_xlpm.steps/_xlpm.kgmUsed),"")</f>
        <v>1.9164301725946618</v>
      </c>
      <c r="AI202" s="919" cm="1">
        <f t="array" ref="AI202">IFERROR(_xlfn.LET(_xlpm.cap,IF(O202="Quantum",760,1220),_xlpm.wUsed,E202*MAX(1,MIN(MAX(2,INT(900/E202)),INT((_xlpm.cap-50)/E202))),_xlpm.kgmUsed,AR202/E202*_xlpm.wUsed,_xlpm.tier,IF(P202&lt;3000,1,IF(P202&lt;10000,2,IF(P202&lt;25000,3,IF(P202&lt;50000,4,IF(P202&lt;100000,5,IF(P202&lt;250000,6,IF(P202&lt;500000,7,8))))))),_xlpm.widthRow,IF(_xlpm.wUsed&lt;900,0,5),_xlpm.slitRow,IF(O202="Marma",7,IF(OR(O202="Bastin",O202="Quantum"),17,0)),_xlpm.slitRate,INDEX('Lmntn &amp; Prntng- Marma &amp; Bastin '!$D$1:$K$22,_xlpm.slitRow+_xlpm.widthRow,_xlpm.tier),_xlpm.numColors,IF(ISNUMBER(L202),L202,IFERROR(--RIGHT(L202,LEN(L202)-FIND("-",L202)),0)),_xlpm.printRate,IF(OR(K202&lt;&gt;"Printed",_xlpm.numColors=0),0,IF(O202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202))),MAX(_xlfn._xlws.FILTER(_xlpm.meters,(_xlpm.widths=_xlpm.qWidth)*(_xlpm.bands=_xlpm.band)))),INDEX(_xlpm.rates,_xlfn.XMATCH(1,(_xlpm.widths=_xlpm.qWidth)*(_xlpm.bands=_xlpm.band)*(_xlpm.meters=_xlpm.targetM),0))/HELPER!$AK$2),_xlfn.LET(_xlpm.colorOffset,IF(_xlpm.numColors&lt;=2,1,IF(_xlpm.numColors&lt;=4,2,3)),_xlpm.supplierRow,IF(O202="Marma",3,IF(O202="Bastin",13,0)),INDEX('Lmntn &amp; Prntng- Marma &amp; Bastin '!$D$1:$K$22,_xlpm.supplierRow+_xlpm.widthRow+_xlpm.colorOffset,_xlpm.tier)))),AH202+_xlpm.slitRate/_xlpm.kgmUsed+_xlpm.printRate/_xlpm.kgmUsed+AJ202),"")</f>
        <v>2.196358175333208</v>
      </c>
      <c r="AJ202" s="919" cm="1">
        <f t="array" ref="AJ202">IF(OR(K202&lt;&gt;"Printed",L202=0,L202="0",L202=""),0,IFERROR(_xlfn.LET(_xlpm.lam,TEXT(B202,"0"),_xlpm.crit,(TEXT(HELPER!$BZ$2:$BZ$250,"0")=_xlpm.lam)*(HELPER!$CC$2:$CC$250=D202)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WHITE"},0)))/ROWS(_xlpm.real),_xlpm.numColors,IF(ISNUMBER(L202),L202,IFERROR(--RIGHT(L202,LEN(L202)-FIND("-",L202)),0)),HELPER!$DB$1*_xlpm.numColors*MAX(1,M202)*1.05*_xlpm.nkRatio/Q202),0))</f>
        <v>0</v>
      </c>
      <c r="AK202" s="919">
        <f t="shared" si="81"/>
        <v>4.6596833629362902</v>
      </c>
      <c r="AL202" s="919">
        <f t="shared" si="82"/>
        <v>866.70110550614993</v>
      </c>
      <c r="AM202" s="73" t="str">
        <f t="shared" si="83"/>
        <v>PASS</v>
      </c>
      <c r="AN202" s="908" t="str">
        <f t="shared" si="84"/>
        <v/>
      </c>
      <c r="AO202" s="919">
        <f t="shared" si="85"/>
        <v>100</v>
      </c>
      <c r="AP202" s="919">
        <f t="shared" si="86"/>
        <v>6441.4727783360386</v>
      </c>
      <c r="AQ202" s="919"/>
      <c r="AR202" s="919" cm="1">
        <f t="array" ref="AR202">IFERROR(_xlfn.LET(_xlpm.lam,TEXT(B202,"0"),_xlpm.thick,D202,_xlpm.crit,(TEXT(HELPER!$BZ$2:$BZ$250,"0")=_xlpm.lam)*(HELPER!$CC$2:$CC$250=_xlpm.thick)*(HELPER!$BW$2:$BW$250&lt;&gt;""),_xlpm.mats,TRIM(SUBSTITUTE(_xlfn._xlws.FILTER(HELPER!$BW$2:$BW$250,_xlpm.crit),CHAR(160),"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")),HELPER!$AQ$2:$AQ$20,1),_xlpm.mass,IF(ISNUMBER(SEARCH("paper",_xlpm.mats)),42,_xlpm.dens*_xlpm.ths),E202/1000000*SUM(_xlpm.mass)),"")</f>
        <v>1.5524400000000001E-2</v>
      </c>
      <c r="AS202" s="919">
        <f>IFERROR(IF(D202&gt;31,(5%+250/P202)*AF202,VLOOKUP(D202,HELPER!$BH$3:$BI$5,2,TRUE)*AF202),0)</f>
        <v>0.65119272350237689</v>
      </c>
      <c r="AT202" s="919">
        <v>0.20000000000000201</v>
      </c>
      <c r="AU202" s="919"/>
      <c r="AV202" s="919"/>
      <c r="AW202" s="919"/>
      <c r="AX202" s="919"/>
      <c r="AY202" s="919"/>
      <c r="AZ202" s="919">
        <f t="shared" si="87"/>
        <v>0</v>
      </c>
    </row>
    <row r="203" spans="1:52">
      <c r="A203" s="73" t="s">
        <v>2232</v>
      </c>
      <c r="B203" s="73" t="s">
        <v>567</v>
      </c>
      <c r="C203" s="908" t="s">
        <v>2214</v>
      </c>
      <c r="D203" s="915" cm="1">
        <f t="array" ref="D20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3" s="915">
        <v>350</v>
      </c>
      <c r="F203" s="73" t="s">
        <v>560</v>
      </c>
      <c r="G203" s="916">
        <v>5000</v>
      </c>
      <c r="H203" s="916">
        <v>5000</v>
      </c>
      <c r="I203" s="916"/>
      <c r="J203" s="916"/>
      <c r="K203" s="73" t="s">
        <v>123</v>
      </c>
      <c r="L203" s="921" t="s">
        <v>122</v>
      </c>
      <c r="M203" s="915">
        <v>4</v>
      </c>
      <c r="N203" s="73" t="s">
        <v>548</v>
      </c>
      <c r="O203" s="73" t="s">
        <v>1366</v>
      </c>
      <c r="P203" s="916" cm="1">
        <f t="array" ref="P203">IFERROR(_xlfn.SWITCH(F203,"By Weight",IF(H203&lt;&gt;"",H203,G203)/AR203,"By Length",G203,"By Imp",G203/MAX(1,ROUNDDOWN(E203/I203,0))*J203/1000,"IMP",G203/MAX(1,ROUNDDOWN(E203/I203,0))*J203/1000,""),"")</f>
        <v>110425.24762861781</v>
      </c>
      <c r="Q203" s="916">
        <f t="shared" si="66"/>
        <v>5000</v>
      </c>
      <c r="R203" s="917">
        <f t="shared" si="67"/>
        <v>104231.41030355751</v>
      </c>
      <c r="S203" s="918">
        <f t="shared" si="68"/>
        <v>120908.4359521267</v>
      </c>
      <c r="T203" s="919">
        <f t="shared" si="69"/>
        <v>20.846282060711502</v>
      </c>
      <c r="U203" s="920">
        <f t="shared" si="70"/>
        <v>24.18168719042534</v>
      </c>
      <c r="V203" s="919">
        <f t="shared" si="71"/>
        <v>1.1104814453740992</v>
      </c>
      <c r="W203" s="919">
        <f t="shared" si="72"/>
        <v>24.525037718484064</v>
      </c>
      <c r="X203" s="919" t="str">
        <f t="shared" si="73"/>
        <v/>
      </c>
      <c r="Y203" s="920">
        <f t="shared" si="74"/>
        <v>1.2881584766339549</v>
      </c>
      <c r="Z203" s="920">
        <f t="shared" si="75"/>
        <v>28.449043753441511</v>
      </c>
      <c r="AA203" s="920" t="str">
        <f t="shared" si="76"/>
        <v/>
      </c>
      <c r="AB203" s="917">
        <f t="shared" si="77"/>
        <v>122625.18859242032</v>
      </c>
      <c r="AC203" s="918">
        <f t="shared" si="78"/>
        <v>142245.21876720755</v>
      </c>
      <c r="AD203" s="916">
        <f t="shared" si="79"/>
        <v>11042.52476286178</v>
      </c>
      <c r="AE203" s="916">
        <f t="shared" si="80"/>
        <v>500</v>
      </c>
      <c r="AF203" s="919" cm="1">
        <f t="array" ref="AF203">IFERROR(_xlfn.LET(_xlpm.lam,TEXT(B203,"0"),_xlpm.thick,D203,_xlpm.crit,(TEXT(HELPER!$BZ$2:$BZ$250,"0")=_xlpm.lam)*(HELPER!$CC$2:$CC$250=_xlpm.thick)*(HELPER!$BW$2:$BW$250&lt;&gt;""),_xlpm.mats,TRIM(SUBSTITUTE(_xlfn._xlws.FILTER(HELPER!$BW$2:$BW$250,_xlpm.crit),CHAR(160),"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3" s="919">
        <f>IFERROR(IF(N203="Europe to Canada",IF(Q203&lt;1000,VLOOKUP(1000,HELPER!$AG$4:$AH$8,2,FALSE)/Q203,VLOOKUP(Q203,HELPER!$AG$4:$AH$8,2,TRUE)/Q203),IF(N203="Europe to US",HELPER!$AH$2,IF(N203="Europe to Europe",HELPER!$AH$3,0))),0)</f>
        <v>1.8448275862068959</v>
      </c>
      <c r="AH203" s="919" cm="1">
        <f t="array" ref="AH203">IFERROR(_xlfn.LET(_xlpm.cap,IF(O203="Quantum",760,1220),_xlpm.wUsed,E203*MAX(1,MIN(MAX(2,INT(900/E203)),INT((_xlpm.cap-50)/E203))),_xlpm.kgmUsed,AR203/E203*_xlpm.wUsed,_xlpm.lam,TEXT(B203,"0"),_xlpm.crit,(TEXT(HELPER!$BZ$2:$BZ$250,"0")=_xlpm.lam)*(HELPER!$CC$2:$CC$250=D203)*(HELPER!$BW$2:$BW$250&lt;&gt;""),_xlpm.mats,_xlfn._xlws.FILTER(HELPER!$BW$2:$BW$250,_xlpm.crit),_xlpm.realLayers,SUM((_xlpm.mats&lt;&gt;"")*ISERROR(SEARCH("EPOTAL",_xlpm.mats&amp;""))*ISERROR(SEARCH("BASONAT",_xlpm.mats&amp;""))*ISERROR(SEARCH("ADH",_xlpm.mats&amp;""))*ISERROR(SEARCH("HARDENER",_xlpm.mats&amp;""))),_xlpm.steps,MAX(0,_xlpm.realLayers-1),_xlpm.tier,IF(P203&lt;3000,1,IF(P203&lt;10000,2,IF(P203&lt;25000,3,IF(P203&lt;50000,4,IF(P203&lt;100000,5,IF(P203&lt;250000,6,7)))))),_xlpm.widthRow,IF(_xlpm.wUsed&lt;900,0,5),_xlpm.supplierRow,IF(O203="Marma",3,IF(OR(O203="Bastin",O203="Quantum"),13,0)),_xlpm.rate,INDEX('Lmntn &amp; Prntng- Marma &amp; Bastin '!$D$1:$K$22,_xlpm.supplierRow+_xlpm.widthRow,_xlpm.tier),_xlpm.rate*_xlpm.steps/_xlpm.kgmUsed),"")</f>
        <v>2.4108260912775101</v>
      </c>
      <c r="AI203" s="919" cm="1">
        <f t="array" ref="AI203">IFERROR(_xlfn.LET(_xlpm.cap,IF(O203="Quantum",760,1220),_xlpm.wUsed,E203*MAX(1,MIN(MAX(2,INT(900/E203)),INT((_xlpm.cap-50)/E203))),_xlpm.kgmUsed,AR203/E203*_xlpm.wUsed,_xlpm.tier,IF(P203&lt;3000,1,IF(P203&lt;10000,2,IF(P203&lt;25000,3,IF(P203&lt;50000,4,IF(P203&lt;100000,5,IF(P203&lt;250000,6,IF(P203&lt;500000,7,8))))))),_xlpm.widthRow,IF(_xlpm.wUsed&lt;900,0,5),_xlpm.slitRow,IF(O203="Marma",7,IF(OR(O203="Bastin",O203="Quantum"),17,0)),_xlpm.slitRate,INDEX('Lmntn &amp; Prntng- Marma &amp; Bastin '!$D$1:$K$22,_xlpm.slitRow+_xlpm.widthRow,_xlpm.tier),_xlpm.numColors,IF(ISNUMBER(L203),L203,IFERROR(--RIGHT(L203,LEN(L203)-FIND("-",L203)),0)),_xlpm.printRate,IF(OR(K203&lt;&gt;"Printed",_xlpm.numColors=0),0,IF(O203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203))),MAX(_xlfn._xlws.FILTER(_xlpm.meters,(_xlpm.widths=_xlpm.qWidth)*(_xlpm.bands=_xlpm.band)))),INDEX(_xlpm.rates,_xlfn.XMATCH(1,(_xlpm.widths=_xlpm.qWidth)*(_xlpm.bands=_xlpm.band)*(_xlpm.meters=_xlpm.targetM),0))/HELPER!$AK$2),_xlfn.LET(_xlpm.colorOffset,IF(_xlpm.numColors&lt;=2,1,IF(_xlpm.numColors&lt;=4,2,3)),_xlpm.supplierRow,IF(O203="Marma",3,IF(O203="Bastin",13,0)),INDEX('Lmntn &amp; Prntng- Marma &amp; Bastin '!$D$1:$K$22,_xlpm.supplierRow+_xlpm.widthRow+_xlpm.colorOffset,_xlpm.tier)))),AH203+_xlpm.slitRate/_xlpm.kgmUsed+_xlpm.printRate/_xlpm.kgmUsed+AJ203),"")</f>
        <v>11.285893972723441</v>
      </c>
      <c r="AJ203" s="919" cm="1">
        <f t="array" ref="AJ203">IF(OR(K203&lt;&gt;"Printed",L203=0,L203="0",L203=""),0,IFERROR(_xlfn.LET(_xlpm.lam,TEXT(B203,"0"),_xlpm.crit,(TEXT(HELPER!$BZ$2:$BZ$250,"0")=_xlpm.lam)*(HELPER!$CC$2:$CC$250=D203)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WHITE"},0)))/ROWS(_xlpm.real),_xlpm.numColors,IF(ISNUMBER(L203),L203,IFERROR(--RIGHT(L203,LEN(L203)-FIND("-",L203)),0)),HELPER!$DB$1*_xlpm.numColors*MAX(1,M203)*1.05*_xlpm.nkRatio/Q203),0))</f>
        <v>0.33600000000000002</v>
      </c>
      <c r="AK203" s="919">
        <f t="shared" si="81"/>
        <v>2.046970406219538</v>
      </c>
      <c r="AL203" s="919">
        <f t="shared" si="82"/>
        <v>1110.4814453740992</v>
      </c>
      <c r="AM203" s="73" t="str">
        <f t="shared" si="83"/>
        <v>PASS</v>
      </c>
      <c r="AN203" s="908" t="str">
        <f t="shared" si="84"/>
        <v/>
      </c>
      <c r="AO203" s="919">
        <f t="shared" si="85"/>
        <v>100</v>
      </c>
      <c r="AP203" s="919">
        <f t="shared" si="86"/>
        <v>110425.24762861781</v>
      </c>
      <c r="AQ203" s="919"/>
      <c r="AR203" s="919" cm="1">
        <f t="array" ref="AR203">IFERROR(_xlfn.LET(_xlpm.lam,TEXT(B203,"0"),_xlpm.thick,D203,_xlpm.crit,(TEXT(HELPER!$BZ$2:$BZ$250,"0")=_xlpm.lam)*(HELPER!$CC$2:$CC$250=_xlpm.thick)*(HELPER!$BW$2:$BW$250&lt;&gt;""),_xlpm.mats,TRIM(SUBSTITUTE(_xlfn._xlws.FILTER(HELPER!$BW$2:$BW$250,_xlpm.crit),CHAR(160),"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")),HELPER!$AQ$2:$AQ$20,1),_xlpm.mass,IF(ISNUMBER(SEARCH("paper",_xlpm.mats)),42,_xlpm.dens*_xlpm.ths),E203/1000000*SUM(_xlpm.mass)),"")</f>
        <v>4.52795E-2</v>
      </c>
      <c r="AS203" s="919">
        <f>IFERROR(IF(D203&gt;31,(5%+250/P203)*AF203,VLOOKUP(D203,HELPER!$BH$3:$BI$5,2,TRUE)*AF203),0)</f>
        <v>0.38321739673362692</v>
      </c>
      <c r="AT203" s="919">
        <v>0.149999999999998</v>
      </c>
      <c r="AU203" s="919"/>
      <c r="AV203" s="919"/>
      <c r="AW203" s="919"/>
      <c r="AX203" s="919"/>
      <c r="AY203" s="919"/>
      <c r="AZ203" s="919">
        <f t="shared" si="87"/>
        <v>1680</v>
      </c>
    </row>
    <row r="204" spans="1:52">
      <c r="A204" s="73" t="s">
        <v>2233</v>
      </c>
      <c r="B204" s="73" t="s">
        <v>567</v>
      </c>
      <c r="C204" s="908" t="s">
        <v>2216</v>
      </c>
      <c r="D204" s="915" cm="1">
        <f t="array" ref="D20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4" s="915">
        <v>350</v>
      </c>
      <c r="F204" s="73" t="s">
        <v>561</v>
      </c>
      <c r="G204" s="916">
        <v>2000</v>
      </c>
      <c r="H204" s="916"/>
      <c r="I204" s="916"/>
      <c r="J204" s="916"/>
      <c r="K204" s="73" t="s">
        <v>124</v>
      </c>
      <c r="L204" s="921" t="s">
        <v>221</v>
      </c>
      <c r="M204" s="915">
        <v>1</v>
      </c>
      <c r="N204" s="73" t="s">
        <v>548</v>
      </c>
      <c r="O204" s="73" t="s">
        <v>240</v>
      </c>
      <c r="P204" s="916" cm="1">
        <f t="array" ref="P204">IFERROR(_xlfn.SWITCH(F204,"By Weight",IF(H204&lt;&gt;"",H204,G204)/AR204,"By Length",G204,"By Imp",G204/MAX(1,ROUNDDOWN(E204/I204,0))*J204/1000,"IMP",G204/MAX(1,ROUNDDOWN(E204/I204,0))*J204/1000,""),"")</f>
        <v>2000</v>
      </c>
      <c r="Q204" s="916">
        <f t="shared" si="66"/>
        <v>90.558999999999997</v>
      </c>
      <c r="R204" s="917">
        <f t="shared" si="67"/>
        <v>4577.3812116877198</v>
      </c>
      <c r="S204" s="918">
        <f t="shared" si="68"/>
        <v>5309.7622055577549</v>
      </c>
      <c r="T204" s="919">
        <f t="shared" si="69"/>
        <v>50.54584537911991</v>
      </c>
      <c r="U204" s="920">
        <f t="shared" si="70"/>
        <v>58.633180639779091</v>
      </c>
      <c r="V204" s="919">
        <f t="shared" si="71"/>
        <v>2.6925771833457079</v>
      </c>
      <c r="W204" s="919">
        <f t="shared" si="72"/>
        <v>59.465700446023213</v>
      </c>
      <c r="X204" s="919" t="str">
        <f t="shared" si="73"/>
        <v/>
      </c>
      <c r="Y204" s="920">
        <f t="shared" si="74"/>
        <v>3.123389532681021</v>
      </c>
      <c r="Z204" s="920">
        <f t="shared" si="75"/>
        <v>68.980212517386917</v>
      </c>
      <c r="AA204" s="920" t="str">
        <f t="shared" si="76"/>
        <v/>
      </c>
      <c r="AB204" s="917">
        <f t="shared" si="77"/>
        <v>5385.1543666914158</v>
      </c>
      <c r="AC204" s="918">
        <f t="shared" si="78"/>
        <v>6246.7790653620423</v>
      </c>
      <c r="AD204" s="916">
        <f t="shared" si="79"/>
        <v>11042.52476286178</v>
      </c>
      <c r="AE204" s="916">
        <f t="shared" si="80"/>
        <v>500</v>
      </c>
      <c r="AF204" s="919" cm="1">
        <f t="array" ref="AF204">IFERROR(_xlfn.LET(_xlpm.lam,TEXT(B204,"0"),_xlpm.thick,D204,_xlpm.crit,(TEXT(HELPER!$BZ$2:$BZ$250,"0")=_xlpm.lam)*(HELPER!$CC$2:$CC$250=_xlpm.thick)*(HELPER!$BW$2:$BW$250&lt;&gt;""),_xlpm.mats,TRIM(SUBSTITUTE(_xlfn._xlws.FILTER(HELPER!$BW$2:$BW$250,_xlpm.crit),CHAR(160),"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4" s="919">
        <f>IFERROR(IF(N204="Europe to Canada",IF(Q204&lt;1000,VLOOKUP(1000,HELPER!$AG$4:$AH$8,2,FALSE)/Q204,VLOOKUP(Q204,HELPER!$AG$4:$AH$8,2,TRUE)/Q204),IF(N204="Europe to US",HELPER!$AH$2,IF(N204="Europe to Europe",HELPER!$AH$3,0))),0)</f>
        <v>38.077671596075156</v>
      </c>
      <c r="AH204" s="919" cm="1">
        <f t="array" ref="AH204">IFERROR(_xlfn.LET(_xlpm.cap,IF(O204="Quantum",760,1220),_xlpm.wUsed,E204*MAX(1,MIN(MAX(2,INT(900/E204)),INT((_xlpm.cap-50)/E204))),_xlpm.kgmUsed,AR204/E204*_xlpm.wUsed,_xlpm.lam,TEXT(B204,"0"),_xlpm.crit,(TEXT(HELPER!$BZ$2:$BZ$250,"0")=_xlpm.lam)*(HELPER!$CC$2:$CC$250=D204)*(HELPER!$BW$2:$BW$250&lt;&gt;""),_xlpm.mats,_xlfn._xlws.FILTER(HELPER!$BW$2:$BW$250,_xlpm.crit),_xlpm.realLayers,SUM((_xlpm.mats&lt;&gt;"")*ISERROR(SEARCH("EPOTAL",_xlpm.mats&amp;""))*ISERROR(SEARCH("BASONAT",_xlpm.mats&amp;""))*ISERROR(SEARCH("ADH",_xlpm.mats&amp;""))*ISERROR(SEARCH("HARDENER",_xlpm.mats&amp;""))),_xlpm.steps,MAX(0,_xlpm.realLayers-1),_xlpm.tier,IF(P204&lt;3000,1,IF(P204&lt;10000,2,IF(P204&lt;25000,3,IF(P204&lt;50000,4,IF(P204&lt;100000,5,IF(P204&lt;250000,6,7)))))),_xlpm.widthRow,IF(_xlpm.wUsed&lt;900,0,5),_xlpm.supplierRow,IF(O204="Marma",3,IF(OR(O204="Bastin",O204="Quantum"),13,0)),_xlpm.rate,INDEX('Lmntn &amp; Prntng- Marma &amp; Bastin '!$D$1:$K$22,_xlpm.supplierRow+_xlpm.widthRow,_xlpm.tier),_xlpm.rate*_xlpm.steps/_xlpm.kgmUsed),"")</f>
        <v>3.351384180479025</v>
      </c>
      <c r="AI204" s="919" cm="1">
        <f t="array" ref="AI204">IFERROR(_xlfn.LET(_xlpm.cap,IF(O204="Quantum",760,1220),_xlpm.wUsed,E204*MAX(1,MIN(MAX(2,INT(900/E204)),INT((_xlpm.cap-50)/E204))),_xlpm.kgmUsed,AR204/E204*_xlpm.wUsed,_xlpm.tier,IF(P204&lt;3000,1,IF(P204&lt;10000,2,IF(P204&lt;25000,3,IF(P204&lt;50000,4,IF(P204&lt;100000,5,IF(P204&lt;250000,6,IF(P204&lt;500000,7,8))))))),_xlpm.widthRow,IF(_xlpm.wUsed&lt;900,0,5),_xlpm.slitRow,IF(O204="Marma",7,IF(OR(O204="Bastin",O204="Quantum"),17,0)),_xlpm.slitRate,INDEX('Lmntn &amp; Prntng- Marma &amp; Bastin '!$D$1:$K$22,_xlpm.slitRow+_xlpm.widthRow,_xlpm.tier),_xlpm.numColors,IF(ISNUMBER(L204),L204,IFERROR(--RIGHT(L204,LEN(L204)-FIND("-",L204)),0)),_xlpm.printRate,IF(OR(K204&lt;&gt;"Printed",_xlpm.numColors=0),0,IF(O204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204))),MAX(_xlfn._xlws.FILTER(_xlpm.meters,(_xlpm.widths=_xlpm.qWidth)*(_xlpm.bands=_xlpm.band)))),INDEX(_xlpm.rates,_xlfn.XMATCH(1,(_xlpm.widths=_xlpm.qWidth)*(_xlpm.bands=_xlpm.band)*(_xlpm.meters=_xlpm.targetM),0))/HELPER!$AK$2),_xlfn.LET(_xlpm.colorOffset,IF(_xlpm.numColors&lt;=2,1,IF(_xlpm.numColors&lt;=4,2,3)),_xlpm.supplierRow,IF(O204="Marma",3,IF(O204="Bastin",13,0)),INDEX('Lmntn &amp; Prntng- Marma &amp; Bastin '!$D$1:$K$22,_xlpm.supplierRow+_xlpm.widthRow+_xlpm.colorOffset,_xlpm.tier)))),AH204+_xlpm.slitRate/_xlpm.kgmUsed+_xlpm.printRate/_xlpm.kgmUsed+AJ204),"")</f>
        <v>3.8526706346138986</v>
      </c>
      <c r="AJ204" s="919" cm="1">
        <f t="array" ref="AJ204">IF(OR(K204&lt;&gt;"Printed",L204=0,L204="0",L204=""),0,IFERROR(_xlfn.LET(_xlpm.lam,TEXT(B204,"0"),_xlpm.crit,(TEXT(HELPER!$BZ$2:$BZ$250,"0")=_xlpm.lam)*(HELPER!$CC$2:$CC$250=D204)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WHITE"},0)))/ROWS(_xlpm.real),_xlpm.numColors,IF(ISNUMBER(L204),L204,IFERROR(--RIGHT(L204,LEN(L204)-FIND("-",L204)),0)),HELPER!$DB$1*_xlpm.numColors*MAX(1,M204)*1.05*_xlpm.nkRatio/Q204),0))</f>
        <v>0</v>
      </c>
      <c r="AK204" s="919">
        <f t="shared" si="81"/>
        <v>4.9632759140013052</v>
      </c>
      <c r="AL204" s="919">
        <f t="shared" si="82"/>
        <v>2692.5771833457079</v>
      </c>
      <c r="AM204" s="73" t="str">
        <f t="shared" si="83"/>
        <v>PASS</v>
      </c>
      <c r="AN204" s="908" t="str">
        <f t="shared" si="84"/>
        <v/>
      </c>
      <c r="AO204" s="919">
        <f t="shared" si="85"/>
        <v>100</v>
      </c>
      <c r="AP204" s="919">
        <f t="shared" si="86"/>
        <v>2000</v>
      </c>
      <c r="AQ204" s="919"/>
      <c r="AR204" s="919" cm="1">
        <f t="array" ref="AR204">IFERROR(_xlfn.LET(_xlpm.lam,TEXT(B204,"0"),_xlpm.thick,D204,_xlpm.crit,(TEXT(HELPER!$BZ$2:$BZ$250,"0")=_xlpm.lam)*(HELPER!$CC$2:$CC$250=_xlpm.thick)*(HELPER!$BW$2:$BW$250&lt;&gt;""),_xlpm.mats,TRIM(SUBSTITUTE(_xlfn._xlws.FILTER(HELPER!$BW$2:$BW$250,_xlpm.crit),CHAR(160),"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")),HELPER!$AQ$2:$AQ$20,1),_xlpm.mass,IF(ISNUMBER(SEARCH("paper",_xlpm.mats)),42,_xlpm.dens*_xlpm.ths),E204/1000000*SUM(_xlpm.mass)),"")</f>
        <v>4.52795E-2</v>
      </c>
      <c r="AS204" s="919">
        <f>IFERROR(IF(D204&gt;31,(5%+250/P204)*AF204,VLOOKUP(D204,HELPER!$BH$3:$BI$5,2,TRUE)*AF204),0)</f>
        <v>1.283160043383319</v>
      </c>
      <c r="AT204" s="919">
        <v>0.149999999999997</v>
      </c>
      <c r="AU204" s="919"/>
      <c r="AV204" s="919"/>
      <c r="AW204" s="919"/>
      <c r="AX204" s="919"/>
      <c r="AY204" s="919"/>
      <c r="AZ204" s="919">
        <f t="shared" si="87"/>
        <v>0</v>
      </c>
    </row>
    <row r="205" spans="1:52">
      <c r="A205" s="73" t="s">
        <v>2234</v>
      </c>
      <c r="B205" s="73" t="s">
        <v>567</v>
      </c>
      <c r="C205" s="908" t="s">
        <v>2218</v>
      </c>
      <c r="D205" s="915" cm="1">
        <f t="array" ref="D20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5" s="915">
        <v>900</v>
      </c>
      <c r="F205" s="73" t="s">
        <v>1040</v>
      </c>
      <c r="G205" s="916">
        <v>1600000</v>
      </c>
      <c r="H205" s="916"/>
      <c r="I205" s="916">
        <v>140</v>
      </c>
      <c r="J205" s="916">
        <v>80</v>
      </c>
      <c r="K205" s="73" t="s">
        <v>123</v>
      </c>
      <c r="L205" s="921" t="s">
        <v>592</v>
      </c>
      <c r="M205" s="915">
        <v>8</v>
      </c>
      <c r="N205" s="73" t="s">
        <v>548</v>
      </c>
      <c r="O205" s="73" t="s">
        <v>250</v>
      </c>
      <c r="P205" s="916" cm="1">
        <f t="array" ref="P205">IFERROR(_xlfn.SWITCH(F205,"By Weight",IF(H205&lt;&gt;"",H205,G205)/AR205,"By Length",G205,"By Imp",G205/MAX(1,ROUNDDOWN(E205/I205,0))*J205/1000,"IMP",G205/MAX(1,ROUNDDOWN(E205/I205,0))*J205/1000,""),"")</f>
        <v>21333.333333333336</v>
      </c>
      <c r="Q205" s="916">
        <f t="shared" si="66"/>
        <v>2483.904</v>
      </c>
      <c r="R205" s="917">
        <f t="shared" si="67"/>
        <v>39113.447146538114</v>
      </c>
      <c r="S205" s="918">
        <f t="shared" si="68"/>
        <v>45371.59868998421</v>
      </c>
      <c r="T205" s="919">
        <f t="shared" si="69"/>
        <v>15.746762816331918</v>
      </c>
      <c r="U205" s="920">
        <f t="shared" si="70"/>
        <v>18.266244866945023</v>
      </c>
      <c r="V205" s="919">
        <f t="shared" si="71"/>
        <v>2.2918035437424735</v>
      </c>
      <c r="W205" s="919">
        <f t="shared" si="72"/>
        <v>19.683453520414947</v>
      </c>
      <c r="X205" s="919">
        <f t="shared" si="73"/>
        <v>3.0557380583232981E-2</v>
      </c>
      <c r="Y205" s="920">
        <f t="shared" si="74"/>
        <v>2.6584921107412689</v>
      </c>
      <c r="Z205" s="920">
        <f t="shared" si="75"/>
        <v>22.832806083681337</v>
      </c>
      <c r="AA205" s="920">
        <f t="shared" si="76"/>
        <v>3.5446561476550259E-2</v>
      </c>
      <c r="AB205" s="917">
        <f t="shared" si="77"/>
        <v>48891.808933172768</v>
      </c>
      <c r="AC205" s="918">
        <f t="shared" si="78"/>
        <v>56714.498362480408</v>
      </c>
      <c r="AD205" s="916">
        <f t="shared" si="79"/>
        <v>4294.3151855573597</v>
      </c>
      <c r="AE205" s="916">
        <f t="shared" si="80"/>
        <v>500</v>
      </c>
      <c r="AF205" s="919" cm="1">
        <f t="array" ref="AF205">IFERROR(_xlfn.LET(_xlpm.lam,TEXT(B205,"0"),_xlpm.thick,D205,_xlpm.crit,(TEXT(HELPER!$BZ$2:$BZ$250,"0")=_xlpm.lam)*(HELPER!$CC$2:$CC$250=_xlpm.thick)*(HELPER!$BW$2:$BW$250&lt;&gt;""),_xlpm.mats,TRIM(SUBSTITUTE(_xlfn._xlws.FILTER(HELPER!$BW$2:$BW$250,_xlpm.crit),CHAR(160),"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5" s="919">
        <f>IFERROR(IF(N205="Europe to Canada",IF(Q205&lt;1000,VLOOKUP(1000,HELPER!$AG$4:$AH$8,2,FALSE)/Q205,VLOOKUP(Q205,HELPER!$AG$4:$AH$8,2,TRUE)/Q205),IF(N205="Europe to US",HELPER!$AH$2,IF(N205="Europe to Europe",HELPER!$AH$3,0))),0)</f>
        <v>2.0129602432300122</v>
      </c>
      <c r="AH205" s="919" cm="1">
        <f t="array" ref="AH205">IFERROR(_xlfn.LET(_xlpm.cap,IF(O205="Quantum",760,1220),_xlpm.wUsed,E205*MAX(1,MIN(MAX(2,INT(900/E205)),INT((_xlpm.cap-50)/E205))),_xlpm.kgmUsed,AR205/E205*_xlpm.wUsed,_xlpm.lam,TEXT(B205,"0"),_xlpm.crit,(TEXT(HELPER!$BZ$2:$BZ$250,"0")=_xlpm.lam)*(HELPER!$CC$2:$CC$250=D205)*(HELPER!$BW$2:$BW$250&lt;&gt;""),_xlpm.mats,_xlfn._xlws.FILTER(HELPER!$BW$2:$BW$250,_xlpm.crit),_xlpm.realLayers,SUM((_xlpm.mats&lt;&gt;"")*ISERROR(SEARCH("EPOTAL",_xlpm.mats&amp;""))*ISERROR(SEARCH("BASONAT",_xlpm.mats&amp;""))*ISERROR(SEARCH("ADH",_xlpm.mats&amp;""))*ISERROR(SEARCH("HARDENER",_xlpm.mats&amp;""))),_xlpm.steps,MAX(0,_xlpm.realLayers-1),_xlpm.tier,IF(P205&lt;3000,1,IF(P205&lt;10000,2,IF(P205&lt;25000,3,IF(P205&lt;50000,4,IF(P205&lt;100000,5,IF(P205&lt;250000,6,7)))))),_xlpm.widthRow,IF(_xlpm.wUsed&lt;900,0,5),_xlpm.supplierRow,IF(O205="Marma",3,IF(OR(O205="Bastin",O205="Quantum"),13,0)),_xlpm.rate,INDEX('Lmntn &amp; Prntng- Marma &amp; Bastin '!$D$1:$K$22,_xlpm.supplierRow+_xlpm.widthRow,_xlpm.tier),_xlpm.rate*_xlpm.steps/_xlpm.kgmUsed),"")</f>
        <v>1.5722346757362604</v>
      </c>
      <c r="AI205" s="919" cm="1">
        <f t="array" ref="AI205">IFERROR(_xlfn.LET(_xlpm.cap,IF(O205="Quantum",760,1220),_xlpm.wUsed,E205*MAX(1,MIN(MAX(2,INT(900/E205)),INT((_xlpm.cap-50)/E205))),_xlpm.kgmUsed,AR205/E205*_xlpm.wUsed,_xlpm.tier,IF(P205&lt;3000,1,IF(P205&lt;10000,2,IF(P205&lt;25000,3,IF(P205&lt;50000,4,IF(P205&lt;100000,5,IF(P205&lt;250000,6,IF(P205&lt;500000,7,8))))))),_xlpm.widthRow,IF(_xlpm.wUsed&lt;900,0,5),_xlpm.slitRow,IF(O205="Marma",7,IF(OR(O205="Bastin",O205="Quantum"),17,0)),_xlpm.slitRate,INDEX('Lmntn &amp; Prntng- Marma &amp; Bastin '!$D$1:$K$22,_xlpm.slitRow+_xlpm.widthRow,_xlpm.tier),_xlpm.numColors,IF(ISNUMBER(L205),L205,IFERROR(--RIGHT(L205,LEN(L205)-FIND("-",L205)),0)),_xlpm.printRate,IF(OR(K205&lt;&gt;"Printed",_xlpm.numColors=0),0,IF(O205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205))),MAX(_xlfn._xlws.FILTER(_xlpm.meters,(_xlpm.widths=_xlpm.qWidth)*(_xlpm.bands=_xlpm.band)))),INDEX(_xlpm.rates,_xlfn.XMATCH(1,(_xlpm.widths=_xlpm.qWidth)*(_xlpm.bands=_xlpm.band)*(_xlpm.meters=_xlpm.targetM),0))/HELPER!$AK$2),_xlfn.LET(_xlpm.colorOffset,IF(_xlpm.numColors&lt;=2,1,IF(_xlpm.numColors&lt;=4,2,3)),_xlpm.supplierRow,IF(O205="Marma",3,IF(O205="Bastin",13,0)),INDEX('Lmntn &amp; Prntng- Marma &amp; Bastin '!$D$1:$K$22,_xlpm.supplierRow+_xlpm.widthRow+_xlpm.colorOffset,_xlpm.tier)))),AH205+_xlpm.slitRate/_xlpm.kgmUsed+_xlpm.printRate/_xlpm.kgmUsed+AJ205),"")</f>
        <v>5.9489164170397153</v>
      </c>
      <c r="AJ205" s="919" cm="1">
        <f t="array" ref="AJ205">IF(OR(K205&lt;&gt;"Printed",L205=0,L205="0",L205=""),0,IFERROR(_xlfn.LET(_xlpm.lam,TEXT(B205,"0"),_xlpm.crit,(TEXT(HELPER!$BZ$2:$BZ$250,"0")=_xlpm.lam)*(HELPER!$CC$2:$CC$250=D205)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WHITE"},0)))/ROWS(_xlpm.real),_xlpm.numColors,IF(ISNUMBER(L205),L205,IFERROR(--RIGHT(L205,LEN(L205)-FIND("-",L205)),0)),HELPER!$DB$1*_xlpm.numColors*MAX(1,M205)*1.05*_xlpm.nkRatio/Q205),0))</f>
        <v>2.7054185669011361</v>
      </c>
      <c r="AK205" s="919">
        <f t="shared" si="81"/>
        <v>1.6428699238297302</v>
      </c>
      <c r="AL205" s="919">
        <f t="shared" si="82"/>
        <v>2291.8035437424737</v>
      </c>
      <c r="AM205" s="73" t="str">
        <f t="shared" si="83"/>
        <v>PASS</v>
      </c>
      <c r="AN205" s="908" t="str">
        <f t="shared" si="84"/>
        <v/>
      </c>
      <c r="AO205" s="919">
        <f t="shared" si="85"/>
        <v>100</v>
      </c>
      <c r="AP205" s="919">
        <f t="shared" si="86"/>
        <v>21333.333333333336</v>
      </c>
      <c r="AQ205" s="919"/>
      <c r="AR205" s="919" cm="1">
        <f t="array" ref="AR205">IFERROR(_xlfn.LET(_xlpm.lam,TEXT(B205,"0"),_xlpm.thick,D205,_xlpm.crit,(TEXT(HELPER!$BZ$2:$BZ$250,"0")=_xlpm.lam)*(HELPER!$CC$2:$CC$250=_xlpm.thick)*(HELPER!$BW$2:$BW$250&lt;&gt;""),_xlpm.mats,TRIM(SUBSTITUTE(_xlfn._xlws.FILTER(HELPER!$BW$2:$BW$250,_xlpm.crit),CHAR(160),"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")),HELPER!$AQ$2:$AQ$20,1),_xlpm.mass,IF(ISNUMBER(SEARCH("paper",_xlpm.mats)),42,_xlpm.dens*_xlpm.ths),E205/1000000*SUM(_xlpm.mass)),"")</f>
        <v>0.11643299999999999</v>
      </c>
      <c r="AS205" s="919">
        <f>IFERROR(IF(D205&gt;31,(5%+250/P205)*AF205,VLOOKUP(D205,HELPER!$BH$3:$BI$5,2,TRUE)*AF205),0)</f>
        <v>0.45254305101465275</v>
      </c>
      <c r="AT205" s="919">
        <v>0.20000000000000201</v>
      </c>
      <c r="AU205" s="919"/>
      <c r="AV205" s="919"/>
      <c r="AW205" s="919"/>
      <c r="AX205" s="919"/>
      <c r="AY205" s="919"/>
      <c r="AZ205" s="919">
        <f t="shared" si="87"/>
        <v>6720</v>
      </c>
    </row>
    <row r="206" spans="1:52">
      <c r="A206" s="73" t="s">
        <v>2235</v>
      </c>
      <c r="B206" s="73">
        <v>618</v>
      </c>
      <c r="C206" s="908" t="s">
        <v>2212</v>
      </c>
      <c r="D206" s="915" cm="1">
        <f t="array" ref="D20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6" s="915">
        <v>120</v>
      </c>
      <c r="F206" s="73" t="s">
        <v>560</v>
      </c>
      <c r="G206" s="916">
        <v>100</v>
      </c>
      <c r="H206" s="916">
        <v>100</v>
      </c>
      <c r="I206" s="916"/>
      <c r="J206" s="916"/>
      <c r="K206" s="73" t="s">
        <v>124</v>
      </c>
      <c r="L206" s="921" t="s">
        <v>221</v>
      </c>
      <c r="M206" s="915">
        <v>1</v>
      </c>
      <c r="N206" s="73" t="s">
        <v>548</v>
      </c>
      <c r="O206" s="73" t="s">
        <v>250</v>
      </c>
      <c r="P206" s="916" cm="1">
        <f t="array" ref="P206">IFERROR(_xlfn.SWITCH(F206,"By Weight",IF(H206&lt;&gt;"",H206,G206)/AR206,"By Length",G206,"By Imp",G206/MAX(1,ROUNDDOWN(E206/I206,0))*J206/1000,"IMP",G206/MAX(1,ROUNDDOWN(E206/I206,0))*J206/1000,""),"")</f>
        <v>12369.50175646925</v>
      </c>
      <c r="Q206" s="916">
        <f t="shared" si="66"/>
        <v>100</v>
      </c>
      <c r="R206" s="917">
        <f t="shared" si="67"/>
        <v>4426.5483883763072</v>
      </c>
      <c r="S206" s="918">
        <f t="shared" si="68"/>
        <v>5134.7961305165163</v>
      </c>
      <c r="T206" s="919">
        <f t="shared" si="69"/>
        <v>44.265483883763075</v>
      </c>
      <c r="U206" s="920">
        <f t="shared" si="70"/>
        <v>51.347961305165164</v>
      </c>
      <c r="V206" s="919">
        <f t="shared" si="71"/>
        <v>0.4210116210704648</v>
      </c>
      <c r="W206" s="919">
        <f t="shared" si="72"/>
        <v>52.077039863250803</v>
      </c>
      <c r="X206" s="919" t="str">
        <f t="shared" si="73"/>
        <v/>
      </c>
      <c r="Y206" s="920">
        <f t="shared" si="74"/>
        <v>0.48837348044173912</v>
      </c>
      <c r="Z206" s="920">
        <f t="shared" si="75"/>
        <v>60.409366241370925</v>
      </c>
      <c r="AA206" s="920" t="str">
        <f t="shared" si="76"/>
        <v/>
      </c>
      <c r="AB206" s="917">
        <f t="shared" si="77"/>
        <v>5207.7039863250802</v>
      </c>
      <c r="AC206" s="918">
        <f t="shared" si="78"/>
        <v>6040.9366241370926</v>
      </c>
      <c r="AD206" s="916">
        <f t="shared" si="79"/>
        <v>61847.508782346245</v>
      </c>
      <c r="AE206" s="916">
        <f t="shared" si="80"/>
        <v>500</v>
      </c>
      <c r="AF206" s="919" cm="1">
        <f t="array" ref="AF206">IFERROR(_xlfn.LET(_xlpm.lam,TEXT(B206,"0"),_xlpm.thick,D206,_xlpm.crit,(TEXT(HELPER!$BZ$2:$BZ$250,"0")=_xlpm.lam)*(HELPER!$CC$2:$CC$250=_xlpm.thick)*(HELPER!$BW$2:$BW$250&lt;&gt;""),_xlpm.mats,TRIM(SUBSTITUTE(_xlfn._xlws.FILTER(HELPER!$BW$2:$BW$250,_xlpm.crit),CHAR(160),"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6" s="919">
        <f>IFERROR(IF(N206="Europe to Canada",IF(Q206&lt;1000,VLOOKUP(1000,HELPER!$AG$4:$AH$8,2,FALSE)/Q206,VLOOKUP(Q206,HELPER!$AG$4:$AH$8,2,TRUE)/Q206),IF(N206="Europe to US",HELPER!$AH$2,IF(N206="Europe to Europe",HELPER!$AH$3,0))),0)</f>
        <v>34.482758620689701</v>
      </c>
      <c r="AH206" s="919" cm="1">
        <f t="array" ref="AH206">IFERROR(_xlfn.LET(_xlpm.cap,IF(O206="Quantum",760,1220),_xlpm.wUsed,E206*MAX(1,MIN(MAX(2,INT(900/E206)),INT((_xlpm.cap-50)/E206))),_xlpm.kgmUsed,AR206/E206*_xlpm.wUsed,_xlpm.lam,TEXT(B206,"0"),_xlpm.crit,(TEXT(HELPER!$BZ$2:$BZ$250,"0")=_xlpm.lam)*(HELPER!$CC$2:$CC$250=D206)*(HELPER!$BW$2:$BW$250&lt;&gt;""),_xlpm.mats,_xlfn._xlws.FILTER(HELPER!$BW$2:$BW$250,_xlpm.crit),_xlpm.realLayers,SUM((_xlpm.mats&lt;&gt;"")*ISERROR(SEARCH("EPOTAL",_xlpm.mats&amp;""))*ISERROR(SEARCH("BASONAT",_xlpm.mats&amp;""))*ISERROR(SEARCH("ADH",_xlpm.mats&amp;""))*ISERROR(SEARCH("HARDENER",_xlpm.mats&amp;""))),_xlpm.steps,MAX(0,_xlpm.realLayers-1),_xlpm.tier,IF(P206&lt;3000,1,IF(P206&lt;10000,2,IF(P206&lt;25000,3,IF(P206&lt;50000,4,IF(P206&lt;100000,5,IF(P206&lt;250000,6,7)))))),_xlpm.widthRow,IF(_xlpm.wUsed&lt;900,0,5),_xlpm.supplierRow,IF(O206="Marma",3,IF(OR(O206="Bastin",O206="Quantum"),13,0)),_xlpm.rate,INDEX('Lmntn &amp; Prntng- Marma &amp; Bastin '!$D$1:$K$22,_xlpm.supplierRow+_xlpm.widthRow,_xlpm.tier),_xlpm.rate*_xlpm.steps/_xlpm.kgmUsed),"")</f>
        <v>1.617400708242329</v>
      </c>
      <c r="AI206" s="919" cm="1">
        <f t="array" ref="AI206">IFERROR(_xlfn.LET(_xlpm.cap,IF(O206="Quantum",760,1220),_xlpm.wUsed,E206*MAX(1,MIN(MAX(2,INT(900/E206)),INT((_xlpm.cap-50)/E206))),_xlpm.kgmUsed,AR206/E206*_xlpm.wUsed,_xlpm.tier,IF(P206&lt;3000,1,IF(P206&lt;10000,2,IF(P206&lt;25000,3,IF(P206&lt;50000,4,IF(P206&lt;100000,5,IF(P206&lt;250000,6,IF(P206&lt;500000,7,8))))))),_xlpm.widthRow,IF(_xlpm.wUsed&lt;900,0,5),_xlpm.slitRow,IF(O206="Marma",7,IF(OR(O206="Bastin",O206="Quantum"),17,0)),_xlpm.slitRate,INDEX('Lmntn &amp; Prntng- Marma &amp; Bastin '!$D$1:$K$22,_xlpm.slitRow+_xlpm.widthRow,_xlpm.tier),_xlpm.numColors,IF(ISNUMBER(L206),L206,IFERROR(--RIGHT(L206,LEN(L206)-FIND("-",L206)),0)),_xlpm.printRate,IF(OR(K206&lt;&gt;"Printed",_xlpm.numColors=0),0,IF(O206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206))),MAX(_xlfn._xlws.FILTER(_xlpm.meters,(_xlpm.widths=_xlpm.qWidth)*(_xlpm.bands=_xlpm.band)))),INDEX(_xlpm.rates,_xlfn.XMATCH(1,(_xlpm.widths=_xlpm.qWidth)*(_xlpm.bands=_xlpm.band)*(_xlpm.meters=_xlpm.targetM),0))/HELPER!$AK$2),_xlfn.LET(_xlpm.colorOffset,IF(_xlpm.numColors&lt;=2,1,IF(_xlpm.numColors&lt;=4,2,3)),_xlpm.supplierRow,IF(O206="Marma",3,IF(O206="Bastin",13,0)),INDEX('Lmntn &amp; Prntng- Marma &amp; Bastin '!$D$1:$K$22,_xlpm.supplierRow+_xlpm.widthRow+_xlpm.colorOffset,_xlpm.tier)))),AH206+_xlpm.slitRate/_xlpm.kgmUsed+_xlpm.printRate/_xlpm.kgmUsed+AJ206),"")</f>
        <v>2.0754256875675905</v>
      </c>
      <c r="AJ206" s="919" cm="1">
        <f t="array" ref="AJ206">IF(OR(K206&lt;&gt;"Printed",L206=0,L206="0",L206=""),0,IFERROR(_xlfn.LET(_xlpm.lam,TEXT(B206,"0"),_xlpm.crit,(TEXT(HELPER!$BZ$2:$BZ$250,"0")=_xlpm.lam)*(HELPER!$CC$2:$CC$250=D206)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WHITE"},0)))/ROWS(_xlpm.real),_xlpm.numColors,IF(ISNUMBER(L206),L206,IFERROR(--RIGHT(L206,LEN(L206)-FIND("-",L206)),0)),HELPER!$DB$1*_xlpm.numColors*MAX(1,M206)*1.05*_xlpm.nkRatio/Q206),0))</f>
        <v>0</v>
      </c>
      <c r="AK206" s="919">
        <f t="shared" si="81"/>
        <v>2.2635033390885204</v>
      </c>
      <c r="AL206" s="919">
        <f t="shared" si="82"/>
        <v>421.0116210704648</v>
      </c>
      <c r="AM206" s="73" t="str">
        <f t="shared" si="83"/>
        <v>PASS</v>
      </c>
      <c r="AN206" s="908" t="str">
        <f t="shared" si="84"/>
        <v/>
      </c>
      <c r="AO206" s="919">
        <f t="shared" si="85"/>
        <v>51</v>
      </c>
      <c r="AP206" s="919">
        <f t="shared" si="86"/>
        <v>12369.50175646925</v>
      </c>
      <c r="AQ206" s="919"/>
      <c r="AR206" s="919" cm="1">
        <f t="array" ref="AR206">IFERROR(_xlfn.LET(_xlpm.lam,TEXT(B206,"0"),_xlpm.thick,D206,_xlpm.crit,(TEXT(HELPER!$BZ$2:$BZ$250,"0")=_xlpm.lam)*(HELPER!$CC$2:$CC$250=_xlpm.thick)*(HELPER!$BW$2:$BW$250&lt;&gt;""),_xlpm.mats,TRIM(SUBSTITUTE(_xlfn._xlws.FILTER(HELPER!$BW$2:$BW$250,_xlpm.crit),CHAR(160),"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")),HELPER!$AQ$2:$AQ$20,1),_xlpm.mass,IF(ISNUMBER(SEARCH("paper",_xlpm.mats)),42,_xlpm.dens*_xlpm.ths),E206/1000000*SUM(_xlpm.mass)),"")</f>
        <v>8.0844000000000003E-3</v>
      </c>
      <c r="AS206" s="919">
        <f>IFERROR(IF(D206&gt;31,(5%+250/P206)*AF206,VLOOKUP(D206,HELPER!$BH$3:$BI$5,2,TRUE)*AF206),0)</f>
        <v>0.50563600121456131</v>
      </c>
      <c r="AT206" s="919">
        <v>0.15000000000000199</v>
      </c>
      <c r="AU206" s="919"/>
      <c r="AV206" s="919"/>
      <c r="AW206" s="919"/>
      <c r="AX206" s="919"/>
      <c r="AY206" s="919"/>
      <c r="AZ206" s="919">
        <f t="shared" si="87"/>
        <v>0</v>
      </c>
    </row>
    <row r="207" spans="1:52">
      <c r="A207" s="73" t="s">
        <v>2236</v>
      </c>
      <c r="B207" s="73">
        <v>618</v>
      </c>
      <c r="C207" s="908" t="s">
        <v>2214</v>
      </c>
      <c r="D207" s="915" cm="1">
        <f t="array" ref="D20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7" s="915">
        <v>350</v>
      </c>
      <c r="F207" s="73" t="s">
        <v>560</v>
      </c>
      <c r="G207" s="916">
        <v>5000</v>
      </c>
      <c r="H207" s="916">
        <v>5000</v>
      </c>
      <c r="I207" s="916"/>
      <c r="J207" s="916"/>
      <c r="K207" s="73" t="s">
        <v>123</v>
      </c>
      <c r="L207" s="921" t="s">
        <v>122</v>
      </c>
      <c r="M207" s="915">
        <v>4</v>
      </c>
      <c r="N207" s="73" t="s">
        <v>548</v>
      </c>
      <c r="O207" s="73" t="s">
        <v>1366</v>
      </c>
      <c r="P207" s="916" cm="1">
        <f t="array" ref="P207">IFERROR(_xlfn.SWITCH(F207,"By Weight",IF(H207&lt;&gt;"",H207,G207)/AR207,"By Length",G207,"By Imp",G207/MAX(1,ROUNDDOWN(E207/I207,0))*J207/1000,"IMP",G207/MAX(1,ROUNDDOWN(E207/I207,0))*J207/1000,""),"")</f>
        <v>212048.60153947285</v>
      </c>
      <c r="Q207" s="916">
        <f t="shared" si="66"/>
        <v>5000</v>
      </c>
      <c r="R207" s="917">
        <f t="shared" si="67"/>
        <v>143156.51634501468</v>
      </c>
      <c r="S207" s="918">
        <f t="shared" si="68"/>
        <v>166061.55896021702</v>
      </c>
      <c r="T207" s="919">
        <f t="shared" si="69"/>
        <v>28.631303269002935</v>
      </c>
      <c r="U207" s="920">
        <f t="shared" si="70"/>
        <v>33.212311792043401</v>
      </c>
      <c r="V207" s="919">
        <f t="shared" si="71"/>
        <v>0.84388976928932169</v>
      </c>
      <c r="W207" s="919">
        <f t="shared" si="72"/>
        <v>35.789129086253809</v>
      </c>
      <c r="X207" s="919" t="str">
        <f t="shared" si="73"/>
        <v/>
      </c>
      <c r="Y207" s="920">
        <f t="shared" si="74"/>
        <v>0.97891213237561314</v>
      </c>
      <c r="Z207" s="920">
        <f t="shared" si="75"/>
        <v>41.515389740054417</v>
      </c>
      <c r="AA207" s="920" t="str">
        <f t="shared" si="76"/>
        <v/>
      </c>
      <c r="AB207" s="917">
        <f t="shared" si="77"/>
        <v>178945.64543126905</v>
      </c>
      <c r="AC207" s="918">
        <f t="shared" si="78"/>
        <v>207576.94870027207</v>
      </c>
      <c r="AD207" s="916">
        <f t="shared" si="79"/>
        <v>21204.860153947284</v>
      </c>
      <c r="AE207" s="916">
        <f t="shared" si="80"/>
        <v>500</v>
      </c>
      <c r="AF207" s="919" cm="1">
        <f t="array" ref="AF207">IFERROR(_xlfn.LET(_xlpm.lam,TEXT(B207,"0"),_xlpm.thick,D207,_xlpm.crit,(TEXT(HELPER!$BZ$2:$BZ$250,"0")=_xlpm.lam)*(HELPER!$CC$2:$CC$250=_xlpm.thick)*(HELPER!$BW$2:$BW$250&lt;&gt;""),_xlpm.mats,TRIM(SUBSTITUTE(_xlfn._xlws.FILTER(HELPER!$BW$2:$BW$250,_xlpm.crit),CHAR(160),"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7" s="919">
        <f>IFERROR(IF(N207="Europe to Canada",IF(Q207&lt;1000,VLOOKUP(1000,HELPER!$AG$4:$AH$8,2,FALSE)/Q207,VLOOKUP(Q207,HELPER!$AG$4:$AH$8,2,TRUE)/Q207),IF(N207="Europe to US",HELPER!$AH$2,IF(N207="Europe to Europe",HELPER!$AH$3,0))),0)</f>
        <v>1.8448275862068959</v>
      </c>
      <c r="AH207" s="919" cm="1">
        <f t="array" ref="AH207">IFERROR(_xlfn.LET(_xlpm.cap,IF(O207="Quantum",760,1220),_xlpm.wUsed,E207*MAX(1,MIN(MAX(2,INT(900/E207)),INT((_xlpm.cap-50)/E207))),_xlpm.kgmUsed,AR207/E207*_xlpm.wUsed,_xlpm.lam,TEXT(B207,"0"),_xlpm.crit,(TEXT(HELPER!$BZ$2:$BZ$250,"0")=_xlpm.lam)*(HELPER!$CC$2:$CC$250=D207)*(HELPER!$BW$2:$BW$250&lt;&gt;""),_xlpm.mats,_xlfn._xlws.FILTER(HELPER!$BW$2:$BW$250,_xlpm.crit),_xlpm.realLayers,SUM((_xlpm.mats&lt;&gt;"")*ISERROR(SEARCH("EPOTAL",_xlpm.mats&amp;""))*ISERROR(SEARCH("BASONAT",_xlpm.mats&amp;""))*ISERROR(SEARCH("ADH",_xlpm.mats&amp;""))*ISERROR(SEARCH("HARDENER",_xlpm.mats&amp;""))),_xlpm.steps,MAX(0,_xlpm.realLayers-1),_xlpm.tier,IF(P207&lt;3000,1,IF(P207&lt;10000,2,IF(P207&lt;25000,3,IF(P207&lt;50000,4,IF(P207&lt;100000,5,IF(P207&lt;250000,6,7)))))),_xlpm.widthRow,IF(_xlpm.wUsed&lt;900,0,5),_xlpm.supplierRow,IF(O207="Marma",3,IF(OR(O207="Bastin",O207="Quantum"),13,0)),_xlpm.rate,INDEX('Lmntn &amp; Prntng- Marma &amp; Bastin '!$D$1:$K$22,_xlpm.supplierRow+_xlpm.widthRow,_xlpm.tier),_xlpm.rate*_xlpm.steps/_xlpm.kgmUsed),"")</f>
        <v>2.3147437392650398</v>
      </c>
      <c r="AI207" s="919" cm="1">
        <f t="array" ref="AI207">IFERROR(_xlfn.LET(_xlpm.cap,IF(O207="Quantum",760,1220),_xlpm.wUsed,E207*MAX(1,MIN(MAX(2,INT(900/E207)),INT((_xlpm.cap-50)/E207))),_xlpm.kgmUsed,AR207/E207*_xlpm.wUsed,_xlpm.tier,IF(P207&lt;3000,1,IF(P207&lt;10000,2,IF(P207&lt;25000,3,IF(P207&lt;50000,4,IF(P207&lt;100000,5,IF(P207&lt;250000,6,IF(P207&lt;500000,7,8))))))),_xlpm.widthRow,IF(_xlpm.wUsed&lt;900,0,5),_xlpm.slitRow,IF(O207="Marma",7,IF(OR(O207="Bastin",O207="Quantum"),17,0)),_xlpm.slitRate,INDEX('Lmntn &amp; Prntng- Marma &amp; Bastin '!$D$1:$K$22,_xlpm.slitRow+_xlpm.widthRow,_xlpm.tier),_xlpm.numColors,IF(ISNUMBER(L207),L207,IFERROR(--RIGHT(L207,LEN(L207)-FIND("-",L207)),0)),_xlpm.printRate,IF(OR(K207&lt;&gt;"Printed",_xlpm.numColors=0),0,IF(O207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207))),MAX(_xlfn._xlws.FILTER(_xlpm.meters,(_xlpm.widths=_xlpm.qWidth)*(_xlpm.bands=_xlpm.band)))),INDEX(_xlpm.rates,_xlfn.XMATCH(1,(_xlpm.widths=_xlpm.qWidth)*(_xlpm.bands=_xlpm.band)*(_xlpm.meters=_xlpm.targetM),0))/HELPER!$AK$2),_xlfn.LET(_xlpm.colorOffset,IF(_xlpm.numColors&lt;=2,1,IF(_xlpm.numColors&lt;=4,2,3)),_xlpm.supplierRow,IF(O207="Marma",3,IF(O207="Bastin",13,0)),INDEX('Lmntn &amp; Prntng- Marma &amp; Bastin '!$D$1:$K$22,_xlpm.supplierRow+_xlpm.widthRow+_xlpm.colorOffset,_xlpm.tier)))),AH207+_xlpm.slitRate/_xlpm.kgmUsed+_xlpm.printRate/_xlpm.kgmUsed+AJ207),"")</f>
        <v>19.216238348477749</v>
      </c>
      <c r="AJ207" s="919" cm="1">
        <f t="array" ref="AJ207">IF(OR(K207&lt;&gt;"Printed",L207=0,L207="0",L207=""),0,IFERROR(_xlfn.LET(_xlpm.lam,TEXT(B207,"0"),_xlpm.crit,(TEXT(HELPER!$BZ$2:$BZ$250,"0")=_xlpm.lam)*(HELPER!$CC$2:$CC$250=D207)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WHITE"},0)))/ROWS(_xlpm.real),_xlpm.numColors,IF(ISNUMBER(L207),L207,IFERROR(--RIGHT(L207,LEN(L207)-FIND("-",L207)),0)),HELPER!$DB$1*_xlpm.numColors*MAX(1,M207)*1.05*_xlpm.nkRatio/Q207),0))</f>
        <v>0.504</v>
      </c>
      <c r="AK207" s="919">
        <f t="shared" si="81"/>
        <v>1.5555571784134963</v>
      </c>
      <c r="AL207" s="919">
        <f t="shared" si="82"/>
        <v>843.88976928932163</v>
      </c>
      <c r="AM207" s="73" t="str">
        <f t="shared" si="83"/>
        <v>PASS</v>
      </c>
      <c r="AN207" s="908" t="str">
        <f t="shared" si="84"/>
        <v/>
      </c>
      <c r="AO207" s="919">
        <f t="shared" si="85"/>
        <v>51</v>
      </c>
      <c r="AP207" s="919">
        <f t="shared" si="86"/>
        <v>212048.60153947285</v>
      </c>
      <c r="AQ207" s="919"/>
      <c r="AR207" s="919" cm="1">
        <f t="array" ref="AR207">IFERROR(_xlfn.LET(_xlpm.lam,TEXT(B207,"0"),_xlpm.thick,D207,_xlpm.crit,(TEXT(HELPER!$BZ$2:$BZ$250,"0")=_xlpm.lam)*(HELPER!$CC$2:$CC$250=_xlpm.thick)*(HELPER!$BW$2:$BW$250&lt;&gt;""),_xlpm.mats,TRIM(SUBSTITUTE(_xlfn._xlws.FILTER(HELPER!$BW$2:$BW$250,_xlpm.crit),CHAR(160),"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")),HELPER!$AQ$2:$AQ$20,1),_xlpm.mass,IF(ISNUMBER(SEARCH("paper",_xlpm.mats)),42,_xlpm.dens*_xlpm.ths),E207/1000000*SUM(_xlpm.mass)),"")</f>
        <v>2.35795E-2</v>
      </c>
      <c r="AS207" s="919">
        <f>IFERROR(IF(D207&gt;31,(5%+250/P207)*AF207,VLOOKUP(D207,HELPER!$BH$3:$BI$5,2,TRUE)*AF207),0)</f>
        <v>0.36857376002706138</v>
      </c>
      <c r="AT207" s="919">
        <v>0.20000000000000301</v>
      </c>
      <c r="AU207" s="919"/>
      <c r="AV207" s="919"/>
      <c r="AW207" s="919"/>
      <c r="AX207" s="919"/>
      <c r="AY207" s="919"/>
      <c r="AZ207" s="919">
        <f t="shared" si="87"/>
        <v>2520</v>
      </c>
    </row>
    <row r="208" spans="1:52">
      <c r="A208" s="73" t="s">
        <v>2237</v>
      </c>
      <c r="B208" s="73">
        <v>618</v>
      </c>
      <c r="C208" s="908" t="s">
        <v>2216</v>
      </c>
      <c r="D208" s="915" cm="1">
        <f t="array" ref="D20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8" s="915">
        <v>350</v>
      </c>
      <c r="F208" s="73" t="s">
        <v>561</v>
      </c>
      <c r="G208" s="916">
        <v>2000</v>
      </c>
      <c r="H208" s="916"/>
      <c r="I208" s="916"/>
      <c r="J208" s="916"/>
      <c r="K208" s="73" t="s">
        <v>124</v>
      </c>
      <c r="L208" s="921" t="s">
        <v>221</v>
      </c>
      <c r="M208" s="915">
        <v>1</v>
      </c>
      <c r="N208" s="73" t="s">
        <v>548</v>
      </c>
      <c r="O208" s="73" t="s">
        <v>240</v>
      </c>
      <c r="P208" s="916" cm="1">
        <f t="array" ref="P208">IFERROR(_xlfn.SWITCH(F208,"By Weight",IF(H208&lt;&gt;"",H208,G208)/AR208,"By Length",G208,"By Imp",G208/MAX(1,ROUNDDOWN(E208/I208,0))*J208/1000,"IMP",G208/MAX(1,ROUNDDOWN(E208/I208,0))*J208/1000,""),"")</f>
        <v>2000</v>
      </c>
      <c r="Q208" s="916">
        <f t="shared" si="66"/>
        <v>47.158999999999999</v>
      </c>
      <c r="R208" s="917">
        <f t="shared" si="67"/>
        <v>4044.4781837564706</v>
      </c>
      <c r="S208" s="918">
        <f t="shared" si="68"/>
        <v>4691.5946931575054</v>
      </c>
      <c r="T208" s="919">
        <f t="shared" si="69"/>
        <v>85.762594282246667</v>
      </c>
      <c r="U208" s="920">
        <f t="shared" si="70"/>
        <v>99.484609367406122</v>
      </c>
      <c r="V208" s="919">
        <f t="shared" si="71"/>
        <v>2.3791048139744082</v>
      </c>
      <c r="W208" s="919">
        <f t="shared" si="72"/>
        <v>100.8971697438202</v>
      </c>
      <c r="X208" s="919" t="str">
        <f t="shared" si="73"/>
        <v/>
      </c>
      <c r="Y208" s="920">
        <f t="shared" si="74"/>
        <v>2.7597615842103131</v>
      </c>
      <c r="Z208" s="920">
        <f t="shared" si="75"/>
        <v>117.04071690283142</v>
      </c>
      <c r="AA208" s="920" t="str">
        <f t="shared" si="76"/>
        <v/>
      </c>
      <c r="AB208" s="917">
        <f t="shared" si="77"/>
        <v>4758.2096279488169</v>
      </c>
      <c r="AC208" s="918">
        <f t="shared" si="78"/>
        <v>5519.5231684206274</v>
      </c>
      <c r="AD208" s="916">
        <f t="shared" si="79"/>
        <v>21204.860153947284</v>
      </c>
      <c r="AE208" s="916">
        <f t="shared" si="80"/>
        <v>500</v>
      </c>
      <c r="AF208" s="919" cm="1">
        <f t="array" ref="AF208">IFERROR(_xlfn.LET(_xlpm.lam,TEXT(B208,"0"),_xlpm.thick,D208,_xlpm.crit,(TEXT(HELPER!$BZ$2:$BZ$250,"0")=_xlpm.lam)*(HELPER!$CC$2:$CC$250=_xlpm.thick)*(HELPER!$BW$2:$BW$250&lt;&gt;""),_xlpm.mats,TRIM(SUBSTITUTE(_xlfn._xlws.FILTER(HELPER!$BW$2:$BW$250,_xlpm.crit),CHAR(160),"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8" s="919">
        <f>IFERROR(IF(N208="Europe to Canada",IF(Q208&lt;1000,VLOOKUP(1000,HELPER!$AG$4:$AH$8,2,FALSE)/Q208,VLOOKUP(Q208,HELPER!$AG$4:$AH$8,2,TRUE)/Q208),IF(N208="Europe to US",HELPER!$AH$2,IF(N208="Europe to Europe",HELPER!$AH$3,0))),0)</f>
        <v>73.120207427404523</v>
      </c>
      <c r="AH208" s="919" cm="1">
        <f t="array" ref="AH208">IFERROR(_xlfn.LET(_xlpm.cap,IF(O208="Quantum",760,1220),_xlpm.wUsed,E208*MAX(1,MIN(MAX(2,INT(900/E208)),INT((_xlpm.cap-50)/E208))),_xlpm.kgmUsed,AR208/E208*_xlpm.wUsed,_xlpm.lam,TEXT(B208,"0"),_xlpm.crit,(TEXT(HELPER!$BZ$2:$BZ$250,"0")=_xlpm.lam)*(HELPER!$CC$2:$CC$250=D208)*(HELPER!$BW$2:$BW$250&lt;&gt;""),_xlpm.mats,_xlfn._xlws.FILTER(HELPER!$BW$2:$BW$250,_xlpm.crit),_xlpm.realLayers,SUM((_xlpm.mats&lt;&gt;"")*ISERROR(SEARCH("EPOTAL",_xlpm.mats&amp;""))*ISERROR(SEARCH("BASONAT",_xlpm.mats&amp;""))*ISERROR(SEARCH("ADH",_xlpm.mats&amp;""))*ISERROR(SEARCH("HARDENER",_xlpm.mats&amp;""))),_xlpm.steps,MAX(0,_xlpm.realLayers-1),_xlpm.tier,IF(P208&lt;3000,1,IF(P208&lt;10000,2,IF(P208&lt;25000,3,IF(P208&lt;50000,4,IF(P208&lt;100000,5,IF(P208&lt;250000,6,7)))))),_xlpm.widthRow,IF(_xlpm.wUsed&lt;900,0,5),_xlpm.supplierRow,IF(O208="Marma",3,IF(OR(O208="Bastin",O208="Quantum"),13,0)),_xlpm.rate,INDEX('Lmntn &amp; Prntng- Marma &amp; Bastin '!$D$1:$K$22,_xlpm.supplierRow+_xlpm.widthRow,_xlpm.tier),_xlpm.rate*_xlpm.steps/_xlpm.kgmUsed),"")</f>
        <v>3.2178163235013466</v>
      </c>
      <c r="AI208" s="919" cm="1">
        <f t="array" ref="AI208">IFERROR(_xlfn.LET(_xlpm.cap,IF(O208="Quantum",760,1220),_xlpm.wUsed,E208*MAX(1,MIN(MAX(2,INT(900/E208)),INT((_xlpm.cap-50)/E208))),_xlpm.kgmUsed,AR208/E208*_xlpm.wUsed,_xlpm.tier,IF(P208&lt;3000,1,IF(P208&lt;10000,2,IF(P208&lt;25000,3,IF(P208&lt;50000,4,IF(P208&lt;100000,5,IF(P208&lt;250000,6,IF(P208&lt;500000,7,8))))))),_xlpm.widthRow,IF(_xlpm.wUsed&lt;900,0,5),_xlpm.slitRow,IF(O208="Marma",7,IF(OR(O208="Bastin",O208="Quantum"),17,0)),_xlpm.slitRate,INDEX('Lmntn &amp; Prntng- Marma &amp; Bastin '!$D$1:$K$22,_xlpm.slitRow+_xlpm.widthRow,_xlpm.tier),_xlpm.numColors,IF(ISNUMBER(L208),L208,IFERROR(--RIGHT(L208,LEN(L208)-FIND("-",L208)),0)),_xlpm.printRate,IF(OR(K208&lt;&gt;"Printed",_xlpm.numColors=0),0,IF(O208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208))),MAX(_xlfn._xlws.FILTER(_xlpm.meters,(_xlpm.widths=_xlpm.qWidth)*(_xlpm.bands=_xlpm.band)))),INDEX(_xlpm.rates,_xlfn.XMATCH(1,(_xlpm.widths=_xlpm.qWidth)*(_xlpm.bands=_xlpm.band)*(_xlpm.meters=_xlpm.targetM),0))/HELPER!$AK$2),_xlfn.LET(_xlpm.colorOffset,IF(_xlpm.numColors&lt;=2,1,IF(_xlpm.numColors&lt;=4,2,3)),_xlpm.supplierRow,IF(O208="Marma",3,IF(O208="Bastin",13,0)),INDEX('Lmntn &amp; Prntng- Marma &amp; Bastin '!$D$1:$K$22,_xlpm.supplierRow+_xlpm.widthRow+_xlpm.colorOffset,_xlpm.tier)))),AH208+_xlpm.slitRate/_xlpm.kgmUsed+_xlpm.printRate/_xlpm.kgmUsed+AJ208),"")</f>
        <v>4.180432155049937</v>
      </c>
      <c r="AJ208" s="919" cm="1">
        <f t="array" ref="AJ208">IF(OR(K208&lt;&gt;"Printed",L208=0,L208="0",L208=""),0,IFERROR(_xlfn.LET(_xlpm.lam,TEXT(B208,"0"),_xlpm.crit,(TEXT(HELPER!$BZ$2:$BZ$250,"0")=_xlpm.lam)*(HELPER!$CC$2:$CC$250=D208)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WHITE"},0)))/ROWS(_xlpm.real),_xlpm.numColors,IF(ISNUMBER(L208),L208,IFERROR(--RIGHT(L208,LEN(L208)-FIND("-",L208)),0)),HELPER!$DB$1*_xlpm.numColors*MAX(1,M208)*1.05*_xlpm.nkRatio/Q208),0))</f>
        <v>0</v>
      </c>
      <c r="AK208" s="919">
        <f t="shared" si="81"/>
        <v>4.3854466617039787</v>
      </c>
      <c r="AL208" s="919">
        <f t="shared" si="82"/>
        <v>2379.104813974408</v>
      </c>
      <c r="AM208" s="73" t="str">
        <f t="shared" si="83"/>
        <v>PASS</v>
      </c>
      <c r="AN208" s="908" t="str">
        <f t="shared" si="84"/>
        <v/>
      </c>
      <c r="AO208" s="919">
        <f t="shared" si="85"/>
        <v>51</v>
      </c>
      <c r="AP208" s="919">
        <f t="shared" si="86"/>
        <v>2000</v>
      </c>
      <c r="AQ208" s="919"/>
      <c r="AR208" s="919" cm="1">
        <f t="array" ref="AR208">IFERROR(_xlfn.LET(_xlpm.lam,TEXT(B208,"0"),_xlpm.thick,D208,_xlpm.crit,(TEXT(HELPER!$BZ$2:$BZ$250,"0")=_xlpm.lam)*(HELPER!$CC$2:$CC$250=_xlpm.thick)*(HELPER!$BW$2:$BW$250&lt;&gt;""),_xlpm.mats,TRIM(SUBSTITUTE(_xlfn._xlws.FILTER(HELPER!$BW$2:$BW$250,_xlpm.crit),CHAR(160),"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")),HELPER!$AQ$2:$AQ$20,1),_xlpm.mass,IF(ISNUMBER(SEARCH("paper",_xlpm.mats)),42,_xlpm.dens*_xlpm.ths),E208/1000000*SUM(_xlpm.mass)),"")</f>
        <v>2.35795E-2</v>
      </c>
      <c r="AS208" s="919">
        <f>IFERROR(IF(D208&gt;31,(5%+250/P208)*AF208,VLOOKUP(D208,HELPER!$BH$3:$BI$5,2,TRUE)*AF208),0)</f>
        <v>1.2602911255009646</v>
      </c>
      <c r="AT208" s="919">
        <v>0.15000000000000499</v>
      </c>
      <c r="AU208" s="919"/>
      <c r="AV208" s="919"/>
      <c r="AW208" s="919"/>
      <c r="AX208" s="919"/>
      <c r="AY208" s="919"/>
      <c r="AZ208" s="919">
        <f t="shared" si="87"/>
        <v>0</v>
      </c>
    </row>
    <row r="209" spans="1:52">
      <c r="A209" s="73" t="s">
        <v>2238</v>
      </c>
      <c r="B209" s="73">
        <v>618</v>
      </c>
      <c r="C209" s="908" t="s">
        <v>2218</v>
      </c>
      <c r="D209" s="915" cm="1">
        <f t="array" ref="D20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9" s="915">
        <v>900</v>
      </c>
      <c r="F209" s="73" t="s">
        <v>1040</v>
      </c>
      <c r="G209" s="916">
        <v>1600000</v>
      </c>
      <c r="H209" s="916"/>
      <c r="I209" s="916">
        <v>140</v>
      </c>
      <c r="J209" s="916">
        <v>80</v>
      </c>
      <c r="K209" s="73" t="s">
        <v>123</v>
      </c>
      <c r="L209" s="921" t="s">
        <v>592</v>
      </c>
      <c r="M209" s="915">
        <v>8</v>
      </c>
      <c r="N209" s="73" t="s">
        <v>548</v>
      </c>
      <c r="O209" s="73" t="s">
        <v>250</v>
      </c>
      <c r="P209" s="916" cm="1">
        <f t="array" ref="P209">IFERROR(_xlfn.SWITCH(F209,"By Weight",IF(H209&lt;&gt;"",H209,G209)/AR209,"By Length",G209,"By Imp",G209/MAX(1,ROUNDDOWN(E209/I209,0))*J209/1000,"IMP",G209/MAX(1,ROUNDDOWN(E209/I209,0))*J209/1000,""),"")</f>
        <v>21333.333333333336</v>
      </c>
      <c r="Q209" s="916">
        <f t="shared" si="66"/>
        <v>1293.5040000000001</v>
      </c>
      <c r="R209" s="917">
        <f t="shared" si="67"/>
        <v>29522.487434894585</v>
      </c>
      <c r="S209" s="918">
        <f t="shared" si="68"/>
        <v>34246.085424477715</v>
      </c>
      <c r="T209" s="919">
        <f t="shared" si="69"/>
        <v>22.823653761329368</v>
      </c>
      <c r="U209" s="920">
        <f t="shared" si="70"/>
        <v>26.475438363142064</v>
      </c>
      <c r="V209" s="919">
        <f t="shared" si="71"/>
        <v>1.6280783511890413</v>
      </c>
      <c r="W209" s="919">
        <f t="shared" si="72"/>
        <v>26.851357366269877</v>
      </c>
      <c r="X209" s="919">
        <f t="shared" si="73"/>
        <v>2.1707711349187215E-2</v>
      </c>
      <c r="Y209" s="920">
        <f t="shared" si="74"/>
        <v>1.8885708873792877</v>
      </c>
      <c r="Z209" s="920">
        <f t="shared" si="75"/>
        <v>31.147574544873056</v>
      </c>
      <c r="AA209" s="920">
        <f t="shared" si="76"/>
        <v>2.5180945165057169E-2</v>
      </c>
      <c r="AB209" s="917">
        <f t="shared" si="77"/>
        <v>34732.338158699553</v>
      </c>
      <c r="AC209" s="918">
        <f t="shared" si="78"/>
        <v>40289.512264091478</v>
      </c>
      <c r="AD209" s="916">
        <f t="shared" si="79"/>
        <v>8246.3345043128338</v>
      </c>
      <c r="AE209" s="916">
        <f t="shared" si="80"/>
        <v>500</v>
      </c>
      <c r="AF209" s="919" cm="1">
        <f t="array" ref="AF209">IFERROR(_xlfn.LET(_xlpm.lam,TEXT(B209,"0"),_xlpm.thick,D209,_xlpm.crit,(TEXT(HELPER!$BZ$2:$BZ$250,"0")=_xlpm.lam)*(HELPER!$CC$2:$CC$250=_xlpm.thick)*(HELPER!$BW$2:$BW$250&lt;&gt;""),_xlpm.mats,TRIM(SUBSTITUTE(_xlfn._xlws.FILTER(HELPER!$BW$2:$BW$250,_xlpm.crit),CHAR(160),"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9" s="919">
        <f>IFERROR(IF(N209="Europe to Canada",IF(Q209&lt;1000,VLOOKUP(1000,HELPER!$AG$4:$AH$8,2,FALSE)/Q209,VLOOKUP(Q209,HELPER!$AG$4:$AH$8,2,TRUE)/Q209),IF(N209="Europe to US",HELPER!$AH$2,IF(N209="Europe to Europe",HELPER!$AH$3,0))),0)</f>
        <v>2.6658408957907898</v>
      </c>
      <c r="AH209" s="919" cm="1">
        <f t="array" ref="AH209">IFERROR(_xlfn.LET(_xlpm.cap,IF(O209="Quantum",760,1220),_xlpm.wUsed,E209*MAX(1,MIN(MAX(2,INT(900/E209)),INT((_xlpm.cap-50)/E209))),_xlpm.kgmUsed,AR209/E209*_xlpm.wUsed,_xlpm.lam,TEXT(B209,"0"),_xlpm.crit,(TEXT(HELPER!$BZ$2:$BZ$250,"0")=_xlpm.lam)*(HELPER!$CC$2:$CC$250=D209)*(HELPER!$BW$2:$BW$250&lt;&gt;""),_xlpm.mats,_xlfn._xlws.FILTER(HELPER!$BW$2:$BW$250,_xlpm.crit),_xlpm.realLayers,SUM((_xlpm.mats&lt;&gt;"")*ISERROR(SEARCH("EPOTAL",_xlpm.mats&amp;""))*ISERROR(SEARCH("BASONAT",_xlpm.mats&amp;""))*ISERROR(SEARCH("ADH",_xlpm.mats&amp;""))*ISERROR(SEARCH("HARDENER",_xlpm.mats&amp;""))),_xlpm.steps,MAX(0,_xlpm.realLayers-1),_xlpm.tier,IF(P209&lt;3000,1,IF(P209&lt;10000,2,IF(P209&lt;25000,3,IF(P209&lt;50000,4,IF(P209&lt;100000,5,IF(P209&lt;250000,6,7)))))),_xlpm.widthRow,IF(_xlpm.wUsed&lt;900,0,5),_xlpm.supplierRow,IF(O209="Marma",3,IF(OR(O209="Bastin",O209="Quantum"),13,0)),_xlpm.rate,INDEX('Lmntn &amp; Prntng- Marma &amp; Bastin '!$D$1:$K$22,_xlpm.supplierRow+_xlpm.widthRow,_xlpm.tier),_xlpm.rate*_xlpm.steps/_xlpm.kgmUsed),"")</f>
        <v>1.5095739943595072</v>
      </c>
      <c r="AI209" s="919" cm="1">
        <f t="array" ref="AI209">IFERROR(_xlfn.LET(_xlpm.cap,IF(O209="Quantum",760,1220),_xlpm.wUsed,E209*MAX(1,MIN(MAX(2,INT(900/E209)),INT((_xlpm.cap-50)/E209))),_xlpm.kgmUsed,AR209/E209*_xlpm.wUsed,_xlpm.tier,IF(P209&lt;3000,1,IF(P209&lt;10000,2,IF(P209&lt;25000,3,IF(P209&lt;50000,4,IF(P209&lt;100000,5,IF(P209&lt;250000,6,IF(P209&lt;500000,7,8))))))),_xlpm.widthRow,IF(_xlpm.wUsed&lt;900,0,5),_xlpm.slitRow,IF(O209="Marma",7,IF(OR(O209="Bastin",O209="Quantum"),17,0)),_xlpm.slitRate,INDEX('Lmntn &amp; Prntng- Marma &amp; Bastin '!$D$1:$K$22,_xlpm.slitRow+_xlpm.widthRow,_xlpm.tier),_xlpm.numColors,IF(ISNUMBER(L209),L209,IFERROR(--RIGHT(L209,LEN(L209)-FIND("-",L209)),0)),_xlpm.printRate,IF(OR(K209&lt;&gt;"Printed",_xlpm.numColors=0),0,IF(O209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209))),MAX(_xlfn._xlws.FILTER(_xlpm.meters,(_xlpm.widths=_xlpm.qWidth)*(_xlpm.bands=_xlpm.band)))),INDEX(_xlpm.rates,_xlfn.XMATCH(1,(_xlpm.widths=_xlpm.qWidth)*(_xlpm.bands=_xlpm.band)*(_xlpm.meters=_xlpm.targetM),0))/HELPER!$AK$2),_xlfn.LET(_xlpm.colorOffset,IF(_xlpm.numColors&lt;=2,1,IF(_xlpm.numColors&lt;=4,2,3)),_xlpm.supplierRow,IF(O209="Marma",3,IF(O209="Bastin",13,0)),INDEX('Lmntn &amp; Prntng- Marma &amp; Bastin '!$D$1:$K$22,_xlpm.supplierRow+_xlpm.widthRow+_xlpm.colorOffset,_xlpm.tier)))),AH209+_xlpm.slitRate/_xlpm.kgmUsed+_xlpm.printRate/_xlpm.kgmUsed+AJ209),"")</f>
        <v>12.511671617521566</v>
      </c>
      <c r="AJ209" s="919" cm="1">
        <f t="array" ref="AJ209">IF(OR(K209&lt;&gt;"Printed",L209=0,L209="0",L209=""),0,IFERROR(_xlfn.LET(_xlpm.lam,TEXT(B209,"0"),_xlpm.crit,(TEXT(HELPER!$BZ$2:$BZ$250,"0")=_xlpm.lam)*(HELPER!$CC$2:$CC$250=D209)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WHITE"},0)))/ROWS(_xlpm.real),_xlpm.numColors,IF(ISNUMBER(L209),L209,IFERROR(--RIGHT(L209,LEN(L209)-FIND("-",L209)),0)),HELPER!$DB$1*_xlpm.numColors*MAX(1,M209)*1.05*_xlpm.nkRatio/Q209),0))</f>
        <v>7.7927861065756261</v>
      </c>
      <c r="AK209" s="919">
        <f t="shared" si="81"/>
        <v>1.1670812553326462</v>
      </c>
      <c r="AL209" s="919">
        <f t="shared" si="82"/>
        <v>1628.0783511890413</v>
      </c>
      <c r="AM209" s="73" t="str">
        <f t="shared" si="83"/>
        <v>PASS</v>
      </c>
      <c r="AN209" s="908" t="str">
        <f t="shared" si="84"/>
        <v/>
      </c>
      <c r="AO209" s="919">
        <f t="shared" si="85"/>
        <v>51</v>
      </c>
      <c r="AP209" s="919">
        <f t="shared" si="86"/>
        <v>21333.333333333336</v>
      </c>
      <c r="AQ209" s="919"/>
      <c r="AR209" s="919" cm="1">
        <f t="array" ref="AR209">IFERROR(_xlfn.LET(_xlpm.lam,TEXT(B209,"0"),_xlpm.thick,D209,_xlpm.crit,(TEXT(HELPER!$BZ$2:$BZ$250,"0")=_xlpm.lam)*(HELPER!$CC$2:$CC$250=_xlpm.thick)*(HELPER!$BW$2:$BW$250&lt;&gt;""),_xlpm.mats,TRIM(SUBSTITUTE(_xlfn._xlws.FILTER(HELPER!$BW$2:$BW$250,_xlpm.crit),CHAR(160),"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")),HELPER!$AQ$2:$AQ$20,1),_xlpm.mass,IF(ISNUMBER(SEARCH("paper",_xlpm.mats)),42,_xlpm.dens*_xlpm.ths),E209/1000000*SUM(_xlpm.mass)),"")</f>
        <v>6.0632999999999999E-2</v>
      </c>
      <c r="AS209" s="919">
        <f>IFERROR(IF(D209&gt;31,(5%+250/P209)*AF209,VLOOKUP(D209,HELPER!$BH$3:$BI$5,2,TRUE)*AF209),0)</f>
        <v>0.44447767372578667</v>
      </c>
      <c r="AT209" s="919">
        <v>0.15000000000000099</v>
      </c>
      <c r="AU209" s="919"/>
      <c r="AV209" s="919"/>
      <c r="AW209" s="919"/>
      <c r="AX209" s="919"/>
      <c r="AY209" s="919"/>
      <c r="AZ209" s="919">
        <f t="shared" si="87"/>
        <v>10080</v>
      </c>
    </row>
    <row r="210" spans="1:52">
      <c r="A210" s="73" t="s">
        <v>2239</v>
      </c>
      <c r="B210" s="73" t="s">
        <v>566</v>
      </c>
      <c r="C210" s="908" t="s">
        <v>2212</v>
      </c>
      <c r="D210" s="915" cm="1">
        <f t="array" ref="D21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0" s="915">
        <v>120</v>
      </c>
      <c r="F210" s="73" t="s">
        <v>560</v>
      </c>
      <c r="G210" s="916">
        <v>100</v>
      </c>
      <c r="H210" s="916">
        <v>100</v>
      </c>
      <c r="I210" s="916"/>
      <c r="J210" s="916"/>
      <c r="K210" s="73" t="s">
        <v>124</v>
      </c>
      <c r="L210" s="921" t="s">
        <v>221</v>
      </c>
      <c r="M210" s="915">
        <v>1</v>
      </c>
      <c r="N210" s="73" t="s">
        <v>548</v>
      </c>
      <c r="O210" s="73" t="s">
        <v>250</v>
      </c>
      <c r="P210" s="916" cm="1">
        <f t="array" ref="P210">IFERROR(_xlfn.SWITCH(F210,"By Weight",IF(H210&lt;&gt;"",H210,G210)/AR210,"By Length",G210,"By Imp",G210/MAX(1,ROUNDDOWN(E210/I210,0))*J210/1000,"IMP",G210/MAX(1,ROUNDDOWN(E210/I210,0))*J210/1000,""),"")</f>
        <v>12369.50175646925</v>
      </c>
      <c r="Q210" s="916">
        <f t="shared" si="66"/>
        <v>100</v>
      </c>
      <c r="R210" s="917">
        <f t="shared" si="67"/>
        <v>4524.380841519227</v>
      </c>
      <c r="S210" s="918">
        <f t="shared" si="68"/>
        <v>5248.2817761623028</v>
      </c>
      <c r="T210" s="919">
        <f t="shared" si="69"/>
        <v>45.243808415192269</v>
      </c>
      <c r="U210" s="920">
        <f t="shared" si="70"/>
        <v>52.482817761623032</v>
      </c>
      <c r="V210" s="919">
        <f t="shared" si="71"/>
        <v>0.43031652323738773</v>
      </c>
      <c r="W210" s="919">
        <f t="shared" si="72"/>
        <v>53.228009900226077</v>
      </c>
      <c r="X210" s="919" t="str">
        <f t="shared" si="73"/>
        <v/>
      </c>
      <c r="Y210" s="920">
        <f t="shared" si="74"/>
        <v>0.49916716695536972</v>
      </c>
      <c r="Z210" s="920">
        <f t="shared" si="75"/>
        <v>61.744491484262248</v>
      </c>
      <c r="AA210" s="920" t="str">
        <f t="shared" si="76"/>
        <v/>
      </c>
      <c r="AB210" s="917">
        <f t="shared" si="77"/>
        <v>5322.8009900226079</v>
      </c>
      <c r="AC210" s="918">
        <f t="shared" si="78"/>
        <v>6174.4491484262244</v>
      </c>
      <c r="AD210" s="916">
        <f t="shared" si="79"/>
        <v>61847.508782346245</v>
      </c>
      <c r="AE210" s="916">
        <f t="shared" si="80"/>
        <v>500</v>
      </c>
      <c r="AF210" s="919" cm="1">
        <f t="array" ref="AF210">IFERROR(_xlfn.LET(_xlpm.lam,TEXT(B210,"0"),_xlpm.thick,D210,_xlpm.crit,(TEXT(HELPER!$BZ$2:$BZ$250,"0")=_xlpm.lam)*(HELPER!$CC$2:$CC$250=_xlpm.thick)*(HELPER!$BW$2:$BW$250&lt;&gt;""),_xlpm.mats,TRIM(SUBSTITUTE(_xlfn._xlws.FILTER(HELPER!$BW$2:$BW$250,_xlpm.crit),CHAR(160),"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0" s="919">
        <f>IFERROR(IF(N210="Europe to Canada",IF(Q210&lt;1000,VLOOKUP(1000,HELPER!$AG$4:$AH$8,2,FALSE)/Q210,VLOOKUP(Q210,HELPER!$AG$4:$AH$8,2,TRUE)/Q210),IF(N210="Europe to US",HELPER!$AH$2,IF(N210="Europe to Europe",HELPER!$AH$3,0))),0)</f>
        <v>34.482758620689701</v>
      </c>
      <c r="AH210" s="919" cm="1">
        <f t="array" ref="AH210">IFERROR(_xlfn.LET(_xlpm.cap,IF(O210="Quantum",760,1220),_xlpm.wUsed,E210*MAX(1,MIN(MAX(2,INT(900/E210)),INT((_xlpm.cap-50)/E210))),_xlpm.kgmUsed,AR210/E210*_xlpm.wUsed,_xlpm.lam,TEXT(B210,"0"),_xlpm.crit,(TEXT(HELPER!$BZ$2:$BZ$250,"0")=_xlpm.lam)*(HELPER!$CC$2:$CC$250=D210)*(HELPER!$BW$2:$BW$250&lt;&gt;""),_xlpm.mats,_xlfn._xlws.FILTER(HELPER!$BW$2:$BW$250,_xlpm.crit),_xlpm.realLayers,SUM((_xlpm.mats&lt;&gt;"")*ISERROR(SEARCH("EPOTAL",_xlpm.mats&amp;""))*ISERROR(SEARCH("BASONAT",_xlpm.mats&amp;""))*ISERROR(SEARCH("ADH",_xlpm.mats&amp;""))*ISERROR(SEARCH("HARDENER",_xlpm.mats&amp;""))),_xlpm.steps,MAX(0,_xlpm.realLayers-1),_xlpm.tier,IF(P210&lt;3000,1,IF(P210&lt;10000,2,IF(P210&lt;25000,3,IF(P210&lt;50000,4,IF(P210&lt;100000,5,IF(P210&lt;250000,6,7)))))),_xlpm.widthRow,IF(_xlpm.wUsed&lt;900,0,5),_xlpm.supplierRow,IF(O210="Marma",3,IF(OR(O210="Bastin",O210="Quantum"),13,0)),_xlpm.rate,INDEX('Lmntn &amp; Prntng- Marma &amp; Bastin '!$D$1:$K$22,_xlpm.supplierRow+_xlpm.widthRow,_xlpm.tier),_xlpm.rate*_xlpm.steps/_xlpm.kgmUsed),"")</f>
        <v>1.617400708242329</v>
      </c>
      <c r="AI210" s="919" cm="1">
        <f t="array" ref="AI210">IFERROR(_xlfn.LET(_xlpm.cap,IF(O210="Quantum",760,1220),_xlpm.wUsed,E210*MAX(1,MIN(MAX(2,INT(900/E210)),INT((_xlpm.cap-50)/E210))),_xlpm.kgmUsed,AR210/E210*_xlpm.wUsed,_xlpm.tier,IF(P210&lt;3000,1,IF(P210&lt;10000,2,IF(P210&lt;25000,3,IF(P210&lt;50000,4,IF(P210&lt;100000,5,IF(P210&lt;250000,6,IF(P210&lt;500000,7,8))))))),_xlpm.widthRow,IF(_xlpm.wUsed&lt;900,0,5),_xlpm.slitRow,IF(O210="Marma",7,IF(OR(O210="Bastin",O210="Quantum"),17,0)),_xlpm.slitRate,INDEX('Lmntn &amp; Prntng- Marma &amp; Bastin '!$D$1:$K$22,_xlpm.slitRow+_xlpm.widthRow,_xlpm.tier),_xlpm.numColors,IF(ISNUMBER(L210),L210,IFERROR(--RIGHT(L210,LEN(L210)-FIND("-",L210)),0)),_xlpm.printRate,IF(OR(K210&lt;&gt;"Printed",_xlpm.numColors=0),0,IF(O210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210))),MAX(_xlfn._xlws.FILTER(_xlpm.meters,(_xlpm.widths=_xlpm.qWidth)*(_xlpm.bands=_xlpm.band)))),INDEX(_xlpm.rates,_xlfn.XMATCH(1,(_xlpm.widths=_xlpm.qWidth)*(_xlpm.bands=_xlpm.band)*(_xlpm.meters=_xlpm.targetM),0))/HELPER!$AK$2),_xlfn.LET(_xlpm.colorOffset,IF(_xlpm.numColors&lt;=2,1,IF(_xlpm.numColors&lt;=4,2,3)),_xlpm.supplierRow,IF(O210="Marma",3,IF(O210="Bastin",13,0)),INDEX('Lmntn &amp; Prntng- Marma &amp; Bastin '!$D$1:$K$22,_xlpm.supplierRow+_xlpm.widthRow+_xlpm.colorOffset,_xlpm.tier)))),AH210+_xlpm.slitRate/_xlpm.kgmUsed+_xlpm.printRate/_xlpm.kgmUsed+AJ210),"")</f>
        <v>2.0754256875675905</v>
      </c>
      <c r="AJ210" s="919" cm="1">
        <f t="array" ref="AJ210">IF(OR(K210&lt;&gt;"Printed",L210=0,L210="0",L210=""),0,IFERROR(_xlfn.LET(_xlpm.lam,TEXT(B210,"0"),_xlpm.crit,(TEXT(HELPER!$BZ$2:$BZ$250,"0")=_xlpm.lam)*(HELPER!$CC$2:$CC$250=D210)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WHITE"},0)))/ROWS(_xlpm.real),_xlpm.numColors,IF(ISNUMBER(L210),L210,IFERROR(--RIGHT(L210,LEN(L210)-FIND("-",L210)),0)),HELPER!$DB$1*_xlpm.numColors*MAX(1,M210)*1.05*_xlpm.nkRatio/Q210),0))</f>
        <v>0</v>
      </c>
      <c r="AK210" s="919">
        <f t="shared" si="81"/>
        <v>2.3135296948246653</v>
      </c>
      <c r="AL210" s="919">
        <f t="shared" si="82"/>
        <v>430.31652323738774</v>
      </c>
      <c r="AM210" s="73" t="str">
        <f t="shared" si="83"/>
        <v>PASS</v>
      </c>
      <c r="AN210" s="908" t="str">
        <f t="shared" si="84"/>
        <v/>
      </c>
      <c r="AO210" s="919">
        <f t="shared" si="85"/>
        <v>51</v>
      </c>
      <c r="AP210" s="919">
        <f t="shared" si="86"/>
        <v>12369.50175646925</v>
      </c>
      <c r="AQ210" s="919"/>
      <c r="AR210" s="919" cm="1">
        <f t="array" ref="AR210">IFERROR(_xlfn.LET(_xlpm.lam,TEXT(B210,"0"),_xlpm.thick,D210,_xlpm.crit,(TEXT(HELPER!$BZ$2:$BZ$250,"0")=_xlpm.lam)*(HELPER!$CC$2:$CC$250=_xlpm.thick)*(HELPER!$BW$2:$BW$250&lt;&gt;""),_xlpm.mats,TRIM(SUBSTITUTE(_xlfn._xlws.FILTER(HELPER!$BW$2:$BW$250,_xlpm.crit),CHAR(160),"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")),HELPER!$AQ$2:$AQ$20,1),_xlpm.mass,IF(ISNUMBER(SEARCH("paper",_xlpm.mats)),42,_xlpm.dens*_xlpm.ths),E210/1000000*SUM(_xlpm.mass)),"")</f>
        <v>8.0844000000000003E-3</v>
      </c>
      <c r="AS210" s="919">
        <f>IFERROR(IF(D210&gt;31,(5%+250/P210)*AF210,VLOOKUP(D210,HELPER!$BH$3:$BI$5,2,TRUE)*AF210),0)</f>
        <v>0.5698188059849989</v>
      </c>
      <c r="AT210" s="919">
        <v>0.149999999999998</v>
      </c>
      <c r="AU210" s="919"/>
      <c r="AV210" s="919"/>
      <c r="AW210" s="919"/>
      <c r="AX210" s="919"/>
      <c r="AY210" s="919"/>
      <c r="AZ210" s="919">
        <f t="shared" si="87"/>
        <v>0</v>
      </c>
    </row>
    <row r="211" spans="1:52">
      <c r="A211" s="73" t="s">
        <v>2240</v>
      </c>
      <c r="B211" s="73" t="s">
        <v>566</v>
      </c>
      <c r="C211" s="908" t="s">
        <v>2214</v>
      </c>
      <c r="D211" s="915" cm="1">
        <f t="array" ref="D21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1" s="915">
        <v>350</v>
      </c>
      <c r="F211" s="73" t="s">
        <v>560</v>
      </c>
      <c r="G211" s="916">
        <v>5000</v>
      </c>
      <c r="H211" s="916">
        <v>5000</v>
      </c>
      <c r="I211" s="916"/>
      <c r="J211" s="916"/>
      <c r="K211" s="73" t="s">
        <v>123</v>
      </c>
      <c r="L211" s="921" t="s">
        <v>122</v>
      </c>
      <c r="M211" s="915">
        <v>4</v>
      </c>
      <c r="N211" s="73" t="s">
        <v>548</v>
      </c>
      <c r="O211" s="73" t="s">
        <v>1366</v>
      </c>
      <c r="P211" s="916" cm="1">
        <f t="array" ref="P211">IFERROR(_xlfn.SWITCH(F211,"By Weight",IF(H211&lt;&gt;"",H211,G211)/AR211,"By Length",G211,"By Imp",G211/MAX(1,ROUNDDOWN(E211/I211,0))*J211/1000,"IMP",G211/MAX(1,ROUNDDOWN(E211/I211,0))*J211/1000,""),"")</f>
        <v>212048.60153947285</v>
      </c>
      <c r="Q211" s="916">
        <f t="shared" si="66"/>
        <v>5000</v>
      </c>
      <c r="R211" s="917">
        <f t="shared" si="67"/>
        <v>147961.14916118403</v>
      </c>
      <c r="S211" s="918">
        <f t="shared" si="68"/>
        <v>171634.93302697348</v>
      </c>
      <c r="T211" s="919">
        <f t="shared" si="69"/>
        <v>29.592229832236807</v>
      </c>
      <c r="U211" s="920">
        <f t="shared" si="70"/>
        <v>34.326986605394694</v>
      </c>
      <c r="V211" s="919">
        <f t="shared" si="71"/>
        <v>0.82090586274026789</v>
      </c>
      <c r="W211" s="919">
        <f t="shared" si="72"/>
        <v>34.814388037925653</v>
      </c>
      <c r="X211" s="919" t="str">
        <f t="shared" si="73"/>
        <v/>
      </c>
      <c r="Y211" s="920">
        <f t="shared" si="74"/>
        <v>0.95225080077871072</v>
      </c>
      <c r="Z211" s="920">
        <f t="shared" si="75"/>
        <v>40.384690123993757</v>
      </c>
      <c r="AA211" s="920" t="str">
        <f t="shared" si="76"/>
        <v/>
      </c>
      <c r="AB211" s="917">
        <f t="shared" si="77"/>
        <v>174071.94018962825</v>
      </c>
      <c r="AC211" s="918">
        <f t="shared" si="78"/>
        <v>201923.45061996876</v>
      </c>
      <c r="AD211" s="916">
        <f t="shared" si="79"/>
        <v>21204.860153947284</v>
      </c>
      <c r="AE211" s="916">
        <f t="shared" si="80"/>
        <v>500</v>
      </c>
      <c r="AF211" s="919" cm="1">
        <f t="array" ref="AF211">IFERROR(_xlfn.LET(_xlpm.lam,TEXT(B211,"0"),_xlpm.thick,D211,_xlpm.crit,(TEXT(HELPER!$BZ$2:$BZ$250,"0")=_xlpm.lam)*(HELPER!$CC$2:$CC$250=_xlpm.thick)*(HELPER!$BW$2:$BW$250&lt;&gt;""),_xlpm.mats,TRIM(SUBSTITUTE(_xlfn._xlws.FILTER(HELPER!$BW$2:$BW$250,_xlpm.crit),CHAR(160),"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1" s="919">
        <f>IFERROR(IF(N211="Europe to Canada",IF(Q211&lt;1000,VLOOKUP(1000,HELPER!$AG$4:$AH$8,2,FALSE)/Q211,VLOOKUP(Q211,HELPER!$AG$4:$AH$8,2,TRUE)/Q211),IF(N211="Europe to US",HELPER!$AH$2,IF(N211="Europe to Europe",HELPER!$AH$3,0))),0)</f>
        <v>1.8448275862068959</v>
      </c>
      <c r="AH211" s="919" cm="1">
        <f t="array" ref="AH211">IFERROR(_xlfn.LET(_xlpm.cap,IF(O211="Quantum",760,1220),_xlpm.wUsed,E211*MAX(1,MIN(MAX(2,INT(900/E211)),INT((_xlpm.cap-50)/E211))),_xlpm.kgmUsed,AR211/E211*_xlpm.wUsed,_xlpm.lam,TEXT(B211,"0"),_xlpm.crit,(TEXT(HELPER!$BZ$2:$BZ$250,"0")=_xlpm.lam)*(HELPER!$CC$2:$CC$250=D211)*(HELPER!$BW$2:$BW$250&lt;&gt;""),_xlpm.mats,_xlfn._xlws.FILTER(HELPER!$BW$2:$BW$250,_xlpm.crit),_xlpm.realLayers,SUM((_xlpm.mats&lt;&gt;"")*ISERROR(SEARCH("EPOTAL",_xlpm.mats&amp;""))*ISERROR(SEARCH("BASONAT",_xlpm.mats&amp;""))*ISERROR(SEARCH("ADH",_xlpm.mats&amp;""))*ISERROR(SEARCH("HARDENER",_xlpm.mats&amp;""))),_xlpm.steps,MAX(0,_xlpm.realLayers-1),_xlpm.tier,IF(P211&lt;3000,1,IF(P211&lt;10000,2,IF(P211&lt;25000,3,IF(P211&lt;50000,4,IF(P211&lt;100000,5,IF(P211&lt;250000,6,7)))))),_xlpm.widthRow,IF(_xlpm.wUsed&lt;900,0,5),_xlpm.supplierRow,IF(O211="Marma",3,IF(OR(O211="Bastin",O211="Quantum"),13,0)),_xlpm.rate,INDEX('Lmntn &amp; Prntng- Marma &amp; Bastin '!$D$1:$K$22,_xlpm.supplierRow+_xlpm.widthRow,_xlpm.tier),_xlpm.rate*_xlpm.steps/_xlpm.kgmUsed),"")</f>
        <v>2.3147437392650398</v>
      </c>
      <c r="AI211" s="919" cm="1">
        <f t="array" ref="AI211">IFERROR(_xlfn.LET(_xlpm.cap,IF(O211="Quantum",760,1220),_xlpm.wUsed,E211*MAX(1,MIN(MAX(2,INT(900/E211)),INT((_xlpm.cap-50)/E211))),_xlpm.kgmUsed,AR211/E211*_xlpm.wUsed,_xlpm.tier,IF(P211&lt;3000,1,IF(P211&lt;10000,2,IF(P211&lt;25000,3,IF(P211&lt;50000,4,IF(P211&lt;100000,5,IF(P211&lt;250000,6,IF(P211&lt;500000,7,8))))))),_xlpm.widthRow,IF(_xlpm.wUsed&lt;900,0,5),_xlpm.slitRow,IF(O211="Marma",7,IF(OR(O211="Bastin",O211="Quantum"),17,0)),_xlpm.slitRate,INDEX('Lmntn &amp; Prntng- Marma &amp; Bastin '!$D$1:$K$22,_xlpm.slitRow+_xlpm.widthRow,_xlpm.tier),_xlpm.numColors,IF(ISNUMBER(L211),L211,IFERROR(--RIGHT(L211,LEN(L211)-FIND("-",L211)),0)),_xlpm.printRate,IF(OR(K211&lt;&gt;"Printed",_xlpm.numColors=0),0,IF(O211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211))),MAX(_xlfn._xlws.FILTER(_xlpm.meters,(_xlpm.widths=_xlpm.qWidth)*(_xlpm.bands=_xlpm.band)))),INDEX(_xlpm.rates,_xlfn.XMATCH(1,(_xlpm.widths=_xlpm.qWidth)*(_xlpm.bands=_xlpm.band)*(_xlpm.meters=_xlpm.targetM),0))/HELPER!$AK$2),_xlfn.LET(_xlpm.colorOffset,IF(_xlpm.numColors&lt;=2,1,IF(_xlpm.numColors&lt;=4,2,3)),_xlpm.supplierRow,IF(O211="Marma",3,IF(O211="Bastin",13,0)),INDEX('Lmntn &amp; Prntng- Marma &amp; Bastin '!$D$1:$K$22,_xlpm.supplierRow+_xlpm.widthRow+_xlpm.colorOffset,_xlpm.tier)))),AH211+_xlpm.slitRate/_xlpm.kgmUsed+_xlpm.printRate/_xlpm.kgmUsed+AJ211),"")</f>
        <v>19.216238348477749</v>
      </c>
      <c r="AJ211" s="919" cm="1">
        <f t="array" ref="AJ211">IF(OR(K211&lt;&gt;"Printed",L211=0,L211="0",L211=""),0,IFERROR(_xlfn.LET(_xlpm.lam,TEXT(B211,"0"),_xlpm.crit,(TEXT(HELPER!$BZ$2:$BZ$250,"0")=_xlpm.lam)*(HELPER!$CC$2:$CC$250=D211)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WHITE"},0)))/ROWS(_xlpm.real),_xlpm.numColors,IF(ISNUMBER(L211),L211,IFERROR(--RIGHT(L211,LEN(L211)-FIND("-",L211)),0)),HELPER!$DB$1*_xlpm.numColors*MAX(1,M211)*1.05*_xlpm.nkRatio/Q211),0))</f>
        <v>0.504</v>
      </c>
      <c r="AK211" s="919">
        <f t="shared" si="81"/>
        <v>1.5131905303968072</v>
      </c>
      <c r="AL211" s="919">
        <f t="shared" si="82"/>
        <v>820.90586274026793</v>
      </c>
      <c r="AM211" s="73" t="str">
        <f t="shared" si="83"/>
        <v>PASS</v>
      </c>
      <c r="AN211" s="908" t="str">
        <f t="shared" si="84"/>
        <v/>
      </c>
      <c r="AO211" s="919">
        <f t="shared" si="85"/>
        <v>51</v>
      </c>
      <c r="AP211" s="919">
        <f t="shared" si="86"/>
        <v>212048.60153947285</v>
      </c>
      <c r="AQ211" s="919"/>
      <c r="AR211" s="919" cm="1">
        <f t="array" ref="AR211">IFERROR(_xlfn.LET(_xlpm.lam,TEXT(B211,"0"),_xlpm.thick,D211,_xlpm.crit,(TEXT(HELPER!$BZ$2:$BZ$250,"0")=_xlpm.lam)*(HELPER!$CC$2:$CC$250=_xlpm.thick)*(HELPER!$BW$2:$BW$250&lt;&gt;""),_xlpm.mats,TRIM(SUBSTITUTE(_xlfn._xlws.FILTER(HELPER!$BW$2:$BW$250,_xlpm.crit),CHAR(160),"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")),HELPER!$AQ$2:$AQ$20,1),_xlpm.mass,IF(ISNUMBER(SEARCH("paper",_xlpm.mats)),42,_xlpm.dens*_xlpm.ths),E211/1000000*SUM(_xlpm.mass)),"")</f>
        <v>2.35795E-2</v>
      </c>
      <c r="AS211" s="919">
        <f>IFERROR(IF(D211&gt;31,(5%+250/P211)*AF211,VLOOKUP(D211,HELPER!$BH$3:$BI$5,2,TRUE)*AF211),0)</f>
        <v>0.41535859660218638</v>
      </c>
      <c r="AT211" s="919">
        <v>0.15</v>
      </c>
      <c r="AU211" s="919"/>
      <c r="AV211" s="919"/>
      <c r="AW211" s="919"/>
      <c r="AX211" s="919"/>
      <c r="AY211" s="919"/>
      <c r="AZ211" s="919">
        <f t="shared" si="87"/>
        <v>2520</v>
      </c>
    </row>
    <row r="212" spans="1:52">
      <c r="A212" s="73" t="s">
        <v>2241</v>
      </c>
      <c r="B212" s="73" t="s">
        <v>566</v>
      </c>
      <c r="C212" s="908" t="s">
        <v>2216</v>
      </c>
      <c r="D212" s="915" cm="1">
        <f t="array" ref="D21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2" s="915">
        <v>350</v>
      </c>
      <c r="F212" s="73" t="s">
        <v>561</v>
      </c>
      <c r="G212" s="916">
        <v>2000</v>
      </c>
      <c r="H212" s="916"/>
      <c r="I212" s="916"/>
      <c r="J212" s="916"/>
      <c r="K212" s="73" t="s">
        <v>124</v>
      </c>
      <c r="L212" s="921" t="s">
        <v>221</v>
      </c>
      <c r="M212" s="915">
        <v>1</v>
      </c>
      <c r="N212" s="73" t="s">
        <v>548</v>
      </c>
      <c r="O212" s="73" t="s">
        <v>240</v>
      </c>
      <c r="P212" s="916" cm="1">
        <f t="array" ref="P212">IFERROR(_xlfn.SWITCH(F212,"By Weight",IF(H212&lt;&gt;"",H212,G212)/AR212,"By Length",G212,"By Imp",G212/MAX(1,ROUNDDOWN(E212/I212,0))*J212/1000,"IMP",G212/MAX(1,ROUNDDOWN(E212/I212,0))*J212/1000,""),"")</f>
        <v>2000</v>
      </c>
      <c r="Q212" s="916">
        <f t="shared" si="66"/>
        <v>47.158999999999999</v>
      </c>
      <c r="R212" s="917">
        <f t="shared" si="67"/>
        <v>4095.1324451392825</v>
      </c>
      <c r="S212" s="918">
        <f t="shared" si="68"/>
        <v>4750.3536363615676</v>
      </c>
      <c r="T212" s="919">
        <f t="shared" si="69"/>
        <v>86.836710811070688</v>
      </c>
      <c r="U212" s="920">
        <f t="shared" si="70"/>
        <v>100.73058454084199</v>
      </c>
      <c r="V212" s="919">
        <f t="shared" si="71"/>
        <v>2.5594577782120642</v>
      </c>
      <c r="W212" s="919">
        <f t="shared" si="72"/>
        <v>108.54588851383889</v>
      </c>
      <c r="X212" s="919" t="str">
        <f t="shared" si="73"/>
        <v/>
      </c>
      <c r="Y212" s="920">
        <f t="shared" si="74"/>
        <v>2.9689710227259942</v>
      </c>
      <c r="Z212" s="920">
        <f t="shared" si="75"/>
        <v>125.9132306760531</v>
      </c>
      <c r="AA212" s="920" t="str">
        <f t="shared" si="76"/>
        <v/>
      </c>
      <c r="AB212" s="917">
        <f t="shared" si="77"/>
        <v>5118.9155564241282</v>
      </c>
      <c r="AC212" s="918">
        <f t="shared" si="78"/>
        <v>5937.9420454519886</v>
      </c>
      <c r="AD212" s="916">
        <f t="shared" si="79"/>
        <v>21204.860153947284</v>
      </c>
      <c r="AE212" s="916">
        <f t="shared" si="80"/>
        <v>500</v>
      </c>
      <c r="AF212" s="919" cm="1">
        <f t="array" ref="AF212">IFERROR(_xlfn.LET(_xlpm.lam,TEXT(B212,"0"),_xlpm.thick,D212,_xlpm.crit,(TEXT(HELPER!$BZ$2:$BZ$250,"0")=_xlpm.lam)*(HELPER!$CC$2:$CC$250=_xlpm.thick)*(HELPER!$BW$2:$BW$250&lt;&gt;""),_xlpm.mats,TRIM(SUBSTITUTE(_xlfn._xlws.FILTER(HELPER!$BW$2:$BW$250,_xlpm.crit),CHAR(160),"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2" s="919">
        <f>IFERROR(IF(N212="Europe to Canada",IF(Q212&lt;1000,VLOOKUP(1000,HELPER!$AG$4:$AH$8,2,FALSE)/Q212,VLOOKUP(Q212,HELPER!$AG$4:$AH$8,2,TRUE)/Q212),IF(N212="Europe to US",HELPER!$AH$2,IF(N212="Europe to Europe",HELPER!$AH$3,0))),0)</f>
        <v>73.120207427404523</v>
      </c>
      <c r="AH212" s="919" cm="1">
        <f t="array" ref="AH212">IFERROR(_xlfn.LET(_xlpm.cap,IF(O212="Quantum",760,1220),_xlpm.wUsed,E212*MAX(1,MIN(MAX(2,INT(900/E212)),INT((_xlpm.cap-50)/E212))),_xlpm.kgmUsed,AR212/E212*_xlpm.wUsed,_xlpm.lam,TEXT(B212,"0"),_xlpm.crit,(TEXT(HELPER!$BZ$2:$BZ$250,"0")=_xlpm.lam)*(HELPER!$CC$2:$CC$250=D212)*(HELPER!$BW$2:$BW$250&lt;&gt;""),_xlpm.mats,_xlfn._xlws.FILTER(HELPER!$BW$2:$BW$250,_xlpm.crit),_xlpm.realLayers,SUM((_xlpm.mats&lt;&gt;"")*ISERROR(SEARCH("EPOTAL",_xlpm.mats&amp;""))*ISERROR(SEARCH("BASONAT",_xlpm.mats&amp;""))*ISERROR(SEARCH("ADH",_xlpm.mats&amp;""))*ISERROR(SEARCH("HARDENER",_xlpm.mats&amp;""))),_xlpm.steps,MAX(0,_xlpm.realLayers-1),_xlpm.tier,IF(P212&lt;3000,1,IF(P212&lt;10000,2,IF(P212&lt;25000,3,IF(P212&lt;50000,4,IF(P212&lt;100000,5,IF(P212&lt;250000,6,7)))))),_xlpm.widthRow,IF(_xlpm.wUsed&lt;900,0,5),_xlpm.supplierRow,IF(O212="Marma",3,IF(OR(O212="Bastin",O212="Quantum"),13,0)),_xlpm.rate,INDEX('Lmntn &amp; Prntng- Marma &amp; Bastin '!$D$1:$K$22,_xlpm.supplierRow+_xlpm.widthRow,_xlpm.tier),_xlpm.rate*_xlpm.steps/_xlpm.kgmUsed),"")</f>
        <v>3.2178163235013466</v>
      </c>
      <c r="AI212" s="919" cm="1">
        <f t="array" ref="AI212">IFERROR(_xlfn.LET(_xlpm.cap,IF(O212="Quantum",760,1220),_xlpm.wUsed,E212*MAX(1,MIN(MAX(2,INT(900/E212)),INT((_xlpm.cap-50)/E212))),_xlpm.kgmUsed,AR212/E212*_xlpm.wUsed,_xlpm.tier,IF(P212&lt;3000,1,IF(P212&lt;10000,2,IF(P212&lt;25000,3,IF(P212&lt;50000,4,IF(P212&lt;100000,5,IF(P212&lt;250000,6,IF(P212&lt;500000,7,8))))))),_xlpm.widthRow,IF(_xlpm.wUsed&lt;900,0,5),_xlpm.slitRow,IF(O212="Marma",7,IF(OR(O212="Bastin",O212="Quantum"),17,0)),_xlpm.slitRate,INDEX('Lmntn &amp; Prntng- Marma &amp; Bastin '!$D$1:$K$22,_xlpm.slitRow+_xlpm.widthRow,_xlpm.tier),_xlpm.numColors,IF(ISNUMBER(L212),L212,IFERROR(--RIGHT(L212,LEN(L212)-FIND("-",L212)),0)),_xlpm.printRate,IF(OR(K212&lt;&gt;"Printed",_xlpm.numColors=0),0,IF(O212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212))),MAX(_xlfn._xlws.FILTER(_xlpm.meters,(_xlpm.widths=_xlpm.qWidth)*(_xlpm.bands=_xlpm.band)))),INDEX(_xlpm.rates,_xlfn.XMATCH(1,(_xlpm.widths=_xlpm.qWidth)*(_xlpm.bands=_xlpm.band)*(_xlpm.meters=_xlpm.targetM),0))/HELPER!$AK$2),_xlfn.LET(_xlpm.colorOffset,IF(_xlpm.numColors&lt;=2,1,IF(_xlpm.numColors&lt;=4,2,3)),_xlpm.supplierRow,IF(O212="Marma",3,IF(O212="Bastin",13,0)),INDEX('Lmntn &amp; Prntng- Marma &amp; Bastin '!$D$1:$K$22,_xlpm.supplierRow+_xlpm.widthRow+_xlpm.colorOffset,_xlpm.tier)))),AH212+_xlpm.slitRate/_xlpm.kgmUsed+_xlpm.printRate/_xlpm.kgmUsed+AJ212),"")</f>
        <v>4.180432155049937</v>
      </c>
      <c r="AJ212" s="919" cm="1">
        <f t="array" ref="AJ212">IF(OR(K212&lt;&gt;"Printed",L212=0,L212="0",L212=""),0,IFERROR(_xlfn.LET(_xlpm.lam,TEXT(B212,"0"),_xlpm.crit,(TEXT(HELPER!$BZ$2:$BZ$250,"0")=_xlpm.lam)*(HELPER!$CC$2:$CC$250=D212)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WHITE"},0)))/ROWS(_xlpm.real),_xlpm.numColors,IF(ISNUMBER(L212),L212,IFERROR(--RIGHT(L212,LEN(L212)-FIND("-",L212)),0)),HELPER!$DB$1*_xlpm.numColors*MAX(1,M212)*1.05*_xlpm.nkRatio/Q212),0))</f>
        <v>0</v>
      </c>
      <c r="AK212" s="919">
        <f t="shared" si="81"/>
        <v>4.717894522049888</v>
      </c>
      <c r="AL212" s="919">
        <f t="shared" si="82"/>
        <v>2559.4577782120641</v>
      </c>
      <c r="AM212" s="73" t="str">
        <f t="shared" si="83"/>
        <v>PASS</v>
      </c>
      <c r="AN212" s="908" t="str">
        <f t="shared" si="84"/>
        <v/>
      </c>
      <c r="AO212" s="919">
        <f t="shared" si="85"/>
        <v>51</v>
      </c>
      <c r="AP212" s="919">
        <f t="shared" si="86"/>
        <v>2000</v>
      </c>
      <c r="AQ212" s="919"/>
      <c r="AR212" s="919" cm="1">
        <f t="array" ref="AR212">IFERROR(_xlfn.LET(_xlpm.lam,TEXT(B212,"0"),_xlpm.thick,D212,_xlpm.crit,(TEXT(HELPER!$BZ$2:$BZ$250,"0")=_xlpm.lam)*(HELPER!$CC$2:$CC$250=_xlpm.thick)*(HELPER!$BW$2:$BW$250&lt;&gt;""),_xlpm.mats,TRIM(SUBSTITUTE(_xlfn._xlws.FILTER(HELPER!$BW$2:$BW$250,_xlpm.crit),CHAR(160),"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")),HELPER!$AQ$2:$AQ$20,1),_xlpm.mass,IF(ISNUMBER(SEARCH("paper",_xlpm.mats)),42,_xlpm.dens*_xlpm.ths),E212/1000000*SUM(_xlpm.mass)),"")</f>
        <v>2.35795E-2</v>
      </c>
      <c r="AS212" s="919">
        <f>IFERROR(IF(D212&gt;31,(5%+250/P212)*AF212,VLOOKUP(D212,HELPER!$BH$3:$BI$5,2,TRUE)*AF212),0)</f>
        <v>1.4202659276662459</v>
      </c>
      <c r="AT212" s="919">
        <v>0.20000000000000401</v>
      </c>
      <c r="AU212" s="919"/>
      <c r="AV212" s="919"/>
      <c r="AW212" s="919"/>
      <c r="AX212" s="919"/>
      <c r="AY212" s="919"/>
      <c r="AZ212" s="919">
        <f t="shared" si="87"/>
        <v>0</v>
      </c>
    </row>
    <row r="213" spans="1:52">
      <c r="A213" s="73" t="s">
        <v>2242</v>
      </c>
      <c r="B213" s="73" t="s">
        <v>566</v>
      </c>
      <c r="C213" s="908" t="s">
        <v>2218</v>
      </c>
      <c r="D213" s="915" cm="1">
        <f t="array" ref="D21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3" s="915">
        <v>900</v>
      </c>
      <c r="F213" s="73" t="s">
        <v>1040</v>
      </c>
      <c r="G213" s="916">
        <v>1600000</v>
      </c>
      <c r="H213" s="916"/>
      <c r="I213" s="916">
        <v>140</v>
      </c>
      <c r="J213" s="916">
        <v>80</v>
      </c>
      <c r="K213" s="73" t="s">
        <v>123</v>
      </c>
      <c r="L213" s="921" t="s">
        <v>592</v>
      </c>
      <c r="M213" s="915">
        <v>8</v>
      </c>
      <c r="N213" s="73" t="s">
        <v>548</v>
      </c>
      <c r="O213" s="73" t="s">
        <v>250</v>
      </c>
      <c r="P213" s="916" cm="1">
        <f t="array" ref="P213">IFERROR(_xlfn.SWITCH(F213,"By Weight",IF(H213&lt;&gt;"",H213,G213)/AR213,"By Length",G213,"By Imp",G213/MAX(1,ROUNDDOWN(E213/I213,0))*J213/1000,"IMP",G213/MAX(1,ROUNDDOWN(E213/I213,0))*J213/1000,""),"")</f>
        <v>21333.333333333336</v>
      </c>
      <c r="Q213" s="916">
        <f t="shared" si="66"/>
        <v>1293.5040000000001</v>
      </c>
      <c r="R213" s="917">
        <f t="shared" si="67"/>
        <v>30777.912502722713</v>
      </c>
      <c r="S213" s="918">
        <f t="shared" si="68"/>
        <v>35702.378503158347</v>
      </c>
      <c r="T213" s="919">
        <f t="shared" si="69"/>
        <v>23.794215172680339</v>
      </c>
      <c r="U213" s="920">
        <f t="shared" si="70"/>
        <v>27.60128960030919</v>
      </c>
      <c r="V213" s="919">
        <f t="shared" si="71"/>
        <v>1.6973113512530906</v>
      </c>
      <c r="W213" s="919">
        <f t="shared" si="72"/>
        <v>27.993194320800399</v>
      </c>
      <c r="X213" s="919">
        <f t="shared" si="73"/>
        <v>2.2630818016707879E-2</v>
      </c>
      <c r="Y213" s="920">
        <f t="shared" si="74"/>
        <v>1.9688811674535851</v>
      </c>
      <c r="Z213" s="920">
        <f t="shared" si="75"/>
        <v>32.472105412128457</v>
      </c>
      <c r="AA213" s="920">
        <f t="shared" si="76"/>
        <v>2.6251748899381137E-2</v>
      </c>
      <c r="AB213" s="917">
        <f t="shared" si="77"/>
        <v>36209.308826732602</v>
      </c>
      <c r="AC213" s="918">
        <f t="shared" si="78"/>
        <v>42002.798239009819</v>
      </c>
      <c r="AD213" s="916">
        <f t="shared" si="79"/>
        <v>8246.3345043128338</v>
      </c>
      <c r="AE213" s="916">
        <f t="shared" si="80"/>
        <v>500</v>
      </c>
      <c r="AF213" s="919" cm="1">
        <f t="array" ref="AF213">IFERROR(_xlfn.LET(_xlpm.lam,TEXT(B213,"0"),_xlpm.thick,D213,_xlpm.crit,(TEXT(HELPER!$BZ$2:$BZ$250,"0")=_xlpm.lam)*(HELPER!$CC$2:$CC$250=_xlpm.thick)*(HELPER!$BW$2:$BW$250&lt;&gt;""),_xlpm.mats,TRIM(SUBSTITUTE(_xlfn._xlws.FILTER(HELPER!$BW$2:$BW$250,_xlpm.crit),CHAR(160),"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3" s="919">
        <f>IFERROR(IF(N213="Europe to Canada",IF(Q213&lt;1000,VLOOKUP(1000,HELPER!$AG$4:$AH$8,2,FALSE)/Q213,VLOOKUP(Q213,HELPER!$AG$4:$AH$8,2,TRUE)/Q213),IF(N213="Europe to US",HELPER!$AH$2,IF(N213="Europe to Europe",HELPER!$AH$3,0))),0)</f>
        <v>2.6658408957907898</v>
      </c>
      <c r="AH213" s="919" cm="1">
        <f t="array" ref="AH213">IFERROR(_xlfn.LET(_xlpm.cap,IF(O213="Quantum",760,1220),_xlpm.wUsed,E213*MAX(1,MIN(MAX(2,INT(900/E213)),INT((_xlpm.cap-50)/E213))),_xlpm.kgmUsed,AR213/E213*_xlpm.wUsed,_xlpm.lam,TEXT(B213,"0"),_xlpm.crit,(TEXT(HELPER!$BZ$2:$BZ$250,"0")=_xlpm.lam)*(HELPER!$CC$2:$CC$250=D213)*(HELPER!$BW$2:$BW$250&lt;&gt;""),_xlpm.mats,_xlfn._xlws.FILTER(HELPER!$BW$2:$BW$250,_xlpm.crit),_xlpm.realLayers,SUM((_xlpm.mats&lt;&gt;"")*ISERROR(SEARCH("EPOTAL",_xlpm.mats&amp;""))*ISERROR(SEARCH("BASONAT",_xlpm.mats&amp;""))*ISERROR(SEARCH("ADH",_xlpm.mats&amp;""))*ISERROR(SEARCH("HARDENER",_xlpm.mats&amp;""))),_xlpm.steps,MAX(0,_xlpm.realLayers-1),_xlpm.tier,IF(P213&lt;3000,1,IF(P213&lt;10000,2,IF(P213&lt;25000,3,IF(P213&lt;50000,4,IF(P213&lt;100000,5,IF(P213&lt;250000,6,7)))))),_xlpm.widthRow,IF(_xlpm.wUsed&lt;900,0,5),_xlpm.supplierRow,IF(O213="Marma",3,IF(OR(O213="Bastin",O213="Quantum"),13,0)),_xlpm.rate,INDEX('Lmntn &amp; Prntng- Marma &amp; Bastin '!$D$1:$K$22,_xlpm.supplierRow+_xlpm.widthRow,_xlpm.tier),_xlpm.rate*_xlpm.steps/_xlpm.kgmUsed),"")</f>
        <v>1.5095739943595072</v>
      </c>
      <c r="AI213" s="919" cm="1">
        <f t="array" ref="AI213">IFERROR(_xlfn.LET(_xlpm.cap,IF(O213="Quantum",760,1220),_xlpm.wUsed,E213*MAX(1,MIN(MAX(2,INT(900/E213)),INT((_xlpm.cap-50)/E213))),_xlpm.kgmUsed,AR213/E213*_xlpm.wUsed,_xlpm.tier,IF(P213&lt;3000,1,IF(P213&lt;10000,2,IF(P213&lt;25000,3,IF(P213&lt;50000,4,IF(P213&lt;100000,5,IF(P213&lt;250000,6,IF(P213&lt;500000,7,8))))))),_xlpm.widthRow,IF(_xlpm.wUsed&lt;900,0,5),_xlpm.slitRow,IF(O213="Marma",7,IF(OR(O213="Bastin",O213="Quantum"),17,0)),_xlpm.slitRate,INDEX('Lmntn &amp; Prntng- Marma &amp; Bastin '!$D$1:$K$22,_xlpm.slitRow+_xlpm.widthRow,_xlpm.tier),_xlpm.numColors,IF(ISNUMBER(L213),L213,IFERROR(--RIGHT(L213,LEN(L213)-FIND("-",L213)),0)),_xlpm.printRate,IF(OR(K213&lt;&gt;"Printed",_xlpm.numColors=0),0,IF(O213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213))),MAX(_xlfn._xlws.FILTER(_xlpm.meters,(_xlpm.widths=_xlpm.qWidth)*(_xlpm.bands=_xlpm.band)))),INDEX(_xlpm.rates,_xlfn.XMATCH(1,(_xlpm.widths=_xlpm.qWidth)*(_xlpm.bands=_xlpm.band)*(_xlpm.meters=_xlpm.targetM),0))/HELPER!$AK$2),_xlfn.LET(_xlpm.colorOffset,IF(_xlpm.numColors&lt;=2,1,IF(_xlpm.numColors&lt;=4,2,3)),_xlpm.supplierRow,IF(O213="Marma",3,IF(O213="Bastin",13,0)),INDEX('Lmntn &amp; Prntng- Marma &amp; Bastin '!$D$1:$K$22,_xlpm.supplierRow+_xlpm.widthRow+_xlpm.colorOffset,_xlpm.tier)))),AH213+_xlpm.slitRate/_xlpm.kgmUsed+_xlpm.printRate/_xlpm.kgmUsed+AJ213),"")</f>
        <v>12.511671617521566</v>
      </c>
      <c r="AJ213" s="919" cm="1">
        <f t="array" ref="AJ213">IF(OR(K213&lt;&gt;"Printed",L213=0,L213="0",L213=""),0,IFERROR(_xlfn.LET(_xlpm.lam,TEXT(B213,"0"),_xlpm.crit,(TEXT(HELPER!$BZ$2:$BZ$250,"0")=_xlpm.lam)*(HELPER!$CC$2:$CC$250=D213)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WHITE"},0)))/ROWS(_xlpm.real),_xlpm.numColors,IF(ISNUMBER(L213),L213,IFERROR(--RIGHT(L213,LEN(L213)-FIND("-",L213)),0)),HELPER!$DB$1*_xlpm.numColors*MAX(1,M213)*1.05*_xlpm.nkRatio/Q213),0))</f>
        <v>7.7927861065756261</v>
      </c>
      <c r="AK213" s="919">
        <f t="shared" si="81"/>
        <v>1.2167106460595631</v>
      </c>
      <c r="AL213" s="919">
        <f t="shared" si="82"/>
        <v>1697.3113512530906</v>
      </c>
      <c r="AM213" s="73" t="str">
        <f t="shared" si="83"/>
        <v>PASS</v>
      </c>
      <c r="AN213" s="908" t="str">
        <f t="shared" si="84"/>
        <v/>
      </c>
      <c r="AO213" s="919">
        <f t="shared" si="85"/>
        <v>51</v>
      </c>
      <c r="AP213" s="919">
        <f t="shared" si="86"/>
        <v>21333.333333333336</v>
      </c>
      <c r="AQ213" s="919"/>
      <c r="AR213" s="919" cm="1">
        <f t="array" ref="AR213">IFERROR(_xlfn.LET(_xlpm.lam,TEXT(B213,"0"),_xlpm.thick,D213,_xlpm.crit,(TEXT(HELPER!$BZ$2:$BZ$250,"0")=_xlpm.lam)*(HELPER!$CC$2:$CC$250=_xlpm.thick)*(HELPER!$BW$2:$BW$250&lt;&gt;""),_xlpm.mats,TRIM(SUBSTITUTE(_xlfn._xlws.FILTER(HELPER!$BW$2:$BW$250,_xlpm.crit),CHAR(160),"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")),HELPER!$AQ$2:$AQ$20,1),_xlpm.mass,IF(ISNUMBER(SEARCH("paper",_xlpm.mats)),42,_xlpm.dens*_xlpm.ths),E213/1000000*SUM(_xlpm.mass)),"")</f>
        <v>6.0632999999999999E-2</v>
      </c>
      <c r="AS213" s="919">
        <f>IFERROR(IF(D213&gt;31,(5%+250/P213)*AF213,VLOOKUP(D213,HELPER!$BH$3:$BI$5,2,TRUE)*AF213),0)</f>
        <v>0.50089735841800642</v>
      </c>
      <c r="AT213" s="919">
        <v>0.15</v>
      </c>
      <c r="AU213" s="919"/>
      <c r="AV213" s="919"/>
      <c r="AW213" s="919"/>
      <c r="AX213" s="919"/>
      <c r="AY213" s="919"/>
      <c r="AZ213" s="919">
        <f t="shared" si="87"/>
        <v>10080</v>
      </c>
    </row>
    <row r="214" spans="1:52">
      <c r="A214" s="73" t="s">
        <v>2243</v>
      </c>
      <c r="B214" s="73">
        <v>648</v>
      </c>
      <c r="C214" s="908" t="s">
        <v>2212</v>
      </c>
      <c r="D214" s="915" cm="1">
        <f t="array" ref="D21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4" s="915">
        <v>120</v>
      </c>
      <c r="F214" s="73" t="s">
        <v>560</v>
      </c>
      <c r="G214" s="916">
        <v>100</v>
      </c>
      <c r="H214" s="916">
        <v>100</v>
      </c>
      <c r="I214" s="916"/>
      <c r="J214" s="916"/>
      <c r="K214" s="73" t="s">
        <v>124</v>
      </c>
      <c r="L214" s="921" t="s">
        <v>221</v>
      </c>
      <c r="M214" s="915">
        <v>1</v>
      </c>
      <c r="N214" s="73" t="s">
        <v>548</v>
      </c>
      <c r="O214" s="73" t="s">
        <v>250</v>
      </c>
      <c r="P214" s="916" cm="1">
        <f t="array" ref="P214">IFERROR(_xlfn.SWITCH(F214,"By Weight",IF(H214&lt;&gt;"",H214,G214)/AR214,"By Length",G214,"By Imp",G214/MAX(1,ROUNDDOWN(E214/I214,0))*J214/1000,"IMP",G214/MAX(1,ROUNDDOWN(E214/I214,0))*J214/1000,""),"")</f>
        <v>11911.568515342098</v>
      </c>
      <c r="Q214" s="916">
        <f t="shared" si="66"/>
        <v>100</v>
      </c>
      <c r="R214" s="917">
        <f t="shared" si="67"/>
        <v>4422.1371064633904</v>
      </c>
      <c r="S214" s="918">
        <f t="shared" si="68"/>
        <v>5129.6790434975328</v>
      </c>
      <c r="T214" s="919">
        <f t="shared" si="69"/>
        <v>44.221371064633907</v>
      </c>
      <c r="U214" s="920">
        <f t="shared" si="70"/>
        <v>51.296790434975328</v>
      </c>
      <c r="V214" s="919">
        <f t="shared" si="71"/>
        <v>0.46405906795227009</v>
      </c>
      <c r="W214" s="919">
        <f t="shared" si="72"/>
        <v>55.276713830792595</v>
      </c>
      <c r="X214" s="919" t="str">
        <f t="shared" si="73"/>
        <v/>
      </c>
      <c r="Y214" s="920">
        <f t="shared" si="74"/>
        <v>0.53830851882463326</v>
      </c>
      <c r="Z214" s="920">
        <f t="shared" si="75"/>
        <v>64.120988043719407</v>
      </c>
      <c r="AA214" s="920" t="str">
        <f t="shared" si="76"/>
        <v/>
      </c>
      <c r="AB214" s="917">
        <f t="shared" si="77"/>
        <v>5527.6713830792596</v>
      </c>
      <c r="AC214" s="918">
        <f t="shared" si="78"/>
        <v>6412.0988043719408</v>
      </c>
      <c r="AD214" s="916">
        <f t="shared" si="79"/>
        <v>59557.842576710485</v>
      </c>
      <c r="AE214" s="916">
        <f t="shared" si="80"/>
        <v>500</v>
      </c>
      <c r="AF214" s="919" cm="1">
        <f t="array" ref="AF214">IFERROR(_xlfn.LET(_xlpm.lam,TEXT(B214,"0"),_xlpm.thick,D214,_xlpm.crit,(TEXT(HELPER!$BZ$2:$BZ$250,"0")=_xlpm.lam)*(HELPER!$CC$2:$CC$250=_xlpm.thick)*(HELPER!$BW$2:$BW$250&lt;&gt;""),_xlpm.mats,TRIM(SUBSTITUTE(_xlfn._xlws.FILTER(HELPER!$BW$2:$BW$250,_xlpm.crit),CHAR(160),"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4" s="919">
        <f>IFERROR(IF(N214="Europe to Canada",IF(Q214&lt;1000,VLOOKUP(1000,HELPER!$AG$4:$AH$8,2,FALSE)/Q214,VLOOKUP(Q214,HELPER!$AG$4:$AH$8,2,TRUE)/Q214),IF(N214="Europe to US",HELPER!$AH$2,IF(N214="Europe to Europe",HELPER!$AH$3,0))),0)</f>
        <v>34.482758620689701</v>
      </c>
      <c r="AH214" s="919" cm="1">
        <f t="array" ref="AH214">IFERROR(_xlfn.LET(_xlpm.cap,IF(O214="Quantum",760,1220),_xlpm.wUsed,E214*MAX(1,MIN(MAX(2,INT(900/E214)),INT((_xlpm.cap-50)/E214))),_xlpm.kgmUsed,AR214/E214*_xlpm.wUsed,_xlpm.lam,TEXT(B214,"0"),_xlpm.crit,(TEXT(HELPER!$BZ$2:$BZ$250,"0")=_xlpm.lam)*(HELPER!$CC$2:$CC$250=D214)*(HELPER!$BW$2:$BW$250&lt;&gt;""),_xlpm.mats,_xlfn._xlws.FILTER(HELPER!$BW$2:$BW$250,_xlpm.crit),_xlpm.realLayers,SUM((_xlpm.mats&lt;&gt;"")*ISERROR(SEARCH("EPOTAL",_xlpm.mats&amp;""))*ISERROR(SEARCH("BASONAT",_xlpm.mats&amp;""))*ISERROR(SEARCH("ADH",_xlpm.mats&amp;""))*ISERROR(SEARCH("HARDENER",_xlpm.mats&amp;""))),_xlpm.steps,MAX(0,_xlpm.realLayers-1),_xlpm.tier,IF(P214&lt;3000,1,IF(P214&lt;10000,2,IF(P214&lt;25000,3,IF(P214&lt;50000,4,IF(P214&lt;100000,5,IF(P214&lt;250000,6,7)))))),_xlpm.widthRow,IF(_xlpm.wUsed&lt;900,0,5),_xlpm.supplierRow,IF(O214="Marma",3,IF(OR(O214="Bastin",O214="Quantum"),13,0)),_xlpm.rate,INDEX('Lmntn &amp; Prntng- Marma &amp; Bastin '!$D$1:$K$22,_xlpm.supplierRow+_xlpm.widthRow,_xlpm.tier),_xlpm.rate*_xlpm.steps/_xlpm.kgmUsed),"")</f>
        <v>1.5575226660132317</v>
      </c>
      <c r="AI214" s="919" cm="1">
        <f t="array" ref="AI214">IFERROR(_xlfn.LET(_xlpm.cap,IF(O214="Quantum",760,1220),_xlpm.wUsed,E214*MAX(1,MIN(MAX(2,INT(900/E214)),INT((_xlpm.cap-50)/E214))),_xlpm.kgmUsed,AR214/E214*_xlpm.wUsed,_xlpm.tier,IF(P214&lt;3000,1,IF(P214&lt;10000,2,IF(P214&lt;25000,3,IF(P214&lt;50000,4,IF(P214&lt;100000,5,IF(P214&lt;250000,6,IF(P214&lt;500000,7,8))))))),_xlpm.widthRow,IF(_xlpm.wUsed&lt;900,0,5),_xlpm.slitRow,IF(O214="Marma",7,IF(OR(O214="Bastin",O214="Quantum"),17,0)),_xlpm.slitRate,INDEX('Lmntn &amp; Prntng- Marma &amp; Bastin '!$D$1:$K$22,_xlpm.slitRow+_xlpm.widthRow,_xlpm.tier),_xlpm.numColors,IF(ISNUMBER(L214),L214,IFERROR(--RIGHT(L214,LEN(L214)-FIND("-",L214)),0)),_xlpm.printRate,IF(OR(K214&lt;&gt;"Printed",_xlpm.numColors=0),0,IF(O214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214))),MAX(_xlfn._xlws.FILTER(_xlpm.meters,(_xlpm.widths=_xlpm.qWidth)*(_xlpm.bands=_xlpm.band)))),INDEX(_xlpm.rates,_xlfn.XMATCH(1,(_xlpm.widths=_xlpm.qWidth)*(_xlpm.bands=_xlpm.band)*(_xlpm.meters=_xlpm.targetM),0))/HELPER!$AK$2),_xlfn.LET(_xlpm.colorOffset,IF(_xlpm.numColors&lt;=2,1,IF(_xlpm.numColors&lt;=4,2,3)),_xlpm.supplierRow,IF(O214="Marma",3,IF(O214="Bastin",13,0)),INDEX('Lmntn &amp; Prntng- Marma &amp; Bastin '!$D$1:$K$22,_xlpm.supplierRow+_xlpm.widthRow+_xlpm.colorOffset,_xlpm.tier)))),AH214+_xlpm.slitRate/_xlpm.kgmUsed+_xlpm.printRate/_xlpm.kgmUsed+AJ214),"")</f>
        <v>1.9985910316098991</v>
      </c>
      <c r="AJ214" s="919" cm="1">
        <f t="array" ref="AJ214">IF(OR(K214&lt;&gt;"Printed",L214=0,L214="0",L214=""),0,IFERROR(_xlfn.LET(_xlpm.lam,TEXT(B214,"0"),_xlpm.crit,(TEXT(HELPER!$BZ$2:$BZ$250,"0")=_xlpm.lam)*(HELPER!$CC$2:$CC$250=D214)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WHITE"},0)))/ROWS(_xlpm.real),_xlpm.numColors,IF(ISNUMBER(L214),L214,IFERROR(--RIGHT(L214,LEN(L214)-FIND("-",L214)),0)),HELPER!$DB$1*_xlpm.numColors*MAX(1,M214)*1.05*_xlpm.nkRatio/Q214),0))</f>
        <v>0</v>
      </c>
      <c r="AK214" s="919">
        <f t="shared" si="81"/>
        <v>2.4949412255498391</v>
      </c>
      <c r="AL214" s="919">
        <f t="shared" si="82"/>
        <v>464.05906795227008</v>
      </c>
      <c r="AM214" s="73" t="str">
        <f t="shared" si="83"/>
        <v>PASS</v>
      </c>
      <c r="AN214" s="908" t="str">
        <f t="shared" si="84"/>
        <v/>
      </c>
      <c r="AO214" s="919">
        <f t="shared" si="85"/>
        <v>53</v>
      </c>
      <c r="AP214" s="919">
        <f t="shared" si="86"/>
        <v>11911.568515342098</v>
      </c>
      <c r="AQ214" s="919"/>
      <c r="AR214" s="919" cm="1">
        <f t="array" ref="AR214">IFERROR(_xlfn.LET(_xlpm.lam,TEXT(B214,"0"),_xlpm.thick,D214,_xlpm.crit,(TEXT(HELPER!$BZ$2:$BZ$250,"0")=_xlpm.lam)*(HELPER!$CC$2:$CC$250=_xlpm.thick)*(HELPER!$BW$2:$BW$250&lt;&gt;""),_xlpm.mats,TRIM(SUBSTITUTE(_xlfn._xlws.FILTER(HELPER!$BW$2:$BW$250,_xlpm.crit),CHAR(160),"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")),HELPER!$AQ$2:$AQ$20,1),_xlpm.mass,IF(ISNUMBER(SEARCH("paper",_xlpm.mats)),42,_xlpm.dens*_xlpm.ths),E214/1000000*SUM(_xlpm.mass)),"")</f>
        <v>8.395200000000002E-3</v>
      </c>
      <c r="AS214" s="919">
        <f>IFERROR(IF(D214&gt;31,(5%+250/P214)*AF214,VLOOKUP(D214,HELPER!$BH$3:$BI$5,2,TRUE)*AF214),0)</f>
        <v>0.51302968849210973</v>
      </c>
      <c r="AT214" s="919">
        <v>0.20000000000000301</v>
      </c>
      <c r="AU214" s="919"/>
      <c r="AV214" s="919"/>
      <c r="AW214" s="919"/>
      <c r="AX214" s="919"/>
      <c r="AY214" s="919"/>
      <c r="AZ214" s="919">
        <f t="shared" si="87"/>
        <v>0</v>
      </c>
    </row>
    <row r="215" spans="1:52">
      <c r="A215" s="73" t="s">
        <v>2244</v>
      </c>
      <c r="B215" s="73">
        <v>648</v>
      </c>
      <c r="C215" s="908" t="s">
        <v>2214</v>
      </c>
      <c r="D215" s="915" cm="1">
        <f t="array" ref="D21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5" s="915">
        <v>350</v>
      </c>
      <c r="F215" s="73" t="s">
        <v>560</v>
      </c>
      <c r="G215" s="916">
        <v>5000</v>
      </c>
      <c r="H215" s="916">
        <v>5000</v>
      </c>
      <c r="I215" s="916"/>
      <c r="J215" s="916"/>
      <c r="K215" s="73" t="s">
        <v>123</v>
      </c>
      <c r="L215" s="921" t="s">
        <v>122</v>
      </c>
      <c r="M215" s="915">
        <v>4</v>
      </c>
      <c r="N215" s="73" t="s">
        <v>548</v>
      </c>
      <c r="O215" s="73" t="s">
        <v>1366</v>
      </c>
      <c r="P215" s="916" cm="1">
        <f t="array" ref="P215">IFERROR(_xlfn.SWITCH(F215,"By Weight",IF(H215&lt;&gt;"",H215,G215)/AR215,"By Length",G215,"By Imp",G215/MAX(1,ROUNDDOWN(E215/I215,0))*J215/1000,"IMP",G215/MAX(1,ROUNDDOWN(E215/I215,0))*J215/1000,""),"")</f>
        <v>204198.31740586457</v>
      </c>
      <c r="Q215" s="916">
        <f t="shared" si="66"/>
        <v>5000</v>
      </c>
      <c r="R215" s="917">
        <f t="shared" si="67"/>
        <v>139827.53287703448</v>
      </c>
      <c r="S215" s="918">
        <f t="shared" si="68"/>
        <v>162199.93813735998</v>
      </c>
      <c r="T215" s="919">
        <f t="shared" si="69"/>
        <v>27.965506575406895</v>
      </c>
      <c r="U215" s="920">
        <f t="shared" si="70"/>
        <v>32.439987627471993</v>
      </c>
      <c r="V215" s="919">
        <f t="shared" si="71"/>
        <v>0.80560399294754792</v>
      </c>
      <c r="W215" s="919">
        <f t="shared" si="72"/>
        <v>32.900595971067055</v>
      </c>
      <c r="X215" s="919" t="str">
        <f t="shared" si="73"/>
        <v/>
      </c>
      <c r="Y215" s="920">
        <f t="shared" si="74"/>
        <v>0.93450063181915555</v>
      </c>
      <c r="Z215" s="920">
        <f t="shared" si="75"/>
        <v>38.164691326437783</v>
      </c>
      <c r="AA215" s="920" t="str">
        <f t="shared" si="76"/>
        <v/>
      </c>
      <c r="AB215" s="917">
        <f t="shared" si="77"/>
        <v>164502.97985533529</v>
      </c>
      <c r="AC215" s="918">
        <f t="shared" si="78"/>
        <v>190823.45663218893</v>
      </c>
      <c r="AD215" s="916">
        <f t="shared" si="79"/>
        <v>20419.831740586458</v>
      </c>
      <c r="AE215" s="916">
        <f t="shared" si="80"/>
        <v>500</v>
      </c>
      <c r="AF215" s="919" cm="1">
        <f t="array" ref="AF215">IFERROR(_xlfn.LET(_xlpm.lam,TEXT(B215,"0"),_xlpm.thick,D215,_xlpm.crit,(TEXT(HELPER!$BZ$2:$BZ$250,"0")=_xlpm.lam)*(HELPER!$CC$2:$CC$250=_xlpm.thick)*(HELPER!$BW$2:$BW$250&lt;&gt;""),_xlpm.mats,TRIM(SUBSTITUTE(_xlfn._xlws.FILTER(HELPER!$BW$2:$BW$250,_xlpm.crit),CHAR(160),"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5" s="919">
        <f>IFERROR(IF(N215="Europe to Canada",IF(Q215&lt;1000,VLOOKUP(1000,HELPER!$AG$4:$AH$8,2,FALSE)/Q215,VLOOKUP(Q215,HELPER!$AG$4:$AH$8,2,TRUE)/Q215),IF(N215="Europe to US",HELPER!$AH$2,IF(N215="Europe to Europe",HELPER!$AH$3,0))),0)</f>
        <v>1.8448275862068959</v>
      </c>
      <c r="AH215" s="919" cm="1">
        <f t="array" ref="AH215">IFERROR(_xlfn.LET(_xlpm.cap,IF(O215="Quantum",760,1220),_xlpm.wUsed,E215*MAX(1,MIN(MAX(2,INT(900/E215)),INT((_xlpm.cap-50)/E215))),_xlpm.kgmUsed,AR215/E215*_xlpm.wUsed,_xlpm.lam,TEXT(B215,"0"),_xlpm.crit,(TEXT(HELPER!$BZ$2:$BZ$250,"0")=_xlpm.lam)*(HELPER!$CC$2:$CC$250=D215)*(HELPER!$BW$2:$BW$250&lt;&gt;""),_xlpm.mats,_xlfn._xlws.FILTER(HELPER!$BW$2:$BW$250,_xlpm.crit),_xlpm.realLayers,SUM((_xlpm.mats&lt;&gt;"")*ISERROR(SEARCH("EPOTAL",_xlpm.mats&amp;""))*ISERROR(SEARCH("BASONAT",_xlpm.mats&amp;""))*ISERROR(SEARCH("ADH",_xlpm.mats&amp;""))*ISERROR(SEARCH("HARDENER",_xlpm.mats&amp;""))),_xlpm.steps,MAX(0,_xlpm.realLayers-1),_xlpm.tier,IF(P215&lt;3000,1,IF(P215&lt;10000,2,IF(P215&lt;25000,3,IF(P215&lt;50000,4,IF(P215&lt;100000,5,IF(P215&lt;250000,6,7)))))),_xlpm.widthRow,IF(_xlpm.wUsed&lt;900,0,5),_xlpm.supplierRow,IF(O215="Marma",3,IF(OR(O215="Bastin",O215="Quantum"),13,0)),_xlpm.rate,INDEX('Lmntn &amp; Prntng- Marma &amp; Bastin '!$D$1:$K$22,_xlpm.supplierRow+_xlpm.widthRow,_xlpm.tier),_xlpm.rate*_xlpm.steps/_xlpm.kgmUsed),"")</f>
        <v>2.2290492526341583</v>
      </c>
      <c r="AI215" s="919" cm="1">
        <f t="array" ref="AI215">IFERROR(_xlfn.LET(_xlpm.cap,IF(O215="Quantum",760,1220),_xlpm.wUsed,E215*MAX(1,MIN(MAX(2,INT(900/E215)),INT((_xlpm.cap-50)/E215))),_xlpm.kgmUsed,AR215/E215*_xlpm.wUsed,_xlpm.tier,IF(P215&lt;3000,1,IF(P215&lt;10000,2,IF(P215&lt;25000,3,IF(P215&lt;50000,4,IF(P215&lt;100000,5,IF(P215&lt;250000,6,IF(P215&lt;500000,7,8))))))),_xlpm.widthRow,IF(_xlpm.wUsed&lt;900,0,5),_xlpm.slitRow,IF(O215="Marma",7,IF(OR(O215="Bastin",O215="Quantum"),17,0)),_xlpm.slitRate,INDEX('Lmntn &amp; Prntng- Marma &amp; Bastin '!$D$1:$K$22,_xlpm.slitRow+_xlpm.widthRow,_xlpm.tier),_xlpm.numColors,IF(ISNUMBER(L215),L215,IFERROR(--RIGHT(L215,LEN(L215)-FIND("-",L215)),0)),_xlpm.printRate,IF(OR(K215&lt;&gt;"Printed",_xlpm.numColors=0),0,IF(O215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215))),MAX(_xlfn._xlws.FILTER(_xlpm.meters,(_xlpm.widths=_xlpm.qWidth)*(_xlpm.bands=_xlpm.band)))),INDEX(_xlpm.rates,_xlfn.XMATCH(1,(_xlpm.widths=_xlpm.qWidth)*(_xlpm.bands=_xlpm.band)*(_xlpm.meters=_xlpm.targetM),0))/HELPER!$AK$2),_xlfn.LET(_xlpm.colorOffset,IF(_xlpm.numColors&lt;=2,1,IF(_xlpm.numColors&lt;=4,2,3)),_xlpm.supplierRow,IF(O215="Marma",3,IF(O215="Bastin",13,0)),INDEX('Lmntn &amp; Prntng- Marma &amp; Bastin '!$D$1:$K$22,_xlpm.supplierRow+_xlpm.widthRow+_xlpm.colorOffset,_xlpm.tier)))),AH215+_xlpm.slitRate/_xlpm.kgmUsed+_xlpm.printRate/_xlpm.kgmUsed+AJ215),"")</f>
        <v>18.523489673198196</v>
      </c>
      <c r="AJ215" s="919" cm="1">
        <f t="array" ref="AJ215">IF(OR(K215&lt;&gt;"Printed",L215=0,L215="0",L215=""),0,IFERROR(_xlfn.LET(_xlpm.lam,TEXT(B215,"0"),_xlpm.crit,(TEXT(HELPER!$BZ$2:$BZ$250,"0")=_xlpm.lam)*(HELPER!$CC$2:$CC$250=D215)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WHITE"},0)))/ROWS(_xlpm.real),_xlpm.numColors,IF(ISNUMBER(L215),L215,IFERROR(--RIGHT(L215,LEN(L215)-FIND("-",L215)),0)),HELPER!$DB$1*_xlpm.numColors*MAX(1,M215)*1.05*_xlpm.nkRatio/Q215),0))</f>
        <v>0.504</v>
      </c>
      <c r="AK215" s="919">
        <f t="shared" si="81"/>
        <v>1.4849843187973235</v>
      </c>
      <c r="AL215" s="919">
        <f t="shared" si="82"/>
        <v>805.60399294754791</v>
      </c>
      <c r="AM215" s="73" t="str">
        <f t="shared" si="83"/>
        <v>PASS</v>
      </c>
      <c r="AN215" s="908" t="str">
        <f t="shared" si="84"/>
        <v/>
      </c>
      <c r="AO215" s="919">
        <f t="shared" si="85"/>
        <v>53</v>
      </c>
      <c r="AP215" s="919">
        <f t="shared" si="86"/>
        <v>204198.31740586457</v>
      </c>
      <c r="AQ215" s="919"/>
      <c r="AR215" s="919" cm="1">
        <f t="array" ref="AR215">IFERROR(_xlfn.LET(_xlpm.lam,TEXT(B215,"0"),_xlpm.thick,D215,_xlpm.crit,(TEXT(HELPER!$BZ$2:$BZ$250,"0")=_xlpm.lam)*(HELPER!$CC$2:$CC$250=_xlpm.thick)*(HELPER!$BW$2:$BW$250&lt;&gt;""),_xlpm.mats,TRIM(SUBSTITUTE(_xlfn._xlws.FILTER(HELPER!$BW$2:$BW$250,_xlpm.crit),CHAR(160),"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")),HELPER!$AQ$2:$AQ$20,1),_xlpm.mass,IF(ISNUMBER(SEARCH("paper",_xlpm.mats)),42,_xlpm.dens*_xlpm.ths),E215/1000000*SUM(_xlpm.mass)),"")</f>
        <v>2.4486000000000001E-2</v>
      </c>
      <c r="AS215" s="919">
        <f>IFERROR(IF(D215&gt;31,(5%+250/P215)*AF215,VLOOKUP(D215,HELPER!$BH$3:$BI$5,2,TRUE)*AF215),0)</f>
        <v>0.37019759215960973</v>
      </c>
      <c r="AT215" s="919">
        <v>0.15000000000000299</v>
      </c>
      <c r="AU215" s="919"/>
      <c r="AV215" s="919"/>
      <c r="AW215" s="919"/>
      <c r="AX215" s="919"/>
      <c r="AY215" s="919"/>
      <c r="AZ215" s="919">
        <f t="shared" si="87"/>
        <v>2520</v>
      </c>
    </row>
    <row r="216" spans="1:52">
      <c r="A216" s="73" t="s">
        <v>2245</v>
      </c>
      <c r="B216" s="73">
        <v>648</v>
      </c>
      <c r="C216" s="908" t="s">
        <v>2216</v>
      </c>
      <c r="D216" s="915" cm="1">
        <f t="array" ref="D21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6" s="915">
        <v>350</v>
      </c>
      <c r="F216" s="73" t="s">
        <v>561</v>
      </c>
      <c r="G216" s="916">
        <v>2000</v>
      </c>
      <c r="H216" s="916"/>
      <c r="I216" s="916"/>
      <c r="J216" s="916"/>
      <c r="K216" s="73" t="s">
        <v>124</v>
      </c>
      <c r="L216" s="921" t="s">
        <v>221</v>
      </c>
      <c r="M216" s="915">
        <v>1</v>
      </c>
      <c r="N216" s="73" t="s">
        <v>548</v>
      </c>
      <c r="O216" s="73" t="s">
        <v>240</v>
      </c>
      <c r="P216" s="916" cm="1">
        <f t="array" ref="P216">IFERROR(_xlfn.SWITCH(F216,"By Weight",IF(H216&lt;&gt;"",H216,G216)/AR216,"By Length",G216,"By Imp",G216/MAX(1,ROUNDDOWN(E216/I216,0))*J216/1000,"IMP",G216/MAX(1,ROUNDDOWN(E216/I216,0))*J216/1000,""),"")</f>
        <v>2000</v>
      </c>
      <c r="Q216" s="916">
        <f t="shared" si="66"/>
        <v>48.972000000000001</v>
      </c>
      <c r="R216" s="917">
        <f t="shared" si="67"/>
        <v>4061.2771425414703</v>
      </c>
      <c r="S216" s="918">
        <f t="shared" si="68"/>
        <v>4711.0814853481052</v>
      </c>
      <c r="T216" s="919">
        <f t="shared" si="69"/>
        <v>82.930595902586589</v>
      </c>
      <c r="U216" s="920">
        <f t="shared" si="70"/>
        <v>96.199491247000438</v>
      </c>
      <c r="V216" s="919">
        <f t="shared" si="71"/>
        <v>2.3889865544361397</v>
      </c>
      <c r="W216" s="919">
        <f t="shared" si="72"/>
        <v>97.565406944218722</v>
      </c>
      <c r="X216" s="919" t="str">
        <f t="shared" si="73"/>
        <v/>
      </c>
      <c r="Y216" s="920">
        <f t="shared" si="74"/>
        <v>2.7712244031459217</v>
      </c>
      <c r="Z216" s="920">
        <f t="shared" si="75"/>
        <v>113.17587205529371</v>
      </c>
      <c r="AA216" s="920" t="str">
        <f t="shared" si="76"/>
        <v/>
      </c>
      <c r="AB216" s="917">
        <f t="shared" si="77"/>
        <v>4777.9731088722792</v>
      </c>
      <c r="AC216" s="918">
        <f t="shared" si="78"/>
        <v>5542.4488062918435</v>
      </c>
      <c r="AD216" s="916">
        <f t="shared" si="79"/>
        <v>20419.831740586458</v>
      </c>
      <c r="AE216" s="916">
        <f t="shared" si="80"/>
        <v>500</v>
      </c>
      <c r="AF216" s="919" cm="1">
        <f t="array" ref="AF216">IFERROR(_xlfn.LET(_xlpm.lam,TEXT(B216,"0"),_xlpm.thick,D216,_xlpm.crit,(TEXT(HELPER!$BZ$2:$BZ$250,"0")=_xlpm.lam)*(HELPER!$CC$2:$CC$250=_xlpm.thick)*(HELPER!$BW$2:$BW$250&lt;&gt;""),_xlpm.mats,TRIM(SUBSTITUTE(_xlfn._xlws.FILTER(HELPER!$BW$2:$BW$250,_xlpm.crit),CHAR(160),"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6" s="919">
        <f>IFERROR(IF(N216="Europe to Canada",IF(Q216&lt;1000,VLOOKUP(1000,HELPER!$AG$4:$AH$8,2,FALSE)/Q216,VLOOKUP(Q216,HELPER!$AG$4:$AH$8,2,TRUE)/Q216),IF(N216="Europe to US",HELPER!$AH$2,IF(N216="Europe to Europe",HELPER!$AH$3,0))),0)</f>
        <v>70.413212898574088</v>
      </c>
      <c r="AH216" s="919" cm="1">
        <f t="array" ref="AH216">IFERROR(_xlfn.LET(_xlpm.cap,IF(O216="Quantum",760,1220),_xlpm.wUsed,E216*MAX(1,MIN(MAX(2,INT(900/E216)),INT((_xlpm.cap-50)/E216))),_xlpm.kgmUsed,AR216/E216*_xlpm.wUsed,_xlpm.lam,TEXT(B216,"0"),_xlpm.crit,(TEXT(HELPER!$BZ$2:$BZ$250,"0")=_xlpm.lam)*(HELPER!$CC$2:$CC$250=D216)*(HELPER!$BW$2:$BW$250&lt;&gt;""),_xlpm.mats,_xlfn._xlws.FILTER(HELPER!$BW$2:$BW$250,_xlpm.crit),_xlpm.realLayers,SUM((_xlpm.mats&lt;&gt;"")*ISERROR(SEARCH("EPOTAL",_xlpm.mats&amp;""))*ISERROR(SEARCH("BASONAT",_xlpm.mats&amp;""))*ISERROR(SEARCH("ADH",_xlpm.mats&amp;""))*ISERROR(SEARCH("HARDENER",_xlpm.mats&amp;""))),_xlpm.steps,MAX(0,_xlpm.realLayers-1),_xlpm.tier,IF(P216&lt;3000,1,IF(P216&lt;10000,2,IF(P216&lt;25000,3,IF(P216&lt;50000,4,IF(P216&lt;100000,5,IF(P216&lt;250000,6,7)))))),_xlpm.widthRow,IF(_xlpm.wUsed&lt;900,0,5),_xlpm.supplierRow,IF(O216="Marma",3,IF(OR(O216="Bastin",O216="Quantum"),13,0)),_xlpm.rate,INDEX('Lmntn &amp; Prntng- Marma &amp; Bastin '!$D$1:$K$22,_xlpm.supplierRow+_xlpm.widthRow,_xlpm.tier),_xlpm.rate*_xlpm.steps/_xlpm.kgmUsed),"")</f>
        <v>3.0986890468022543</v>
      </c>
      <c r="AI216" s="919" cm="1">
        <f t="array" ref="AI216">IFERROR(_xlfn.LET(_xlpm.cap,IF(O216="Quantum",760,1220),_xlpm.wUsed,E216*MAX(1,MIN(MAX(2,INT(900/E216)),INT((_xlpm.cap-50)/E216))),_xlpm.kgmUsed,AR216/E216*_xlpm.wUsed,_xlpm.tier,IF(P216&lt;3000,1,IF(P216&lt;10000,2,IF(P216&lt;25000,3,IF(P216&lt;50000,4,IF(P216&lt;100000,5,IF(P216&lt;250000,6,IF(P216&lt;500000,7,8))))))),_xlpm.widthRow,IF(_xlpm.wUsed&lt;900,0,5),_xlpm.slitRow,IF(O216="Marma",7,IF(OR(O216="Bastin",O216="Quantum"),17,0)),_xlpm.slitRate,INDEX('Lmntn &amp; Prntng- Marma &amp; Bastin '!$D$1:$K$22,_xlpm.slitRow+_xlpm.widthRow,_xlpm.tier),_xlpm.numColors,IF(ISNUMBER(L216),L216,IFERROR(--RIGHT(L216,LEN(L216)-FIND("-",L216)),0)),_xlpm.printRate,IF(OR(K216&lt;&gt;"Printed",_xlpm.numColors=0),0,IF(O216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216))),MAX(_xlfn._xlws.FILTER(_xlpm.meters,(_xlpm.widths=_xlpm.qWidth)*(_xlpm.bands=_xlpm.band)))),INDEX(_xlpm.rates,_xlfn.XMATCH(1,(_xlpm.widths=_xlpm.qWidth)*(_xlpm.bands=_xlpm.band)*(_xlpm.meters=_xlpm.targetM),0))/HELPER!$AK$2),_xlfn.LET(_xlpm.colorOffset,IF(_xlpm.numColors&lt;=2,1,IF(_xlpm.numColors&lt;=4,2,3)),_xlpm.supplierRow,IF(O216="Marma",3,IF(O216="Bastin",13,0)),INDEX('Lmntn &amp; Prntng- Marma &amp; Bastin '!$D$1:$K$22,_xlpm.supplierRow+_xlpm.widthRow+_xlpm.colorOffset,_xlpm.tier)))),AH216+_xlpm.slitRate/_xlpm.kgmUsed+_xlpm.printRate/_xlpm.kgmUsed+AJ216),"")</f>
        <v>4.0256677284979174</v>
      </c>
      <c r="AJ216" s="919" cm="1">
        <f t="array" ref="AJ216">IF(OR(K216&lt;&gt;"Printed",L216=0,L216="0",L216=""),0,IFERROR(_xlfn.LET(_xlpm.lam,TEXT(B216,"0"),_xlpm.crit,(TEXT(HELPER!$BZ$2:$BZ$250,"0")=_xlpm.lam)*(HELPER!$CC$2:$CC$250=D216)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WHITE"},0)))/ROWS(_xlpm.real),_xlpm.numColors,IF(ISNUMBER(L216),L216,IFERROR(--RIGHT(L216,LEN(L216)-FIND("-",L216)),0)),HELPER!$DB$1*_xlpm.numColors*MAX(1,M216)*1.05*_xlpm.nkRatio/Q216),0))</f>
        <v>0</v>
      </c>
      <c r="AK216" s="919">
        <f t="shared" si="81"/>
        <v>4.4036618514951886</v>
      </c>
      <c r="AL216" s="919">
        <f t="shared" si="82"/>
        <v>2388.9865544361396</v>
      </c>
      <c r="AM216" s="73" t="str">
        <f t="shared" si="83"/>
        <v>PASS</v>
      </c>
      <c r="AN216" s="908" t="str">
        <f t="shared" si="84"/>
        <v/>
      </c>
      <c r="AO216" s="919">
        <f t="shared" si="85"/>
        <v>53</v>
      </c>
      <c r="AP216" s="919">
        <f t="shared" si="86"/>
        <v>2000</v>
      </c>
      <c r="AQ216" s="919"/>
      <c r="AR216" s="919" cm="1">
        <f t="array" ref="AR216">IFERROR(_xlfn.LET(_xlpm.lam,TEXT(B216,"0"),_xlpm.thick,D216,_xlpm.crit,(TEXT(HELPER!$BZ$2:$BZ$250,"0")=_xlpm.lam)*(HELPER!$CC$2:$CC$250=_xlpm.thick)*(HELPER!$BW$2:$BW$250&lt;&gt;""),_xlpm.mats,TRIM(SUBSTITUTE(_xlfn._xlws.FILTER(HELPER!$BW$2:$BW$250,_xlpm.crit),CHAR(160),"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")),HELPER!$AQ$2:$AQ$20,1),_xlpm.mass,IF(ISNUMBER(SEARCH("paper",_xlpm.mats)),42,_xlpm.dens*_xlpm.ths),E216/1000000*SUM(_xlpm.mass)),"")</f>
        <v>2.4486000000000001E-2</v>
      </c>
      <c r="AS216" s="919">
        <f>IFERROR(IF(D216&gt;31,(5%+250/P216)*AF216,VLOOKUP(D216,HELPER!$BH$3:$BI$5,2,TRUE)*AF216),0)</f>
        <v>1.2647235516723838</v>
      </c>
      <c r="AT216" s="919">
        <v>0.149999999999993</v>
      </c>
      <c r="AU216" s="919"/>
      <c r="AV216" s="919"/>
      <c r="AW216" s="919"/>
      <c r="AX216" s="919"/>
      <c r="AY216" s="919"/>
      <c r="AZ216" s="919">
        <f t="shared" si="87"/>
        <v>0</v>
      </c>
    </row>
    <row r="217" spans="1:52">
      <c r="A217" s="73" t="s">
        <v>2246</v>
      </c>
      <c r="B217" s="73">
        <v>648</v>
      </c>
      <c r="C217" s="908" t="s">
        <v>2218</v>
      </c>
      <c r="D217" s="915" cm="1">
        <f t="array" ref="D21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7" s="915">
        <v>900</v>
      </c>
      <c r="F217" s="73" t="s">
        <v>1040</v>
      </c>
      <c r="G217" s="916">
        <v>1600000</v>
      </c>
      <c r="H217" s="916"/>
      <c r="I217" s="916">
        <v>140</v>
      </c>
      <c r="J217" s="916">
        <v>80</v>
      </c>
      <c r="K217" s="73" t="s">
        <v>123</v>
      </c>
      <c r="L217" s="921" t="s">
        <v>592</v>
      </c>
      <c r="M217" s="915">
        <v>8</v>
      </c>
      <c r="N217" s="73" t="s">
        <v>548</v>
      </c>
      <c r="O217" s="73" t="s">
        <v>250</v>
      </c>
      <c r="P217" s="916" cm="1">
        <f t="array" ref="P217">IFERROR(_xlfn.SWITCH(F217,"By Weight",IF(H217&lt;&gt;"",H217,G217)/AR217,"By Length",G217,"By Imp",G217/MAX(1,ROUNDDOWN(E217/I217,0))*J217/1000,"IMP",G217/MAX(1,ROUNDDOWN(E217/I217,0))*J217/1000,""),"")</f>
        <v>21333.333333333336</v>
      </c>
      <c r="Q217" s="916">
        <f t="shared" si="66"/>
        <v>1343.2320000000002</v>
      </c>
      <c r="R217" s="917">
        <f t="shared" si="67"/>
        <v>29938.836097304582</v>
      </c>
      <c r="S217" s="918">
        <f t="shared" si="68"/>
        <v>34729.049872873315</v>
      </c>
      <c r="T217" s="919">
        <f t="shared" si="69"/>
        <v>22.288656090165048</v>
      </c>
      <c r="U217" s="920">
        <f t="shared" si="70"/>
        <v>25.854841064591454</v>
      </c>
      <c r="V217" s="919">
        <f t="shared" si="71"/>
        <v>1.7542286775764404</v>
      </c>
      <c r="W217" s="919">
        <f t="shared" si="72"/>
        <v>27.86082011270631</v>
      </c>
      <c r="X217" s="919">
        <f t="shared" si="73"/>
        <v>2.3389715701019206E-2</v>
      </c>
      <c r="Y217" s="920">
        <f t="shared" si="74"/>
        <v>2.0349052659886708</v>
      </c>
      <c r="Z217" s="920">
        <f t="shared" si="75"/>
        <v>32.318551330739318</v>
      </c>
      <c r="AA217" s="920">
        <f t="shared" si="76"/>
        <v>2.7132070213182279E-2</v>
      </c>
      <c r="AB217" s="917">
        <f t="shared" si="77"/>
        <v>37423.545121630726</v>
      </c>
      <c r="AC217" s="918">
        <f t="shared" si="78"/>
        <v>43411.312341091638</v>
      </c>
      <c r="AD217" s="916">
        <f t="shared" si="79"/>
        <v>7941.0456768947324</v>
      </c>
      <c r="AE217" s="916">
        <f t="shared" si="80"/>
        <v>500</v>
      </c>
      <c r="AF217" s="919" cm="1">
        <f t="array" ref="AF217">IFERROR(_xlfn.LET(_xlpm.lam,TEXT(B217,"0"),_xlpm.thick,D217,_xlpm.crit,(TEXT(HELPER!$BZ$2:$BZ$250,"0")=_xlpm.lam)*(HELPER!$CC$2:$CC$250=_xlpm.thick)*(HELPER!$BW$2:$BW$250&lt;&gt;""),_xlpm.mats,TRIM(SUBSTITUTE(_xlfn._xlws.FILTER(HELPER!$BW$2:$BW$250,_xlpm.crit),CHAR(160),"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7" s="919">
        <f>IFERROR(IF(N217="Europe to Canada",IF(Q217&lt;1000,VLOOKUP(1000,HELPER!$AG$4:$AH$8,2,FALSE)/Q217,VLOOKUP(Q217,HELPER!$AG$4:$AH$8,2,TRUE)/Q217),IF(N217="Europe to US",HELPER!$AH$2,IF(N217="Europe to Europe",HELPER!$AH$3,0))),0)</f>
        <v>2.5671483869271796</v>
      </c>
      <c r="AH217" s="919" cm="1">
        <f t="array" ref="AH217">IFERROR(_xlfn.LET(_xlpm.cap,IF(O217="Quantum",760,1220),_xlpm.wUsed,E217*MAX(1,MIN(MAX(2,INT(900/E217)),INT((_xlpm.cap-50)/E217))),_xlpm.kgmUsed,AR217/E217*_xlpm.wUsed,_xlpm.lam,TEXT(B217,"0"),_xlpm.crit,(TEXT(HELPER!$BZ$2:$BZ$250,"0")=_xlpm.lam)*(HELPER!$CC$2:$CC$250=D217)*(HELPER!$BW$2:$BW$250&lt;&gt;""),_xlpm.mats,_xlfn._xlws.FILTER(HELPER!$BW$2:$BW$250,_xlpm.crit),_xlpm.realLayers,SUM((_xlpm.mats&lt;&gt;"")*ISERROR(SEARCH("EPOTAL",_xlpm.mats&amp;""))*ISERROR(SEARCH("BASONAT",_xlpm.mats&amp;""))*ISERROR(SEARCH("ADH",_xlpm.mats&amp;""))*ISERROR(SEARCH("HARDENER",_xlpm.mats&amp;""))),_xlpm.steps,MAX(0,_xlpm.realLayers-1),_xlpm.tier,IF(P217&lt;3000,1,IF(P217&lt;10000,2,IF(P217&lt;25000,3,IF(P217&lt;50000,4,IF(P217&lt;100000,5,IF(P217&lt;250000,6,7)))))),_xlpm.widthRow,IF(_xlpm.wUsed&lt;900,0,5),_xlpm.supplierRow,IF(O217="Marma",3,IF(OR(O217="Bastin",O217="Quantum"),13,0)),_xlpm.rate,INDEX('Lmntn &amp; Prntng- Marma &amp; Bastin '!$D$1:$K$22,_xlpm.supplierRow+_xlpm.widthRow,_xlpm.tier),_xlpm.rate*_xlpm.steps/_xlpm.kgmUsed),"")</f>
        <v>1.4536878216123499</v>
      </c>
      <c r="AI217" s="919" cm="1">
        <f t="array" ref="AI217">IFERROR(_xlfn.LET(_xlpm.cap,IF(O217="Quantum",760,1220),_xlpm.wUsed,E217*MAX(1,MIN(MAX(2,INT(900/E217)),INT((_xlpm.cap-50)/E217))),_xlpm.kgmUsed,AR217/E217*_xlpm.wUsed,_xlpm.tier,IF(P217&lt;3000,1,IF(P217&lt;10000,2,IF(P217&lt;25000,3,IF(P217&lt;50000,4,IF(P217&lt;100000,5,IF(P217&lt;250000,6,IF(P217&lt;500000,7,8))))))),_xlpm.widthRow,IF(_xlpm.wUsed&lt;900,0,5),_xlpm.slitRow,IF(O217="Marma",7,IF(OR(O217="Bastin",O217="Quantum"),17,0)),_xlpm.slitRate,INDEX('Lmntn &amp; Prntng- Marma &amp; Bastin '!$D$1:$K$22,_xlpm.slitRow+_xlpm.widthRow,_xlpm.tier),_xlpm.numColors,IF(ISNUMBER(L217),L217,IFERROR(--RIGHT(L217,LEN(L217)-FIND("-",L217)),0)),_xlpm.printRate,IF(OR(K217&lt;&gt;"Printed",_xlpm.numColors=0),0,IF(O217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217))),MAX(_xlfn._xlws.FILTER(_xlpm.meters,(_xlpm.widths=_xlpm.qWidth)*(_xlpm.bands=_xlpm.band)))),INDEX(_xlpm.rates,_xlfn.XMATCH(1,(_xlpm.widths=_xlpm.qWidth)*(_xlpm.bands=_xlpm.band)*(_xlpm.meters=_xlpm.targetM),0))/HELPER!$AK$2),_xlfn.LET(_xlpm.colorOffset,IF(_xlpm.numColors&lt;=2,1,IF(_xlpm.numColors&lt;=4,2,3)),_xlpm.supplierRow,IF(O217="Marma",3,IF(O217="Bastin",13,0)),INDEX('Lmntn &amp; Prntng- Marma &amp; Bastin '!$D$1:$K$22,_xlpm.supplierRow+_xlpm.widthRow+_xlpm.colorOffset,_xlpm.tier)))),AH217+_xlpm.slitRate/_xlpm.kgmUsed+_xlpm.printRate/_xlpm.kgmUsed+AJ217),"")</f>
        <v>12.048475083939792</v>
      </c>
      <c r="AJ217" s="919" cm="1">
        <f t="array" ref="AJ217">IF(OR(K217&lt;&gt;"Printed",L217=0,L217="0",L217=""),0,IFERROR(_xlfn.LET(_xlpm.lam,TEXT(B217,"0"),_xlpm.crit,(TEXT(HELPER!$BZ$2:$BZ$250,"0")=_xlpm.lam)*(HELPER!$CC$2:$CC$250=D217)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WHITE"},0)))/ROWS(_xlpm.real),_xlpm.numColors,IF(ISNUMBER(L217),L217,IFERROR(--RIGHT(L217,LEN(L217)-FIND("-",L217)),0)),HELPER!$DB$1*_xlpm.numColors*MAX(1,M217)*1.05*_xlpm.nkRatio/Q217),0))</f>
        <v>7.504288164665522</v>
      </c>
      <c r="AK217" s="919">
        <f t="shared" si="81"/>
        <v>1.2575115968289896</v>
      </c>
      <c r="AL217" s="919">
        <f t="shared" si="82"/>
        <v>1754.2286775764403</v>
      </c>
      <c r="AM217" s="73" t="str">
        <f t="shared" si="83"/>
        <v>PASS</v>
      </c>
      <c r="AN217" s="908" t="str">
        <f t="shared" si="84"/>
        <v/>
      </c>
      <c r="AO217" s="919">
        <f t="shared" si="85"/>
        <v>53</v>
      </c>
      <c r="AP217" s="919">
        <f t="shared" si="86"/>
        <v>21333.333333333336</v>
      </c>
      <c r="AQ217" s="919"/>
      <c r="AR217" s="919" cm="1">
        <f t="array" ref="AR217">IFERROR(_xlfn.LET(_xlpm.lam,TEXT(B217,"0"),_xlpm.thick,D217,_xlpm.crit,(TEXT(HELPER!$BZ$2:$BZ$250,"0")=_xlpm.lam)*(HELPER!$CC$2:$CC$250=_xlpm.thick)*(HELPER!$BW$2:$BW$250&lt;&gt;""),_xlpm.mats,TRIM(SUBSTITUTE(_xlfn._xlws.FILTER(HELPER!$BW$2:$BW$250,_xlpm.crit),CHAR(160),"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")),HELPER!$AQ$2:$AQ$20,1),_xlpm.mass,IF(ISNUMBER(SEARCH("paper",_xlpm.mats)),42,_xlpm.dens*_xlpm.ths),E217/1000000*SUM(_xlpm.mass)),"")</f>
        <v>6.2964000000000006E-2</v>
      </c>
      <c r="AS217" s="919">
        <f>IFERROR(IF(D217&gt;31,(5%+250/P217)*AF217,VLOOKUP(D217,HELPER!$BH$3:$BI$5,2,TRUE)*AF217),0)</f>
        <v>0.44604089545588543</v>
      </c>
      <c r="AT217" s="919">
        <v>0.2</v>
      </c>
      <c r="AU217" s="919"/>
      <c r="AV217" s="919"/>
      <c r="AW217" s="919"/>
      <c r="AX217" s="919"/>
      <c r="AY217" s="919"/>
      <c r="AZ217" s="919">
        <f t="shared" si="87"/>
        <v>10080</v>
      </c>
    </row>
    <row r="218" spans="1:52">
      <c r="A218" s="73" t="s">
        <v>2247</v>
      </c>
      <c r="B218" s="73" t="s">
        <v>1120</v>
      </c>
      <c r="C218" s="908" t="s">
        <v>2212</v>
      </c>
      <c r="D218" s="915" cm="1">
        <f t="array" ref="D21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18" s="915">
        <v>120</v>
      </c>
      <c r="F218" s="73" t="s">
        <v>560</v>
      </c>
      <c r="G218" s="916">
        <v>100</v>
      </c>
      <c r="H218" s="916">
        <v>100</v>
      </c>
      <c r="I218" s="916"/>
      <c r="J218" s="916"/>
      <c r="K218" s="73" t="s">
        <v>124</v>
      </c>
      <c r="L218" s="921" t="s">
        <v>221</v>
      </c>
      <c r="M218" s="915">
        <v>1</v>
      </c>
      <c r="N218" s="73" t="s">
        <v>548</v>
      </c>
      <c r="O218" s="73" t="s">
        <v>250</v>
      </c>
      <c r="P218" s="916" cm="1">
        <f t="array" ref="P218">IFERROR(_xlfn.SWITCH(F218,"By Weight",IF(H218&lt;&gt;"",H218,G218)/AR218,"By Length",G218,"By Imp",G218/MAX(1,ROUNDDOWN(E218/I218,0))*J218/1000,"IMP",G218/MAX(1,ROUNDDOWN(E218/I218,0))*J218/1000,""),"")</f>
        <v>10167.561412070929</v>
      </c>
      <c r="Q218" s="916">
        <f t="shared" si="66"/>
        <v>100</v>
      </c>
      <c r="R218" s="917">
        <f t="shared" si="67"/>
        <v>4496.73566311791</v>
      </c>
      <c r="S218" s="918">
        <f t="shared" si="68"/>
        <v>5216.2133692167754</v>
      </c>
      <c r="T218" s="919">
        <f t="shared" si="69"/>
        <v>44.967356631179101</v>
      </c>
      <c r="U218" s="920">
        <f t="shared" si="70"/>
        <v>52.16213369216775</v>
      </c>
      <c r="V218" s="919">
        <f t="shared" si="71"/>
        <v>0.52030934816349672</v>
      </c>
      <c r="W218" s="919">
        <f t="shared" si="72"/>
        <v>52.902772507269468</v>
      </c>
      <c r="X218" s="919" t="str">
        <f t="shared" si="73"/>
        <v/>
      </c>
      <c r="Y218" s="920">
        <f t="shared" si="74"/>
        <v>0.60355884386965619</v>
      </c>
      <c r="Z218" s="920">
        <f t="shared" si="75"/>
        <v>61.367216108432579</v>
      </c>
      <c r="AA218" s="920" t="str">
        <f t="shared" si="76"/>
        <v/>
      </c>
      <c r="AB218" s="917">
        <f t="shared" si="77"/>
        <v>5290.2772507269465</v>
      </c>
      <c r="AC218" s="918">
        <f t="shared" si="78"/>
        <v>6136.7216108432576</v>
      </c>
      <c r="AD218" s="916">
        <f t="shared" si="79"/>
        <v>50837.807060354644</v>
      </c>
      <c r="AE218" s="916">
        <f t="shared" si="80"/>
        <v>500</v>
      </c>
      <c r="AF218" s="919" cm="1">
        <f t="array" ref="AF218">IFERROR(_xlfn.LET(_xlpm.lam,TEXT(B218,"0"),_xlpm.thick,D218,_xlpm.crit,(TEXT(HELPER!$BZ$2:$BZ$250,"0")=_xlpm.lam)*(HELPER!$CC$2:$CC$250=_xlpm.thick)*(HELPER!$BW$2:$BW$250&lt;&gt;""),_xlpm.mats,TRIM(SUBSTITUTE(_xlfn._xlws.FILTER(HELPER!$BW$2:$BW$250,_xlpm.crit),CHAR(160),"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18" s="919">
        <f>IFERROR(IF(N218="Europe to Canada",IF(Q218&lt;1000,VLOOKUP(1000,HELPER!$AG$4:$AH$8,2,FALSE)/Q218,VLOOKUP(Q218,HELPER!$AG$4:$AH$8,2,TRUE)/Q218),IF(N218="Europe to US",HELPER!$AH$2,IF(N218="Europe to Europe",HELPER!$AH$3,0))),0)</f>
        <v>34.482758620689701</v>
      </c>
      <c r="AH218" s="919" cm="1">
        <f t="array" ref="AH218">IFERROR(_xlfn.LET(_xlpm.cap,IF(O218="Quantum",760,1220),_xlpm.wUsed,E218*MAX(1,MIN(MAX(2,INT(900/E218)),INT((_xlpm.cap-50)/E218))),_xlpm.kgmUsed,AR218/E218*_xlpm.wUsed,_xlpm.lam,TEXT(B218,"0"),_xlpm.crit,(TEXT(HELPER!$BZ$2:$BZ$250,"0")=_xlpm.lam)*(HELPER!$CC$2:$CC$250=D218)*(HELPER!$BW$2:$BW$250&lt;&gt;""),_xlpm.mats,_xlfn._xlws.FILTER(HELPER!$BW$2:$BW$250,_xlpm.crit),_xlpm.realLayers,SUM((_xlpm.mats&lt;&gt;"")*ISERROR(SEARCH("EPOTAL",_xlpm.mats&amp;""))*ISERROR(SEARCH("BASONAT",_xlpm.mats&amp;""))*ISERROR(SEARCH("ADH",_xlpm.mats&amp;""))*ISERROR(SEARCH("HARDENER",_xlpm.mats&amp;""))),_xlpm.steps,MAX(0,_xlpm.realLayers-1),_xlpm.tier,IF(P218&lt;3000,1,IF(P218&lt;10000,2,IF(P218&lt;25000,3,IF(P218&lt;50000,4,IF(P218&lt;100000,5,IF(P218&lt;250000,6,7)))))),_xlpm.widthRow,IF(_xlpm.wUsed&lt;900,0,5),_xlpm.supplierRow,IF(O218="Marma",3,IF(OR(O218="Bastin",O218="Quantum"),13,0)),_xlpm.rate,INDEX('Lmntn &amp; Prntng- Marma &amp; Bastin '!$D$1:$K$22,_xlpm.supplierRow+_xlpm.widthRow,_xlpm.tier),_xlpm.rate*_xlpm.steps/_xlpm.kgmUsed),"")</f>
        <v>1.3294812800669316</v>
      </c>
      <c r="AI218" s="919" cm="1">
        <f t="array" ref="AI218">IFERROR(_xlfn.LET(_xlpm.cap,IF(O218="Quantum",760,1220),_xlpm.wUsed,E218*MAX(1,MIN(MAX(2,INT(900/E218)),INT((_xlpm.cap-50)/E218))),_xlpm.kgmUsed,AR218/E218*_xlpm.wUsed,_xlpm.tier,IF(P218&lt;3000,1,IF(P218&lt;10000,2,IF(P218&lt;25000,3,IF(P218&lt;50000,4,IF(P218&lt;100000,5,IF(P218&lt;250000,6,IF(P218&lt;500000,7,8))))))),_xlpm.widthRow,IF(_xlpm.wUsed&lt;900,0,5),_xlpm.slitRow,IF(O218="Marma",7,IF(OR(O218="Bastin",O218="Quantum"),17,0)),_xlpm.slitRate,INDEX('Lmntn &amp; Prntng- Marma &amp; Bastin '!$D$1:$K$22,_xlpm.slitRow+_xlpm.widthRow,_xlpm.tier),_xlpm.numColors,IF(ISNUMBER(L218),L218,IFERROR(--RIGHT(L218,LEN(L218)-FIND("-",L218)),0)),_xlpm.printRate,IF(OR(K218&lt;&gt;"Printed",_xlpm.numColors=0),0,IF(O218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218))),MAX(_xlfn._xlws.FILTER(_xlpm.meters,(_xlpm.widths=_xlpm.qWidth)*(_xlpm.bands=_xlpm.band)))),INDEX(_xlpm.rates,_xlfn.XMATCH(1,(_xlpm.widths=_xlpm.qWidth)*(_xlpm.bands=_xlpm.band)*(_xlpm.meters=_xlpm.targetM),0))/HELPER!$AK$2),_xlfn.LET(_xlpm.colorOffset,IF(_xlpm.numColors&lt;=2,1,IF(_xlpm.numColors&lt;=4,2,3)),_xlpm.supplierRow,IF(O218="Marma",3,IF(O218="Bastin",13,0)),INDEX('Lmntn &amp; Prntng- Marma &amp; Bastin '!$D$1:$K$22,_xlpm.supplierRow+_xlpm.widthRow+_xlpm.colorOffset,_xlpm.tier)))),AH218+_xlpm.slitRate/_xlpm.kgmUsed+_xlpm.printRate/_xlpm.kgmUsed+AJ218),"")</f>
        <v>1.7059715540681866</v>
      </c>
      <c r="AJ218" s="919" cm="1">
        <f t="array" ref="AJ218">IF(OR(K218&lt;&gt;"Printed",L218=0,L218="0",L218=""),0,IFERROR(_xlfn.LET(_xlpm.lam,TEXT(B218,"0"),_xlpm.crit,(TEXT(HELPER!$BZ$2:$BZ$250,"0")=_xlpm.lam)*(HELPER!$CC$2:$CC$250=D218)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WHITE"},0)))/ROWS(_xlpm.real),_xlpm.numColors,IF(ISNUMBER(L218),L218,IFERROR(--RIGHT(L218,LEN(L218)-FIND("-",L218)),0)),HELPER!$DB$1*_xlpm.numColors*MAX(1,M218)*1.05*_xlpm.nkRatio/Q218),0))</f>
        <v>0</v>
      </c>
      <c r="AK218" s="919">
        <f t="shared" si="81"/>
        <v>2.7973620869005202</v>
      </c>
      <c r="AL218" s="919">
        <f t="shared" si="82"/>
        <v>520.30934816349668</v>
      </c>
      <c r="AM218" s="73" t="str">
        <f t="shared" si="83"/>
        <v>PASS</v>
      </c>
      <c r="AN218" s="908" t="str">
        <f t="shared" si="84"/>
        <v/>
      </c>
      <c r="AO218" s="919">
        <f t="shared" si="85"/>
        <v>63</v>
      </c>
      <c r="AP218" s="919">
        <f t="shared" si="86"/>
        <v>10167.561412070929</v>
      </c>
      <c r="AQ218" s="919"/>
      <c r="AR218" s="919" cm="1">
        <f t="array" ref="AR218">IFERROR(_xlfn.LET(_xlpm.lam,TEXT(B218,"0"),_xlpm.thick,D218,_xlpm.crit,(TEXT(HELPER!$BZ$2:$BZ$250,"0")=_xlpm.lam)*(HELPER!$CC$2:$CC$250=_xlpm.thick)*(HELPER!$BW$2:$BW$250&lt;&gt;""),_xlpm.mats,TRIM(SUBSTITUTE(_xlfn._xlws.FILTER(HELPER!$BW$2:$BW$250,_xlpm.crit),CHAR(160),"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")),HELPER!$AQ$2:$AQ$20,1),_xlpm.mass,IF(ISNUMBER(SEARCH("paper",_xlpm.mats)),42,_xlpm.dens*_xlpm.ths),E218/1000000*SUM(_xlpm.mass)),"")</f>
        <v>9.8352000000000005E-3</v>
      </c>
      <c r="AS218" s="919">
        <f>IFERROR(IF(D218&gt;31,(5%+250/P218)*AF218,VLOOKUP(D218,HELPER!$BH$3:$BI$5,2,TRUE)*AF218),0)</f>
        <v>0.60933138107958151</v>
      </c>
      <c r="AT218" s="919">
        <v>0.149999999999999</v>
      </c>
      <c r="AU218" s="919"/>
      <c r="AV218" s="919"/>
      <c r="AW218" s="919"/>
      <c r="AX218" s="919"/>
      <c r="AY218" s="919"/>
      <c r="AZ218" s="919">
        <f t="shared" si="87"/>
        <v>0</v>
      </c>
    </row>
    <row r="219" spans="1:52">
      <c r="A219" s="73" t="s">
        <v>2248</v>
      </c>
      <c r="B219" s="73" t="s">
        <v>1120</v>
      </c>
      <c r="C219" s="908" t="s">
        <v>2214</v>
      </c>
      <c r="D219" s="915" cm="1">
        <f t="array" ref="D21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19" s="915">
        <v>350</v>
      </c>
      <c r="F219" s="73" t="s">
        <v>560</v>
      </c>
      <c r="G219" s="916">
        <v>5000</v>
      </c>
      <c r="H219" s="916">
        <v>5000</v>
      </c>
      <c r="I219" s="916"/>
      <c r="J219" s="916"/>
      <c r="K219" s="73" t="s">
        <v>123</v>
      </c>
      <c r="L219" s="921" t="s">
        <v>122</v>
      </c>
      <c r="M219" s="915">
        <v>4</v>
      </c>
      <c r="N219" s="73" t="s">
        <v>548</v>
      </c>
      <c r="O219" s="73" t="s">
        <v>1366</v>
      </c>
      <c r="P219" s="916" cm="1">
        <f t="array" ref="P219">IFERROR(_xlfn.SWITCH(F219,"By Weight",IF(H219&lt;&gt;"",H219,G219)/AR219,"By Length",G219,"By Imp",G219/MAX(1,ROUNDDOWN(E219/I219,0))*J219/1000,"IMP",G219/MAX(1,ROUNDDOWN(E219/I219,0))*J219/1000,""),"")</f>
        <v>174301.05277835877</v>
      </c>
      <c r="Q219" s="916">
        <f t="shared" si="66"/>
        <v>5000</v>
      </c>
      <c r="R219" s="917">
        <f t="shared" si="67"/>
        <v>131597.54425581955</v>
      </c>
      <c r="S219" s="918">
        <f t="shared" si="68"/>
        <v>152653.15133675066</v>
      </c>
      <c r="T219" s="919">
        <f t="shared" si="69"/>
        <v>26.31950885116391</v>
      </c>
      <c r="U219" s="920">
        <f t="shared" si="70"/>
        <v>30.530630267350134</v>
      </c>
      <c r="V219" s="919">
        <f t="shared" si="71"/>
        <v>0.94375178863061238</v>
      </c>
      <c r="W219" s="919">
        <f t="shared" si="72"/>
        <v>32.899386063954971</v>
      </c>
      <c r="X219" s="919" t="str">
        <f t="shared" si="73"/>
        <v/>
      </c>
      <c r="Y219" s="920">
        <f t="shared" si="74"/>
        <v>1.0947520748115103</v>
      </c>
      <c r="Z219" s="920">
        <f t="shared" si="75"/>
        <v>38.163287834187763</v>
      </c>
      <c r="AA219" s="920" t="str">
        <f t="shared" si="76"/>
        <v/>
      </c>
      <c r="AB219" s="917">
        <f t="shared" si="77"/>
        <v>164496.93031977487</v>
      </c>
      <c r="AC219" s="918">
        <f t="shared" si="78"/>
        <v>190816.43917093883</v>
      </c>
      <c r="AD219" s="916">
        <f t="shared" si="79"/>
        <v>17430.105277835875</v>
      </c>
      <c r="AE219" s="916">
        <f t="shared" si="80"/>
        <v>500</v>
      </c>
      <c r="AF219" s="919" cm="1">
        <f t="array" ref="AF219">IFERROR(_xlfn.LET(_xlpm.lam,TEXT(B219,"0"),_xlpm.thick,D219,_xlpm.crit,(TEXT(HELPER!$BZ$2:$BZ$250,"0")=_xlpm.lam)*(HELPER!$CC$2:$CC$250=_xlpm.thick)*(HELPER!$BW$2:$BW$250&lt;&gt;""),_xlpm.mats,TRIM(SUBSTITUTE(_xlfn._xlws.FILTER(HELPER!$BW$2:$BW$250,_xlpm.crit),CHAR(160),"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19" s="919">
        <f>IFERROR(IF(N219="Europe to Canada",IF(Q219&lt;1000,VLOOKUP(1000,HELPER!$AG$4:$AH$8,2,FALSE)/Q219,VLOOKUP(Q219,HELPER!$AG$4:$AH$8,2,TRUE)/Q219),IF(N219="Europe to US",HELPER!$AH$2,IF(N219="Europe to Europe",HELPER!$AH$3,0))),0)</f>
        <v>1.8448275862068959</v>
      </c>
      <c r="AH219" s="919" cm="1">
        <f t="array" ref="AH219">IFERROR(_xlfn.LET(_xlpm.cap,IF(O219="Quantum",760,1220),_xlpm.wUsed,E219*MAX(1,MIN(MAX(2,INT(900/E219)),INT((_xlpm.cap-50)/E219))),_xlpm.kgmUsed,AR219/E219*_xlpm.wUsed,_xlpm.lam,TEXT(B219,"0"),_xlpm.crit,(TEXT(HELPER!$BZ$2:$BZ$250,"0")=_xlpm.lam)*(HELPER!$CC$2:$CC$250=D219)*(HELPER!$BW$2:$BW$250&lt;&gt;""),_xlpm.mats,_xlfn._xlws.FILTER(HELPER!$BW$2:$BW$250,_xlpm.crit),_xlpm.realLayers,SUM((_xlpm.mats&lt;&gt;"")*ISERROR(SEARCH("EPOTAL",_xlpm.mats&amp;""))*ISERROR(SEARCH("BASONAT",_xlpm.mats&amp;""))*ISERROR(SEARCH("ADH",_xlpm.mats&amp;""))*ISERROR(SEARCH("HARDENER",_xlpm.mats&amp;""))),_xlpm.steps,MAX(0,_xlpm.realLayers-1),_xlpm.tier,IF(P219&lt;3000,1,IF(P219&lt;10000,2,IF(P219&lt;25000,3,IF(P219&lt;50000,4,IF(P219&lt;100000,5,IF(P219&lt;250000,6,7)))))),_xlpm.widthRow,IF(_xlpm.wUsed&lt;900,0,5),_xlpm.supplierRow,IF(O219="Marma",3,IF(OR(O219="Bastin",O219="Quantum"),13,0)),_xlpm.rate,INDEX('Lmntn &amp; Prntng- Marma &amp; Bastin '!$D$1:$K$22,_xlpm.supplierRow+_xlpm.widthRow,_xlpm.tier),_xlpm.rate*_xlpm.steps/_xlpm.kgmUsed),"")</f>
        <v>1.9026877222338423</v>
      </c>
      <c r="AI219" s="919" cm="1">
        <f t="array" ref="AI219">IFERROR(_xlfn.LET(_xlpm.cap,IF(O219="Quantum",760,1220),_xlpm.wUsed,E219*MAX(1,MIN(MAX(2,INT(900/E219)),INT((_xlpm.cap-50)/E219))),_xlpm.kgmUsed,AR219/E219*_xlpm.wUsed,_xlpm.tier,IF(P219&lt;3000,1,IF(P219&lt;10000,2,IF(P219&lt;25000,3,IF(P219&lt;50000,4,IF(P219&lt;100000,5,IF(P219&lt;250000,6,IF(P219&lt;500000,7,8))))))),_xlpm.widthRow,IF(_xlpm.wUsed&lt;900,0,5),_xlpm.slitRow,IF(O219="Marma",7,IF(OR(O219="Bastin",O219="Quantum"),17,0)),_xlpm.slitRate,INDEX('Lmntn &amp; Prntng- Marma &amp; Bastin '!$D$1:$K$22,_xlpm.slitRow+_xlpm.widthRow,_xlpm.tier),_xlpm.numColors,IF(ISNUMBER(L219),L219,IFERROR(--RIGHT(L219,LEN(L219)-FIND("-",L219)),0)),_xlpm.printRate,IF(OR(K219&lt;&gt;"Printed",_xlpm.numColors=0),0,IF(O219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219))),MAX(_xlfn._xlws.FILTER(_xlpm.meters,(_xlpm.widths=_xlpm.qWidth)*(_xlpm.bands=_xlpm.band)))),INDEX(_xlpm.rates,_xlfn.XMATCH(1,(_xlpm.widths=_xlpm.qWidth)*(_xlpm.bands=_xlpm.band)*(_xlpm.meters=_xlpm.targetM),0))/HELPER!$AK$2),_xlfn.LET(_xlpm.colorOffset,IF(_xlpm.numColors&lt;=2,1,IF(_xlpm.numColors&lt;=4,2,3)),_xlpm.supplierRow,IF(O219="Marma",3,IF(O219="Bastin",13,0)),INDEX('Lmntn &amp; Prntng- Marma &amp; Bastin '!$D$1:$K$22,_xlpm.supplierRow+_xlpm.widthRow+_xlpm.colorOffset,_xlpm.tier)))),AH219+_xlpm.slitRate/_xlpm.kgmUsed+_xlpm.printRate/_xlpm.kgmUsed+AJ219),"")</f>
        <v>15.885204215921737</v>
      </c>
      <c r="AJ219" s="919" cm="1">
        <f t="array" ref="AJ219">IF(OR(K219&lt;&gt;"Printed",L219=0,L219="0",L219=""),0,IFERROR(_xlfn.LET(_xlpm.lam,TEXT(B219,"0"),_xlpm.crit,(TEXT(HELPER!$BZ$2:$BZ$250,"0")=_xlpm.lam)*(HELPER!$CC$2:$CC$250=D219)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WHITE"},0)))/ROWS(_xlpm.real),_xlpm.numColors,IF(ISNUMBER(L219),L219,IFERROR(--RIGHT(L219,LEN(L219)-FIND("-",L219)),0)),HELPER!$DB$1*_xlpm.numColors*MAX(1,M219)*1.05*_xlpm.nkRatio/Q219),0))</f>
        <v>0.504</v>
      </c>
      <c r="AK219" s="919">
        <f t="shared" si="81"/>
        <v>1.7396346334204837</v>
      </c>
      <c r="AL219" s="919">
        <f t="shared" si="82"/>
        <v>943.7517886306124</v>
      </c>
      <c r="AM219" s="73" t="str">
        <f t="shared" si="83"/>
        <v>PASS</v>
      </c>
      <c r="AN219" s="908" t="str">
        <f t="shared" si="84"/>
        <v/>
      </c>
      <c r="AO219" s="919">
        <f t="shared" si="85"/>
        <v>63</v>
      </c>
      <c r="AP219" s="919">
        <f t="shared" si="86"/>
        <v>174301.05277835877</v>
      </c>
      <c r="AQ219" s="919"/>
      <c r="AR219" s="919" cm="1">
        <f t="array" ref="AR219">IFERROR(_xlfn.LET(_xlpm.lam,TEXT(B219,"0"),_xlpm.thick,D219,_xlpm.crit,(TEXT(HELPER!$BZ$2:$BZ$250,"0")=_xlpm.lam)*(HELPER!$CC$2:$CC$250=_xlpm.thick)*(HELPER!$BW$2:$BW$250&lt;&gt;""),_xlpm.mats,TRIM(SUBSTITUTE(_xlfn._xlws.FILTER(HELPER!$BW$2:$BW$250,_xlpm.crit),CHAR(160),"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")),HELPER!$AQ$2:$AQ$20,1),_xlpm.mass,IF(ISNUMBER(SEARCH("paper",_xlpm.mats)),42,_xlpm.dens*_xlpm.ths),E219/1000000*SUM(_xlpm.mass)),"")</f>
        <v>2.8686000000000003E-2</v>
      </c>
      <c r="AS219" s="919">
        <f>IFERROR(IF(D219&gt;31,(5%+250/P219)*AF219,VLOOKUP(D219,HELPER!$BH$3:$BI$5,2,TRUE)*AF219),0)</f>
        <v>0.42018197369364402</v>
      </c>
      <c r="AT219" s="919">
        <v>0.20000000000000201</v>
      </c>
      <c r="AU219" s="919"/>
      <c r="AV219" s="919"/>
      <c r="AW219" s="919"/>
      <c r="AX219" s="919"/>
      <c r="AY219" s="919"/>
      <c r="AZ219" s="919">
        <f t="shared" si="87"/>
        <v>2520</v>
      </c>
    </row>
    <row r="220" spans="1:52">
      <c r="A220" s="73" t="s">
        <v>2249</v>
      </c>
      <c r="B220" s="73" t="s">
        <v>1120</v>
      </c>
      <c r="C220" s="908" t="s">
        <v>2216</v>
      </c>
      <c r="D220" s="915" cm="1">
        <f t="array" ref="D22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20" s="915">
        <v>350</v>
      </c>
      <c r="F220" s="73" t="s">
        <v>561</v>
      </c>
      <c r="G220" s="916">
        <v>2000</v>
      </c>
      <c r="H220" s="916"/>
      <c r="I220" s="916"/>
      <c r="J220" s="916"/>
      <c r="K220" s="73" t="s">
        <v>124</v>
      </c>
      <c r="L220" s="921" t="s">
        <v>221</v>
      </c>
      <c r="M220" s="915">
        <v>1</v>
      </c>
      <c r="N220" s="73" t="s">
        <v>548</v>
      </c>
      <c r="O220" s="73" t="s">
        <v>240</v>
      </c>
      <c r="P220" s="916" cm="1">
        <f t="array" ref="P220">IFERROR(_xlfn.SWITCH(F220,"By Weight",IF(H220&lt;&gt;"",H220,G220)/AR220,"By Length",G220,"By Imp",G220/MAX(1,ROUNDDOWN(E220/I220,0))*J220/1000,"IMP",G220/MAX(1,ROUNDDOWN(E220/I220,0))*J220/1000,""),"")</f>
        <v>2000</v>
      </c>
      <c r="Q220" s="916">
        <f t="shared" si="66"/>
        <v>57.372000000000007</v>
      </c>
      <c r="R220" s="917">
        <f t="shared" si="67"/>
        <v>4196.1301986174076</v>
      </c>
      <c r="S220" s="918">
        <f t="shared" si="68"/>
        <v>4867.5110303961928</v>
      </c>
      <c r="T220" s="919">
        <f t="shared" si="69"/>
        <v>73.138991121407784</v>
      </c>
      <c r="U220" s="920">
        <f t="shared" si="70"/>
        <v>84.841229700833026</v>
      </c>
      <c r="V220" s="919">
        <f t="shared" si="71"/>
        <v>2.4683118815396572</v>
      </c>
      <c r="W220" s="919">
        <f t="shared" si="72"/>
        <v>86.045871907538768</v>
      </c>
      <c r="X220" s="919" t="str">
        <f t="shared" si="73"/>
        <v/>
      </c>
      <c r="Y220" s="920">
        <f t="shared" si="74"/>
        <v>2.8632417825860021</v>
      </c>
      <c r="Z220" s="920">
        <f t="shared" si="75"/>
        <v>99.813211412744963</v>
      </c>
      <c r="AA220" s="920" t="str">
        <f t="shared" si="76"/>
        <v/>
      </c>
      <c r="AB220" s="917">
        <f t="shared" si="77"/>
        <v>4936.6237630793148</v>
      </c>
      <c r="AC220" s="918">
        <f t="shared" si="78"/>
        <v>5726.483565172005</v>
      </c>
      <c r="AD220" s="916">
        <f t="shared" si="79"/>
        <v>17430.105277835875</v>
      </c>
      <c r="AE220" s="916">
        <f t="shared" si="80"/>
        <v>500</v>
      </c>
      <c r="AF220" s="919" cm="1">
        <f t="array" ref="AF220">IFERROR(_xlfn.LET(_xlpm.lam,TEXT(B220,"0"),_xlpm.thick,D220,_xlpm.crit,(TEXT(HELPER!$BZ$2:$BZ$250,"0")=_xlpm.lam)*(HELPER!$CC$2:$CC$250=_xlpm.thick)*(HELPER!$BW$2:$BW$250&lt;&gt;""),_xlpm.mats,TRIM(SUBSTITUTE(_xlfn._xlws.FILTER(HELPER!$BW$2:$BW$250,_xlpm.crit),CHAR(160),"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20" s="919">
        <f>IFERROR(IF(N220="Europe to Canada",IF(Q220&lt;1000,VLOOKUP(1000,HELPER!$AG$4:$AH$8,2,FALSE)/Q220,VLOOKUP(Q220,HELPER!$AG$4:$AH$8,2,TRUE)/Q220),IF(N220="Europe to US",HELPER!$AH$2,IF(N220="Europe to Europe",HELPER!$AH$3,0))),0)</f>
        <v>60.103811302882413</v>
      </c>
      <c r="AH220" s="919" cm="1">
        <f t="array" ref="AH220">IFERROR(_xlfn.LET(_xlpm.cap,IF(O220="Quantum",760,1220),_xlpm.wUsed,E220*MAX(1,MIN(MAX(2,INT(900/E220)),INT((_xlpm.cap-50)/E220))),_xlpm.kgmUsed,AR220/E220*_xlpm.wUsed,_xlpm.lam,TEXT(B220,"0"),_xlpm.crit,(TEXT(HELPER!$BZ$2:$BZ$250,"0")=_xlpm.lam)*(HELPER!$CC$2:$CC$250=D220)*(HELPER!$BW$2:$BW$250&lt;&gt;""),_xlpm.mats,_xlfn._xlws.FILTER(HELPER!$BW$2:$BW$250,_xlpm.crit),_xlpm.realLayers,SUM((_xlpm.mats&lt;&gt;"")*ISERROR(SEARCH("EPOTAL",_xlpm.mats&amp;""))*ISERROR(SEARCH("BASONAT",_xlpm.mats&amp;""))*ISERROR(SEARCH("ADH",_xlpm.mats&amp;""))*ISERROR(SEARCH("HARDENER",_xlpm.mats&amp;""))),_xlpm.steps,MAX(0,_xlpm.realLayers-1),_xlpm.tier,IF(P220&lt;3000,1,IF(P220&lt;10000,2,IF(P220&lt;25000,3,IF(P220&lt;50000,4,IF(P220&lt;100000,5,IF(P220&lt;250000,6,7)))))),_xlpm.widthRow,IF(_xlpm.wUsed&lt;900,0,5),_xlpm.supplierRow,IF(O220="Marma",3,IF(OR(O220="Bastin",O220="Quantum"),13,0)),_xlpm.rate,INDEX('Lmntn &amp; Prntng- Marma &amp; Bastin '!$D$1:$K$22,_xlpm.supplierRow+_xlpm.widthRow,_xlpm.tier),_xlpm.rate*_xlpm.steps/_xlpm.kgmUsed),"")</f>
        <v>2.6450010458063162</v>
      </c>
      <c r="AI220" s="919" cm="1">
        <f t="array" ref="AI220">IFERROR(_xlfn.LET(_xlpm.cap,IF(O220="Quantum",760,1220),_xlpm.wUsed,E220*MAX(1,MIN(MAX(2,INT(900/E220)),INT((_xlpm.cap-50)/E220))),_xlpm.kgmUsed,AR220/E220*_xlpm.wUsed,_xlpm.tier,IF(P220&lt;3000,1,IF(P220&lt;10000,2,IF(P220&lt;25000,3,IF(P220&lt;50000,4,IF(P220&lt;100000,5,IF(P220&lt;250000,6,IF(P220&lt;500000,7,8))))))),_xlpm.widthRow,IF(_xlpm.wUsed&lt;900,0,5),_xlpm.slitRow,IF(O220="Marma",7,IF(OR(O220="Bastin",O220="Quantum"),17,0)),_xlpm.slitRate,INDEX('Lmntn &amp; Prntng- Marma &amp; Bastin '!$D$1:$K$22,_xlpm.slitRow+_xlpm.widthRow,_xlpm.tier),_xlpm.numColors,IF(ISNUMBER(L220),L220,IFERROR(--RIGHT(L220,LEN(L220)-FIND("-",L220)),0)),_xlpm.printRate,IF(OR(K220&lt;&gt;"Printed",_xlpm.numColors=0),0,IF(O220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220))),MAX(_xlfn._xlws.FILTER(_xlpm.meters,(_xlpm.widths=_xlpm.qWidth)*(_xlpm.bands=_xlpm.band)))),INDEX(_xlpm.rates,_xlfn.XMATCH(1,(_xlpm.widths=_xlpm.qWidth)*(_xlpm.bands=_xlpm.band)*(_xlpm.meters=_xlpm.targetM),0))/HELPER!$AK$2),_xlfn.LET(_xlpm.colorOffset,IF(_xlpm.numColors&lt;=2,1,IF(_xlpm.numColors&lt;=4,2,3)),_xlpm.supplierRow,IF(O220="Marma",3,IF(O220="Bastin",13,0)),INDEX('Lmntn &amp; Prntng- Marma &amp; Bastin '!$D$1:$K$22,_xlpm.supplierRow+_xlpm.widthRow+_xlpm.colorOffset,_xlpm.tier)))),AH220+_xlpm.slitRate/_xlpm.kgmUsed+_xlpm.printRate/_xlpm.kgmUsed+AJ220),"")</f>
        <v>3.4362581049989536</v>
      </c>
      <c r="AJ220" s="919" cm="1">
        <f t="array" ref="AJ220">IF(OR(K220&lt;&gt;"Printed",L220=0,L220="0",L220=""),0,IFERROR(_xlfn.LET(_xlpm.lam,TEXT(B220,"0"),_xlpm.crit,(TEXT(HELPER!$BZ$2:$BZ$250,"0")=_xlpm.lam)*(HELPER!$CC$2:$CC$250=D220)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WHITE"},0)))/ROWS(_xlpm.real),_xlpm.numColors,IF(ISNUMBER(L220),L220,IFERROR(--RIGHT(L220,LEN(L220)-FIND("-",L220)),0)),HELPER!$DB$1*_xlpm.numColors*MAX(1,M220)*1.05*_xlpm.nkRatio/Q220),0))</f>
        <v>0</v>
      </c>
      <c r="AK220" s="919">
        <f t="shared" si="81"/>
        <v>4.5498836526076634</v>
      </c>
      <c r="AL220" s="919">
        <f t="shared" si="82"/>
        <v>2468.3118815396574</v>
      </c>
      <c r="AM220" s="73" t="str">
        <f t="shared" si="83"/>
        <v>PASS</v>
      </c>
      <c r="AN220" s="908" t="str">
        <f t="shared" si="84"/>
        <v/>
      </c>
      <c r="AO220" s="919">
        <f t="shared" si="85"/>
        <v>63</v>
      </c>
      <c r="AP220" s="919">
        <f t="shared" si="86"/>
        <v>2000</v>
      </c>
      <c r="AQ220" s="919"/>
      <c r="AR220" s="919" cm="1">
        <f t="array" ref="AR220">IFERROR(_xlfn.LET(_xlpm.lam,TEXT(B220,"0"),_xlpm.thick,D220,_xlpm.crit,(TEXT(HELPER!$BZ$2:$BZ$250,"0")=_xlpm.lam)*(HELPER!$CC$2:$CC$250=_xlpm.thick)*(HELPER!$BW$2:$BW$250&lt;&gt;""),_xlpm.mats,TRIM(SUBSTITUTE(_xlfn._xlws.FILTER(HELPER!$BW$2:$BW$250,_xlpm.crit),CHAR(160),"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")),HELPER!$AQ$2:$AQ$20,1),_xlpm.mass,IF(ISNUMBER(SEARCH("paper",_xlpm.mats)),42,_xlpm.dens*_xlpm.ths),E220/1000000*SUM(_xlpm.mass)),"")</f>
        <v>2.8686000000000003E-2</v>
      </c>
      <c r="AS220" s="919">
        <f>IFERROR(IF(D220&gt;31,(5%+250/P220)*AF220,VLOOKUP(D220,HELPER!$BH$3:$BI$5,2,TRUE)*AF220),0)</f>
        <v>1.4296266381847851</v>
      </c>
      <c r="AT220" s="919">
        <v>0.15000000000000199</v>
      </c>
      <c r="AU220" s="919"/>
      <c r="AV220" s="919"/>
      <c r="AW220" s="919"/>
      <c r="AX220" s="919"/>
      <c r="AY220" s="919"/>
      <c r="AZ220" s="919">
        <f t="shared" si="87"/>
        <v>0</v>
      </c>
    </row>
    <row r="221" spans="1:52">
      <c r="A221" s="73" t="s">
        <v>2250</v>
      </c>
      <c r="B221" s="73" t="s">
        <v>1120</v>
      </c>
      <c r="C221" s="908" t="s">
        <v>2218</v>
      </c>
      <c r="D221" s="915" cm="1">
        <f t="array" ref="D22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21" s="915">
        <v>900</v>
      </c>
      <c r="F221" s="73" t="s">
        <v>1040</v>
      </c>
      <c r="G221" s="916">
        <v>1600000</v>
      </c>
      <c r="H221" s="916"/>
      <c r="I221" s="916">
        <v>140</v>
      </c>
      <c r="J221" s="916">
        <v>80</v>
      </c>
      <c r="K221" s="73" t="s">
        <v>123</v>
      </c>
      <c r="L221" s="921" t="s">
        <v>592</v>
      </c>
      <c r="M221" s="915">
        <v>8</v>
      </c>
      <c r="N221" s="73" t="s">
        <v>548</v>
      </c>
      <c r="O221" s="73" t="s">
        <v>250</v>
      </c>
      <c r="P221" s="916" cm="1">
        <f t="array" ref="P221">IFERROR(_xlfn.SWITCH(F221,"By Weight",IF(H221&lt;&gt;"",H221,G221)/AR221,"By Length",G221,"By Imp",G221/MAX(1,ROUNDDOWN(E221/I221,0))*J221/1000,"IMP",G221/MAX(1,ROUNDDOWN(E221/I221,0))*J221/1000,""),"")</f>
        <v>21333.333333333336</v>
      </c>
      <c r="Q221" s="916">
        <f t="shared" si="66"/>
        <v>1573.6320000000003</v>
      </c>
      <c r="R221" s="917">
        <f t="shared" si="67"/>
        <v>33281.060471903962</v>
      </c>
      <c r="S221" s="918">
        <f t="shared" si="68"/>
        <v>38606.030147408594</v>
      </c>
      <c r="T221" s="919">
        <f t="shared" si="69"/>
        <v>21.14920163793311</v>
      </c>
      <c r="U221" s="920">
        <f t="shared" si="70"/>
        <v>24.533073900002407</v>
      </c>
      <c r="V221" s="919">
        <f t="shared" si="71"/>
        <v>1.8353525995535338</v>
      </c>
      <c r="W221" s="919">
        <f t="shared" si="72"/>
        <v>24.881413691686102</v>
      </c>
      <c r="X221" s="919">
        <f t="shared" si="73"/>
        <v>2.4471367994047116E-2</v>
      </c>
      <c r="Y221" s="920">
        <f t="shared" si="74"/>
        <v>2.1290090154820991</v>
      </c>
      <c r="Z221" s="920">
        <f t="shared" si="75"/>
        <v>28.862439882355876</v>
      </c>
      <c r="AA221" s="920">
        <f t="shared" si="76"/>
        <v>2.8386786873094653E-2</v>
      </c>
      <c r="AB221" s="917">
        <f t="shared" si="77"/>
        <v>39154.188790475389</v>
      </c>
      <c r="AC221" s="918">
        <f t="shared" si="78"/>
        <v>45418.858996951451</v>
      </c>
      <c r="AD221" s="916">
        <f t="shared" si="79"/>
        <v>6778.3742747139513</v>
      </c>
      <c r="AE221" s="916">
        <f t="shared" si="80"/>
        <v>500</v>
      </c>
      <c r="AF221" s="919" cm="1">
        <f t="array" ref="AF221">IFERROR(_xlfn.LET(_xlpm.lam,TEXT(B221,"0"),_xlpm.thick,D221,_xlpm.crit,(TEXT(HELPER!$BZ$2:$BZ$250,"0")=_xlpm.lam)*(HELPER!$CC$2:$CC$250=_xlpm.thick)*(HELPER!$BW$2:$BW$250&lt;&gt;""),_xlpm.mats,TRIM(SUBSTITUTE(_xlfn._xlws.FILTER(HELPER!$BW$2:$BW$250,_xlpm.crit),CHAR(160),"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21" s="919">
        <f>IFERROR(IF(N221="Europe to Canada",IF(Q221&lt;1000,VLOOKUP(1000,HELPER!$AG$4:$AH$8,2,FALSE)/Q221,VLOOKUP(Q221,HELPER!$AG$4:$AH$8,2,TRUE)/Q221),IF(N221="Europe to US",HELPER!$AH$2,IF(N221="Europe to Europe",HELPER!$AH$3,0))),0)</f>
        <v>2.1912847870842542</v>
      </c>
      <c r="AH221" s="919" cm="1">
        <f t="array" ref="AH221">IFERROR(_xlfn.LET(_xlpm.cap,IF(O221="Quantum",760,1220),_xlpm.wUsed,E221*MAX(1,MIN(MAX(2,INT(900/E221)),INT((_xlpm.cap-50)/E221))),_xlpm.kgmUsed,AR221/E221*_xlpm.wUsed,_xlpm.lam,TEXT(B221,"0"),_xlpm.crit,(TEXT(HELPER!$BZ$2:$BZ$250,"0")=_xlpm.lam)*(HELPER!$CC$2:$CC$250=D221)*(HELPER!$BW$2:$BW$250&lt;&gt;""),_xlpm.mats,_xlfn._xlws.FILTER(HELPER!$BW$2:$BW$250,_xlpm.crit),_xlpm.realLayers,SUM((_xlpm.mats&lt;&gt;"")*ISERROR(SEARCH("EPOTAL",_xlpm.mats&amp;""))*ISERROR(SEARCH("BASONAT",_xlpm.mats&amp;""))*ISERROR(SEARCH("ADH",_xlpm.mats&amp;""))*ISERROR(SEARCH("HARDENER",_xlpm.mats&amp;""))),_xlpm.steps,MAX(0,_xlpm.realLayers-1),_xlpm.tier,IF(P221&lt;3000,1,IF(P221&lt;10000,2,IF(P221&lt;25000,3,IF(P221&lt;50000,4,IF(P221&lt;100000,5,IF(P221&lt;250000,6,7)))))),_xlpm.widthRow,IF(_xlpm.wUsed&lt;900,0,5),_xlpm.supplierRow,IF(O221="Marma",3,IF(OR(O221="Bastin",O221="Quantum"),13,0)),_xlpm.rate,INDEX('Lmntn &amp; Prntng- Marma &amp; Bastin '!$D$1:$K$22,_xlpm.supplierRow+_xlpm.widthRow,_xlpm.tier),_xlpm.rate*_xlpm.steps/_xlpm.kgmUsed),"")</f>
        <v>1.240849194729136</v>
      </c>
      <c r="AI221" s="919" cm="1">
        <f t="array" ref="AI221">IFERROR(_xlfn.LET(_xlpm.cap,IF(O221="Quantum",760,1220),_xlpm.wUsed,E221*MAX(1,MIN(MAX(2,INT(900/E221)),INT((_xlpm.cap-50)/E221))),_xlpm.kgmUsed,AR221/E221*_xlpm.wUsed,_xlpm.tier,IF(P221&lt;3000,1,IF(P221&lt;10000,2,IF(P221&lt;25000,3,IF(P221&lt;50000,4,IF(P221&lt;100000,5,IF(P221&lt;250000,6,IF(P221&lt;500000,7,8))))))),_xlpm.widthRow,IF(_xlpm.wUsed&lt;900,0,5),_xlpm.slitRow,IF(O221="Marma",7,IF(OR(O221="Bastin",O221="Quantum"),17,0)),_xlpm.slitRate,INDEX('Lmntn &amp; Prntng- Marma &amp; Bastin '!$D$1:$K$22,_xlpm.slitRow+_xlpm.widthRow,_xlpm.tier),_xlpm.numColors,IF(ISNUMBER(L221),L221,IFERROR(--RIGHT(L221,LEN(L221)-FIND("-",L221)),0)),_xlpm.printRate,IF(OR(K221&lt;&gt;"Printed",_xlpm.numColors=0),0,IF(O221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221))),MAX(_xlfn._xlws.FILTER(_xlpm.meters,(_xlpm.widths=_xlpm.qWidth)*(_xlpm.bands=_xlpm.band)))),INDEX(_xlpm.rates,_xlfn.XMATCH(1,(_xlpm.widths=_xlpm.qWidth)*(_xlpm.bands=_xlpm.band)*(_xlpm.meters=_xlpm.targetM),0))/HELPER!$AK$2),_xlfn.LET(_xlpm.colorOffset,IF(_xlpm.numColors&lt;=2,1,IF(_xlpm.numColors&lt;=4,2,3)),_xlpm.supplierRow,IF(O221="Marma",3,IF(O221="Bastin",13,0)),INDEX('Lmntn &amp; Prntng- Marma &amp; Bastin '!$D$1:$K$22,_xlpm.supplierRow+_xlpm.widthRow+_xlpm.colorOffset,_xlpm.tier)))),AH221+_xlpm.slitRate/_xlpm.kgmUsed+_xlpm.printRate/_xlpm.kgmUsed+AJ221),"")</f>
        <v>10.284423095075987</v>
      </c>
      <c r="AJ221" s="919" cm="1">
        <f t="array" ref="AJ221">IF(OR(K221&lt;&gt;"Printed",L221=0,L221="0",L221=""),0,IFERROR(_xlfn.LET(_xlpm.lam,TEXT(B221,"0"),_xlpm.crit,(TEXT(HELPER!$BZ$2:$BZ$250,"0")=_xlpm.lam)*(HELPER!$CC$2:$CC$250=D221)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WHITE"},0)))/ROWS(_xlpm.real),_xlpm.numColors,IF(ISNUMBER(L221),L221,IFERROR(--RIGHT(L221,LEN(L221)-FIND("-",L221)),0)),HELPER!$DB$1*_xlpm.numColors*MAX(1,M221)*1.05*_xlpm.nkRatio/Q221),0))</f>
        <v>6.4055636896046844</v>
      </c>
      <c r="AK221" s="919">
        <f t="shared" si="81"/>
        <v>1.3156649459165117</v>
      </c>
      <c r="AL221" s="919">
        <f t="shared" si="82"/>
        <v>1835.3525995535338</v>
      </c>
      <c r="AM221" s="73" t="str">
        <f t="shared" si="83"/>
        <v>PASS</v>
      </c>
      <c r="AN221" s="908" t="str">
        <f t="shared" si="84"/>
        <v/>
      </c>
      <c r="AO221" s="919">
        <f t="shared" si="85"/>
        <v>63</v>
      </c>
      <c r="AP221" s="919">
        <f t="shared" si="86"/>
        <v>21333.333333333336</v>
      </c>
      <c r="AQ221" s="919"/>
      <c r="AR221" s="919" cm="1">
        <f t="array" ref="AR221">IFERROR(_xlfn.LET(_xlpm.lam,TEXT(B221,"0"),_xlpm.thick,D221,_xlpm.crit,(TEXT(HELPER!$BZ$2:$BZ$250,"0")=_xlpm.lam)*(HELPER!$CC$2:$CC$250=_xlpm.thick)*(HELPER!$BW$2:$BW$250&lt;&gt;""),_xlpm.mats,TRIM(SUBSTITUTE(_xlfn._xlws.FILTER(HELPER!$BW$2:$BW$250,_xlpm.crit),CHAR(160),"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")),HELPER!$AQ$2:$AQ$20,1),_xlpm.mass,IF(ISNUMBER(SEARCH("paper",_xlpm.mats)),42,_xlpm.dens*_xlpm.ths),E221/1000000*SUM(_xlpm.mass)),"")</f>
        <v>7.376400000000001E-2</v>
      </c>
      <c r="AS221" s="919">
        <f>IFERROR(IF(D221&gt;31,(5%+250/P221)*AF221,VLOOKUP(D221,HELPER!$BH$3:$BI$5,2,TRUE)*AF221),0)</f>
        <v>0.50419868043124128</v>
      </c>
      <c r="AT221" s="919">
        <v>0.15000000000000299</v>
      </c>
      <c r="AU221" s="919"/>
      <c r="AV221" s="919"/>
      <c r="AW221" s="919"/>
      <c r="AX221" s="919"/>
      <c r="AY221" s="919"/>
      <c r="AZ221" s="919">
        <f t="shared" si="87"/>
        <v>10080</v>
      </c>
    </row>
    <row r="222" spans="1:52">
      <c r="A222" s="73" t="s">
        <v>2251</v>
      </c>
      <c r="B222" s="73">
        <v>748</v>
      </c>
      <c r="C222" s="908" t="s">
        <v>2212</v>
      </c>
      <c r="D222" s="915" cm="1">
        <f t="array" ref="D22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2" s="915">
        <v>120</v>
      </c>
      <c r="F222" s="73" t="s">
        <v>560</v>
      </c>
      <c r="G222" s="916">
        <v>100</v>
      </c>
      <c r="H222" s="916">
        <v>100</v>
      </c>
      <c r="I222" s="916"/>
      <c r="J222" s="916"/>
      <c r="K222" s="73" t="s">
        <v>124</v>
      </c>
      <c r="L222" s="921" t="s">
        <v>221</v>
      </c>
      <c r="M222" s="915">
        <v>1</v>
      </c>
      <c r="N222" s="73" t="s">
        <v>548</v>
      </c>
      <c r="O222" s="73" t="s">
        <v>250</v>
      </c>
      <c r="P222" s="916" cm="1">
        <f t="array" ref="P222">IFERROR(_xlfn.SWITCH(F222,"By Weight",IF(H222&lt;&gt;"",H222,G222)/AR222,"By Length",G222,"By Imp",G222/MAX(1,ROUNDDOWN(E222/I222,0))*J222/1000,"IMP",G222/MAX(1,ROUNDDOWN(E222/I222,0))*J222/1000,""),"")</f>
        <v>12291.052114060962</v>
      </c>
      <c r="Q222" s="916">
        <f t="shared" si="66"/>
        <v>100</v>
      </c>
      <c r="R222" s="917">
        <f t="shared" si="67"/>
        <v>4692.8651675309229</v>
      </c>
      <c r="S222" s="918">
        <f t="shared" si="68"/>
        <v>5443.7235943358701</v>
      </c>
      <c r="T222" s="919">
        <f t="shared" si="69"/>
        <v>46.928651675309233</v>
      </c>
      <c r="U222" s="920">
        <f t="shared" si="70"/>
        <v>54.437235943358708</v>
      </c>
      <c r="V222" s="919">
        <f t="shared" si="71"/>
        <v>0.44919001180037282</v>
      </c>
      <c r="W222" s="919">
        <f t="shared" si="72"/>
        <v>55.210178441540407</v>
      </c>
      <c r="X222" s="919" t="str">
        <f t="shared" si="73"/>
        <v/>
      </c>
      <c r="Y222" s="920">
        <f t="shared" si="74"/>
        <v>0.52106041368843248</v>
      </c>
      <c r="Z222" s="920">
        <f t="shared" si="75"/>
        <v>64.043806992186873</v>
      </c>
      <c r="AA222" s="920" t="str">
        <f t="shared" si="76"/>
        <v/>
      </c>
      <c r="AB222" s="917">
        <f t="shared" si="77"/>
        <v>5521.0178441540411</v>
      </c>
      <c r="AC222" s="918">
        <f t="shared" si="78"/>
        <v>6404.3806992186874</v>
      </c>
      <c r="AD222" s="916">
        <f t="shared" si="79"/>
        <v>61455.26057030481</v>
      </c>
      <c r="AE222" s="916">
        <f t="shared" si="80"/>
        <v>500</v>
      </c>
      <c r="AF222" s="919" cm="1">
        <f t="array" ref="AF222">IFERROR(_xlfn.LET(_xlpm.lam,TEXT(B222,"0"),_xlpm.thick,D222,_xlpm.crit,(TEXT(HELPER!$BZ$2:$BZ$250,"0")=_xlpm.lam)*(HELPER!$CC$2:$CC$250=_xlpm.thick)*(HELPER!$BW$2:$BW$250&lt;&gt;""),_xlpm.mats,TRIM(SUBSTITUTE(_xlfn._xlws.FILTER(HELPER!$BW$2:$BW$250,_xlpm.crit),CHAR(160),"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222" s="919">
        <f>IFERROR(IF(N222="Europe to Canada",IF(Q222&lt;1000,VLOOKUP(1000,HELPER!$AG$4:$AH$8,2,FALSE)/Q222,VLOOKUP(Q222,HELPER!$AG$4:$AH$8,2,TRUE)/Q222),IF(N222="Europe to US",HELPER!$AH$2,IF(N222="Europe to Europe",HELPER!$AH$3,0))),0)</f>
        <v>34.482758620689701</v>
      </c>
      <c r="AH222" s="919" cm="1">
        <f t="array" ref="AH222">IFERROR(_xlfn.LET(_xlpm.cap,IF(O222="Quantum",760,1220),_xlpm.wUsed,E222*MAX(1,MIN(MAX(2,INT(900/E222)),INT((_xlpm.cap-50)/E222))),_xlpm.kgmUsed,AR222/E222*_xlpm.wUsed,_xlpm.lam,TEXT(B222,"0"),_xlpm.crit,(TEXT(HELPER!$BZ$2:$BZ$250,"0")=_xlpm.lam)*(HELPER!$CC$2:$CC$250=D222)*(HELPER!$BW$2:$BW$250&lt;&gt;""),_xlpm.mats,_xlfn._xlws.FILTER(HELPER!$BW$2:$BW$250,_xlpm.crit),_xlpm.realLayers,SUM((_xlpm.mats&lt;&gt;"")*ISERROR(SEARCH("EPOTAL",_xlpm.mats&amp;""))*ISERROR(SEARCH("BASONAT",_xlpm.mats&amp;""))*ISERROR(SEARCH("ADH",_xlpm.mats&amp;""))*ISERROR(SEARCH("HARDENER",_xlpm.mats&amp;""))),_xlpm.steps,MAX(0,_xlpm.realLayers-1),_xlpm.tier,IF(P222&lt;3000,1,IF(P222&lt;10000,2,IF(P222&lt;25000,3,IF(P222&lt;50000,4,IF(P222&lt;100000,5,IF(P222&lt;250000,6,7)))))),_xlpm.widthRow,IF(_xlpm.wUsed&lt;900,0,5),_xlpm.supplierRow,IF(O222="Marma",3,IF(OR(O222="Bastin",O222="Quantum"),13,0)),_xlpm.rate,INDEX('Lmntn &amp; Prntng- Marma &amp; Bastin '!$D$1:$K$22,_xlpm.supplierRow+_xlpm.widthRow,_xlpm.tier),_xlpm.rate*_xlpm.steps/_xlpm.kgmUsed),"")</f>
        <v>3.214285714285714</v>
      </c>
      <c r="AI222" s="919" cm="1">
        <f t="array" ref="AI222">IFERROR(_xlfn.LET(_xlpm.cap,IF(O222="Quantum",760,1220),_xlpm.wUsed,E222*MAX(1,MIN(MAX(2,INT(900/E222)),INT((_xlpm.cap-50)/E222))),_xlpm.kgmUsed,AR222/E222*_xlpm.wUsed,_xlpm.tier,IF(P222&lt;3000,1,IF(P222&lt;10000,2,IF(P222&lt;25000,3,IF(P222&lt;50000,4,IF(P222&lt;100000,5,IF(P222&lt;250000,6,IF(P222&lt;500000,7,8))))))),_xlpm.widthRow,IF(_xlpm.wUsed&lt;900,0,5),_xlpm.slitRow,IF(O222="Marma",7,IF(OR(O222="Bastin",O222="Quantum"),17,0)),_xlpm.slitRate,INDEX('Lmntn &amp; Prntng- Marma &amp; Bastin '!$D$1:$K$22,_xlpm.slitRow+_xlpm.widthRow,_xlpm.tier),_xlpm.numColors,IF(ISNUMBER(L222),L222,IFERROR(--RIGHT(L222,LEN(L222)-FIND("-",L222)),0)),_xlpm.printRate,IF(OR(K222&lt;&gt;"Printed",_xlpm.numColors=0),0,IF(O222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222))),MAX(_xlfn._xlws.FILTER(_xlpm.meters,(_xlpm.widths=_xlpm.qWidth)*(_xlpm.bands=_xlpm.band)))),INDEX(_xlpm.rates,_xlfn.XMATCH(1,(_xlpm.widths=_xlpm.qWidth)*(_xlpm.bands=_xlpm.band)*(_xlpm.meters=_xlpm.targetM),0))/HELPER!$AK$2),_xlfn.LET(_xlpm.colorOffset,IF(_xlpm.numColors&lt;=2,1,IF(_xlpm.numColors&lt;=4,2,3)),_xlpm.supplierRow,IF(O222="Marma",3,IF(O222="Bastin",13,0)),INDEX('Lmntn &amp; Prntng- Marma &amp; Bastin '!$D$1:$K$22,_xlpm.supplierRow+_xlpm.widthRow+_xlpm.colorOffset,_xlpm.tier)))),AH222+_xlpm.slitRate/_xlpm.kgmUsed+_xlpm.printRate/_xlpm.kgmUsed+AJ222),"")</f>
        <v>3.6694058154235143</v>
      </c>
      <c r="AJ222" s="919" cm="1">
        <f t="array" ref="AJ222">IF(OR(K222&lt;&gt;"Printed",L222=0,L222="0",L222=""),0,IFERROR(_xlfn.LET(_xlpm.lam,TEXT(B222,"0"),_xlpm.crit,(TEXT(HELPER!$BZ$2:$BZ$250,"0")=_xlpm.lam)*(HELPER!$CC$2:$CC$250=D222)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WHITE"},0)))/ROWS(_xlpm.real),_xlpm.numColors,IF(ISNUMBER(L222),L222,IFERROR(--RIGHT(L222,LEN(L222)-FIND("-",L222)),0)),HELPER!$DB$1*_xlpm.numColors*MAX(1,M222)*1.05*_xlpm.nkRatio/Q222),0))</f>
        <v>0</v>
      </c>
      <c r="AK222" s="919">
        <f t="shared" si="81"/>
        <v>2.4150000634428648</v>
      </c>
      <c r="AL222" s="919">
        <f t="shared" si="82"/>
        <v>449.19001180037282</v>
      </c>
      <c r="AM222" s="73" t="str">
        <f t="shared" si="83"/>
        <v>PASS</v>
      </c>
      <c r="AN222" s="908" t="str">
        <f t="shared" si="84"/>
        <v/>
      </c>
      <c r="AO222" s="919">
        <f t="shared" si="85"/>
        <v>55</v>
      </c>
      <c r="AP222" s="919">
        <f t="shared" si="86"/>
        <v>12291.052114060962</v>
      </c>
      <c r="AQ222" s="919"/>
      <c r="AR222" s="919" cm="1">
        <f t="array" ref="AR222">IFERROR(_xlfn.LET(_xlpm.lam,TEXT(B222,"0"),_xlpm.thick,D222,_xlpm.crit,(TEXT(HELPER!$BZ$2:$BZ$250,"0")=_xlpm.lam)*(HELPER!$CC$2:$CC$250=_xlpm.thick)*(HELPER!$BW$2:$BW$250&lt;&gt;""),_xlpm.mats,TRIM(SUBSTITUTE(_xlfn._xlws.FILTER(HELPER!$BW$2:$BW$250,_xlpm.crit),CHAR(160),"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")),HELPER!$AQ$2:$AQ$20,1),_xlpm.mass,IF(ISNUMBER(SEARCH("paper",_xlpm.mats)),42,_xlpm.dens*_xlpm.ths),E222/1000000*SUM(_xlpm.mass)),"")</f>
        <v>8.1360000000000009E-3</v>
      </c>
      <c r="AS222" s="919">
        <f>IFERROR(IF(D222&gt;31,(5%+250/P222)*AF222,VLOOKUP(D222,HELPER!$BH$3:$BI$5,2,TRUE)*AF222),0)</f>
        <v>0.57676823477123895</v>
      </c>
      <c r="AT222" s="919">
        <v>0.15000000000000199</v>
      </c>
      <c r="AU222" s="919"/>
      <c r="AV222" s="919"/>
      <c r="AW222" s="919"/>
      <c r="AX222" s="919"/>
      <c r="AY222" s="919"/>
      <c r="AZ222" s="919">
        <f t="shared" si="87"/>
        <v>0</v>
      </c>
    </row>
    <row r="223" spans="1:52">
      <c r="A223" s="73" t="s">
        <v>2252</v>
      </c>
      <c r="B223" s="73">
        <v>748</v>
      </c>
      <c r="C223" s="908" t="s">
        <v>2214</v>
      </c>
      <c r="D223" s="915" cm="1">
        <f t="array" ref="D22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3" s="915">
        <v>350</v>
      </c>
      <c r="F223" s="73" t="s">
        <v>560</v>
      </c>
      <c r="G223" s="916">
        <v>5000</v>
      </c>
      <c r="H223" s="916">
        <v>5000</v>
      </c>
      <c r="I223" s="916"/>
      <c r="J223" s="916"/>
      <c r="K223" s="73" t="s">
        <v>123</v>
      </c>
      <c r="L223" s="921" t="s">
        <v>122</v>
      </c>
      <c r="M223" s="915">
        <v>4</v>
      </c>
      <c r="N223" s="73" t="s">
        <v>548</v>
      </c>
      <c r="O223" s="73" t="s">
        <v>1366</v>
      </c>
      <c r="P223" s="916" cm="1">
        <f t="array" ref="P223">IFERROR(_xlfn.SWITCH(F223,"By Weight",IF(H223&lt;&gt;"",H223,G223)/AR223,"By Length",G223,"By Imp",G223/MAX(1,ROUNDDOWN(E223/I223,0))*J223/1000,"IMP",G223/MAX(1,ROUNDDOWN(E223/I223,0))*J223/1000,""),"")</f>
        <v>210703.75052675934</v>
      </c>
      <c r="Q223" s="916">
        <f t="shared" si="66"/>
        <v>5000</v>
      </c>
      <c r="R223" s="917">
        <f t="shared" si="67"/>
        <v>156789.43314575616</v>
      </c>
      <c r="S223" s="918">
        <f t="shared" si="68"/>
        <v>181875.74244907714</v>
      </c>
      <c r="T223" s="919">
        <f t="shared" si="69"/>
        <v>31.357886629151235</v>
      </c>
      <c r="U223" s="920">
        <f t="shared" si="70"/>
        <v>36.37514848981543</v>
      </c>
      <c r="V223" s="919">
        <f t="shared" si="71"/>
        <v>0.87543841142324685</v>
      </c>
      <c r="W223" s="919">
        <f t="shared" si="72"/>
        <v>36.891631328413261</v>
      </c>
      <c r="X223" s="919" t="str">
        <f t="shared" si="73"/>
        <v/>
      </c>
      <c r="Y223" s="920">
        <f t="shared" si="74"/>
        <v>1.0155085572509663</v>
      </c>
      <c r="Z223" s="920">
        <f t="shared" si="75"/>
        <v>42.79429234095938</v>
      </c>
      <c r="AA223" s="920" t="str">
        <f t="shared" si="76"/>
        <v/>
      </c>
      <c r="AB223" s="917">
        <f t="shared" si="77"/>
        <v>184458.15664206631</v>
      </c>
      <c r="AC223" s="918">
        <f t="shared" si="78"/>
        <v>213971.46170479691</v>
      </c>
      <c r="AD223" s="916">
        <f t="shared" si="79"/>
        <v>21070.375052675932</v>
      </c>
      <c r="AE223" s="916">
        <f t="shared" si="80"/>
        <v>500</v>
      </c>
      <c r="AF223" s="919" cm="1">
        <f t="array" ref="AF223">IFERROR(_xlfn.LET(_xlpm.lam,TEXT(B223,"0"),_xlpm.thick,D223,_xlpm.crit,(TEXT(HELPER!$BZ$2:$BZ$250,"0")=_xlpm.lam)*(HELPER!$CC$2:$CC$250=_xlpm.thick)*(HELPER!$BW$2:$BW$250&lt;&gt;""),_xlpm.mats,TRIM(SUBSTITUTE(_xlfn._xlws.FILTER(HELPER!$BW$2:$BW$250,_xlpm.crit),CHAR(160),"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223" s="919">
        <f>IFERROR(IF(N223="Europe to Canada",IF(Q223&lt;1000,VLOOKUP(1000,HELPER!$AG$4:$AH$8,2,FALSE)/Q223,VLOOKUP(Q223,HELPER!$AG$4:$AH$8,2,TRUE)/Q223),IF(N223="Europe to US",HELPER!$AH$2,IF(N223="Europe to Europe",HELPER!$AH$3,0))),0)</f>
        <v>1.8448275862068959</v>
      </c>
      <c r="AH223" s="919" cm="1">
        <f t="array" ref="AH223">IFERROR(_xlfn.LET(_xlpm.cap,IF(O223="Quantum",760,1220),_xlpm.wUsed,E223*MAX(1,MIN(MAX(2,INT(900/E223)),INT((_xlpm.cap-50)/E223))),_xlpm.kgmUsed,AR223/E223*_xlpm.wUsed,_xlpm.lam,TEXT(B223,"0"),_xlpm.crit,(TEXT(HELPER!$BZ$2:$BZ$250,"0")=_xlpm.lam)*(HELPER!$CC$2:$CC$250=D223)*(HELPER!$BW$2:$BW$250&lt;&gt;""),_xlpm.mats,_xlfn._xlws.FILTER(HELPER!$BW$2:$BW$250,_xlpm.crit),_xlpm.realLayers,SUM((_xlpm.mats&lt;&gt;"")*ISERROR(SEARCH("EPOTAL",_xlpm.mats&amp;""))*ISERROR(SEARCH("BASONAT",_xlpm.mats&amp;""))*ISERROR(SEARCH("ADH",_xlpm.mats&amp;""))*ISERROR(SEARCH("HARDENER",_xlpm.mats&amp;""))),_xlpm.steps,MAX(0,_xlpm.realLayers-1),_xlpm.tier,IF(P223&lt;3000,1,IF(P223&lt;10000,2,IF(P223&lt;25000,3,IF(P223&lt;50000,4,IF(P223&lt;100000,5,IF(P223&lt;250000,6,7)))))),_xlpm.widthRow,IF(_xlpm.wUsed&lt;900,0,5),_xlpm.supplierRow,IF(O223="Marma",3,IF(OR(O223="Bastin",O223="Quantum"),13,0)),_xlpm.rate,INDEX('Lmntn &amp; Prntng- Marma &amp; Bastin '!$D$1:$K$22,_xlpm.supplierRow+_xlpm.widthRow,_xlpm.tier),_xlpm.rate*_xlpm.steps/_xlpm.kgmUsed),"")</f>
        <v>4.6001264222503151</v>
      </c>
      <c r="AI223" s="919" cm="1">
        <f t="array" ref="AI223">IFERROR(_xlfn.LET(_xlpm.cap,IF(O223="Quantum",760,1220),_xlpm.wUsed,E223*MAX(1,MIN(MAX(2,INT(900/E223)),INT((_xlpm.cap-50)/E223))),_xlpm.kgmUsed,AR223/E223*_xlpm.wUsed,_xlpm.tier,IF(P223&lt;3000,1,IF(P223&lt;10000,2,IF(P223&lt;25000,3,IF(P223&lt;50000,4,IF(P223&lt;100000,5,IF(P223&lt;250000,6,IF(P223&lt;500000,7,8))))))),_xlpm.widthRow,IF(_xlpm.wUsed&lt;900,0,5),_xlpm.slitRow,IF(O223="Marma",7,IF(OR(O223="Bastin",O223="Quantum"),17,0)),_xlpm.slitRate,INDEX('Lmntn &amp; Prntng- Marma &amp; Bastin '!$D$1:$K$22,_xlpm.slitRow+_xlpm.widthRow,_xlpm.tier),_xlpm.numColors,IF(ISNUMBER(L223),L223,IFERROR(--RIGHT(L223,LEN(L223)-FIND("-",L223)),0)),_xlpm.printRate,IF(OR(K223&lt;&gt;"Printed",_xlpm.numColors=0),0,IF(O223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223))),MAX(_xlfn._xlws.FILTER(_xlpm.meters,(_xlpm.widths=_xlpm.qWidth)*(_xlpm.bands=_xlpm.band)))),INDEX(_xlpm.rates,_xlfn.XMATCH(1,(_xlpm.widths=_xlpm.qWidth)*(_xlpm.bands=_xlpm.band)*(_xlpm.meters=_xlpm.targetM),0))/HELPER!$AK$2),_xlfn.LET(_xlpm.colorOffset,IF(_xlpm.numColors&lt;=2,1,IF(_xlpm.numColors&lt;=4,2,3)),_xlpm.supplierRow,IF(O223="Marma",3,IF(O223="Bastin",13,0)),INDEX('Lmntn &amp; Prntng- Marma &amp; Bastin '!$D$1:$K$22,_xlpm.supplierRow+_xlpm.widthRow+_xlpm.colorOffset,_xlpm.tier)))),AH223+_xlpm.slitRate/_xlpm.kgmUsed+_xlpm.printRate/_xlpm.kgmUsed+AJ223),"")</f>
        <v>20.893625121699575</v>
      </c>
      <c r="AJ223" s="919" cm="1">
        <f t="array" ref="AJ223">IF(OR(K223&lt;&gt;"Printed",L223=0,L223="0",L223=""),0,IFERROR(_xlfn.LET(_xlpm.lam,TEXT(B223,"0"),_xlpm.crit,(TEXT(HELPER!$BZ$2:$BZ$250,"0")=_xlpm.lam)*(HELPER!$CC$2:$CC$250=D223)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WHITE"},0)))/ROWS(_xlpm.real),_xlpm.numColors,IF(ISNUMBER(L223),L223,IFERROR(--RIGHT(L223,LEN(L223)-FIND("-",L223)),0)),HELPER!$DB$1*_xlpm.numColors*MAX(1,M223)*1.05*_xlpm.nkRatio/Q223),0))</f>
        <v>0</v>
      </c>
      <c r="AK223" s="919">
        <f t="shared" si="81"/>
        <v>1.6137113574622062</v>
      </c>
      <c r="AL223" s="919">
        <f t="shared" si="82"/>
        <v>875.43841142324686</v>
      </c>
      <c r="AM223" s="73" t="str">
        <f t="shared" si="83"/>
        <v>PASS</v>
      </c>
      <c r="AN223" s="908" t="str">
        <f t="shared" si="84"/>
        <v/>
      </c>
      <c r="AO223" s="919">
        <f t="shared" si="85"/>
        <v>55</v>
      </c>
      <c r="AP223" s="919">
        <f t="shared" si="86"/>
        <v>210703.75052675934</v>
      </c>
      <c r="AQ223" s="919"/>
      <c r="AR223" s="919" cm="1">
        <f t="array" ref="AR223">IFERROR(_xlfn.LET(_xlpm.lam,TEXT(B223,"0"),_xlpm.thick,D223,_xlpm.crit,(TEXT(HELPER!$BZ$2:$BZ$250,"0")=_xlpm.lam)*(HELPER!$CC$2:$CC$250=_xlpm.thick)*(HELPER!$BW$2:$BW$250&lt;&gt;""),_xlpm.mats,TRIM(SUBSTITUTE(_xlfn._xlws.FILTER(HELPER!$BW$2:$BW$250,_xlpm.crit),CHAR(160),"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")),HELPER!$AQ$2:$AQ$20,1),_xlpm.mass,IF(ISNUMBER(SEARCH("paper",_xlpm.mats)),42,_xlpm.dens*_xlpm.ths),E223/1000000*SUM(_xlpm.mass)),"")</f>
        <v>2.3730000000000005E-2</v>
      </c>
      <c r="AS223" s="919">
        <f>IFERROR(IF(D223&gt;31,(5%+250/P223)*AF223,VLOOKUP(D223,HELPER!$BH$3:$BI$5,2,TRUE)*AF223),0)</f>
        <v>0.41971491681998885</v>
      </c>
      <c r="AT223" s="919">
        <v>0.15000000000000099</v>
      </c>
      <c r="AU223" s="919"/>
      <c r="AV223" s="919"/>
      <c r="AW223" s="919"/>
      <c r="AX223" s="919"/>
      <c r="AY223" s="919"/>
      <c r="AZ223" s="919">
        <f t="shared" si="87"/>
        <v>0</v>
      </c>
    </row>
    <row r="224" spans="1:52">
      <c r="A224" s="73" t="s">
        <v>2253</v>
      </c>
      <c r="B224" s="73">
        <v>748</v>
      </c>
      <c r="C224" s="908" t="s">
        <v>2216</v>
      </c>
      <c r="D224" s="915" cm="1">
        <f t="array" ref="D22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4" s="915">
        <v>350</v>
      </c>
      <c r="F224" s="73" t="s">
        <v>561</v>
      </c>
      <c r="G224" s="916">
        <v>2000</v>
      </c>
      <c r="H224" s="916"/>
      <c r="I224" s="916"/>
      <c r="J224" s="916"/>
      <c r="K224" s="73" t="s">
        <v>124</v>
      </c>
      <c r="L224" s="921" t="s">
        <v>221</v>
      </c>
      <c r="M224" s="915">
        <v>1</v>
      </c>
      <c r="N224" s="73" t="s">
        <v>548</v>
      </c>
      <c r="O224" s="73" t="s">
        <v>240</v>
      </c>
      <c r="P224" s="916" cm="1">
        <f t="array" ref="P224">IFERROR(_xlfn.SWITCH(F224,"By Weight",IF(H224&lt;&gt;"",H224,G224)/AR224,"By Length",G224,"By Imp",G224/MAX(1,ROUNDDOWN(E224/I224,0))*J224/1000,"IMP",G224/MAX(1,ROUNDDOWN(E224/I224,0))*J224/1000,""),"")</f>
        <v>2000</v>
      </c>
      <c r="Q224" s="916">
        <f t="shared" si="66"/>
        <v>47.460000000000008</v>
      </c>
      <c r="R224" s="917">
        <f t="shared" si="67"/>
        <v>4254.4312922102199</v>
      </c>
      <c r="S224" s="918">
        <f t="shared" si="68"/>
        <v>4935.1402989638545</v>
      </c>
      <c r="T224" s="919">
        <f t="shared" si="69"/>
        <v>89.642462962710056</v>
      </c>
      <c r="U224" s="920">
        <f t="shared" si="70"/>
        <v>103.98525703674366</v>
      </c>
      <c r="V224" s="919">
        <f t="shared" si="71"/>
        <v>2.6590195576314075</v>
      </c>
      <c r="W224" s="919">
        <f t="shared" si="72"/>
        <v>112.05307870338841</v>
      </c>
      <c r="X224" s="919" t="str">
        <f t="shared" si="73"/>
        <v/>
      </c>
      <c r="Y224" s="920">
        <f t="shared" si="74"/>
        <v>3.0844626868524325</v>
      </c>
      <c r="Z224" s="920">
        <f t="shared" si="75"/>
        <v>129.98157129593054</v>
      </c>
      <c r="AA224" s="920" t="str">
        <f t="shared" si="76"/>
        <v/>
      </c>
      <c r="AB224" s="917">
        <f t="shared" si="77"/>
        <v>5318.0391152628144</v>
      </c>
      <c r="AC224" s="918">
        <f t="shared" si="78"/>
        <v>6168.9253737048639</v>
      </c>
      <c r="AD224" s="916">
        <f t="shared" si="79"/>
        <v>21070.375052675932</v>
      </c>
      <c r="AE224" s="916">
        <f t="shared" si="80"/>
        <v>500</v>
      </c>
      <c r="AF224" s="919" cm="1">
        <f t="array" ref="AF224">IFERROR(_xlfn.LET(_xlpm.lam,TEXT(B224,"0"),_xlpm.thick,D224,_xlpm.crit,(TEXT(HELPER!$BZ$2:$BZ$250,"0")=_xlpm.lam)*(HELPER!$CC$2:$CC$250=_xlpm.thick)*(HELPER!$BW$2:$BW$250&lt;&gt;""),_xlpm.mats,TRIM(SUBSTITUTE(_xlfn._xlws.FILTER(HELPER!$BW$2:$BW$250,_xlpm.crit),CHAR(160),"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224" s="919">
        <f>IFERROR(IF(N224="Europe to Canada",IF(Q224&lt;1000,VLOOKUP(1000,HELPER!$AG$4:$AH$8,2,FALSE)/Q224,VLOOKUP(Q224,HELPER!$AG$4:$AH$8,2,TRUE)/Q224),IF(N224="Europe to US",HELPER!$AH$2,IF(N224="Europe to Europe",HELPER!$AH$3,0))),0)</f>
        <v>72.656465698882627</v>
      </c>
      <c r="AH224" s="919" cm="1">
        <f t="array" ref="AH224">IFERROR(_xlfn.LET(_xlpm.cap,IF(O224="Quantum",760,1220),_xlpm.wUsed,E224*MAX(1,MIN(MAX(2,INT(900/E224)),INT((_xlpm.cap-50)/E224))),_xlpm.kgmUsed,AR224/E224*_xlpm.wUsed,_xlpm.lam,TEXT(B224,"0"),_xlpm.crit,(TEXT(HELPER!$BZ$2:$BZ$250,"0")=_xlpm.lam)*(HELPER!$CC$2:$CC$250=D224)*(HELPER!$BW$2:$BW$250&lt;&gt;""),_xlpm.mats,_xlfn._xlws.FILTER(HELPER!$BW$2:$BW$250,_xlpm.crit),_xlpm.realLayers,SUM((_xlpm.mats&lt;&gt;"")*ISERROR(SEARCH("EPOTAL",_xlpm.mats&amp;""))*ISERROR(SEARCH("BASONAT",_xlpm.mats&amp;""))*ISERROR(SEARCH("ADH",_xlpm.mats&amp;""))*ISERROR(SEARCH("HARDENER",_xlpm.mats&amp;""))),_xlpm.steps,MAX(0,_xlpm.realLayers-1),_xlpm.tier,IF(P224&lt;3000,1,IF(P224&lt;10000,2,IF(P224&lt;25000,3,IF(P224&lt;50000,4,IF(P224&lt;100000,5,IF(P224&lt;250000,6,7)))))),_xlpm.widthRow,IF(_xlpm.wUsed&lt;900,0,5),_xlpm.supplierRow,IF(O224="Marma",3,IF(OR(O224="Bastin",O224="Quantum"),13,0)),_xlpm.rate,INDEX('Lmntn &amp; Prntng- Marma &amp; Bastin '!$D$1:$K$22,_xlpm.supplierRow+_xlpm.widthRow,_xlpm.tier),_xlpm.rate*_xlpm.steps/_xlpm.kgmUsed),"")</f>
        <v>6.3948166877370403</v>
      </c>
      <c r="AI224" s="919" cm="1">
        <f t="array" ref="AI224">IFERROR(_xlfn.LET(_xlpm.cap,IF(O224="Quantum",760,1220),_xlpm.wUsed,E224*MAX(1,MIN(MAX(2,INT(900/E224)),INT((_xlpm.cap-50)/E224))),_xlpm.kgmUsed,AR224/E224*_xlpm.wUsed,_xlpm.tier,IF(P224&lt;3000,1,IF(P224&lt;10000,2,IF(P224&lt;25000,3,IF(P224&lt;50000,4,IF(P224&lt;100000,5,IF(P224&lt;250000,6,IF(P224&lt;500000,7,8))))))),_xlpm.widthRow,IF(_xlpm.wUsed&lt;900,0,5),_xlpm.slitRow,IF(O224="Marma",7,IF(OR(O224="Bastin",O224="Quantum"),17,0)),_xlpm.slitRate,INDEX('Lmntn &amp; Prntng- Marma &amp; Bastin '!$D$1:$K$22,_xlpm.slitRow+_xlpm.widthRow,_xlpm.tier),_xlpm.numColors,IF(ISNUMBER(L224),L224,IFERROR(--RIGHT(L224,LEN(L224)-FIND("-",L224)),0)),_xlpm.printRate,IF(OR(K224&lt;&gt;"Printed",_xlpm.numColors=0),0,IF(O224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224))),MAX(_xlfn._xlws.FILTER(_xlpm.meters,(_xlpm.widths=_xlpm.qWidth)*(_xlpm.bands=_xlpm.band)))),INDEX(_xlpm.rates,_xlfn.XMATCH(1,(_xlpm.widths=_xlpm.qWidth)*(_xlpm.bands=_xlpm.band)*(_xlpm.meters=_xlpm.targetM),0))/HELPER!$AK$2),_xlfn.LET(_xlpm.colorOffset,IF(_xlpm.numColors&lt;=2,1,IF(_xlpm.numColors&lt;=4,2,3)),_xlpm.supplierRow,IF(O224="Marma",3,IF(O224="Bastin",13,0)),INDEX('Lmntn &amp; Prntng- Marma &amp; Bastin '!$D$1:$K$22,_xlpm.supplierRow+_xlpm.widthRow+_xlpm.colorOffset,_xlpm.tier)))),AH224+_xlpm.slitRate/_xlpm.kgmUsed+_xlpm.printRate/_xlpm.kgmUsed+AJ224),"")</f>
        <v>7.3513274336283168</v>
      </c>
      <c r="AJ224" s="919" cm="1">
        <f t="array" ref="AJ224">IF(OR(K224&lt;&gt;"Printed",L224=0,L224="0",L224=""),0,IFERROR(_xlfn.LET(_xlpm.lam,TEXT(B224,"0"),_xlpm.crit,(TEXT(HELPER!$BZ$2:$BZ$250,"0")=_xlpm.lam)*(HELPER!$CC$2:$CC$250=D224)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WHITE"},0)))/ROWS(_xlpm.real),_xlpm.numColors,IF(ISNUMBER(L224),L224,IFERROR(--RIGHT(L224,LEN(L224)-FIND("-",L224)),0)),HELPER!$DB$1*_xlpm.numColors*MAX(1,M224)*1.05*_xlpm.nkRatio/Q224),0))</f>
        <v>0</v>
      </c>
      <c r="AK224" s="919">
        <f t="shared" si="81"/>
        <v>4.9014185394127328</v>
      </c>
      <c r="AL224" s="919">
        <f t="shared" si="82"/>
        <v>2659.0195576314077</v>
      </c>
      <c r="AM224" s="73" t="str">
        <f t="shared" si="83"/>
        <v>PASS</v>
      </c>
      <c r="AN224" s="908" t="str">
        <f t="shared" si="84"/>
        <v/>
      </c>
      <c r="AO224" s="919">
        <f t="shared" si="85"/>
        <v>55</v>
      </c>
      <c r="AP224" s="919">
        <f t="shared" si="86"/>
        <v>2000</v>
      </c>
      <c r="AQ224" s="919"/>
      <c r="AR224" s="919" cm="1">
        <f t="array" ref="AR224">IFERROR(_xlfn.LET(_xlpm.lam,TEXT(B224,"0"),_xlpm.thick,D224,_xlpm.crit,(TEXT(HELPER!$BZ$2:$BZ$250,"0")=_xlpm.lam)*(HELPER!$CC$2:$CC$250=_xlpm.thick)*(HELPER!$BW$2:$BW$250&lt;&gt;""),_xlpm.mats,TRIM(SUBSTITUTE(_xlfn._xlws.FILTER(HELPER!$BW$2:$BW$250,_xlpm.crit),CHAR(160),"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")),HELPER!$AQ$2:$AQ$20,1),_xlpm.mass,IF(ISNUMBER(SEARCH("paper",_xlpm.mats)),42,_xlpm.dens*_xlpm.ths),E224/1000000*SUM(_xlpm.mass)),"")</f>
        <v>2.3730000000000005E-2</v>
      </c>
      <c r="AS224" s="919">
        <f>IFERROR(IF(D224&gt;31,(5%+250/P224)*AF224,VLOOKUP(D224,HELPER!$BH$3:$BI$5,2,TRUE)*AF224),0)</f>
        <v>1.434950825774336</v>
      </c>
      <c r="AT224" s="919">
        <v>0.20000000000000601</v>
      </c>
      <c r="AU224" s="919"/>
      <c r="AV224" s="919"/>
      <c r="AW224" s="919"/>
      <c r="AX224" s="919"/>
      <c r="AY224" s="919"/>
      <c r="AZ224" s="919">
        <f t="shared" si="87"/>
        <v>0</v>
      </c>
    </row>
    <row r="225" spans="1:52">
      <c r="A225" s="73" t="s">
        <v>2254</v>
      </c>
      <c r="B225" s="73">
        <v>748</v>
      </c>
      <c r="C225" s="908" t="s">
        <v>2218</v>
      </c>
      <c r="D225" s="915" cm="1">
        <f t="array" ref="D22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5" s="915">
        <v>900</v>
      </c>
      <c r="F225" s="73" t="s">
        <v>1040</v>
      </c>
      <c r="G225" s="916">
        <v>1600000</v>
      </c>
      <c r="H225" s="916"/>
      <c r="I225" s="916">
        <v>140</v>
      </c>
      <c r="J225" s="916">
        <v>80</v>
      </c>
      <c r="K225" s="73" t="s">
        <v>123</v>
      </c>
      <c r="L225" s="921" t="s">
        <v>592</v>
      </c>
      <c r="M225" s="915">
        <v>8</v>
      </c>
      <c r="N225" s="73" t="s">
        <v>548</v>
      </c>
      <c r="O225" s="73" t="s">
        <v>250</v>
      </c>
      <c r="P225" s="916" cm="1">
        <f t="array" ref="P225">IFERROR(_xlfn.SWITCH(F225,"By Weight",IF(H225&lt;&gt;"",H225,G225)/AR225,"By Length",G225,"By Imp",G225/MAX(1,ROUNDDOWN(E225/I225,0))*J225/1000,"IMP",G225/MAX(1,ROUNDDOWN(E225/I225,0))*J225/1000,""),"")</f>
        <v>21333.333333333336</v>
      </c>
      <c r="Q225" s="916">
        <f t="shared" si="66"/>
        <v>1301.7600000000004</v>
      </c>
      <c r="R225" s="917">
        <f t="shared" si="67"/>
        <v>22837.669381192092</v>
      </c>
      <c r="S225" s="918">
        <f t="shared" si="68"/>
        <v>26491.696482182826</v>
      </c>
      <c r="T225" s="919">
        <f t="shared" si="69"/>
        <v>17.543686532995395</v>
      </c>
      <c r="U225" s="920">
        <f t="shared" si="70"/>
        <v>20.350676378274656</v>
      </c>
      <c r="V225" s="919">
        <f t="shared" si="71"/>
        <v>1.2594302967569255</v>
      </c>
      <c r="W225" s="919">
        <f t="shared" si="72"/>
        <v>20.639631215288844</v>
      </c>
      <c r="X225" s="919">
        <f t="shared" si="73"/>
        <v>1.6792403956759006E-2</v>
      </c>
      <c r="Y225" s="920">
        <f t="shared" si="74"/>
        <v>1.4609391442380335</v>
      </c>
      <c r="Z225" s="920">
        <f t="shared" si="75"/>
        <v>23.941972209735056</v>
      </c>
      <c r="AA225" s="920">
        <f t="shared" si="76"/>
        <v>1.9479188589840445E-2</v>
      </c>
      <c r="AB225" s="917">
        <f t="shared" si="77"/>
        <v>26867.846330814416</v>
      </c>
      <c r="AC225" s="918">
        <f t="shared" si="78"/>
        <v>31166.701743744721</v>
      </c>
      <c r="AD225" s="916">
        <f t="shared" si="79"/>
        <v>8194.0347427073084</v>
      </c>
      <c r="AE225" s="916">
        <f t="shared" si="80"/>
        <v>500</v>
      </c>
      <c r="AF225" s="919" cm="1">
        <f t="array" ref="AF225">IFERROR(_xlfn.LET(_xlpm.lam,TEXT(B225,"0"),_xlpm.thick,D225,_xlpm.crit,(TEXT(HELPER!$BZ$2:$BZ$250,"0")=_xlpm.lam)*(HELPER!$CC$2:$CC$250=_xlpm.thick)*(HELPER!$BW$2:$BW$250&lt;&gt;""),_xlpm.mats,TRIM(SUBSTITUTE(_xlfn._xlws.FILTER(HELPER!$BW$2:$BW$250,_xlpm.crit),CHAR(160),"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8.199719004424777</v>
      </c>
      <c r="AG225" s="919">
        <f>IFERROR(IF(N225="Europe to Canada",IF(Q225&lt;1000,VLOOKUP(1000,HELPER!$AG$4:$AH$8,2,FALSE)/Q225,VLOOKUP(Q225,HELPER!$AG$4:$AH$8,2,TRUE)/Q225),IF(N225="Europe to US",HELPER!$AH$2,IF(N225="Europe to Europe",HELPER!$AH$3,0))),0)</f>
        <v>2.6489336452717622</v>
      </c>
      <c r="AH225" s="919" cm="1">
        <f t="array" ref="AH225">IFERROR(_xlfn.LET(_xlpm.cap,IF(O225="Quantum",760,1220),_xlpm.wUsed,E225*MAX(1,MIN(MAX(2,INT(900/E225)),INT((_xlpm.cap-50)/E225))),_xlpm.kgmUsed,AR225/E225*_xlpm.wUsed,_xlpm.lam,TEXT(B225,"0"),_xlpm.crit,(TEXT(HELPER!$BZ$2:$BZ$250,"0")=_xlpm.lam)*(HELPER!$CC$2:$CC$250=D225)*(HELPER!$BW$2:$BW$250&lt;&gt;""),_xlpm.mats,_xlfn._xlws.FILTER(HELPER!$BW$2:$BW$250,_xlpm.crit),_xlpm.realLayers,SUM((_xlpm.mats&lt;&gt;"")*ISERROR(SEARCH("EPOTAL",_xlpm.mats&amp;""))*ISERROR(SEARCH("BASONAT",_xlpm.mats&amp;""))*ISERROR(SEARCH("ADH",_xlpm.mats&amp;""))*ISERROR(SEARCH("HARDENER",_xlpm.mats&amp;""))),_xlpm.steps,MAX(0,_xlpm.realLayers-1),_xlpm.tier,IF(P225&lt;3000,1,IF(P225&lt;10000,2,IF(P225&lt;25000,3,IF(P225&lt;50000,4,IF(P225&lt;100000,5,IF(P225&lt;250000,6,7)))))),_xlpm.widthRow,IF(_xlpm.wUsed&lt;900,0,5),_xlpm.supplierRow,IF(O225="Marma",3,IF(OR(O225="Bastin",O225="Quantum"),13,0)),_xlpm.rate,INDEX('Lmntn &amp; Prntng- Marma &amp; Bastin '!$D$1:$K$22,_xlpm.supplierRow+_xlpm.widthRow,_xlpm.tier),_xlpm.rate*_xlpm.steps/_xlpm.kgmUsed),"")</f>
        <v>2.9999999999999996</v>
      </c>
      <c r="AI225" s="919" cm="1">
        <f t="array" ref="AI225">IFERROR(_xlfn.LET(_xlpm.cap,IF(O225="Quantum",760,1220),_xlpm.wUsed,E225*MAX(1,MIN(MAX(2,INT(900/E225)),INT((_xlpm.cap-50)/E225))),_xlpm.kgmUsed,AR225/E225*_xlpm.wUsed,_xlpm.tier,IF(P225&lt;3000,1,IF(P225&lt;10000,2,IF(P225&lt;25000,3,IF(P225&lt;50000,4,IF(P225&lt;100000,5,IF(P225&lt;250000,6,IF(P225&lt;500000,7,8))))))),_xlpm.widthRow,IF(_xlpm.wUsed&lt;900,0,5),_xlpm.slitRow,IF(O225="Marma",7,IF(OR(O225="Bastin",O225="Quantum"),17,0)),_xlpm.slitRate,INDEX('Lmntn &amp; Prntng- Marma &amp; Bastin '!$D$1:$K$22,_xlpm.slitRow+_xlpm.widthRow,_xlpm.tier),_xlpm.numColors,IF(ISNUMBER(L225),L225,IFERROR(--RIGHT(L225,LEN(L225)-FIND("-",L225)),0)),_xlpm.printRate,IF(OR(K225&lt;&gt;"Printed",_xlpm.numColors=0),0,IF(O225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225))),MAX(_xlfn._xlws.FILTER(_xlpm.meters,(_xlpm.widths=_xlpm.qWidth)*(_xlpm.bands=_xlpm.band)))),INDEX(_xlpm.rates,_xlfn.XMATCH(1,(_xlpm.widths=_xlpm.qWidth)*(_xlpm.bands=_xlpm.band)*(_xlpm.meters=_xlpm.targetM),0))/HELPER!$AK$2),_xlfn.LET(_xlpm.colorOffset,IF(_xlpm.numColors&lt;=2,1,IF(_xlpm.numColors&lt;=4,2,3)),_xlpm.supplierRow,IF(O225="Marma",3,IF(O225="Bastin",13,0)),INDEX('Lmntn &amp; Prntng- Marma &amp; Bastin '!$D$1:$K$22,_xlpm.supplierRow+_xlpm.widthRow+_xlpm.colorOffset,_xlpm.tier)))),AH225+_xlpm.slitRate/_xlpm.kgmUsed+_xlpm.printRate/_xlpm.kgmUsed+AJ225),"")</f>
        <v>6.1889574759945116</v>
      </c>
      <c r="AJ225" s="919" cm="1">
        <f t="array" ref="AJ225">IF(OR(K225&lt;&gt;"Printed",L225=0,L225="0",L225=""),0,IFERROR(_xlfn.LET(_xlpm.lam,TEXT(B225,"0"),_xlpm.crit,(TEXT(HELPER!$BZ$2:$BZ$250,"0")=_xlpm.lam)*(HELPER!$CC$2:$CC$250=D225)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WHITE"},0)))/ROWS(_xlpm.real),_xlpm.numColors,IF(ISNUMBER(L225),L225,IFERROR(--RIGHT(L225,LEN(L225)-FIND("-",L225)),0)),HELPER!$DB$1*_xlpm.numColors*MAX(1,M225)*1.05*_xlpm.nkRatio/Q225),0))</f>
        <v>0</v>
      </c>
      <c r="AK225" s="919">
        <f t="shared" si="81"/>
        <v>0.90281741703005414</v>
      </c>
      <c r="AL225" s="919">
        <f t="shared" si="82"/>
        <v>1259.4302967569256</v>
      </c>
      <c r="AM225" s="73" t="str">
        <f t="shared" si="83"/>
        <v>PASS</v>
      </c>
      <c r="AN225" s="908" t="str">
        <f t="shared" si="84"/>
        <v/>
      </c>
      <c r="AO225" s="919">
        <f t="shared" si="85"/>
        <v>55</v>
      </c>
      <c r="AP225" s="919">
        <f t="shared" si="86"/>
        <v>21333.333333333336</v>
      </c>
      <c r="AQ225" s="919"/>
      <c r="AR225" s="919" cm="1">
        <f t="array" ref="AR225">IFERROR(_xlfn.LET(_xlpm.lam,TEXT(B225,"0"),_xlpm.thick,D225,_xlpm.crit,(TEXT(HELPER!$BZ$2:$BZ$250,"0")=_xlpm.lam)*(HELPER!$CC$2:$CC$250=_xlpm.thick)*(HELPER!$BW$2:$BW$250&lt;&gt;""),_xlpm.mats,TRIM(SUBSTITUTE(_xlfn._xlws.FILTER(HELPER!$BW$2:$BW$250,_xlpm.crit),CHAR(160),"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")),HELPER!$AQ$2:$AQ$20,1),_xlpm.mass,IF(ISNUMBER(SEARCH("paper",_xlpm.mats)),42,_xlpm.dens*_xlpm.ths),E225/1000000*SUM(_xlpm.mass)),"")</f>
        <v>6.1020000000000012E-2</v>
      </c>
      <c r="AS225" s="919">
        <f>IFERROR(IF(D225&gt;31,(5%+250/P225)*AF225,VLOOKUP(D225,HELPER!$BH$3:$BI$5,2,TRUE)*AF225),0)</f>
        <v>0.50607640730434178</v>
      </c>
      <c r="AT225" s="919">
        <v>0.15000000000000599</v>
      </c>
      <c r="AU225" s="919"/>
      <c r="AV225" s="919"/>
      <c r="AW225" s="919"/>
      <c r="AX225" s="919"/>
      <c r="AY225" s="919"/>
      <c r="AZ225" s="919">
        <f t="shared" si="87"/>
        <v>0</v>
      </c>
    </row>
    <row r="226" spans="1:52">
      <c r="A226" s="73" t="s">
        <v>2255</v>
      </c>
      <c r="B226" s="73" t="s">
        <v>1287</v>
      </c>
      <c r="C226" s="908" t="s">
        <v>2212</v>
      </c>
      <c r="D226" s="915" cm="1">
        <f t="array" ref="D22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6" s="915">
        <v>120</v>
      </c>
      <c r="F226" s="73" t="s">
        <v>560</v>
      </c>
      <c r="G226" s="916">
        <v>100</v>
      </c>
      <c r="H226" s="916">
        <v>100</v>
      </c>
      <c r="I226" s="916"/>
      <c r="J226" s="916"/>
      <c r="K226" s="73" t="s">
        <v>124</v>
      </c>
      <c r="L226" s="921" t="s">
        <v>221</v>
      </c>
      <c r="M226" s="915">
        <v>1</v>
      </c>
      <c r="N226" s="73" t="s">
        <v>548</v>
      </c>
      <c r="O226" s="73" t="s">
        <v>250</v>
      </c>
      <c r="P226" s="916" cm="1">
        <f t="array" ref="P226">IFERROR(_xlfn.SWITCH(F226,"By Weight",IF(H226&lt;&gt;"",H226,G226)/AR226,"By Length",G226,"By Imp",G226/MAX(1,ROUNDDOWN(E226/I226,0))*J226/1000,"IMP",G226/MAX(1,ROUNDDOWN(E226/I226,0))*J226/1000,""),"")</f>
        <v>7482.5656221005056</v>
      </c>
      <c r="Q226" s="916">
        <f t="shared" si="66"/>
        <v>100</v>
      </c>
      <c r="R226" s="917">
        <f t="shared" si="67"/>
        <v>4316.2373155759442</v>
      </c>
      <c r="S226" s="918">
        <f t="shared" si="68"/>
        <v>5006.8352860680952</v>
      </c>
      <c r="T226" s="919">
        <f t="shared" si="69"/>
        <v>43.16237315575944</v>
      </c>
      <c r="U226" s="920">
        <f t="shared" si="70"/>
        <v>50.068352860680946</v>
      </c>
      <c r="V226" s="919">
        <f t="shared" si="71"/>
        <v>0.72104902475354204</v>
      </c>
      <c r="W226" s="919">
        <f t="shared" si="72"/>
        <v>53.952966444699506</v>
      </c>
      <c r="X226" s="919" t="str">
        <f t="shared" si="73"/>
        <v/>
      </c>
      <c r="Y226" s="920">
        <f t="shared" si="74"/>
        <v>0.8364168687141087</v>
      </c>
      <c r="Z226" s="920">
        <f t="shared" si="75"/>
        <v>62.585441075851421</v>
      </c>
      <c r="AA226" s="920" t="str">
        <f t="shared" si="76"/>
        <v/>
      </c>
      <c r="AB226" s="917">
        <f t="shared" si="77"/>
        <v>5395.2966444699505</v>
      </c>
      <c r="AC226" s="918">
        <f t="shared" si="78"/>
        <v>6258.5441075851422</v>
      </c>
      <c r="AD226" s="916">
        <f t="shared" si="79"/>
        <v>37412.828110502531</v>
      </c>
      <c r="AE226" s="916">
        <f t="shared" si="80"/>
        <v>500</v>
      </c>
      <c r="AF226" s="919" cm="1">
        <f t="array" ref="AF226">IFERROR(_xlfn.LET(_xlpm.lam,TEXT(B226,"0"),_xlpm.thick,D226,_xlpm.crit,(TEXT(HELPER!$BZ$2:$BZ$250,"0")=_xlpm.lam)*(HELPER!$CC$2:$CC$250=_xlpm.thick)*(HELPER!$BW$2:$BW$250&lt;&gt;""),_xlpm.mats,TRIM(SUBSTITUTE(_xlfn._xlws.FILTER(HELPER!$BW$2:$BW$250,_xlpm.crit),CHAR(160),"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6" s="919">
        <f>IFERROR(IF(N226="Europe to Canada",IF(Q226&lt;1000,VLOOKUP(1000,HELPER!$AG$4:$AH$8,2,FALSE)/Q226,VLOOKUP(Q226,HELPER!$AG$4:$AH$8,2,TRUE)/Q226),IF(N226="Europe to US",HELPER!$AH$2,IF(N226="Europe to Europe",HELPER!$AH$3,0))),0)</f>
        <v>34.482758620689701</v>
      </c>
      <c r="AH226" s="919" cm="1">
        <f t="array" ref="AH226">IFERROR(_xlfn.LET(_xlpm.cap,IF(O226="Quantum",760,1220),_xlpm.wUsed,E226*MAX(1,MIN(MAX(2,INT(900/E226)),INT((_xlpm.cap-50)/E226))),_xlpm.kgmUsed,AR226/E226*_xlpm.wUsed,_xlpm.lam,TEXT(B226,"0"),_xlpm.crit,(TEXT(HELPER!$BZ$2:$BZ$250,"0")=_xlpm.lam)*(HELPER!$CC$2:$CC$250=D226)*(HELPER!$BW$2:$BW$250&lt;&gt;""),_xlpm.mats,_xlfn._xlws.FILTER(HELPER!$BW$2:$BW$250,_xlpm.crit),_xlpm.realLayers,SUM((_xlpm.mats&lt;&gt;"")*ISERROR(SEARCH("EPOTAL",_xlpm.mats&amp;""))*ISERROR(SEARCH("BASONAT",_xlpm.mats&amp;""))*ISERROR(SEARCH("ADH",_xlpm.mats&amp;""))*ISERROR(SEARCH("HARDENER",_xlpm.mats&amp;""))),_xlpm.steps,MAX(0,_xlpm.realLayers-1),_xlpm.tier,IF(P226&lt;3000,1,IF(P226&lt;10000,2,IF(P226&lt;25000,3,IF(P226&lt;50000,4,IF(P226&lt;100000,5,IF(P226&lt;250000,6,7)))))),_xlpm.widthRow,IF(_xlpm.wUsed&lt;900,0,5),_xlpm.supplierRow,IF(O226="Marma",3,IF(OR(O226="Bastin",O226="Quantum"),13,0)),_xlpm.rate,INDEX('Lmntn &amp; Prntng- Marma &amp; Bastin '!$D$1:$K$22,_xlpm.supplierRow+_xlpm.widthRow,_xlpm.tier),_xlpm.rate*_xlpm.steps/_xlpm.kgmUsed),"")</f>
        <v>2.2261701663695019</v>
      </c>
      <c r="AI226" s="919" cm="1">
        <f t="array" ref="AI226">IFERROR(_xlfn.LET(_xlpm.cap,IF(O226="Quantum",760,1220),_xlpm.wUsed,E226*MAX(1,MIN(MAX(2,INT(900/E226)),INT((_xlpm.cap-50)/E226))),_xlpm.kgmUsed,AR226/E226*_xlpm.wUsed,_xlpm.tier,IF(P226&lt;3000,1,IF(P226&lt;10000,2,IF(P226&lt;25000,3,IF(P226&lt;50000,4,IF(P226&lt;100000,5,IF(P226&lt;250000,6,IF(P226&lt;500000,7,8))))))),_xlpm.widthRow,IF(_xlpm.wUsed&lt;900,0,5),_xlpm.slitRow,IF(O226="Marma",7,IF(OR(O226="Bastin",O226="Quantum"),17,0)),_xlpm.slitRate,INDEX('Lmntn &amp; Prntng- Marma &amp; Bastin '!$D$1:$K$22,_xlpm.slitRow+_xlpm.widthRow,_xlpm.tier),_xlpm.numColors,IF(ISNUMBER(L226),L226,IFERROR(--RIGHT(L226,LEN(L226)-FIND("-",L226)),0)),_xlpm.printRate,IF(OR(K226&lt;&gt;"Printed",_xlpm.numColors=0),0,IF(O226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226))),MAX(_xlfn._xlws.FILTER(_xlpm.meters,(_xlpm.widths=_xlpm.qWidth)*(_xlpm.bands=_xlpm.band)))),INDEX(_xlpm.rates,_xlfn.XMATCH(1,(_xlpm.widths=_xlpm.qWidth)*(_xlpm.bands=_xlpm.band)*(_xlpm.meters=_xlpm.targetM),0))/HELPER!$AK$2),_xlfn.LET(_xlpm.colorOffset,IF(_xlpm.numColors&lt;=2,1,IF(_xlpm.numColors&lt;=4,2,3)),_xlpm.supplierRow,IF(O226="Marma",3,IF(O226="Bastin",13,0)),INDEX('Lmntn &amp; Prntng- Marma &amp; Bastin '!$D$1:$K$22,_xlpm.supplierRow+_xlpm.widthRow+_xlpm.colorOffset,_xlpm.tier)))),AH226+_xlpm.slitRate/_xlpm.kgmUsed+_xlpm.printRate/_xlpm.kgmUsed+AJ226),"")</f>
        <v>2.5513410895470696</v>
      </c>
      <c r="AJ226" s="919" cm="1">
        <f t="array" ref="AJ226">IF(OR(K226&lt;&gt;"Printed",L226=0,L226="0",L226=""),0,IFERROR(_xlfn.LET(_xlpm.lam,TEXT(B226,"0"),_xlpm.crit,(TEXT(HELPER!$BZ$2:$BZ$250,"0")=_xlpm.lam)*(HELPER!$CC$2:$CC$250=D226)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WHITE"},0)))/ROWS(_xlpm.real),_xlpm.numColors,IF(ISNUMBER(L226),L226,IFERROR(--RIGHT(L226,LEN(L226)-FIND("-",L226)),0)),HELPER!$DB$1*_xlpm.numColors*MAX(1,M226)*1.05*_xlpm.nkRatio/Q226),0))</f>
        <v>0</v>
      </c>
      <c r="AK226" s="919">
        <f t="shared" si="81"/>
        <v>3.8766076599652797</v>
      </c>
      <c r="AL226" s="919">
        <f t="shared" si="82"/>
        <v>721.04902475354208</v>
      </c>
      <c r="AM226" s="73" t="str">
        <f t="shared" si="83"/>
        <v>PASS</v>
      </c>
      <c r="AN226" s="908" t="str">
        <f t="shared" si="84"/>
        <v/>
      </c>
      <c r="AO226" s="919">
        <f t="shared" si="85"/>
        <v>103</v>
      </c>
      <c r="AP226" s="919">
        <f t="shared" si="86"/>
        <v>7482.5656221005056</v>
      </c>
      <c r="AQ226" s="919"/>
      <c r="AR226" s="919" cm="1">
        <f t="array" ref="AR226">IFERROR(_xlfn.LET(_xlpm.lam,TEXT(B226,"0"),_xlpm.thick,D226,_xlpm.crit,(TEXT(HELPER!$BZ$2:$BZ$250,"0")=_xlpm.lam)*(HELPER!$CC$2:$CC$250=_xlpm.thick)*(HELPER!$BW$2:$BW$250&lt;&gt;""),_xlpm.mats,TRIM(SUBSTITUTE(_xlfn._xlws.FILTER(HELPER!$BW$2:$BW$250,_xlpm.crit),CHAR(160),"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")),HELPER!$AQ$2:$AQ$20,1),_xlpm.mass,IF(ISNUMBER(SEARCH("paper",_xlpm.mats)),42,_xlpm.dens*_xlpm.ths),E226/1000000*SUM(_xlpm.mass)),"")</f>
        <v>1.33644E-2</v>
      </c>
      <c r="AS226" s="919">
        <f>IFERROR(IF(D226&gt;31,(5%+250/P226)*AF226,VLOOKUP(D226,HELPER!$BH$3:$BI$5,2,TRUE)*AF226),0)</f>
        <v>0.47181117448917459</v>
      </c>
      <c r="AT226" s="919">
        <v>0.20000000000000301</v>
      </c>
      <c r="AU226" s="919"/>
      <c r="AV226" s="919"/>
      <c r="AW226" s="919"/>
      <c r="AX226" s="919"/>
      <c r="AY226" s="919"/>
      <c r="AZ226" s="919">
        <f t="shared" si="87"/>
        <v>0</v>
      </c>
    </row>
    <row r="227" spans="1:52">
      <c r="A227" s="73" t="s">
        <v>2256</v>
      </c>
      <c r="B227" s="73" t="s">
        <v>1287</v>
      </c>
      <c r="C227" s="908" t="s">
        <v>2214</v>
      </c>
      <c r="D227" s="915" cm="1">
        <f t="array" ref="D22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7" s="915">
        <v>350</v>
      </c>
      <c r="F227" s="73" t="s">
        <v>560</v>
      </c>
      <c r="G227" s="916">
        <v>5000</v>
      </c>
      <c r="H227" s="916">
        <v>5000</v>
      </c>
      <c r="I227" s="916"/>
      <c r="J227" s="916"/>
      <c r="K227" s="73" t="s">
        <v>123</v>
      </c>
      <c r="L227" s="921" t="s">
        <v>122</v>
      </c>
      <c r="M227" s="915">
        <v>4</v>
      </c>
      <c r="N227" s="73" t="s">
        <v>548</v>
      </c>
      <c r="O227" s="73" t="s">
        <v>1366</v>
      </c>
      <c r="P227" s="916" cm="1">
        <f t="array" ref="P227">IFERROR(_xlfn.SWITCH(F227,"By Weight",IF(H227&lt;&gt;"",H227,G227)/AR227,"By Length",G227,"By Imp",G227/MAX(1,ROUNDDOWN(E227/I227,0))*J227/1000,"IMP",G227/MAX(1,ROUNDDOWN(E227/I227,0))*J227/1000,""),"")</f>
        <v>128272.55352172296</v>
      </c>
      <c r="Q227" s="916">
        <f t="shared" si="66"/>
        <v>5000</v>
      </c>
      <c r="R227" s="917">
        <f t="shared" si="67"/>
        <v>104253.95265759314</v>
      </c>
      <c r="S227" s="918">
        <f t="shared" si="68"/>
        <v>120934.58508280803</v>
      </c>
      <c r="T227" s="919">
        <f t="shared" si="69"/>
        <v>20.850790531518626</v>
      </c>
      <c r="U227" s="920">
        <f t="shared" si="70"/>
        <v>24.186917016561605</v>
      </c>
      <c r="V227" s="919">
        <f t="shared" si="71"/>
        <v>0.95618045826274156</v>
      </c>
      <c r="W227" s="919">
        <f t="shared" si="72"/>
        <v>24.530341801786619</v>
      </c>
      <c r="X227" s="919" t="str">
        <f t="shared" si="73"/>
        <v/>
      </c>
      <c r="Y227" s="920">
        <f t="shared" si="74"/>
        <v>1.1091693315847801</v>
      </c>
      <c r="Z227" s="920">
        <f t="shared" si="75"/>
        <v>28.455196490072478</v>
      </c>
      <c r="AA227" s="920" t="str">
        <f t="shared" si="76"/>
        <v/>
      </c>
      <c r="AB227" s="917">
        <f t="shared" si="77"/>
        <v>122651.7090089331</v>
      </c>
      <c r="AC227" s="918">
        <f t="shared" si="78"/>
        <v>142275.98245036238</v>
      </c>
      <c r="AD227" s="916">
        <f t="shared" si="79"/>
        <v>12827.255352172295</v>
      </c>
      <c r="AE227" s="916">
        <f t="shared" si="80"/>
        <v>500</v>
      </c>
      <c r="AF227" s="919" cm="1">
        <f t="array" ref="AF227">IFERROR(_xlfn.LET(_xlpm.lam,TEXT(B227,"0"),_xlpm.thick,D227,_xlpm.crit,(TEXT(HELPER!$BZ$2:$BZ$250,"0")=_xlpm.lam)*(HELPER!$CC$2:$CC$250=_xlpm.thick)*(HELPER!$BW$2:$BW$250&lt;&gt;""),_xlpm.mats,TRIM(SUBSTITUTE(_xlfn._xlws.FILTER(HELPER!$BW$2:$BW$250,_xlpm.crit),CHAR(160),"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7" s="919">
        <f>IFERROR(IF(N227="Europe to Canada",IF(Q227&lt;1000,VLOOKUP(1000,HELPER!$AG$4:$AH$8,2,FALSE)/Q227,VLOOKUP(Q227,HELPER!$AG$4:$AH$8,2,TRUE)/Q227),IF(N227="Europe to US",HELPER!$AH$2,IF(N227="Europe to Europe",HELPER!$AH$3,0))),0)</f>
        <v>1.8448275862068959</v>
      </c>
      <c r="AH227" s="919" cm="1">
        <f t="array" ref="AH227">IFERROR(_xlfn.LET(_xlpm.cap,IF(O227="Quantum",760,1220),_xlpm.wUsed,E227*MAX(1,MIN(MAX(2,INT(900/E227)),INT((_xlpm.cap-50)/E227))),_xlpm.kgmUsed,AR227/E227*_xlpm.wUsed,_xlpm.lam,TEXT(B227,"0"),_xlpm.crit,(TEXT(HELPER!$BZ$2:$BZ$250,"0")=_xlpm.lam)*(HELPER!$CC$2:$CC$250=D227)*(HELPER!$BW$2:$BW$250&lt;&gt;""),_xlpm.mats,_xlfn._xlws.FILTER(HELPER!$BW$2:$BW$250,_xlpm.crit),_xlpm.realLayers,SUM((_xlpm.mats&lt;&gt;"")*ISERROR(SEARCH("EPOTAL",_xlpm.mats&amp;""))*ISERROR(SEARCH("BASONAT",_xlpm.mats&amp;""))*ISERROR(SEARCH("ADH",_xlpm.mats&amp;""))*ISERROR(SEARCH("HARDENER",_xlpm.mats&amp;""))),_xlpm.steps,MAX(0,_xlpm.realLayers-1),_xlpm.tier,IF(P227&lt;3000,1,IF(P227&lt;10000,2,IF(P227&lt;25000,3,IF(P227&lt;50000,4,IF(P227&lt;100000,5,IF(P227&lt;250000,6,7)))))),_xlpm.widthRow,IF(_xlpm.wUsed&lt;900,0,5),_xlpm.supplierRow,IF(O227="Marma",3,IF(OR(O227="Bastin",O227="Quantum"),13,0)),_xlpm.rate,INDEX('Lmntn &amp; Prntng- Marma &amp; Bastin '!$D$1:$K$22,_xlpm.supplierRow+_xlpm.widthRow,_xlpm.tier),_xlpm.rate*_xlpm.steps/_xlpm.kgmUsed),"")</f>
        <v>2.8004720429969603</v>
      </c>
      <c r="AI227" s="919" cm="1">
        <f t="array" ref="AI227">IFERROR(_xlfn.LET(_xlpm.cap,IF(O227="Quantum",760,1220),_xlpm.wUsed,E227*MAX(1,MIN(MAX(2,INT(900/E227)),INT((_xlpm.cap-50)/E227))),_xlpm.kgmUsed,AR227/E227*_xlpm.wUsed,_xlpm.tier,IF(P227&lt;3000,1,IF(P227&lt;10000,2,IF(P227&lt;25000,3,IF(P227&lt;50000,4,IF(P227&lt;100000,5,IF(P227&lt;250000,6,IF(P227&lt;500000,7,8))))))),_xlpm.widthRow,IF(_xlpm.wUsed&lt;900,0,5),_xlpm.slitRow,IF(O227="Marma",7,IF(OR(O227="Bastin",O227="Quantum"),17,0)),_xlpm.slitRate,INDEX('Lmntn &amp; Prntng- Marma &amp; Bastin '!$D$1:$K$22,_xlpm.slitRow+_xlpm.widthRow,_xlpm.tier),_xlpm.numColors,IF(ISNUMBER(L227),L227,IFERROR(--RIGHT(L227,LEN(L227)-FIND("-",L227)),0)),_xlpm.printRate,IF(OR(K227&lt;&gt;"Printed",_xlpm.numColors=0),0,IF(O227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227))),MAX(_xlfn._xlws.FILTER(_xlpm.meters,(_xlpm.widths=_xlpm.qWidth)*(_xlpm.bands=_xlpm.band)))),INDEX(_xlpm.rates,_xlfn.XMATCH(1,(_xlpm.widths=_xlpm.qWidth)*(_xlpm.bands=_xlpm.band)*(_xlpm.meters=_xlpm.targetM),0))/HELPER!$AK$2),_xlfn.LET(_xlpm.colorOffset,IF(_xlpm.numColors&lt;=2,1,IF(_xlpm.numColors&lt;=4,2,3)),_xlpm.supplierRow,IF(O227="Marma",3,IF(O227="Bastin",13,0)),INDEX('Lmntn &amp; Prntng- Marma &amp; Bastin '!$D$1:$K$22,_xlpm.supplierRow+_xlpm.widthRow+_xlpm.colorOffset,_xlpm.tier)))),AH227+_xlpm.slitRate/_xlpm.kgmUsed+_xlpm.printRate/_xlpm.kgmUsed+AJ227),"")</f>
        <v>13.055653257171874</v>
      </c>
      <c r="AJ227" s="919" cm="1">
        <f t="array" ref="AJ227">IF(OR(K227&lt;&gt;"Printed",L227=0,L227="0",L227=""),0,IFERROR(_xlfn.LET(_xlpm.lam,TEXT(B227,"0"),_xlpm.crit,(TEXT(HELPER!$BZ$2:$BZ$250,"0")=_xlpm.lam)*(HELPER!$CC$2:$CC$250=D227)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WHITE"},0)))/ROWS(_xlpm.real),_xlpm.numColors,IF(ISNUMBER(L227),L227,IFERROR(--RIGHT(L227,LEN(L227)-FIND("-",L227)),0)),HELPER!$DB$1*_xlpm.numColors*MAX(1,M227)*1.05*_xlpm.nkRatio/Q227),0))</f>
        <v>0.33600000000000002</v>
      </c>
      <c r="AK227" s="919">
        <f t="shared" si="81"/>
        <v>1.7625446235257909</v>
      </c>
      <c r="AL227" s="919">
        <f t="shared" si="82"/>
        <v>956.18045826274158</v>
      </c>
      <c r="AM227" s="73" t="str">
        <f t="shared" si="83"/>
        <v>PASS</v>
      </c>
      <c r="AN227" s="908" t="str">
        <f t="shared" si="84"/>
        <v/>
      </c>
      <c r="AO227" s="919">
        <f t="shared" si="85"/>
        <v>103</v>
      </c>
      <c r="AP227" s="919">
        <f t="shared" si="86"/>
        <v>128272.55352172296</v>
      </c>
      <c r="AQ227" s="919"/>
      <c r="AR227" s="919" cm="1">
        <f t="array" ref="AR227">IFERROR(_xlfn.LET(_xlpm.lam,TEXT(B227,"0"),_xlpm.thick,D227,_xlpm.crit,(TEXT(HELPER!$BZ$2:$BZ$250,"0")=_xlpm.lam)*(HELPER!$CC$2:$CC$250=_xlpm.thick)*(HELPER!$BW$2:$BW$250&lt;&gt;""),_xlpm.mats,TRIM(SUBSTITUTE(_xlfn._xlws.FILTER(HELPER!$BW$2:$BW$250,_xlpm.crit),CHAR(160),"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")),HELPER!$AQ$2:$AQ$20,1),_xlpm.mass,IF(ISNUMBER(SEARCH("paper",_xlpm.mats)),42,_xlpm.dens*_xlpm.ths),E227/1000000*SUM(_xlpm.mass)),"")</f>
        <v>3.89795E-2</v>
      </c>
      <c r="AS227" s="919">
        <f>IFERROR(IF(D227&gt;31,(5%+250/P227)*AF227,VLOOKUP(D227,HELPER!$BH$3:$BI$5,2,TRUE)*AF227),0)</f>
        <v>0.29384741710636209</v>
      </c>
      <c r="AT227" s="919">
        <v>0.15</v>
      </c>
      <c r="AU227" s="919"/>
      <c r="AV227" s="919"/>
      <c r="AW227" s="919"/>
      <c r="AX227" s="919"/>
      <c r="AY227" s="919"/>
      <c r="AZ227" s="919">
        <f t="shared" si="87"/>
        <v>1680</v>
      </c>
    </row>
    <row r="228" spans="1:52">
      <c r="A228" s="73" t="s">
        <v>2257</v>
      </c>
      <c r="B228" s="73" t="s">
        <v>1287</v>
      </c>
      <c r="C228" s="908" t="s">
        <v>2216</v>
      </c>
      <c r="D228" s="915" cm="1">
        <f t="array" ref="D22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8" s="915">
        <v>350</v>
      </c>
      <c r="F228" s="73" t="s">
        <v>561</v>
      </c>
      <c r="G228" s="916">
        <v>2000</v>
      </c>
      <c r="H228" s="916"/>
      <c r="I228" s="916"/>
      <c r="J228" s="916"/>
      <c r="K228" s="73" t="s">
        <v>124</v>
      </c>
      <c r="L228" s="921" t="s">
        <v>221</v>
      </c>
      <c r="M228" s="915">
        <v>1</v>
      </c>
      <c r="N228" s="73" t="s">
        <v>548</v>
      </c>
      <c r="O228" s="73" t="s">
        <v>240</v>
      </c>
      <c r="P228" s="916" cm="1">
        <f t="array" ref="P228">IFERROR(_xlfn.SWITCH(F228,"By Weight",IF(H228&lt;&gt;"",H228,G228)/AR228,"By Length",G228,"By Imp",G228/MAX(1,ROUNDDOWN(E228/I228,0))*J228/1000,"IMP",G228/MAX(1,ROUNDDOWN(E228/I228,0))*J228/1000,""),"")</f>
        <v>2000</v>
      </c>
      <c r="Q228" s="916">
        <f t="shared" si="66"/>
        <v>77.959000000000003</v>
      </c>
      <c r="R228" s="917">
        <f t="shared" si="67"/>
        <v>4315.3121291392827</v>
      </c>
      <c r="S228" s="918">
        <f t="shared" si="68"/>
        <v>5005.7620698015671</v>
      </c>
      <c r="T228" s="919">
        <f t="shared" si="69"/>
        <v>55.353610604795882</v>
      </c>
      <c r="U228" s="920">
        <f t="shared" si="70"/>
        <v>64.210188301563221</v>
      </c>
      <c r="V228" s="919">
        <f t="shared" si="71"/>
        <v>2.5384188994936774</v>
      </c>
      <c r="W228" s="919">
        <f t="shared" si="72"/>
        <v>65.121894829171168</v>
      </c>
      <c r="X228" s="919" t="str">
        <f t="shared" si="73"/>
        <v/>
      </c>
      <c r="Y228" s="920">
        <f t="shared" si="74"/>
        <v>2.9445659234126658</v>
      </c>
      <c r="Z228" s="920">
        <f t="shared" si="75"/>
        <v>75.541398001838544</v>
      </c>
      <c r="AA228" s="920" t="str">
        <f t="shared" si="76"/>
        <v/>
      </c>
      <c r="AB228" s="917">
        <f t="shared" si="77"/>
        <v>5076.8377989873552</v>
      </c>
      <c r="AC228" s="918">
        <f t="shared" si="78"/>
        <v>5889.1318468253312</v>
      </c>
      <c r="AD228" s="916">
        <f t="shared" si="79"/>
        <v>12827.255352172295</v>
      </c>
      <c r="AE228" s="916">
        <f t="shared" si="80"/>
        <v>500</v>
      </c>
      <c r="AF228" s="919" cm="1">
        <f t="array" ref="AF228">IFERROR(_xlfn.LET(_xlpm.lam,TEXT(B228,"0"),_xlpm.thick,D228,_xlpm.crit,(TEXT(HELPER!$BZ$2:$BZ$250,"0")=_xlpm.lam)*(HELPER!$CC$2:$CC$250=_xlpm.thick)*(HELPER!$BW$2:$BW$250&lt;&gt;""),_xlpm.mats,TRIM(SUBSTITUTE(_xlfn._xlws.FILTER(HELPER!$BW$2:$BW$250,_xlpm.crit),CHAR(160),"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8" s="919">
        <f>IFERROR(IF(N228="Europe to Canada",IF(Q228&lt;1000,VLOOKUP(1000,HELPER!$AG$4:$AH$8,2,FALSE)/Q228,VLOOKUP(Q228,HELPER!$AG$4:$AH$8,2,TRUE)/Q228),IF(N228="Europe to US",HELPER!$AH$2,IF(N228="Europe to Europe",HELPER!$AH$3,0))),0)</f>
        <v>44.231915007490734</v>
      </c>
      <c r="AH228" s="919" cm="1">
        <f t="array" ref="AH228">IFERROR(_xlfn.LET(_xlpm.cap,IF(O228="Quantum",760,1220),_xlpm.wUsed,E228*MAX(1,MIN(MAX(2,INT(900/E228)),INT((_xlpm.cap-50)/E228))),_xlpm.kgmUsed,AR228/E228*_xlpm.wUsed,_xlpm.lam,TEXT(B228,"0"),_xlpm.crit,(TEXT(HELPER!$BZ$2:$BZ$250,"0")=_xlpm.lam)*(HELPER!$CC$2:$CC$250=D228)*(HELPER!$BW$2:$BW$250&lt;&gt;""),_xlpm.mats,_xlfn._xlws.FILTER(HELPER!$BW$2:$BW$250,_xlpm.crit),_xlpm.realLayers,SUM((_xlpm.mats&lt;&gt;"")*ISERROR(SEARCH("EPOTAL",_xlpm.mats&amp;""))*ISERROR(SEARCH("BASONAT",_xlpm.mats&amp;""))*ISERROR(SEARCH("ADH",_xlpm.mats&amp;""))*ISERROR(SEARCH("HARDENER",_xlpm.mats&amp;""))),_xlpm.steps,MAX(0,_xlpm.realLayers-1),_xlpm.tier,IF(P228&lt;3000,1,IF(P228&lt;10000,2,IF(P228&lt;25000,3,IF(P228&lt;50000,4,IF(P228&lt;100000,5,IF(P228&lt;250000,6,7)))))),_xlpm.widthRow,IF(_xlpm.wUsed&lt;900,0,5),_xlpm.supplierRow,IF(O228="Marma",3,IF(OR(O228="Bastin",O228="Quantum"),13,0)),_xlpm.rate,INDEX('Lmntn &amp; Prntng- Marma &amp; Bastin '!$D$1:$K$22,_xlpm.supplierRow+_xlpm.widthRow,_xlpm.tier),_xlpm.rate*_xlpm.steps/_xlpm.kgmUsed),"")</f>
        <v>3.893046344873587</v>
      </c>
      <c r="AI228" s="919" cm="1">
        <f t="array" ref="AI228">IFERROR(_xlfn.LET(_xlpm.cap,IF(O228="Quantum",760,1220),_xlpm.wUsed,E228*MAX(1,MIN(MAX(2,INT(900/E228)),INT((_xlpm.cap-50)/E228))),_xlpm.kgmUsed,AR228/E228*_xlpm.wUsed,_xlpm.tier,IF(P228&lt;3000,1,IF(P228&lt;10000,2,IF(P228&lt;25000,3,IF(P228&lt;50000,4,IF(P228&lt;100000,5,IF(P228&lt;250000,6,IF(P228&lt;500000,7,8))))))),_xlpm.widthRow,IF(_xlpm.wUsed&lt;900,0,5),_xlpm.slitRow,IF(O228="Marma",7,IF(OR(O228="Bastin",O228="Quantum"),17,0)),_xlpm.slitRate,INDEX('Lmntn &amp; Prntng- Marma &amp; Bastin '!$D$1:$K$22,_xlpm.slitRow+_xlpm.widthRow,_xlpm.tier),_xlpm.numColors,IF(ISNUMBER(L228),L228,IFERROR(--RIGHT(L228,LEN(L228)-FIND("-",L228)),0)),_xlpm.printRate,IF(OR(K228&lt;&gt;"Printed",_xlpm.numColors=0),0,IF(O228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228))),MAX(_xlfn._xlws.FILTER(_xlpm.meters,(_xlpm.widths=_xlpm.qWidth)*(_xlpm.bands=_xlpm.band)))),INDEX(_xlpm.rates,_xlfn.XMATCH(1,(_xlpm.widths=_xlpm.qWidth)*(_xlpm.bands=_xlpm.band)*(_xlpm.meters=_xlpm.targetM),0))/HELPER!$AK$2),_xlfn.LET(_xlpm.colorOffset,IF(_xlpm.numColors&lt;=2,1,IF(_xlpm.numColors&lt;=4,2,3)),_xlpm.supplierRow,IF(O228="Marma",3,IF(O228="Bastin",13,0)),INDEX('Lmntn &amp; Prntng- Marma &amp; Bastin '!$D$1:$K$22,_xlpm.supplierRow+_xlpm.widthRow+_xlpm.colorOffset,_xlpm.tier)))),AH228+_xlpm.slitRate/_xlpm.kgmUsed+_xlpm.printRate/_xlpm.kgmUsed+AJ228),"")</f>
        <v>4.4753524288408002</v>
      </c>
      <c r="AJ228" s="919" cm="1">
        <f t="array" ref="AJ228">IF(OR(K228&lt;&gt;"Printed",L228=0,L228="0",L228=""),0,IFERROR(_xlfn.LET(_xlpm.lam,TEXT(B228,"0"),_xlpm.crit,(TEXT(HELPER!$BZ$2:$BZ$250,"0")=_xlpm.lam)*(HELPER!$CC$2:$CC$250=D228)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WHITE"},0)))/ROWS(_xlpm.real),_xlpm.numColors,IF(ISNUMBER(L228),L228,IFERROR(--RIGHT(L228,LEN(L228)-FIND("-",L228)),0)),HELPER!$DB$1*_xlpm.numColors*MAX(1,M228)*1.05*_xlpm.nkRatio/Q228),0))</f>
        <v>0</v>
      </c>
      <c r="AK228" s="919">
        <f t="shared" si="81"/>
        <v>4.679113178790189</v>
      </c>
      <c r="AL228" s="919">
        <f t="shared" si="82"/>
        <v>2538.4188994936776</v>
      </c>
      <c r="AM228" s="73" t="str">
        <f t="shared" si="83"/>
        <v>PASS</v>
      </c>
      <c r="AN228" s="908" t="str">
        <f t="shared" si="84"/>
        <v/>
      </c>
      <c r="AO228" s="919">
        <f t="shared" si="85"/>
        <v>103</v>
      </c>
      <c r="AP228" s="919">
        <f t="shared" si="86"/>
        <v>2000</v>
      </c>
      <c r="AQ228" s="919"/>
      <c r="AR228" s="919" cm="1">
        <f t="array" ref="AR228">IFERROR(_xlfn.LET(_xlpm.lam,TEXT(B228,"0"),_xlpm.thick,D228,_xlpm.crit,(TEXT(HELPER!$BZ$2:$BZ$250,"0")=_xlpm.lam)*(HELPER!$CC$2:$CC$250=_xlpm.thick)*(HELPER!$BW$2:$BW$250&lt;&gt;""),_xlpm.mats,TRIM(SUBSTITUTE(_xlfn._xlws.FILTER(HELPER!$BW$2:$BW$250,_xlpm.crit),CHAR(160),"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")),HELPER!$AQ$2:$AQ$20,1),_xlpm.mass,IF(ISNUMBER(SEARCH("paper",_xlpm.mats)),42,_xlpm.dens*_xlpm.ths),E228/1000000*SUM(_xlpm.mass)),"")</f>
        <v>3.89795E-2</v>
      </c>
      <c r="AS228" s="919">
        <f>IFERROR(IF(D228&gt;31,(5%+250/P228)*AF228,VLOOKUP(D228,HELPER!$BH$3:$BI$5,2,TRUE)*AF228),0)</f>
        <v>0.98988089743086083</v>
      </c>
      <c r="AT228" s="919">
        <v>0.149999999999994</v>
      </c>
      <c r="AU228" s="919"/>
      <c r="AV228" s="919"/>
      <c r="AW228" s="919"/>
      <c r="AX228" s="919"/>
      <c r="AY228" s="919"/>
      <c r="AZ228" s="919">
        <f t="shared" si="87"/>
        <v>0</v>
      </c>
    </row>
    <row r="229" spans="1:52">
      <c r="A229" s="73" t="s">
        <v>2258</v>
      </c>
      <c r="B229" s="73" t="s">
        <v>1287</v>
      </c>
      <c r="C229" s="908" t="s">
        <v>2218</v>
      </c>
      <c r="D229" s="915" cm="1">
        <f t="array" ref="D22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9" s="915">
        <v>900</v>
      </c>
      <c r="F229" s="73" t="s">
        <v>1040</v>
      </c>
      <c r="G229" s="916">
        <v>1600000</v>
      </c>
      <c r="H229" s="916"/>
      <c r="I229" s="916">
        <v>140</v>
      </c>
      <c r="J229" s="916">
        <v>80</v>
      </c>
      <c r="K229" s="73" t="s">
        <v>123</v>
      </c>
      <c r="L229" s="921" t="s">
        <v>592</v>
      </c>
      <c r="M229" s="915">
        <v>8</v>
      </c>
      <c r="N229" s="73" t="s">
        <v>548</v>
      </c>
      <c r="O229" s="73" t="s">
        <v>250</v>
      </c>
      <c r="P229" s="916" cm="1">
        <f t="array" ref="P229">IFERROR(_xlfn.SWITCH(F229,"By Weight",IF(H229&lt;&gt;"",H229,G229)/AR229,"By Length",G229,"By Imp",G229/MAX(1,ROUNDDOWN(E229/I229,0))*J229/1000,"IMP",G229/MAX(1,ROUNDDOWN(E229/I229,0))*J229/1000,""),"")</f>
        <v>21333.333333333336</v>
      </c>
      <c r="Q229" s="916">
        <f t="shared" si="66"/>
        <v>2138.3040000000001</v>
      </c>
      <c r="R229" s="917">
        <f t="shared" si="67"/>
        <v>32618.27602465374</v>
      </c>
      <c r="S229" s="918">
        <f t="shared" si="68"/>
        <v>37837.200188598334</v>
      </c>
      <c r="T229" s="919">
        <f t="shared" si="69"/>
        <v>15.254274427141201</v>
      </c>
      <c r="U229" s="920">
        <f t="shared" si="70"/>
        <v>17.694958335483793</v>
      </c>
      <c r="V229" s="919">
        <f t="shared" si="71"/>
        <v>1.9112271108195504</v>
      </c>
      <c r="W229" s="919">
        <f t="shared" si="72"/>
        <v>19.067843033926454</v>
      </c>
      <c r="X229" s="919">
        <f t="shared" si="73"/>
        <v>2.5483028144260674E-2</v>
      </c>
      <c r="Y229" s="920">
        <f t="shared" si="74"/>
        <v>2.2170234485506786</v>
      </c>
      <c r="Z229" s="920">
        <f t="shared" si="75"/>
        <v>22.118697919354684</v>
      </c>
      <c r="AA229" s="920">
        <f t="shared" si="76"/>
        <v>2.9560312647342379E-2</v>
      </c>
      <c r="AB229" s="917">
        <f t="shared" si="77"/>
        <v>40772.845030817072</v>
      </c>
      <c r="AC229" s="918">
        <f t="shared" si="78"/>
        <v>47296.500235747801</v>
      </c>
      <c r="AD229" s="916">
        <f t="shared" si="79"/>
        <v>4988.3770814003374</v>
      </c>
      <c r="AE229" s="916">
        <f t="shared" si="80"/>
        <v>500</v>
      </c>
      <c r="AF229" s="919" cm="1">
        <f t="array" ref="AF229">IFERROR(_xlfn.LET(_xlpm.lam,TEXT(B229,"0"),_xlpm.thick,D229,_xlpm.crit,(TEXT(HELPER!$BZ$2:$BZ$250,"0")=_xlpm.lam)*(HELPER!$CC$2:$CC$250=_xlpm.thick)*(HELPER!$BW$2:$BW$250&lt;&gt;""),_xlpm.mats,TRIM(SUBSTITUTE(_xlfn._xlws.FILTER(HELPER!$BW$2:$BW$250,_xlpm.crit),CHAR(160),"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9" s="919">
        <f>IFERROR(IF(N229="Europe to Canada",IF(Q229&lt;1000,VLOOKUP(1000,HELPER!$AG$4:$AH$8,2,FALSE)/Q229,VLOOKUP(Q229,HELPER!$AG$4:$AH$8,2,TRUE)/Q229),IF(N229="Europe to US",HELPER!$AH$2,IF(N229="Europe to Europe",HELPER!$AH$3,0))),0)</f>
        <v>2.3383017569064082</v>
      </c>
      <c r="AH229" s="919" cm="1">
        <f t="array" ref="AH229">IFERROR(_xlfn.LET(_xlpm.cap,IF(O229="Quantum",760,1220),_xlpm.wUsed,E229*MAX(1,MIN(MAX(2,INT(900/E229)),INT((_xlpm.cap-50)/E229))),_xlpm.kgmUsed,AR229/E229*_xlpm.wUsed,_xlpm.lam,TEXT(B229,"0"),_xlpm.crit,(TEXT(HELPER!$BZ$2:$BZ$250,"0")=_xlpm.lam)*(HELPER!$CC$2:$CC$250=D229)*(HELPER!$BW$2:$BW$250&lt;&gt;""),_xlpm.mats,_xlfn._xlws.FILTER(HELPER!$BW$2:$BW$250,_xlpm.crit),_xlpm.realLayers,SUM((_xlpm.mats&lt;&gt;"")*ISERROR(SEARCH("EPOTAL",_xlpm.mats&amp;""))*ISERROR(SEARCH("BASONAT",_xlpm.mats&amp;""))*ISERROR(SEARCH("ADH",_xlpm.mats&amp;""))*ISERROR(SEARCH("HARDENER",_xlpm.mats&amp;""))),_xlpm.steps,MAX(0,_xlpm.realLayers-1),_xlpm.tier,IF(P229&lt;3000,1,IF(P229&lt;10000,2,IF(P229&lt;25000,3,IF(P229&lt;50000,4,IF(P229&lt;100000,5,IF(P229&lt;250000,6,7)))))),_xlpm.widthRow,IF(_xlpm.wUsed&lt;900,0,5),_xlpm.supplierRow,IF(O229="Marma",3,IF(OR(O229="Bastin",O229="Quantum"),13,0)),_xlpm.rate,INDEX('Lmntn &amp; Prntng- Marma &amp; Bastin '!$D$1:$K$22,_xlpm.supplierRow+_xlpm.widthRow,_xlpm.tier),_xlpm.rate*_xlpm.steps/_xlpm.kgmUsed),"")</f>
        <v>1.8263446170422915</v>
      </c>
      <c r="AI229" s="919" cm="1">
        <f t="array" ref="AI229">IFERROR(_xlfn.LET(_xlpm.cap,IF(O229="Quantum",760,1220),_xlpm.wUsed,E229*MAX(1,MIN(MAX(2,INT(900/E229)),INT((_xlpm.cap-50)/E229))),_xlpm.kgmUsed,AR229/E229*_xlpm.wUsed,_xlpm.tier,IF(P229&lt;3000,1,IF(P229&lt;10000,2,IF(P229&lt;25000,3,IF(P229&lt;50000,4,IF(P229&lt;100000,5,IF(P229&lt;250000,6,IF(P229&lt;500000,7,8))))))),_xlpm.widthRow,IF(_xlpm.wUsed&lt;900,0,5),_xlpm.slitRow,IF(O229="Marma",7,IF(OR(O229="Bastin",O229="Quantum"),17,0)),_xlpm.slitRate,INDEX('Lmntn &amp; Prntng- Marma &amp; Bastin '!$D$1:$K$22,_xlpm.slitRow+_xlpm.widthRow,_xlpm.tier),_xlpm.numColors,IF(ISNUMBER(L229),L229,IFERROR(--RIGHT(L229,LEN(L229)-FIND("-",L229)),0)),_xlpm.printRate,IF(OR(K229&lt;&gt;"Printed",_xlpm.numColors=0),0,IF(O229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229))),MAX(_xlfn._xlws.FILTER(_xlpm.meters,(_xlpm.widths=_xlpm.qWidth)*(_xlpm.bands=_xlpm.band)))),INDEX(_xlpm.rates,_xlfn.XMATCH(1,(_xlpm.widths=_xlpm.qWidth)*(_xlpm.bands=_xlpm.band)*(_xlpm.meters=_xlpm.targetM),0))/HELPER!$AK$2),_xlfn.LET(_xlpm.colorOffset,IF(_xlpm.numColors&lt;=2,1,IF(_xlpm.numColors&lt;=4,2,3)),_xlpm.supplierRow,IF(O229="Marma",3,IF(O229="Bastin",13,0)),INDEX('Lmntn &amp; Prntng- Marma &amp; Bastin '!$D$1:$K$22,_xlpm.supplierRow+_xlpm.widthRow+_xlpm.colorOffset,_xlpm.tier)))),AH229+_xlpm.slitRate/_xlpm.kgmUsed+_xlpm.printRate/_xlpm.kgmUsed+AJ229),"")</f>
        <v>6.9104006184109537</v>
      </c>
      <c r="AJ229" s="919" cm="1">
        <f t="array" ref="AJ229">IF(OR(K229&lt;&gt;"Printed",L229=0,L229="0",L229=""),0,IFERROR(_xlfn.LET(_xlpm.lam,TEXT(B229,"0"),_xlpm.crit,(TEXT(HELPER!$BZ$2:$BZ$250,"0")=_xlpm.lam)*(HELPER!$CC$2:$CC$250=D229)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WHITE"},0)))/ROWS(_xlpm.real),_xlpm.numColors,IF(ISNUMBER(L229),L229,IFERROR(--RIGHT(L229,LEN(L229)-FIND("-",L229)),0)),HELPER!$DB$1*_xlpm.numColors*MAX(1,M229)*1.05*_xlpm.nkRatio/Q229),0))</f>
        <v>3.1426775612822122</v>
      </c>
      <c r="AK229" s="919">
        <f t="shared" si="81"/>
        <v>1.3700552765731544</v>
      </c>
      <c r="AL229" s="919">
        <f t="shared" si="82"/>
        <v>1911.2271108195505</v>
      </c>
      <c r="AM229" s="73" t="str">
        <f t="shared" si="83"/>
        <v>PASS</v>
      </c>
      <c r="AN229" s="908" t="str">
        <f t="shared" si="84"/>
        <v/>
      </c>
      <c r="AO229" s="919">
        <f t="shared" si="85"/>
        <v>103</v>
      </c>
      <c r="AP229" s="919">
        <f t="shared" si="86"/>
        <v>21333.333333333336</v>
      </c>
      <c r="AQ229" s="919"/>
      <c r="AR229" s="919" cm="1">
        <f t="array" ref="AR229">IFERROR(_xlfn.LET(_xlpm.lam,TEXT(B229,"0"),_xlpm.thick,D229,_xlpm.crit,(TEXT(HELPER!$BZ$2:$BZ$250,"0")=_xlpm.lam)*(HELPER!$CC$2:$CC$250=_xlpm.thick)*(HELPER!$BW$2:$BW$250&lt;&gt;""),_xlpm.mats,TRIM(SUBSTITUTE(_xlfn._xlws.FILTER(HELPER!$BW$2:$BW$250,_xlpm.crit),CHAR(160),"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")),HELPER!$AQ$2:$AQ$20,1),_xlpm.mass,IF(ISNUMBER(SEARCH("paper",_xlpm.mats)),42,_xlpm.dens*_xlpm.ths),E229/1000000*SUM(_xlpm.mass)),"")</f>
        <v>0.100233</v>
      </c>
      <c r="AS229" s="919">
        <f>IFERROR(IF(D229&gt;31,(5%+250/P229)*AF229,VLOOKUP(D229,HELPER!$BH$3:$BI$5,2,TRUE)*AF229),0)</f>
        <v>0.34910978079034827</v>
      </c>
      <c r="AT229" s="919">
        <v>0.19999999999999801</v>
      </c>
      <c r="AU229" s="919"/>
      <c r="AV229" s="919"/>
      <c r="AW229" s="919"/>
      <c r="AX229" s="919"/>
      <c r="AY229" s="919"/>
      <c r="AZ229" s="919">
        <f t="shared" si="87"/>
        <v>6720</v>
      </c>
    </row>
    <row r="230" spans="1:52">
      <c r="A230" s="73" t="s">
        <v>2259</v>
      </c>
      <c r="B230" s="73">
        <v>819</v>
      </c>
      <c r="C230" s="908" t="s">
        <v>2212</v>
      </c>
      <c r="D230" s="915" cm="1">
        <f t="array" ref="D23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0" s="915">
        <v>120</v>
      </c>
      <c r="F230" s="73" t="s">
        <v>560</v>
      </c>
      <c r="G230" s="916">
        <v>100</v>
      </c>
      <c r="H230" s="916">
        <v>100</v>
      </c>
      <c r="I230" s="916"/>
      <c r="J230" s="916"/>
      <c r="K230" s="73" t="s">
        <v>124</v>
      </c>
      <c r="L230" s="921" t="s">
        <v>221</v>
      </c>
      <c r="M230" s="915">
        <v>1</v>
      </c>
      <c r="N230" s="73" t="s">
        <v>548</v>
      </c>
      <c r="O230" s="73" t="s">
        <v>250</v>
      </c>
      <c r="P230" s="916" cm="1">
        <f t="array" ref="P230">IFERROR(_xlfn.SWITCH(F230,"By Weight",IF(H230&lt;&gt;"",H230,G230)/AR230,"By Length",G230,"By Imp",G230/MAX(1,ROUNDDOWN(E230/I230,0))*J230/1000,"IMP",G230/MAX(1,ROUNDDOWN(E230/I230,0))*J230/1000,""),"")</f>
        <v>7415.9769808074516</v>
      </c>
      <c r="Q230" s="916">
        <f t="shared" si="66"/>
        <v>100</v>
      </c>
      <c r="R230" s="917">
        <f t="shared" si="67"/>
        <v>4235.5652224206488</v>
      </c>
      <c r="S230" s="918">
        <f t="shared" si="68"/>
        <v>4913.2556580079527</v>
      </c>
      <c r="T230" s="919">
        <f t="shared" si="69"/>
        <v>42.355652224206487</v>
      </c>
      <c r="U230" s="920">
        <f t="shared" si="70"/>
        <v>49.132556580079523</v>
      </c>
      <c r="V230" s="919">
        <f t="shared" si="71"/>
        <v>0.67193006688481249</v>
      </c>
      <c r="W230" s="919">
        <f t="shared" si="72"/>
        <v>49.830179087301808</v>
      </c>
      <c r="X230" s="919" t="str">
        <f t="shared" si="73"/>
        <v/>
      </c>
      <c r="Y230" s="920">
        <f t="shared" si="74"/>
        <v>0.77943887758638242</v>
      </c>
      <c r="Z230" s="920">
        <f t="shared" si="75"/>
        <v>57.803007741270093</v>
      </c>
      <c r="AA230" s="920" t="str">
        <f t="shared" si="76"/>
        <v/>
      </c>
      <c r="AB230" s="917">
        <f t="shared" si="77"/>
        <v>4983.0179087301804</v>
      </c>
      <c r="AC230" s="918">
        <f t="shared" si="78"/>
        <v>5780.3007741270085</v>
      </c>
      <c r="AD230" s="916">
        <f t="shared" si="79"/>
        <v>37079.884904037259</v>
      </c>
      <c r="AE230" s="916">
        <f t="shared" si="80"/>
        <v>500</v>
      </c>
      <c r="AF230" s="919" cm="1">
        <f t="array" ref="AF230">IFERROR(_xlfn.LET(_xlpm.lam,TEXT(B230,"0"),_xlpm.thick,D230,_xlpm.crit,(TEXT(HELPER!$BZ$2:$BZ$250,"0")=_xlpm.lam)*(HELPER!$CC$2:$CC$250=_xlpm.thick)*(HELPER!$BW$2:$BW$250&lt;&gt;""),_xlpm.mats,TRIM(SUBSTITUTE(_xlfn._xlws.FILTER(HELPER!$BW$2:$BW$250,_xlpm.crit),CHAR(160),"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0" s="919">
        <f>IFERROR(IF(N230="Europe to Canada",IF(Q230&lt;1000,VLOOKUP(1000,HELPER!$AG$4:$AH$8,2,FALSE)/Q230,VLOOKUP(Q230,HELPER!$AG$4:$AH$8,2,TRUE)/Q230),IF(N230="Europe to US",HELPER!$AH$2,IF(N230="Europe to Europe",HELPER!$AH$3,0))),0)</f>
        <v>34.482758620689701</v>
      </c>
      <c r="AH230" s="919" cm="1">
        <f t="array" ref="AH230">IFERROR(_xlfn.LET(_xlpm.cap,IF(O230="Quantum",760,1220),_xlpm.wUsed,E230*MAX(1,MIN(MAX(2,INT(900/E230)),INT((_xlpm.cap-50)/E230))),_xlpm.kgmUsed,AR230/E230*_xlpm.wUsed,_xlpm.lam,TEXT(B230,"0"),_xlpm.crit,(TEXT(HELPER!$BZ$2:$BZ$250,"0")=_xlpm.lam)*(HELPER!$CC$2:$CC$250=D230)*(HELPER!$BW$2:$BW$250&lt;&gt;""),_xlpm.mats,_xlfn._xlws.FILTER(HELPER!$BW$2:$BW$250,_xlpm.crit),_xlpm.realLayers,SUM((_xlpm.mats&lt;&gt;"")*ISERROR(SEARCH("EPOTAL",_xlpm.mats&amp;""))*ISERROR(SEARCH("BASONAT",_xlpm.mats&amp;""))*ISERROR(SEARCH("ADH",_xlpm.mats&amp;""))*ISERROR(SEARCH("HARDENER",_xlpm.mats&amp;""))),_xlpm.steps,MAX(0,_xlpm.realLayers-1),_xlpm.tier,IF(P230&lt;3000,1,IF(P230&lt;10000,2,IF(P230&lt;25000,3,IF(P230&lt;50000,4,IF(P230&lt;100000,5,IF(P230&lt;250000,6,7)))))),_xlpm.widthRow,IF(_xlpm.wUsed&lt;900,0,5),_xlpm.supplierRow,IF(O230="Marma",3,IF(OR(O230="Bastin",O230="Quantum"),13,0)),_xlpm.rate,INDEX('Lmntn &amp; Prntng- Marma &amp; Bastin '!$D$1:$K$22,_xlpm.supplierRow+_xlpm.widthRow,_xlpm.tier),_xlpm.rate*_xlpm.steps/_xlpm.kgmUsed),"")</f>
        <v>2.2063590943185138</v>
      </c>
      <c r="AI230" s="919" cm="1">
        <f t="array" ref="AI230">IFERROR(_xlfn.LET(_xlpm.cap,IF(O230="Quantum",760,1220),_xlpm.wUsed,E230*MAX(1,MIN(MAX(2,INT(900/E230)),INT((_xlpm.cap-50)/E230))),_xlpm.kgmUsed,AR230/E230*_xlpm.wUsed,_xlpm.tier,IF(P230&lt;3000,1,IF(P230&lt;10000,2,IF(P230&lt;25000,3,IF(P230&lt;50000,4,IF(P230&lt;100000,5,IF(P230&lt;250000,6,IF(P230&lt;500000,7,8))))))),_xlpm.widthRow,IF(_xlpm.wUsed&lt;900,0,5),_xlpm.slitRow,IF(O230="Marma",7,IF(OR(O230="Bastin",O230="Quantum"),17,0)),_xlpm.slitRate,INDEX('Lmntn &amp; Prntng- Marma &amp; Bastin '!$D$1:$K$22,_xlpm.slitRow+_xlpm.widthRow,_xlpm.tier),_xlpm.numColors,IF(ISNUMBER(L230),L230,IFERROR(--RIGHT(L230,LEN(L230)-FIND("-",L230)),0)),_xlpm.printRate,IF(OR(K230&lt;&gt;"Printed",_xlpm.numColors=0),0,IF(O230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230))),MAX(_xlfn._xlws.FILTER(_xlpm.meters,(_xlpm.widths=_xlpm.qWidth)*(_xlpm.bands=_xlpm.band)))),INDEX(_xlpm.rates,_xlfn.XMATCH(1,(_xlpm.widths=_xlpm.qWidth)*(_xlpm.bands=_xlpm.band)*(_xlpm.meters=_xlpm.targetM),0))/HELPER!$AK$2),_xlfn.LET(_xlpm.colorOffset,IF(_xlpm.numColors&lt;=2,1,IF(_xlpm.numColors&lt;=4,2,3)),_xlpm.supplierRow,IF(O230="Marma",3,IF(O230="Bastin",13,0)),INDEX('Lmntn &amp; Prntng- Marma &amp; Bastin '!$D$1:$K$22,_xlpm.supplierRow+_xlpm.widthRow+_xlpm.colorOffset,_xlpm.tier)))),AH230+_xlpm.slitRate/_xlpm.kgmUsed+_xlpm.printRate/_xlpm.kgmUsed+AJ230),"")</f>
        <v>2.5286362653987462</v>
      </c>
      <c r="AJ230" s="919" cm="1">
        <f t="array" ref="AJ230">IF(OR(K230&lt;&gt;"Printed",L230=0,L230="0",L230=""),0,IFERROR(_xlfn.LET(_xlpm.lam,TEXT(B230,"0"),_xlpm.crit,(TEXT(HELPER!$BZ$2:$BZ$250,"0")=_xlpm.lam)*(HELPER!$CC$2:$CC$250=D230)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WHITE"},0)))/ROWS(_xlpm.real),_xlpm.numColors,IF(ISNUMBER(L230),L230,IFERROR(--RIGHT(L230,LEN(L230)-FIND("-",L230)),0)),HELPER!$DB$1*_xlpm.numColors*MAX(1,M230)*1.05*_xlpm.nkRatio/Q230),0))</f>
        <v>0</v>
      </c>
      <c r="AK230" s="919">
        <f t="shared" si="81"/>
        <v>3.6125272413161964</v>
      </c>
      <c r="AL230" s="919">
        <f t="shared" si="82"/>
        <v>671.9300668848125</v>
      </c>
      <c r="AM230" s="73" t="str">
        <f t="shared" si="83"/>
        <v>PASS</v>
      </c>
      <c r="AN230" s="908" t="str">
        <f t="shared" si="84"/>
        <v/>
      </c>
      <c r="AO230" s="919">
        <f t="shared" si="85"/>
        <v>121</v>
      </c>
      <c r="AP230" s="919">
        <f t="shared" si="86"/>
        <v>7415.9769808074516</v>
      </c>
      <c r="AQ230" s="919"/>
      <c r="AR230" s="919" cm="1">
        <f t="array" ref="AR230">IFERROR(_xlfn.LET(_xlpm.lam,TEXT(B230,"0"),_xlpm.thick,D230,_xlpm.crit,(TEXT(HELPER!$BZ$2:$BZ$250,"0")=_xlpm.lam)*(HELPER!$CC$2:$CC$250=_xlpm.thick)*(HELPER!$BW$2:$BW$250&lt;&gt;""),_xlpm.mats,TRIM(SUBSTITUTE(_xlfn._xlws.FILTER(HELPER!$BW$2:$BW$250,_xlpm.crit),CHAR(160),"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")),HELPER!$AQ$2:$AQ$20,1),_xlpm.mass,IF(ISNUMBER(SEARCH("paper",_xlpm.mats)),42,_xlpm.dens*_xlpm.ths),E230/1000000*SUM(_xlpm.mass)),"")</f>
        <v>1.3484400000000001E-2</v>
      </c>
      <c r="AS230" s="919">
        <f>IFERROR(IF(D230&gt;31,(5%+250/P230)*AF230,VLOOKUP(D230,HELPER!$BH$3:$BI$5,2,TRUE)*AF230),0)</f>
        <v>0.41281589467228802</v>
      </c>
      <c r="AT230" s="919">
        <v>0.15000000000000099</v>
      </c>
      <c r="AU230" s="919"/>
      <c r="AV230" s="919"/>
      <c r="AW230" s="919"/>
      <c r="AX230" s="919"/>
      <c r="AY230" s="919"/>
      <c r="AZ230" s="919">
        <f t="shared" si="87"/>
        <v>0</v>
      </c>
    </row>
    <row r="231" spans="1:52">
      <c r="A231" s="73" t="s">
        <v>2260</v>
      </c>
      <c r="B231" s="73">
        <v>819</v>
      </c>
      <c r="C231" s="908" t="s">
        <v>2214</v>
      </c>
      <c r="D231" s="915" cm="1">
        <f t="array" ref="D23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1" s="915">
        <v>350</v>
      </c>
      <c r="F231" s="73" t="s">
        <v>560</v>
      </c>
      <c r="G231" s="916">
        <v>5000</v>
      </c>
      <c r="H231" s="916">
        <v>5000</v>
      </c>
      <c r="I231" s="916"/>
      <c r="J231" s="916"/>
      <c r="K231" s="73" t="s">
        <v>123</v>
      </c>
      <c r="L231" s="921" t="s">
        <v>122</v>
      </c>
      <c r="M231" s="915">
        <v>4</v>
      </c>
      <c r="N231" s="73" t="s">
        <v>548</v>
      </c>
      <c r="O231" s="73" t="s">
        <v>1366</v>
      </c>
      <c r="P231" s="916" cm="1">
        <f t="array" ref="P231">IFERROR(_xlfn.SWITCH(F231,"By Weight",IF(H231&lt;&gt;"",H231,G231)/AR231,"By Length",G231,"By Imp",G231/MAX(1,ROUNDDOWN(E231/I231,0))*J231/1000,"IMP",G231/MAX(1,ROUNDDOWN(E231/I231,0))*J231/1000,""),"")</f>
        <v>127131.03395669916</v>
      </c>
      <c r="Q231" s="916">
        <f t="shared" si="66"/>
        <v>5000</v>
      </c>
      <c r="R231" s="917">
        <f t="shared" si="67"/>
        <v>99874.987641992338</v>
      </c>
      <c r="S231" s="918">
        <f t="shared" si="68"/>
        <v>115854.9856647111</v>
      </c>
      <c r="T231" s="919">
        <f t="shared" si="69"/>
        <v>19.974997528398468</v>
      </c>
      <c r="U231" s="920">
        <f t="shared" si="70"/>
        <v>23.170997132942222</v>
      </c>
      <c r="V231" s="919">
        <f t="shared" si="71"/>
        <v>0.98200833161643586</v>
      </c>
      <c r="W231" s="919">
        <f t="shared" si="72"/>
        <v>24.968746910498119</v>
      </c>
      <c r="X231" s="919" t="str">
        <f t="shared" si="73"/>
        <v/>
      </c>
      <c r="Y231" s="920">
        <f t="shared" si="74"/>
        <v>1.1391296646750655</v>
      </c>
      <c r="Z231" s="920">
        <f t="shared" si="75"/>
        <v>28.963746416177816</v>
      </c>
      <c r="AA231" s="920" t="str">
        <f t="shared" si="76"/>
        <v/>
      </c>
      <c r="AB231" s="917">
        <f t="shared" si="77"/>
        <v>124843.7345524906</v>
      </c>
      <c r="AC231" s="918">
        <f t="shared" si="78"/>
        <v>144818.73208088908</v>
      </c>
      <c r="AD231" s="916">
        <f t="shared" si="79"/>
        <v>12713.103395669916</v>
      </c>
      <c r="AE231" s="916">
        <f t="shared" si="80"/>
        <v>500</v>
      </c>
      <c r="AF231" s="919" cm="1">
        <f t="array" ref="AF231">IFERROR(_xlfn.LET(_xlpm.lam,TEXT(B231,"0"),_xlpm.thick,D231,_xlpm.crit,(TEXT(HELPER!$BZ$2:$BZ$250,"0")=_xlpm.lam)*(HELPER!$CC$2:$CC$250=_xlpm.thick)*(HELPER!$BW$2:$BW$250&lt;&gt;""),_xlpm.mats,TRIM(SUBSTITUTE(_xlfn._xlws.FILTER(HELPER!$BW$2:$BW$250,_xlpm.crit),CHAR(160),"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1" s="919">
        <f>IFERROR(IF(N231="Europe to Canada",IF(Q231&lt;1000,VLOOKUP(1000,HELPER!$AG$4:$AH$8,2,FALSE)/Q231,VLOOKUP(Q231,HELPER!$AG$4:$AH$8,2,TRUE)/Q231),IF(N231="Europe to US",HELPER!$AH$2,IF(N231="Europe to Europe",HELPER!$AH$3,0))),0)</f>
        <v>1.8448275862068959</v>
      </c>
      <c r="AH231" s="919" cm="1">
        <f t="array" ref="AH231">IFERROR(_xlfn.LET(_xlpm.cap,IF(O231="Quantum",760,1220),_xlpm.wUsed,E231*MAX(1,MIN(MAX(2,INT(900/E231)),INT((_xlpm.cap-50)/E231))),_xlpm.kgmUsed,AR231/E231*_xlpm.wUsed,_xlpm.lam,TEXT(B231,"0"),_xlpm.crit,(TEXT(HELPER!$BZ$2:$BZ$250,"0")=_xlpm.lam)*(HELPER!$CC$2:$CC$250=D231)*(HELPER!$BW$2:$BW$250&lt;&gt;""),_xlpm.mats,_xlfn._xlws.FILTER(HELPER!$BW$2:$BW$250,_xlpm.crit),_xlpm.realLayers,SUM((_xlpm.mats&lt;&gt;"")*ISERROR(SEARCH("EPOTAL",_xlpm.mats&amp;""))*ISERROR(SEARCH("BASONAT",_xlpm.mats&amp;""))*ISERROR(SEARCH("ADH",_xlpm.mats&amp;""))*ISERROR(SEARCH("HARDENER",_xlpm.mats&amp;""))),_xlpm.steps,MAX(0,_xlpm.realLayers-1),_xlpm.tier,IF(P231&lt;3000,1,IF(P231&lt;10000,2,IF(P231&lt;25000,3,IF(P231&lt;50000,4,IF(P231&lt;100000,5,IF(P231&lt;250000,6,7)))))),_xlpm.widthRow,IF(_xlpm.wUsed&lt;900,0,5),_xlpm.supplierRow,IF(O231="Marma",3,IF(OR(O231="Bastin",O231="Quantum"),13,0)),_xlpm.rate,INDEX('Lmntn &amp; Prntng- Marma &amp; Bastin '!$D$1:$K$22,_xlpm.supplierRow+_xlpm.widthRow,_xlpm.tier),_xlpm.rate*_xlpm.steps/_xlpm.kgmUsed),"")</f>
        <v>2.7755501595494474</v>
      </c>
      <c r="AI231" s="919" cm="1">
        <f t="array" ref="AI231">IFERROR(_xlfn.LET(_xlpm.cap,IF(O231="Quantum",760,1220),_xlpm.wUsed,E231*MAX(1,MIN(MAX(2,INT(900/E231)),INT((_xlpm.cap-50)/E231))),_xlpm.kgmUsed,AR231/E231*_xlpm.wUsed,_xlpm.tier,IF(P231&lt;3000,1,IF(P231&lt;10000,2,IF(P231&lt;25000,3,IF(P231&lt;50000,4,IF(P231&lt;100000,5,IF(P231&lt;250000,6,IF(P231&lt;500000,7,8))))))),_xlpm.widthRow,IF(_xlpm.wUsed&lt;900,0,5),_xlpm.slitRow,IF(O231="Marma",7,IF(OR(O231="Bastin",O231="Quantum"),17,0)),_xlpm.slitRate,INDEX('Lmntn &amp; Prntng- Marma &amp; Bastin '!$D$1:$K$22,_xlpm.slitRow+_xlpm.widthRow,_xlpm.tier),_xlpm.numColors,IF(ISNUMBER(L231),L231,IFERROR(--RIGHT(L231,LEN(L231)-FIND("-",L231)),0)),_xlpm.printRate,IF(OR(K231&lt;&gt;"Printed",_xlpm.numColors=0),0,IF(O231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231))),MAX(_xlfn._xlws.FILTER(_xlpm.meters,(_xlpm.widths=_xlpm.qWidth)*(_xlpm.bands=_xlpm.band)))),INDEX(_xlpm.rates,_xlfn.XMATCH(1,(_xlpm.widths=_xlpm.qWidth)*(_xlpm.bands=_xlpm.band)*(_xlpm.meters=_xlpm.targetM),0))/HELPER!$AK$2),_xlfn.LET(_xlpm.colorOffset,IF(_xlpm.numColors&lt;=2,1,IF(_xlpm.numColors&lt;=4,2,3)),_xlpm.supplierRow,IF(O231="Marma",3,IF(O231="Bastin",13,0)),INDEX('Lmntn &amp; Prntng- Marma &amp; Bastin '!$D$1:$K$22,_xlpm.supplierRow+_xlpm.widthRow+_xlpm.colorOffset,_xlpm.tier)))),AH231+_xlpm.slitRate/_xlpm.kgmUsed+_xlpm.printRate/_xlpm.kgmUsed+AJ231),"")</f>
        <v>12.942458870261026</v>
      </c>
      <c r="AJ231" s="919" cm="1">
        <f t="array" ref="AJ231">IF(OR(K231&lt;&gt;"Printed",L231=0,L231="0",L231=""),0,IFERROR(_xlfn.LET(_xlpm.lam,TEXT(B231,"0"),_xlpm.crit,(TEXT(HELPER!$BZ$2:$BZ$250,"0")=_xlpm.lam)*(HELPER!$CC$2:$CC$250=D231)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WHITE"},0)))/ROWS(_xlpm.real),_xlpm.numColors,IF(ISNUMBER(L231),L231,IFERROR(--RIGHT(L231,LEN(L231)-FIND("-",L231)),0)),HELPER!$DB$1*_xlpm.numColors*MAX(1,M231)*1.05*_xlpm.nkRatio/Q231),0))</f>
        <v>0.33600000000000002</v>
      </c>
      <c r="AK231" s="919">
        <f t="shared" si="81"/>
        <v>1.8101536066662414</v>
      </c>
      <c r="AL231" s="919">
        <f t="shared" si="82"/>
        <v>982.00833161643584</v>
      </c>
      <c r="AM231" s="73" t="str">
        <f t="shared" si="83"/>
        <v>PASS</v>
      </c>
      <c r="AN231" s="908" t="str">
        <f t="shared" si="84"/>
        <v/>
      </c>
      <c r="AO231" s="919">
        <f t="shared" si="85"/>
        <v>121</v>
      </c>
      <c r="AP231" s="919">
        <f t="shared" si="86"/>
        <v>127131.03395669916</v>
      </c>
      <c r="AQ231" s="919"/>
      <c r="AR231" s="919" cm="1">
        <f t="array" ref="AR231">IFERROR(_xlfn.LET(_xlpm.lam,TEXT(B231,"0"),_xlpm.thick,D231,_xlpm.crit,(TEXT(HELPER!$BZ$2:$BZ$250,"0")=_xlpm.lam)*(HELPER!$CC$2:$CC$250=_xlpm.thick)*(HELPER!$BW$2:$BW$250&lt;&gt;""),_xlpm.mats,TRIM(SUBSTITUTE(_xlfn._xlws.FILTER(HELPER!$BW$2:$BW$250,_xlpm.crit),CHAR(160),"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")),HELPER!$AQ$2:$AQ$20,1),_xlpm.mass,IF(ISNUMBER(SEARCH("paper",_xlpm.mats)),42,_xlpm.dens*_xlpm.ths),E231/1000000*SUM(_xlpm.mass)),"")</f>
        <v>3.9329500000000003E-2</v>
      </c>
      <c r="AS231" s="919">
        <f>IFERROR(IF(D231&gt;31,(5%+250/P231)*AF231,VLOOKUP(D231,HELPER!$BH$3:$BI$5,2,TRUE)*AF231),0)</f>
        <v>0.25626962848478801</v>
      </c>
      <c r="AT231" s="919">
        <v>0.20000000000000101</v>
      </c>
      <c r="AU231" s="919"/>
      <c r="AV231" s="919"/>
      <c r="AW231" s="919"/>
      <c r="AX231" s="919"/>
      <c r="AY231" s="919"/>
      <c r="AZ231" s="919">
        <f t="shared" si="87"/>
        <v>1680</v>
      </c>
    </row>
    <row r="232" spans="1:52">
      <c r="A232" s="73" t="s">
        <v>2261</v>
      </c>
      <c r="B232" s="73">
        <v>819</v>
      </c>
      <c r="C232" s="908" t="s">
        <v>2216</v>
      </c>
      <c r="D232" s="915" cm="1">
        <f t="array" ref="D23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2" s="915">
        <v>350</v>
      </c>
      <c r="F232" s="73" t="s">
        <v>561</v>
      </c>
      <c r="G232" s="916">
        <v>2000</v>
      </c>
      <c r="H232" s="916"/>
      <c r="I232" s="916"/>
      <c r="J232" s="916"/>
      <c r="K232" s="73" t="s">
        <v>124</v>
      </c>
      <c r="L232" s="921" t="s">
        <v>221</v>
      </c>
      <c r="M232" s="915">
        <v>1</v>
      </c>
      <c r="N232" s="73" t="s">
        <v>548</v>
      </c>
      <c r="O232" s="73" t="s">
        <v>240</v>
      </c>
      <c r="P232" s="916" cm="1">
        <f t="array" ref="P232">IFERROR(_xlfn.SWITCH(F232,"By Weight",IF(H232&lt;&gt;"",H232,G232)/AR232,"By Length",G232,"By Imp",G232/MAX(1,ROUNDDOWN(E232/I232,0))*J232/1000,"IMP",G232/MAX(1,ROUNDDOWN(E232/I232,0))*J232/1000,""),"")</f>
        <v>2000</v>
      </c>
      <c r="Q232" s="916">
        <f t="shared" si="66"/>
        <v>78.659000000000006</v>
      </c>
      <c r="R232" s="917">
        <f t="shared" si="67"/>
        <v>4252.9550087564703</v>
      </c>
      <c r="S232" s="918">
        <f t="shared" si="68"/>
        <v>4933.4278101575055</v>
      </c>
      <c r="T232" s="919">
        <f t="shared" si="69"/>
        <v>54.068256763453263</v>
      </c>
      <c r="U232" s="920">
        <f t="shared" si="70"/>
        <v>62.719177845605778</v>
      </c>
      <c r="V232" s="919">
        <f t="shared" si="71"/>
        <v>2.501738240444968</v>
      </c>
      <c r="W232" s="919">
        <f t="shared" si="72"/>
        <v>63.609713839356409</v>
      </c>
      <c r="X232" s="919" t="str">
        <f t="shared" si="73"/>
        <v/>
      </c>
      <c r="Y232" s="920">
        <f t="shared" si="74"/>
        <v>2.9020163589161627</v>
      </c>
      <c r="Z232" s="920">
        <f t="shared" si="75"/>
        <v>73.787268053653435</v>
      </c>
      <c r="AA232" s="920" t="str">
        <f t="shared" si="76"/>
        <v/>
      </c>
      <c r="AB232" s="917">
        <f t="shared" si="77"/>
        <v>5003.4764808899363</v>
      </c>
      <c r="AC232" s="918">
        <f t="shared" si="78"/>
        <v>5804.0327178323259</v>
      </c>
      <c r="AD232" s="916">
        <f t="shared" si="79"/>
        <v>12713.103395669916</v>
      </c>
      <c r="AE232" s="916">
        <f t="shared" si="80"/>
        <v>500</v>
      </c>
      <c r="AF232" s="919" cm="1">
        <f t="array" ref="AF232">IFERROR(_xlfn.LET(_xlpm.lam,TEXT(B232,"0"),_xlpm.thick,D232,_xlpm.crit,(TEXT(HELPER!$BZ$2:$BZ$250,"0")=_xlpm.lam)*(HELPER!$CC$2:$CC$250=_xlpm.thick)*(HELPER!$BW$2:$BW$250&lt;&gt;""),_xlpm.mats,TRIM(SUBSTITUTE(_xlfn._xlws.FILTER(HELPER!$BW$2:$BW$250,_xlpm.crit),CHAR(160),"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2" s="919">
        <f>IFERROR(IF(N232="Europe to Canada",IF(Q232&lt;1000,VLOOKUP(1000,HELPER!$AG$4:$AH$8,2,FALSE)/Q232,VLOOKUP(Q232,HELPER!$AG$4:$AH$8,2,TRUE)/Q232),IF(N232="Europe to US",HELPER!$AH$2,IF(N232="Europe to Europe",HELPER!$AH$3,0))),0)</f>
        <v>43.838287571275629</v>
      </c>
      <c r="AH232" s="919" cm="1">
        <f t="array" ref="AH232">IFERROR(_xlfn.LET(_xlpm.cap,IF(O232="Quantum",760,1220),_xlpm.wUsed,E232*MAX(1,MIN(MAX(2,INT(900/E232)),INT((_xlpm.cap-50)/E232))),_xlpm.kgmUsed,AR232/E232*_xlpm.wUsed,_xlpm.lam,TEXT(B232,"0"),_xlpm.crit,(TEXT(HELPER!$BZ$2:$BZ$250,"0")=_xlpm.lam)*(HELPER!$CC$2:$CC$250=D232)*(HELPER!$BW$2:$BW$250&lt;&gt;""),_xlpm.mats,_xlfn._xlws.FILTER(HELPER!$BW$2:$BW$250,_xlpm.crit),_xlpm.realLayers,SUM((_xlpm.mats&lt;&gt;"")*ISERROR(SEARCH("EPOTAL",_xlpm.mats&amp;""))*ISERROR(SEARCH("BASONAT",_xlpm.mats&amp;""))*ISERROR(SEARCH("ADH",_xlpm.mats&amp;""))*ISERROR(SEARCH("HARDENER",_xlpm.mats&amp;""))),_xlpm.steps,MAX(0,_xlpm.realLayers-1),_xlpm.tier,IF(P232&lt;3000,1,IF(P232&lt;10000,2,IF(P232&lt;25000,3,IF(P232&lt;50000,4,IF(P232&lt;100000,5,IF(P232&lt;250000,6,7)))))),_xlpm.widthRow,IF(_xlpm.wUsed&lt;900,0,5),_xlpm.supplierRow,IF(O232="Marma",3,IF(OR(O232="Bastin",O232="Quantum"),13,0)),_xlpm.rate,INDEX('Lmntn &amp; Prntng- Marma &amp; Bastin '!$D$1:$K$22,_xlpm.supplierRow+_xlpm.widthRow,_xlpm.tier),_xlpm.rate*_xlpm.steps/_xlpm.kgmUsed),"")</f>
        <v>3.8584014543790279</v>
      </c>
      <c r="AI232" s="919" cm="1">
        <f t="array" ref="AI232">IFERROR(_xlfn.LET(_xlpm.cap,IF(O232="Quantum",760,1220),_xlpm.wUsed,E232*MAX(1,MIN(MAX(2,INT(900/E232)),INT((_xlpm.cap-50)/E232))),_xlpm.kgmUsed,AR232/E232*_xlpm.wUsed,_xlpm.tier,IF(P232&lt;3000,1,IF(P232&lt;10000,2,IF(P232&lt;25000,3,IF(P232&lt;50000,4,IF(P232&lt;100000,5,IF(P232&lt;250000,6,IF(P232&lt;500000,7,8))))))),_xlpm.widthRow,IF(_xlpm.wUsed&lt;900,0,5),_xlpm.slitRow,IF(O232="Marma",7,IF(OR(O232="Bastin",O232="Quantum"),17,0)),_xlpm.slitRate,INDEX('Lmntn &amp; Prntng- Marma &amp; Bastin '!$D$1:$K$22,_xlpm.slitRow+_xlpm.widthRow,_xlpm.tier),_xlpm.numColors,IF(ISNUMBER(L232),L232,IFERROR(--RIGHT(L232,LEN(L232)-FIND("-",L232)),0)),_xlpm.printRate,IF(OR(K232&lt;&gt;"Printed",_xlpm.numColors=0),0,IF(O232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232))),MAX(_xlfn._xlws.FILTER(_xlpm.meters,(_xlpm.widths=_xlpm.qWidth)*(_xlpm.bands=_xlpm.band)))),INDEX(_xlpm.rates,_xlfn.XMATCH(1,(_xlpm.widths=_xlpm.qWidth)*(_xlpm.bands=_xlpm.band)*(_xlpm.meters=_xlpm.targetM),0))/HELPER!$AK$2),_xlfn.LET(_xlpm.colorOffset,IF(_xlpm.numColors&lt;=2,1,IF(_xlpm.numColors&lt;=4,2,3)),_xlpm.supplierRow,IF(O232="Marma",3,IF(O232="Bastin",13,0)),INDEX('Lmntn &amp; Prntng- Marma &amp; Bastin '!$D$1:$K$22,_xlpm.supplierRow+_xlpm.widthRow+_xlpm.colorOffset,_xlpm.tier)))),AH232+_xlpm.slitRate/_xlpm.kgmUsed+_xlpm.printRate/_xlpm.kgmUsed+AJ232),"")</f>
        <v>4.435525496128859</v>
      </c>
      <c r="AJ232" s="919" cm="1">
        <f t="array" ref="AJ232">IF(OR(K232&lt;&gt;"Printed",L232=0,L232="0",L232=""),0,IFERROR(_xlfn.LET(_xlpm.lam,TEXT(B232,"0"),_xlpm.crit,(TEXT(HELPER!$BZ$2:$BZ$250,"0")=_xlpm.lam)*(HELPER!$CC$2:$CC$250=D232)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WHITE"},0)))/ROWS(_xlpm.real),_xlpm.numColors,IF(ISNUMBER(L232),L232,IFERROR(--RIGHT(L232,LEN(L232)-FIND("-",L232)),0)),HELPER!$DB$1*_xlpm.numColors*MAX(1,M232)*1.05*_xlpm.nkRatio/Q232),0))</f>
        <v>0</v>
      </c>
      <c r="AK232" s="919">
        <f t="shared" si="81"/>
        <v>4.6114990607280513</v>
      </c>
      <c r="AL232" s="919">
        <f t="shared" si="82"/>
        <v>2501.7382404449681</v>
      </c>
      <c r="AM232" s="73" t="str">
        <f t="shared" si="83"/>
        <v>PASS</v>
      </c>
      <c r="AN232" s="908" t="str">
        <f t="shared" si="84"/>
        <v/>
      </c>
      <c r="AO232" s="919">
        <f t="shared" si="85"/>
        <v>121</v>
      </c>
      <c r="AP232" s="919">
        <f t="shared" si="86"/>
        <v>2000</v>
      </c>
      <c r="AQ232" s="919"/>
      <c r="AR232" s="919" cm="1">
        <f t="array" ref="AR232">IFERROR(_xlfn.LET(_xlpm.lam,TEXT(B232,"0"),_xlpm.thick,D232,_xlpm.crit,(TEXT(HELPER!$BZ$2:$BZ$250,"0")=_xlpm.lam)*(HELPER!$CC$2:$CC$250=_xlpm.thick)*(HELPER!$BW$2:$BW$250&lt;&gt;""),_xlpm.mats,TRIM(SUBSTITUTE(_xlfn._xlws.FILTER(HELPER!$BW$2:$BW$250,_xlpm.crit),CHAR(160),"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")),HELPER!$AQ$2:$AQ$20,1),_xlpm.mass,IF(ISNUMBER(SEARCH("paper",_xlpm.mats)),42,_xlpm.dens*_xlpm.ths),E232/1000000*SUM(_xlpm.mass)),"")</f>
        <v>3.9329500000000003E-2</v>
      </c>
      <c r="AS232" s="919">
        <f>IFERROR(IF(D232&gt;31,(5%+250/P232)*AF232,VLOOKUP(D232,HELPER!$BH$3:$BI$5,2,TRUE)*AF232),0)</f>
        <v>0.86300225260300789</v>
      </c>
      <c r="AT232" s="919">
        <v>0.149999999999995</v>
      </c>
      <c r="AU232" s="919"/>
      <c r="AV232" s="919"/>
      <c r="AW232" s="919"/>
      <c r="AX232" s="919"/>
      <c r="AY232" s="919"/>
      <c r="AZ232" s="919">
        <f t="shared" si="87"/>
        <v>0</v>
      </c>
    </row>
    <row r="233" spans="1:52">
      <c r="A233" s="73" t="s">
        <v>2262</v>
      </c>
      <c r="B233" s="73">
        <v>819</v>
      </c>
      <c r="C233" s="908" t="s">
        <v>2218</v>
      </c>
      <c r="D233" s="915" cm="1">
        <f t="array" ref="D23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3" s="915">
        <v>900</v>
      </c>
      <c r="F233" s="73" t="s">
        <v>1040</v>
      </c>
      <c r="G233" s="916">
        <v>1600000</v>
      </c>
      <c r="H233" s="916"/>
      <c r="I233" s="916">
        <v>140</v>
      </c>
      <c r="J233" s="916">
        <v>80</v>
      </c>
      <c r="K233" s="73" t="s">
        <v>123</v>
      </c>
      <c r="L233" s="921" t="s">
        <v>592</v>
      </c>
      <c r="M233" s="915">
        <v>8</v>
      </c>
      <c r="N233" s="73" t="s">
        <v>548</v>
      </c>
      <c r="O233" s="73" t="s">
        <v>250</v>
      </c>
      <c r="P233" s="916" cm="1">
        <f t="array" ref="P233">IFERROR(_xlfn.SWITCH(F233,"By Weight",IF(H233&lt;&gt;"",H233,G233)/AR233,"By Length",G233,"By Imp",G233/MAX(1,ROUNDDOWN(E233/I233,0))*J233/1000,"IMP",G233/MAX(1,ROUNDDOWN(E233/I233,0))*J233/1000,""),"")</f>
        <v>21333.333333333336</v>
      </c>
      <c r="Q233" s="916">
        <f t="shared" si="66"/>
        <v>2157.5040000000004</v>
      </c>
      <c r="R233" s="917">
        <f t="shared" si="67"/>
        <v>31072.805022825618</v>
      </c>
      <c r="S233" s="918">
        <f t="shared" si="68"/>
        <v>36044.453826477715</v>
      </c>
      <c r="T233" s="919">
        <f t="shared" si="69"/>
        <v>14.402200423649557</v>
      </c>
      <c r="U233" s="920">
        <f t="shared" si="70"/>
        <v>16.706552491433484</v>
      </c>
      <c r="V233" s="919">
        <f t="shared" si="71"/>
        <v>1.7135738064058224</v>
      </c>
      <c r="W233" s="919">
        <f t="shared" si="72"/>
        <v>16.943765204293577</v>
      </c>
      <c r="X233" s="919">
        <f t="shared" si="73"/>
        <v>2.2847650752077633E-2</v>
      </c>
      <c r="Y233" s="920">
        <f t="shared" si="74"/>
        <v>1.9877456154307538</v>
      </c>
      <c r="Z233" s="920">
        <f t="shared" si="75"/>
        <v>19.654767636980548</v>
      </c>
      <c r="AA233" s="920">
        <f t="shared" si="76"/>
        <v>2.6503274872410054E-2</v>
      </c>
      <c r="AB233" s="917">
        <f t="shared" si="77"/>
        <v>36556.241203324214</v>
      </c>
      <c r="AC233" s="918">
        <f t="shared" si="78"/>
        <v>42405.239795856083</v>
      </c>
      <c r="AD233" s="916">
        <f t="shared" si="79"/>
        <v>4943.9846538716347</v>
      </c>
      <c r="AE233" s="916">
        <f t="shared" si="80"/>
        <v>500</v>
      </c>
      <c r="AF233" s="919" cm="1">
        <f t="array" ref="AF233">IFERROR(_xlfn.LET(_xlpm.lam,TEXT(B233,"0"),_xlpm.thick,D233,_xlpm.crit,(TEXT(HELPER!$BZ$2:$BZ$250,"0")=_xlpm.lam)*(HELPER!$CC$2:$CC$250=_xlpm.thick)*(HELPER!$BW$2:$BW$250&lt;&gt;""),_xlpm.mats,TRIM(SUBSTITUTE(_xlfn._xlws.FILTER(HELPER!$BW$2:$BW$250,_xlpm.crit),CHAR(160),"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3" s="919">
        <f>IFERROR(IF(N233="Europe to Canada",IF(Q233&lt;1000,VLOOKUP(1000,HELPER!$AG$4:$AH$8,2,FALSE)/Q233,VLOOKUP(Q233,HELPER!$AG$4:$AH$8,2,TRUE)/Q233),IF(N233="Europe to US",HELPER!$AH$2,IF(N233="Europe to Europe",HELPER!$AH$3,0))),0)</f>
        <v>2.3174928065023281</v>
      </c>
      <c r="AH233" s="919" cm="1">
        <f t="array" ref="AH233">IFERROR(_xlfn.LET(_xlpm.cap,IF(O233="Quantum",760,1220),_xlpm.wUsed,E233*MAX(1,MIN(MAX(2,INT(900/E233)),INT((_xlpm.cap-50)/E233))),_xlpm.kgmUsed,AR233/E233*_xlpm.wUsed,_xlpm.lam,TEXT(B233,"0"),_xlpm.crit,(TEXT(HELPER!$BZ$2:$BZ$250,"0")=_xlpm.lam)*(HELPER!$CC$2:$CC$250=D233)*(HELPER!$BW$2:$BW$250&lt;&gt;""),_xlpm.mats,_xlfn._xlws.FILTER(HELPER!$BW$2:$BW$250,_xlpm.crit),_xlpm.realLayers,SUM((_xlpm.mats&lt;&gt;"")*ISERROR(SEARCH("EPOTAL",_xlpm.mats&amp;""))*ISERROR(SEARCH("BASONAT",_xlpm.mats&amp;""))*ISERROR(SEARCH("ADH",_xlpm.mats&amp;""))*ISERROR(SEARCH("HARDENER",_xlpm.mats&amp;""))),_xlpm.steps,MAX(0,_xlpm.realLayers-1),_xlpm.tier,IF(P233&lt;3000,1,IF(P233&lt;10000,2,IF(P233&lt;25000,3,IF(P233&lt;50000,4,IF(P233&lt;100000,5,IF(P233&lt;250000,6,7)))))),_xlpm.widthRow,IF(_xlpm.wUsed&lt;900,0,5),_xlpm.supplierRow,IF(O233="Marma",3,IF(OR(O233="Bastin",O233="Quantum"),13,0)),_xlpm.rate,INDEX('Lmntn &amp; Prntng- Marma &amp; Bastin '!$D$1:$K$22,_xlpm.supplierRow+_xlpm.widthRow,_xlpm.tier),_xlpm.rate*_xlpm.steps/_xlpm.kgmUsed),"")</f>
        <v>1.8100916614754827</v>
      </c>
      <c r="AI233" s="919" cm="1">
        <f t="array" ref="AI233">IFERROR(_xlfn.LET(_xlpm.cap,IF(O233="Quantum",760,1220),_xlpm.wUsed,E233*MAX(1,MIN(MAX(2,INT(900/E233)),INT((_xlpm.cap-50)/E233))),_xlpm.kgmUsed,AR233/E233*_xlpm.wUsed,_xlpm.tier,IF(P233&lt;3000,1,IF(P233&lt;10000,2,IF(P233&lt;25000,3,IF(P233&lt;50000,4,IF(P233&lt;100000,5,IF(P233&lt;250000,6,IF(P233&lt;500000,7,8))))))),_xlpm.widthRow,IF(_xlpm.wUsed&lt;900,0,5),_xlpm.slitRow,IF(O233="Marma",7,IF(OR(O233="Bastin",O233="Quantum"),17,0)),_xlpm.slitRate,INDEX('Lmntn &amp; Prntng- Marma &amp; Bastin '!$D$1:$K$22,_xlpm.slitRow+_xlpm.widthRow,_xlpm.tier),_xlpm.numColors,IF(ISNUMBER(L233),L233,IFERROR(--RIGHT(L233,LEN(L233)-FIND("-",L233)),0)),_xlpm.printRate,IF(OR(K233&lt;&gt;"Printed",_xlpm.numColors=0),0,IF(O233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233))),MAX(_xlfn._xlws.FILTER(_xlpm.meters,(_xlpm.widths=_xlpm.qWidth)*(_xlpm.bands=_xlpm.band)))),INDEX(_xlpm.rates,_xlfn.XMATCH(1,(_xlpm.widths=_xlpm.qWidth)*(_xlpm.bands=_xlpm.band)*(_xlpm.meters=_xlpm.targetM),0))/HELPER!$AK$2),_xlfn.LET(_xlpm.colorOffset,IF(_xlpm.numColors&lt;=2,1,IF(_xlpm.numColors&lt;=4,2,3)),_xlpm.supplierRow,IF(O233="Marma",3,IF(O233="Bastin",13,0)),INDEX('Lmntn &amp; Prntng- Marma &amp; Bastin '!$D$1:$K$22,_xlpm.supplierRow+_xlpm.widthRow+_xlpm.colorOffset,_xlpm.tier)))),AH233+_xlpm.slitRate/_xlpm.kgmUsed+_xlpm.printRate/_xlpm.kgmUsed+AJ233),"")</f>
        <v>6.8489037721138022</v>
      </c>
      <c r="AJ233" s="919" cm="1">
        <f t="array" ref="AJ233">IF(OR(K233&lt;&gt;"Printed",L233=0,L233="0",L233=""),0,IFERROR(_xlfn.LET(_xlpm.lam,TEXT(B233,"0"),_xlpm.crit,(TEXT(HELPER!$BZ$2:$BZ$250,"0")=_xlpm.lam)*(HELPER!$CC$2:$CC$250=D233)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WHITE"},0)))/ROWS(_xlpm.real),_xlpm.numColors,IF(ISNUMBER(L233),L233,IFERROR(--RIGHT(L233,LEN(L233)-FIND("-",L233)),0)),HELPER!$DB$1*_xlpm.numColors*MAX(1,M233)*1.05*_xlpm.nkRatio/Q233),0))</f>
        <v>3.1147103319391292</v>
      </c>
      <c r="AK233" s="919">
        <f t="shared" si="81"/>
        <v>1.2283683200041737</v>
      </c>
      <c r="AL233" s="919">
        <f t="shared" si="82"/>
        <v>1713.5738064058223</v>
      </c>
      <c r="AM233" s="73" t="str">
        <f t="shared" si="83"/>
        <v>PASS</v>
      </c>
      <c r="AN233" s="908" t="str">
        <f t="shared" si="84"/>
        <v/>
      </c>
      <c r="AO233" s="919">
        <f t="shared" si="85"/>
        <v>121</v>
      </c>
      <c r="AP233" s="919">
        <f t="shared" si="86"/>
        <v>21333.333333333336</v>
      </c>
      <c r="AQ233" s="919"/>
      <c r="AR233" s="919" cm="1">
        <f t="array" ref="AR233">IFERROR(_xlfn.LET(_xlpm.lam,TEXT(B233,"0"),_xlpm.thick,D233,_xlpm.crit,(TEXT(HELPER!$BZ$2:$BZ$250,"0")=_xlpm.lam)*(HELPER!$CC$2:$CC$250=_xlpm.thick)*(HELPER!$BW$2:$BW$250&lt;&gt;""),_xlpm.mats,TRIM(SUBSTITUTE(_xlfn._xlws.FILTER(HELPER!$BW$2:$BW$250,_xlpm.crit),CHAR(160),"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")),HELPER!$AQ$2:$AQ$20,1),_xlpm.mass,IF(ISNUMBER(SEARCH("paper",_xlpm.mats)),42,_xlpm.dens*_xlpm.ths),E233/1000000*SUM(_xlpm.mass)),"")</f>
        <v>0.101133</v>
      </c>
      <c r="AS233" s="919">
        <f>IFERROR(IF(D233&gt;31,(5%+250/P233)*AF233,VLOOKUP(D233,HELPER!$BH$3:$BI$5,2,TRUE)*AF233),0)</f>
        <v>0.30436240158766797</v>
      </c>
      <c r="AT233" s="919">
        <v>0.149999999999999</v>
      </c>
      <c r="AU233" s="919"/>
      <c r="AV233" s="919"/>
      <c r="AW233" s="919"/>
      <c r="AX233" s="919"/>
      <c r="AY233" s="919"/>
      <c r="AZ233" s="919">
        <f t="shared" si="87"/>
        <v>6720</v>
      </c>
    </row>
    <row r="234" spans="1:52">
      <c r="A234" s="73" t="s">
        <v>2263</v>
      </c>
      <c r="B234" s="73" t="s">
        <v>1053</v>
      </c>
      <c r="C234" s="908" t="s">
        <v>2212</v>
      </c>
      <c r="D234" s="915" cm="1">
        <f t="array" ref="D23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4" s="915">
        <v>120</v>
      </c>
      <c r="F234" s="73" t="s">
        <v>560</v>
      </c>
      <c r="G234" s="916">
        <v>100</v>
      </c>
      <c r="H234" s="916">
        <v>100</v>
      </c>
      <c r="I234" s="916"/>
      <c r="J234" s="916"/>
      <c r="K234" s="73" t="s">
        <v>124</v>
      </c>
      <c r="L234" s="921" t="s">
        <v>221</v>
      </c>
      <c r="M234" s="915">
        <v>1</v>
      </c>
      <c r="N234" s="73" t="s">
        <v>548</v>
      </c>
      <c r="O234" s="73" t="s">
        <v>250</v>
      </c>
      <c r="P234" s="916" cm="1">
        <f t="array" ref="P234">IFERROR(_xlfn.SWITCH(F234,"By Weight",IF(H234&lt;&gt;"",H234,G234)/AR234,"By Length",G234,"By Imp",G234/MAX(1,ROUNDDOWN(E234/I234,0))*J234/1000,"IMP",G234/MAX(1,ROUNDDOWN(E234/I234,0))*J234/1000,""),"")</f>
        <v>7941.8024714889279</v>
      </c>
      <c r="Q234" s="916">
        <f t="shared" si="66"/>
        <v>100</v>
      </c>
      <c r="R234" s="917">
        <f t="shared" si="67"/>
        <v>4589.0915132708969</v>
      </c>
      <c r="S234" s="918">
        <f t="shared" si="68"/>
        <v>5323.3461553942398</v>
      </c>
      <c r="T234" s="919">
        <f t="shared" si="69"/>
        <v>45.890915132708969</v>
      </c>
      <c r="U234" s="920">
        <f t="shared" si="70"/>
        <v>53.233461553942398</v>
      </c>
      <c r="V234" s="919">
        <f t="shared" si="71"/>
        <v>0.6798118199823745</v>
      </c>
      <c r="W234" s="919">
        <f t="shared" si="72"/>
        <v>53.989311920834083</v>
      </c>
      <c r="X234" s="919" t="str">
        <f t="shared" si="73"/>
        <v/>
      </c>
      <c r="Y234" s="920">
        <f t="shared" si="74"/>
        <v>0.78858171117955433</v>
      </c>
      <c r="Z234" s="920">
        <f t="shared" si="75"/>
        <v>62.627601828167535</v>
      </c>
      <c r="AA234" s="920" t="str">
        <f t="shared" si="76"/>
        <v/>
      </c>
      <c r="AB234" s="917">
        <f t="shared" si="77"/>
        <v>5398.931192083408</v>
      </c>
      <c r="AC234" s="918">
        <f t="shared" si="78"/>
        <v>6262.7601828167526</v>
      </c>
      <c r="AD234" s="916">
        <f t="shared" si="79"/>
        <v>39709.012357444641</v>
      </c>
      <c r="AE234" s="916">
        <f t="shared" si="80"/>
        <v>500</v>
      </c>
      <c r="AF234" s="919" cm="1">
        <f t="array" ref="AF234">IFERROR(_xlfn.LET(_xlpm.lam,TEXT(B234,"0"),_xlpm.thick,D234,_xlpm.crit,(TEXT(HELPER!$BZ$2:$BZ$250,"0")=_xlpm.lam)*(HELPER!$CC$2:$CC$250=_xlpm.thick)*(HELPER!$BW$2:$BW$250&lt;&gt;""),_xlpm.mats,TRIM(SUBSTITUTE(_xlfn._xlws.FILTER(HELPER!$BW$2:$BW$250,_xlpm.crit),CHAR(160),"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4" s="919">
        <f>IFERROR(IF(N234="Europe to Canada",IF(Q234&lt;1000,VLOOKUP(1000,HELPER!$AG$4:$AH$8,2,FALSE)/Q234,VLOOKUP(Q234,HELPER!$AG$4:$AH$8,2,TRUE)/Q234),IF(N234="Europe to US",HELPER!$AH$2,IF(N234="Europe to Europe",HELPER!$AH$3,0))),0)</f>
        <v>34.482758620689701</v>
      </c>
      <c r="AH234" s="919" cm="1">
        <f t="array" ref="AH234">IFERROR(_xlfn.LET(_xlpm.cap,IF(O234="Quantum",760,1220),_xlpm.wUsed,E234*MAX(1,MIN(MAX(2,INT(900/E234)),INT((_xlpm.cap-50)/E234))),_xlpm.kgmUsed,AR234/E234*_xlpm.wUsed,_xlpm.lam,TEXT(B234,"0"),_xlpm.crit,(TEXT(HELPER!$BZ$2:$BZ$250,"0")=_xlpm.lam)*(HELPER!$CC$2:$CC$250=D234)*(HELPER!$BW$2:$BW$250&lt;&gt;""),_xlpm.mats,_xlfn._xlws.FILTER(HELPER!$BW$2:$BW$250,_xlpm.crit),_xlpm.realLayers,SUM((_xlpm.mats&lt;&gt;"")*ISERROR(SEARCH("EPOTAL",_xlpm.mats&amp;""))*ISERROR(SEARCH("BASONAT",_xlpm.mats&amp;""))*ISERROR(SEARCH("ADH",_xlpm.mats&amp;""))*ISERROR(SEARCH("HARDENER",_xlpm.mats&amp;""))),_xlpm.steps,MAX(0,_xlpm.realLayers-1),_xlpm.tier,IF(P234&lt;3000,1,IF(P234&lt;10000,2,IF(P234&lt;25000,3,IF(P234&lt;50000,4,IF(P234&lt;100000,5,IF(P234&lt;250000,6,7)))))),_xlpm.widthRow,IF(_xlpm.wUsed&lt;900,0,5),_xlpm.supplierRow,IF(O234="Marma",3,IF(OR(O234="Bastin",O234="Quantum"),13,0)),_xlpm.rate,INDEX('Lmntn &amp; Prntng- Marma &amp; Bastin '!$D$1:$K$22,_xlpm.supplierRow+_xlpm.widthRow,_xlpm.tier),_xlpm.rate*_xlpm.steps/_xlpm.kgmUsed),"")</f>
        <v>2.3627996895889773</v>
      </c>
      <c r="AI234" s="919" cm="1">
        <f t="array" ref="AI234">IFERROR(_xlfn.LET(_xlpm.cap,IF(O234="Quantum",760,1220),_xlpm.wUsed,E234*MAX(1,MIN(MAX(2,INT(900/E234)),INT((_xlpm.cap-50)/E234))),_xlpm.kgmUsed,AR234/E234*_xlpm.wUsed,_xlpm.tier,IF(P234&lt;3000,1,IF(P234&lt;10000,2,IF(P234&lt;25000,3,IF(P234&lt;50000,4,IF(P234&lt;100000,5,IF(P234&lt;250000,6,IF(P234&lt;500000,7,8))))))),_xlpm.widthRow,IF(_xlpm.wUsed&lt;900,0,5),_xlpm.slitRow,IF(O234="Marma",7,IF(OR(O234="Bastin",O234="Quantum"),17,0)),_xlpm.slitRate,INDEX('Lmntn &amp; Prntng- Marma &amp; Bastin '!$D$1:$K$22,_xlpm.slitRow+_xlpm.widthRow,_xlpm.tier),_xlpm.numColors,IF(ISNUMBER(L234),L234,IFERROR(--RIGHT(L234,LEN(L234)-FIND("-",L234)),0)),_xlpm.printRate,IF(OR(K234&lt;&gt;"Printed",_xlpm.numColors=0),0,IF(O234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234))),MAX(_xlfn._xlws.FILTER(_xlpm.meters,(_xlpm.widths=_xlpm.qWidth)*(_xlpm.bands=_xlpm.band)))),INDEX(_xlpm.rates,_xlfn.XMATCH(1,(_xlpm.widths=_xlpm.qWidth)*(_xlpm.bands=_xlpm.band)*(_xlpm.meters=_xlpm.targetM),0))/HELPER!$AK$2),_xlfn.LET(_xlpm.colorOffset,IF(_xlpm.numColors&lt;=2,1,IF(_xlpm.numColors&lt;=4,2,3)),_xlpm.supplierRow,IF(O234="Marma",3,IF(O234="Bastin",13,0)),INDEX('Lmntn &amp; Prntng- Marma &amp; Bastin '!$D$1:$K$22,_xlpm.supplierRow+_xlpm.widthRow+_xlpm.colorOffset,_xlpm.tier)))),AH234+_xlpm.slitRate/_xlpm.kgmUsed+_xlpm.printRate/_xlpm.kgmUsed+AJ234),"")</f>
        <v>2.7079277341356818</v>
      </c>
      <c r="AJ234" s="919" cm="1">
        <f t="array" ref="AJ234">IF(OR(K234&lt;&gt;"Printed",L234=0,L234="0",L234=""),0,IFERROR(_xlfn.LET(_xlpm.lam,TEXT(B234,"0"),_xlpm.crit,(TEXT(HELPER!$BZ$2:$BZ$250,"0")=_xlpm.lam)*(HELPER!$CC$2:$CC$250=D234)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WHITE"},0)))/ROWS(_xlpm.real),_xlpm.numColors,IF(ISNUMBER(L234),L234,IFERROR(--RIGHT(L234,LEN(L234)-FIND("-",L234)),0)),HELPER!$DB$1*_xlpm.numColors*MAX(1,M234)*1.05*_xlpm.nkRatio/Q234),0))</f>
        <v>0</v>
      </c>
      <c r="AK234" s="919">
        <f t="shared" si="81"/>
        <v>3.6549022579697552</v>
      </c>
      <c r="AL234" s="919">
        <f t="shared" si="82"/>
        <v>679.81181998237446</v>
      </c>
      <c r="AM234" s="73" t="str">
        <f t="shared" si="83"/>
        <v>PASS</v>
      </c>
      <c r="AN234" s="908" t="str">
        <f t="shared" si="84"/>
        <v/>
      </c>
      <c r="AO234" s="919">
        <f t="shared" si="85"/>
        <v>79</v>
      </c>
      <c r="AP234" s="919">
        <f t="shared" si="86"/>
        <v>7941.8024714889279</v>
      </c>
      <c r="AQ234" s="919"/>
      <c r="AR234" s="919" cm="1">
        <f t="array" ref="AR234">IFERROR(_xlfn.LET(_xlpm.lam,TEXT(B234,"0"),_xlpm.thick,D234,_xlpm.crit,(TEXT(HELPER!$BZ$2:$BZ$250,"0")=_xlpm.lam)*(HELPER!$CC$2:$CC$250=_xlpm.thick)*(HELPER!$BW$2:$BW$250&lt;&gt;""),_xlpm.mats,TRIM(SUBSTITUTE(_xlfn._xlws.FILTER(HELPER!$BW$2:$BW$250,_xlpm.crit),CHAR(160),"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")),HELPER!$AQ$2:$AQ$20,1),_xlpm.mass,IF(ISNUMBER(SEARCH("paper",_xlpm.mats)),42,_xlpm.dens*_xlpm.ths),E234/1000000*SUM(_xlpm.mass)),"")</f>
        <v>1.2591600000000001E-2</v>
      </c>
      <c r="AS234" s="919">
        <f>IFERROR(IF(D234&gt;31,(5%+250/P234)*AF234,VLOOKUP(D234,HELPER!$BH$3:$BI$5,2,TRUE)*AF234),0)</f>
        <v>0.65547822989921856</v>
      </c>
      <c r="AT234" s="919">
        <v>0.15</v>
      </c>
      <c r="AU234" s="919"/>
      <c r="AV234" s="919"/>
      <c r="AW234" s="919"/>
      <c r="AX234" s="919"/>
      <c r="AY234" s="919"/>
      <c r="AZ234" s="919">
        <f t="shared" si="87"/>
        <v>0</v>
      </c>
    </row>
    <row r="235" spans="1:52">
      <c r="A235" s="73" t="s">
        <v>2264</v>
      </c>
      <c r="B235" s="73" t="s">
        <v>1053</v>
      </c>
      <c r="C235" s="908" t="s">
        <v>2214</v>
      </c>
      <c r="D235" s="915" cm="1">
        <f t="array" ref="D23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5" s="915">
        <v>350</v>
      </c>
      <c r="F235" s="73" t="s">
        <v>560</v>
      </c>
      <c r="G235" s="916">
        <v>5000</v>
      </c>
      <c r="H235" s="916">
        <v>5000</v>
      </c>
      <c r="I235" s="916"/>
      <c r="J235" s="916"/>
      <c r="K235" s="73" t="s">
        <v>123</v>
      </c>
      <c r="L235" s="921" t="s">
        <v>122</v>
      </c>
      <c r="M235" s="915">
        <v>4</v>
      </c>
      <c r="N235" s="73" t="s">
        <v>548</v>
      </c>
      <c r="O235" s="73" t="s">
        <v>1366</v>
      </c>
      <c r="P235" s="916" cm="1">
        <f t="array" ref="P235">IFERROR(_xlfn.SWITCH(F235,"By Weight",IF(H235&lt;&gt;"",H235,G235)/AR235,"By Length",G235,"By Imp",G235/MAX(1,ROUNDDOWN(E235/I235,0))*J235/1000,"IMP",G235/MAX(1,ROUNDDOWN(E235/I235,0))*J235/1000,""),"")</f>
        <v>136145.1852255245</v>
      </c>
      <c r="Q235" s="916">
        <f t="shared" si="66"/>
        <v>5000</v>
      </c>
      <c r="R235" s="917">
        <f t="shared" si="67"/>
        <v>122394.50232814884</v>
      </c>
      <c r="S235" s="918">
        <f t="shared" si="68"/>
        <v>141977.62270065263</v>
      </c>
      <c r="T235" s="919">
        <f t="shared" si="69"/>
        <v>24.478900465629767</v>
      </c>
      <c r="U235" s="920">
        <f t="shared" si="70"/>
        <v>28.395524540130527</v>
      </c>
      <c r="V235" s="919">
        <f t="shared" si="71"/>
        <v>1.0576468930005694</v>
      </c>
      <c r="W235" s="919">
        <f t="shared" si="72"/>
        <v>28.798706430152599</v>
      </c>
      <c r="X235" s="919" t="str">
        <f t="shared" si="73"/>
        <v/>
      </c>
      <c r="Y235" s="920">
        <f t="shared" si="74"/>
        <v>1.2268703958806604</v>
      </c>
      <c r="Z235" s="920">
        <f t="shared" si="75"/>
        <v>33.406499458977009</v>
      </c>
      <c r="AA235" s="920" t="str">
        <f t="shared" si="76"/>
        <v/>
      </c>
      <c r="AB235" s="917">
        <f t="shared" si="77"/>
        <v>143993.532150763</v>
      </c>
      <c r="AC235" s="918">
        <f t="shared" si="78"/>
        <v>167032.49729488508</v>
      </c>
      <c r="AD235" s="916">
        <f t="shared" si="79"/>
        <v>13614.518522552449</v>
      </c>
      <c r="AE235" s="916">
        <f t="shared" si="80"/>
        <v>500</v>
      </c>
      <c r="AF235" s="919" cm="1">
        <f t="array" ref="AF235">IFERROR(_xlfn.LET(_xlpm.lam,TEXT(B235,"0"),_xlpm.thick,D235,_xlpm.crit,(TEXT(HELPER!$BZ$2:$BZ$250,"0")=_xlpm.lam)*(HELPER!$CC$2:$CC$250=_xlpm.thick)*(HELPER!$BW$2:$BW$250&lt;&gt;""),_xlpm.mats,TRIM(SUBSTITUTE(_xlfn._xlws.FILTER(HELPER!$BW$2:$BW$250,_xlpm.crit),CHAR(160),"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5" s="919">
        <f>IFERROR(IF(N235="Europe to Canada",IF(Q235&lt;1000,VLOOKUP(1000,HELPER!$AG$4:$AH$8,2,FALSE)/Q235,VLOOKUP(Q235,HELPER!$AG$4:$AH$8,2,TRUE)/Q235),IF(N235="Europe to US",HELPER!$AH$2,IF(N235="Europe to Europe",HELPER!$AH$3,0))),0)</f>
        <v>1.8448275862068959</v>
      </c>
      <c r="AH235" s="919" cm="1">
        <f t="array" ref="AH235">IFERROR(_xlfn.LET(_xlpm.cap,IF(O235="Quantum",760,1220),_xlpm.wUsed,E235*MAX(1,MIN(MAX(2,INT(900/E235)),INT((_xlpm.cap-50)/E235))),_xlpm.kgmUsed,AR235/E235*_xlpm.wUsed,_xlpm.lam,TEXT(B235,"0"),_xlpm.crit,(TEXT(HELPER!$BZ$2:$BZ$250,"0")=_xlpm.lam)*(HELPER!$CC$2:$CC$250=D235)*(HELPER!$BW$2:$BW$250&lt;&gt;""),_xlpm.mats,_xlfn._xlws.FILTER(HELPER!$BW$2:$BW$250,_xlpm.crit),_xlpm.realLayers,SUM((_xlpm.mats&lt;&gt;"")*ISERROR(SEARCH("EPOTAL",_xlpm.mats&amp;""))*ISERROR(SEARCH("BASONAT",_xlpm.mats&amp;""))*ISERROR(SEARCH("ADH",_xlpm.mats&amp;""))*ISERROR(SEARCH("HARDENER",_xlpm.mats&amp;""))),_xlpm.steps,MAX(0,_xlpm.realLayers-1),_xlpm.tier,IF(P235&lt;3000,1,IF(P235&lt;10000,2,IF(P235&lt;25000,3,IF(P235&lt;50000,4,IF(P235&lt;100000,5,IF(P235&lt;250000,6,7)))))),_xlpm.widthRow,IF(_xlpm.wUsed&lt;900,0,5),_xlpm.supplierRow,IF(O235="Marma",3,IF(OR(O235="Bastin",O235="Quantum"),13,0)),_xlpm.rate,INDEX('Lmntn &amp; Prntng- Marma &amp; Bastin '!$D$1:$K$22,_xlpm.supplierRow+_xlpm.widthRow,_xlpm.tier),_xlpm.rate*_xlpm.steps/_xlpm.kgmUsed),"")</f>
        <v>2.9723489128806961</v>
      </c>
      <c r="AI235" s="919" cm="1">
        <f t="array" ref="AI235">IFERROR(_xlfn.LET(_xlpm.cap,IF(O235="Quantum",760,1220),_xlpm.wUsed,E235*MAX(1,MIN(MAX(2,INT(900/E235)),INT((_xlpm.cap-50)/E235))),_xlpm.kgmUsed,AR235/E235*_xlpm.wUsed,_xlpm.tier,IF(P235&lt;3000,1,IF(P235&lt;10000,2,IF(P235&lt;25000,3,IF(P235&lt;50000,4,IF(P235&lt;100000,5,IF(P235&lt;250000,6,IF(P235&lt;500000,7,8))))))),_xlpm.widthRow,IF(_xlpm.wUsed&lt;900,0,5),_xlpm.slitRow,IF(O235="Marma",7,IF(OR(O235="Bastin",O235="Quantum"),17,0)),_xlpm.slitRate,INDEX('Lmntn &amp; Prntng- Marma &amp; Bastin '!$D$1:$K$22,_xlpm.slitRow+_xlpm.widthRow,_xlpm.tier),_xlpm.numColors,IF(ISNUMBER(L235),L235,IFERROR(--RIGHT(L235,LEN(L235)-FIND("-",L235)),0)),_xlpm.printRate,IF(OR(K235&lt;&gt;"Printed",_xlpm.numColors=0),0,IF(O235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235))),MAX(_xlfn._xlws.FILTER(_xlpm.meters,(_xlpm.widths=_xlpm.qWidth)*(_xlpm.bands=_xlpm.band)))),INDEX(_xlpm.rates,_xlfn.XMATCH(1,(_xlpm.widths=_xlpm.qWidth)*(_xlpm.bands=_xlpm.band)*(_xlpm.meters=_xlpm.targetM),0))/HELPER!$AK$2),_xlfn.LET(_xlpm.colorOffset,IF(_xlpm.numColors&lt;=2,1,IF(_xlpm.numColors&lt;=4,2,3)),_xlpm.supplierRow,IF(O235="Marma",3,IF(O235="Bastin",13,0)),INDEX('Lmntn &amp; Prntng- Marma &amp; Bastin '!$D$1:$K$22,_xlpm.supplierRow+_xlpm.widthRow+_xlpm.colorOffset,_xlpm.tier)))),AH235+_xlpm.slitRate/_xlpm.kgmUsed+_xlpm.printRate/_xlpm.kgmUsed+AJ235),"")</f>
        <v>14.172312429726786</v>
      </c>
      <c r="AJ235" s="919" cm="1">
        <f t="array" ref="AJ235">IF(OR(K235&lt;&gt;"Printed",L235=0,L235="0",L235=""),0,IFERROR(_xlfn.LET(_xlpm.lam,TEXT(B235,"0"),_xlpm.crit,(TEXT(HELPER!$BZ$2:$BZ$250,"0")=_xlpm.lam)*(HELPER!$CC$2:$CC$250=D235)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WHITE"},0)))/ROWS(_xlpm.real),_xlpm.numColors,IF(ISNUMBER(L235),L235,IFERROR(--RIGHT(L235,LEN(L235)-FIND("-",L235)),0)),HELPER!$DB$1*_xlpm.numColors*MAX(1,M235)*1.05*_xlpm.nkRatio/Q235),0))</f>
        <v>0.67200000000000004</v>
      </c>
      <c r="AK235" s="919">
        <f t="shared" si="81"/>
        <v>1.9495795262683306</v>
      </c>
      <c r="AL235" s="919">
        <f t="shared" si="82"/>
        <v>1057.6468930005694</v>
      </c>
      <c r="AM235" s="73" t="str">
        <f t="shared" si="83"/>
        <v>PASS</v>
      </c>
      <c r="AN235" s="908" t="str">
        <f t="shared" si="84"/>
        <v/>
      </c>
      <c r="AO235" s="919">
        <f t="shared" si="85"/>
        <v>79</v>
      </c>
      <c r="AP235" s="919">
        <f t="shared" si="86"/>
        <v>136145.1852255245</v>
      </c>
      <c r="AQ235" s="919"/>
      <c r="AR235" s="919" cm="1">
        <f t="array" ref="AR235">IFERROR(_xlfn.LET(_xlpm.lam,TEXT(B235,"0"),_xlpm.thick,D235,_xlpm.crit,(TEXT(HELPER!$BZ$2:$BZ$250,"0")=_xlpm.lam)*(HELPER!$CC$2:$CC$250=_xlpm.thick)*(HELPER!$BW$2:$BW$250&lt;&gt;""),_xlpm.mats,TRIM(SUBSTITUTE(_xlfn._xlws.FILTER(HELPER!$BW$2:$BW$250,_xlpm.crit),CHAR(160),"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")),HELPER!$AQ$2:$AQ$20,1),_xlpm.mass,IF(ISNUMBER(SEARCH("paper",_xlpm.mats)),42,_xlpm.dens*_xlpm.ths),E235/1000000*SUM(_xlpm.mass)),"")</f>
        <v>3.6725500000000001E-2</v>
      </c>
      <c r="AS235" s="919">
        <f>IFERROR(IF(D235&gt;31,(5%+250/P235)*AF235,VLOOKUP(D235,HELPER!$BH$3:$BI$5,2,TRUE)*AF235),0)</f>
        <v>0.41700990171171848</v>
      </c>
      <c r="AT235" s="919">
        <v>0.149999999999998</v>
      </c>
      <c r="AU235" s="919"/>
      <c r="AV235" s="919"/>
      <c r="AW235" s="919"/>
      <c r="AX235" s="919"/>
      <c r="AY235" s="919"/>
      <c r="AZ235" s="919">
        <f t="shared" si="87"/>
        <v>3360</v>
      </c>
    </row>
    <row r="236" spans="1:52">
      <c r="A236" s="73" t="s">
        <v>2265</v>
      </c>
      <c r="B236" s="73" t="s">
        <v>1053</v>
      </c>
      <c r="C236" s="908" t="s">
        <v>2216</v>
      </c>
      <c r="D236" s="915" cm="1">
        <f t="array" ref="D23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6" s="915">
        <v>350</v>
      </c>
      <c r="F236" s="73" t="s">
        <v>561</v>
      </c>
      <c r="G236" s="916">
        <v>2000</v>
      </c>
      <c r="H236" s="916"/>
      <c r="I236" s="916"/>
      <c r="J236" s="916"/>
      <c r="K236" s="73" t="s">
        <v>124</v>
      </c>
      <c r="L236" s="921" t="s">
        <v>221</v>
      </c>
      <c r="M236" s="915">
        <v>1</v>
      </c>
      <c r="N236" s="73" t="s">
        <v>548</v>
      </c>
      <c r="O236" s="73" t="s">
        <v>240</v>
      </c>
      <c r="P236" s="916" cm="1">
        <f t="array" ref="P236">IFERROR(_xlfn.SWITCH(F236,"By Weight",IF(H236&lt;&gt;"",H236,G236)/AR236,"By Length",G236,"By Imp",G236/MAX(1,ROUNDDOWN(E236/I236,0))*J236/1000,"IMP",G236/MAX(1,ROUNDDOWN(E236/I236,0))*J236/1000,""),"")</f>
        <v>2000</v>
      </c>
      <c r="Q236" s="916">
        <f t="shared" si="66"/>
        <v>73.451000000000008</v>
      </c>
      <c r="R236" s="917">
        <f t="shared" si="67"/>
        <v>4491.4714547564699</v>
      </c>
      <c r="S236" s="918">
        <f t="shared" si="68"/>
        <v>5210.1068875175051</v>
      </c>
      <c r="T236" s="919">
        <f t="shared" si="69"/>
        <v>61.149221314297549</v>
      </c>
      <c r="U236" s="920">
        <f t="shared" si="70"/>
        <v>70.933096724585155</v>
      </c>
      <c r="V236" s="919">
        <f t="shared" si="71"/>
        <v>2.8071696592228004</v>
      </c>
      <c r="W236" s="919">
        <f t="shared" si="72"/>
        <v>76.436526642872124</v>
      </c>
      <c r="X236" s="919" t="str">
        <f t="shared" si="73"/>
        <v/>
      </c>
      <c r="Y236" s="920">
        <f t="shared" si="74"/>
        <v>3.2563168046984483</v>
      </c>
      <c r="Z236" s="920">
        <f t="shared" si="75"/>
        <v>88.666370905731654</v>
      </c>
      <c r="AA236" s="920" t="str">
        <f t="shared" si="76"/>
        <v/>
      </c>
      <c r="AB236" s="917">
        <f t="shared" si="77"/>
        <v>5614.3393184456008</v>
      </c>
      <c r="AC236" s="918">
        <f t="shared" si="78"/>
        <v>6512.6336093968966</v>
      </c>
      <c r="AD236" s="916">
        <f t="shared" si="79"/>
        <v>13614.518522552449</v>
      </c>
      <c r="AE236" s="916">
        <f t="shared" si="80"/>
        <v>500</v>
      </c>
      <c r="AF236" s="919" cm="1">
        <f t="array" ref="AF236">IFERROR(_xlfn.LET(_xlpm.lam,TEXT(B236,"0"),_xlpm.thick,D236,_xlpm.crit,(TEXT(HELPER!$BZ$2:$BZ$250,"0")=_xlpm.lam)*(HELPER!$CC$2:$CC$250=_xlpm.thick)*(HELPER!$BW$2:$BW$250&lt;&gt;""),_xlpm.mats,TRIM(SUBSTITUTE(_xlfn._xlws.FILTER(HELPER!$BW$2:$BW$250,_xlpm.crit),CHAR(160),"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6" s="919">
        <f>IFERROR(IF(N236="Europe to Canada",IF(Q236&lt;1000,VLOOKUP(1000,HELPER!$AG$4:$AH$8,2,FALSE)/Q236,VLOOKUP(Q236,HELPER!$AG$4:$AH$8,2,TRUE)/Q236),IF(N236="Europe to US",HELPER!$AH$2,IF(N236="Europe to Europe",HELPER!$AH$3,0))),0)</f>
        <v>46.946615595008502</v>
      </c>
      <c r="AH236" s="919" cm="1">
        <f t="array" ref="AH236">IFERROR(_xlfn.LET(_xlpm.cap,IF(O236="Quantum",760,1220),_xlpm.wUsed,E236*MAX(1,MIN(MAX(2,INT(900/E236)),INT((_xlpm.cap-50)/E236))),_xlpm.kgmUsed,AR236/E236*_xlpm.wUsed,_xlpm.lam,TEXT(B236,"0"),_xlpm.crit,(TEXT(HELPER!$BZ$2:$BZ$250,"0")=_xlpm.lam)*(HELPER!$CC$2:$CC$250=D236)*(HELPER!$BW$2:$BW$250&lt;&gt;""),_xlpm.mats,_xlfn._xlws.FILTER(HELPER!$BW$2:$BW$250,_xlpm.crit),_xlpm.realLayers,SUM((_xlpm.mats&lt;&gt;"")*ISERROR(SEARCH("EPOTAL",_xlpm.mats&amp;""))*ISERROR(SEARCH("BASONAT",_xlpm.mats&amp;""))*ISERROR(SEARCH("ADH",_xlpm.mats&amp;""))*ISERROR(SEARCH("HARDENER",_xlpm.mats&amp;""))),_xlpm.steps,MAX(0,_xlpm.realLayers-1),_xlpm.tier,IF(P236&lt;3000,1,IF(P236&lt;10000,2,IF(P236&lt;25000,3,IF(P236&lt;50000,4,IF(P236&lt;100000,5,IF(P236&lt;250000,6,7)))))),_xlpm.widthRow,IF(_xlpm.wUsed&lt;900,0,5),_xlpm.supplierRow,IF(O236="Marma",3,IF(OR(O236="Bastin",O236="Quantum"),13,0)),_xlpm.rate,INDEX('Lmntn &amp; Prntng- Marma &amp; Bastin '!$D$1:$K$22,_xlpm.supplierRow+_xlpm.widthRow,_xlpm.tier),_xlpm.rate*_xlpm.steps/_xlpm.kgmUsed),"")</f>
        <v>4.1319791425576229</v>
      </c>
      <c r="AI236" s="919" cm="1">
        <f t="array" ref="AI236">IFERROR(_xlfn.LET(_xlpm.cap,IF(O236="Quantum",760,1220),_xlpm.wUsed,E236*MAX(1,MIN(MAX(2,INT(900/E236)),INT((_xlpm.cap-50)/E236))),_xlpm.kgmUsed,AR236/E236*_xlpm.wUsed,_xlpm.tier,IF(P236&lt;3000,1,IF(P236&lt;10000,2,IF(P236&lt;25000,3,IF(P236&lt;50000,4,IF(P236&lt;100000,5,IF(P236&lt;250000,6,IF(P236&lt;500000,7,8))))))),_xlpm.widthRow,IF(_xlpm.wUsed&lt;900,0,5),_xlpm.slitRow,IF(O236="Marma",7,IF(OR(O236="Bastin",O236="Quantum"),17,0)),_xlpm.slitRate,INDEX('Lmntn &amp; Prntng- Marma &amp; Bastin '!$D$1:$K$22,_xlpm.slitRow+_xlpm.widthRow,_xlpm.tier),_xlpm.numColors,IF(ISNUMBER(L236),L236,IFERROR(--RIGHT(L236,LEN(L236)-FIND("-",L236)),0)),_xlpm.printRate,IF(OR(K236&lt;&gt;"Printed",_xlpm.numColors=0),0,IF(O236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236))),MAX(_xlfn._xlws.FILTER(_xlpm.meters,(_xlpm.widths=_xlpm.qWidth)*(_xlpm.bands=_xlpm.band)))),INDEX(_xlpm.rates,_xlfn.XMATCH(1,(_xlpm.widths=_xlpm.qWidth)*(_xlpm.bands=_xlpm.band)*(_xlpm.meters=_xlpm.targetM),0))/HELPER!$AK$2),_xlfn.LET(_xlpm.colorOffset,IF(_xlpm.numColors&lt;=2,1,IF(_xlpm.numColors&lt;=4,2,3)),_xlpm.supplierRow,IF(O236="Marma",3,IF(O236="Bastin",13,0)),INDEX('Lmntn &amp; Prntng- Marma &amp; Bastin '!$D$1:$K$22,_xlpm.supplierRow+_xlpm.widthRow+_xlpm.colorOffset,_xlpm.tier)))),AH236+_xlpm.slitRate/_xlpm.kgmUsed+_xlpm.printRate/_xlpm.kgmUsed+AJ236),"")</f>
        <v>4.7500238254074141</v>
      </c>
      <c r="AJ236" s="919" cm="1">
        <f t="array" ref="AJ236">IF(OR(K236&lt;&gt;"Printed",L236=0,L236="0",L236=""),0,IFERROR(_xlfn.LET(_xlpm.lam,TEXT(B236,"0"),_xlpm.crit,(TEXT(HELPER!$BZ$2:$BZ$250,"0")=_xlpm.lam)*(HELPER!$CC$2:$CC$250=D236)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WHITE"},0)))/ROWS(_xlpm.real),_xlpm.numColors,IF(ISNUMBER(L236),L236,IFERROR(--RIGHT(L236,LEN(L236)-FIND("-",L236)),0)),HELPER!$DB$1*_xlpm.numColors*MAX(1,M236)*1.05*_xlpm.nkRatio/Q236),0))</f>
        <v>0</v>
      </c>
      <c r="AK236" s="919">
        <f t="shared" si="81"/>
        <v>5.1745062842816596</v>
      </c>
      <c r="AL236" s="919">
        <f t="shared" si="82"/>
        <v>2807.1696592228004</v>
      </c>
      <c r="AM236" s="73" t="str">
        <f t="shared" si="83"/>
        <v>PASS</v>
      </c>
      <c r="AN236" s="908" t="str">
        <f t="shared" si="84"/>
        <v/>
      </c>
      <c r="AO236" s="919">
        <f t="shared" si="85"/>
        <v>79</v>
      </c>
      <c r="AP236" s="919">
        <f t="shared" si="86"/>
        <v>2000</v>
      </c>
      <c r="AQ236" s="919"/>
      <c r="AR236" s="919" cm="1">
        <f t="array" ref="AR236">IFERROR(_xlfn.LET(_xlpm.lam,TEXT(B236,"0"),_xlpm.thick,D236,_xlpm.crit,(TEXT(HELPER!$BZ$2:$BZ$250,"0")=_xlpm.lam)*(HELPER!$CC$2:$CC$250=_xlpm.thick)*(HELPER!$BW$2:$BW$250&lt;&gt;""),_xlpm.mats,TRIM(SUBSTITUTE(_xlfn._xlws.FILTER(HELPER!$BW$2:$BW$250,_xlpm.crit),CHAR(160),"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")),HELPER!$AQ$2:$AQ$20,1),_xlpm.mass,IF(ISNUMBER(SEARCH("paper",_xlpm.mats)),42,_xlpm.dens*_xlpm.ths),E236/1000000*SUM(_xlpm.mass)),"")</f>
        <v>3.6725500000000001E-2</v>
      </c>
      <c r="AS236" s="919">
        <f>IFERROR(IF(D236&gt;31,(5%+250/P236)*AF236,VLOOKUP(D236,HELPER!$BH$3:$BI$5,2,TRUE)*AF236),0)</f>
        <v>1.4078313458972647</v>
      </c>
      <c r="AT236" s="919">
        <v>0.20000000000000201</v>
      </c>
      <c r="AU236" s="919"/>
      <c r="AV236" s="919"/>
      <c r="AW236" s="919"/>
      <c r="AX236" s="919"/>
      <c r="AY236" s="919"/>
      <c r="AZ236" s="919">
        <f t="shared" si="87"/>
        <v>0</v>
      </c>
    </row>
    <row r="237" spans="1:52">
      <c r="A237" s="73" t="s">
        <v>2266</v>
      </c>
      <c r="B237" s="73" t="s">
        <v>1053</v>
      </c>
      <c r="C237" s="908" t="s">
        <v>2218</v>
      </c>
      <c r="D237" s="915" cm="1">
        <f t="array" ref="D23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7" s="915">
        <v>900</v>
      </c>
      <c r="F237" s="73" t="s">
        <v>1040</v>
      </c>
      <c r="G237" s="916">
        <v>1600000</v>
      </c>
      <c r="H237" s="916"/>
      <c r="I237" s="916">
        <v>140</v>
      </c>
      <c r="J237" s="916">
        <v>80</v>
      </c>
      <c r="K237" s="73" t="s">
        <v>123</v>
      </c>
      <c r="L237" s="921" t="s">
        <v>592</v>
      </c>
      <c r="M237" s="915">
        <v>8</v>
      </c>
      <c r="N237" s="73" t="s">
        <v>548</v>
      </c>
      <c r="O237" s="73" t="s">
        <v>250</v>
      </c>
      <c r="P237" s="916" cm="1">
        <f t="array" ref="P237">IFERROR(_xlfn.SWITCH(F237,"By Weight",IF(H237&lt;&gt;"",H237,G237)/AR237,"By Length",G237,"By Imp",G237/MAX(1,ROUNDDOWN(E237/I237,0))*J237/1000,"IMP",G237/MAX(1,ROUNDDOWN(E237/I237,0))*J237/1000,""),"")</f>
        <v>21333.333333333336</v>
      </c>
      <c r="Q237" s="916">
        <f t="shared" si="66"/>
        <v>2014.6560000000004</v>
      </c>
      <c r="R237" s="917">
        <f t="shared" si="67"/>
        <v>43704.243018825618</v>
      </c>
      <c r="S237" s="918">
        <f t="shared" si="68"/>
        <v>50696.921901837712</v>
      </c>
      <c r="T237" s="919">
        <f t="shared" si="69"/>
        <v>21.693154076341376</v>
      </c>
      <c r="U237" s="920">
        <f t="shared" si="70"/>
        <v>25.164058728555993</v>
      </c>
      <c r="V237" s="919">
        <f t="shared" si="71"/>
        <v>2.4101604605970182</v>
      </c>
      <c r="W237" s="919">
        <f t="shared" si="72"/>
        <v>25.521357736872389</v>
      </c>
      <c r="X237" s="919">
        <f t="shared" si="73"/>
        <v>3.2135472807960246E-2</v>
      </c>
      <c r="Y237" s="920">
        <f t="shared" si="74"/>
        <v>2.7957861342925407</v>
      </c>
      <c r="Z237" s="920">
        <f t="shared" si="75"/>
        <v>29.604774974771971</v>
      </c>
      <c r="AA237" s="920">
        <f t="shared" si="76"/>
        <v>3.7277148457233886E-2</v>
      </c>
      <c r="AB237" s="917">
        <f t="shared" si="77"/>
        <v>51416.756492736393</v>
      </c>
      <c r="AC237" s="918">
        <f t="shared" si="78"/>
        <v>59643.437531574215</v>
      </c>
      <c r="AD237" s="916">
        <f t="shared" si="79"/>
        <v>5294.5349809926192</v>
      </c>
      <c r="AE237" s="916">
        <f t="shared" si="80"/>
        <v>500</v>
      </c>
      <c r="AF237" s="919" cm="1">
        <f t="array" ref="AF237">IFERROR(_xlfn.LET(_xlpm.lam,TEXT(B237,"0"),_xlpm.thick,D237,_xlpm.crit,(TEXT(HELPER!$BZ$2:$BZ$250,"0")=_xlpm.lam)*(HELPER!$CC$2:$CC$250=_xlpm.thick)*(HELPER!$BW$2:$BW$250&lt;&gt;""),_xlpm.mats,TRIM(SUBSTITUTE(_xlfn._xlws.FILTER(HELPER!$BW$2:$BW$250,_xlpm.crit),CHAR(160),"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7" s="919">
        <f>IFERROR(IF(N237="Europe to Canada",IF(Q237&lt;1000,VLOOKUP(1000,HELPER!$AG$4:$AH$8,2,FALSE)/Q237,VLOOKUP(Q237,HELPER!$AG$4:$AH$8,2,TRUE)/Q237),IF(N237="Europe to US",HELPER!$AH$2,IF(N237="Europe to Europe",HELPER!$AH$3,0))),0)</f>
        <v>2.4818132723402897</v>
      </c>
      <c r="AH237" s="919" cm="1">
        <f t="array" ref="AH237">IFERROR(_xlfn.LET(_xlpm.cap,IF(O237="Quantum",760,1220),_xlpm.wUsed,E237*MAX(1,MIN(MAX(2,INT(900/E237)),INT((_xlpm.cap-50)/E237))),_xlpm.kgmUsed,AR237/E237*_xlpm.wUsed,_xlpm.lam,TEXT(B237,"0"),_xlpm.crit,(TEXT(HELPER!$BZ$2:$BZ$250,"0")=_xlpm.lam)*(HELPER!$CC$2:$CC$250=D237)*(HELPER!$BW$2:$BW$250&lt;&gt;""),_xlpm.mats,_xlfn._xlws.FILTER(HELPER!$BW$2:$BW$250,_xlpm.crit),_xlpm.realLayers,SUM((_xlpm.mats&lt;&gt;"")*ISERROR(SEARCH("EPOTAL",_xlpm.mats&amp;""))*ISERROR(SEARCH("BASONAT",_xlpm.mats&amp;""))*ISERROR(SEARCH("ADH",_xlpm.mats&amp;""))*ISERROR(SEARCH("HARDENER",_xlpm.mats&amp;""))),_xlpm.steps,MAX(0,_xlpm.realLayers-1),_xlpm.tier,IF(P237&lt;3000,1,IF(P237&lt;10000,2,IF(P237&lt;25000,3,IF(P237&lt;50000,4,IF(P237&lt;100000,5,IF(P237&lt;250000,6,7)))))),_xlpm.widthRow,IF(_xlpm.wUsed&lt;900,0,5),_xlpm.supplierRow,IF(O237="Marma",3,IF(OR(O237="Bastin",O237="Quantum"),13,0)),_xlpm.rate,INDEX('Lmntn &amp; Prntng- Marma &amp; Bastin '!$D$1:$K$22,_xlpm.supplierRow+_xlpm.widthRow,_xlpm.tier),_xlpm.rate*_xlpm.steps/_xlpm.kgmUsed),"")</f>
        <v>1.9384351472410177</v>
      </c>
      <c r="AI237" s="919" cm="1">
        <f t="array" ref="AI237">IFERROR(_xlfn.LET(_xlpm.cap,IF(O237="Quantum",760,1220),_xlpm.wUsed,E237*MAX(1,MIN(MAX(2,INT(900/E237)),INT((_xlpm.cap-50)/E237))),_xlpm.kgmUsed,AR237/E237*_xlpm.wUsed,_xlpm.tier,IF(P237&lt;3000,1,IF(P237&lt;10000,2,IF(P237&lt;25000,3,IF(P237&lt;50000,4,IF(P237&lt;100000,5,IF(P237&lt;250000,6,IF(P237&lt;500000,7,8))))))),_xlpm.widthRow,IF(_xlpm.wUsed&lt;900,0,5),_xlpm.slitRow,IF(O237="Marma",7,IF(OR(O237="Bastin",O237="Quantum"),17,0)),_xlpm.slitRate,INDEX('Lmntn &amp; Prntng- Marma &amp; Bastin '!$D$1:$K$22,_xlpm.slitRow+_xlpm.widthRow,_xlpm.tier),_xlpm.numColors,IF(ISNUMBER(L237),L237,IFERROR(--RIGHT(L237,LEN(L237)-FIND("-",L237)),0)),_xlpm.printRate,IF(OR(K237&lt;&gt;"Printed",_xlpm.numColors=0),0,IF(O237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237))),MAX(_xlfn._xlws.FILTER(_xlpm.meters,(_xlpm.widths=_xlpm.qWidth)*(_xlpm.bands=_xlpm.band)))),INDEX(_xlpm.rates,_xlfn.XMATCH(1,(_xlpm.widths=_xlpm.qWidth)*(_xlpm.bands=_xlpm.band)*(_xlpm.meters=_xlpm.targetM),0))/HELPER!$AK$2),_xlfn.LET(_xlpm.colorOffset,IF(_xlpm.numColors&lt;=2,1,IF(_xlpm.numColors&lt;=4,2,3)),_xlpm.supplierRow,IF(O237="Marma",3,IF(O237="Bastin",13,0)),INDEX('Lmntn &amp; Prntng- Marma &amp; Bastin '!$D$1:$K$22,_xlpm.supplierRow+_xlpm.widthRow+_xlpm.colorOffset,_xlpm.tier)))),AH237+_xlpm.slitRate/_xlpm.kgmUsed+_xlpm.printRate/_xlpm.kgmUsed+AJ237),"")</f>
        <v>10.670078308133306</v>
      </c>
      <c r="AJ237" s="919" cm="1">
        <f t="array" ref="AJ237">IF(OR(K237&lt;&gt;"Printed",L237=0,L237="0",L237=""),0,IFERROR(_xlfn.LET(_xlpm.lam,TEXT(B237,"0"),_xlpm.crit,(TEXT(HELPER!$BZ$2:$BZ$250,"0")=_xlpm.lam)*(HELPER!$CC$2:$CC$250=D237)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WHITE"},0)))/ROWS(_xlpm.real),_xlpm.numColors,IF(ISNUMBER(L237),L237,IFERROR(--RIGHT(L237,LEN(L237)-FIND("-",L237)),0)),HELPER!$DB$1*_xlpm.numColors*MAX(1,M237)*1.05*_xlpm.nkRatio/Q237),0))</f>
        <v>6.6711140760506993</v>
      </c>
      <c r="AK237" s="919">
        <f t="shared" si="81"/>
        <v>1.7277135918258195</v>
      </c>
      <c r="AL237" s="919">
        <f t="shared" si="82"/>
        <v>2410.1604605970183</v>
      </c>
      <c r="AM237" s="73" t="str">
        <f t="shared" si="83"/>
        <v>PASS</v>
      </c>
      <c r="AN237" s="908" t="str">
        <f t="shared" si="84"/>
        <v/>
      </c>
      <c r="AO237" s="919">
        <f t="shared" si="85"/>
        <v>79</v>
      </c>
      <c r="AP237" s="919">
        <f t="shared" si="86"/>
        <v>21333.333333333336</v>
      </c>
      <c r="AQ237" s="919"/>
      <c r="AR237" s="919" cm="1">
        <f t="array" ref="AR237">IFERROR(_xlfn.LET(_xlpm.lam,TEXT(B237,"0"),_xlpm.thick,D237,_xlpm.crit,(TEXT(HELPER!$BZ$2:$BZ$250,"0")=_xlpm.lam)*(HELPER!$CC$2:$CC$250=_xlpm.thick)*(HELPER!$BW$2:$BW$250&lt;&gt;""),_xlpm.mats,TRIM(SUBSTITUTE(_xlfn._xlws.FILTER(HELPER!$BW$2:$BW$250,_xlpm.crit),CHAR(160),"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")),HELPER!$AQ$2:$AQ$20,1),_xlpm.mass,IF(ISNUMBER(SEARCH("paper",_xlpm.mats)),42,_xlpm.dens*_xlpm.ths),E237/1000000*SUM(_xlpm.mass)),"")</f>
        <v>9.4437000000000007E-2</v>
      </c>
      <c r="AS237" s="919">
        <f>IFERROR(IF(D237&gt;31,(5%+250/P237)*AF237,VLOOKUP(D237,HELPER!$BH$3:$BI$5,2,TRUE)*AF237),0)</f>
        <v>0.49651194788341035</v>
      </c>
      <c r="AT237" s="919">
        <v>0.15000000000000599</v>
      </c>
      <c r="AU237" s="919"/>
      <c r="AV237" s="919"/>
      <c r="AW237" s="919"/>
      <c r="AX237" s="919"/>
      <c r="AY237" s="919"/>
      <c r="AZ237" s="919">
        <f t="shared" si="87"/>
        <v>13440</v>
      </c>
    </row>
    <row r="238" spans="1:52">
      <c r="A238" s="73" t="s">
        <v>2267</v>
      </c>
      <c r="B238" s="73">
        <v>823</v>
      </c>
      <c r="C238" s="908" t="s">
        <v>2212</v>
      </c>
      <c r="D238" s="915" cm="1">
        <f t="array" ref="D23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8" s="915">
        <v>120</v>
      </c>
      <c r="F238" s="73" t="s">
        <v>560</v>
      </c>
      <c r="G238" s="916">
        <v>100</v>
      </c>
      <c r="H238" s="916">
        <v>100</v>
      </c>
      <c r="I238" s="916"/>
      <c r="J238" s="916"/>
      <c r="K238" s="73" t="s">
        <v>124</v>
      </c>
      <c r="L238" s="921" t="s">
        <v>221</v>
      </c>
      <c r="M238" s="915">
        <v>1</v>
      </c>
      <c r="N238" s="73" t="s">
        <v>548</v>
      </c>
      <c r="O238" s="73" t="s">
        <v>250</v>
      </c>
      <c r="P238" s="916" cm="1">
        <f t="array" ref="P238">IFERROR(_xlfn.SWITCH(F238,"By Weight",IF(H238&lt;&gt;"",H238,G238)/AR238,"By Length",G238,"By Imp",G238/MAX(1,ROUNDDOWN(E238/I238,0))*J238/1000,"IMP",G238/MAX(1,ROUNDDOWN(E238/I238,0))*J238/1000,""),"")</f>
        <v>7415.9769808074516</v>
      </c>
      <c r="Q238" s="916">
        <f t="shared" si="66"/>
        <v>100</v>
      </c>
      <c r="R238" s="917">
        <f t="shared" si="67"/>
        <v>4304.9057015156504</v>
      </c>
      <c r="S238" s="918">
        <f t="shared" si="68"/>
        <v>4993.6906137581545</v>
      </c>
      <c r="T238" s="919">
        <f t="shared" si="69"/>
        <v>43.049057015156507</v>
      </c>
      <c r="U238" s="920">
        <f t="shared" si="70"/>
        <v>49.936906137581545</v>
      </c>
      <c r="V238" s="919">
        <f t="shared" si="71"/>
        <v>0.72561338051896962</v>
      </c>
      <c r="W238" s="919">
        <f t="shared" si="72"/>
        <v>53.811321268945569</v>
      </c>
      <c r="X238" s="919" t="str">
        <f t="shared" si="73"/>
        <v/>
      </c>
      <c r="Y238" s="920">
        <f t="shared" si="74"/>
        <v>0.84171152140200467</v>
      </c>
      <c r="Z238" s="920">
        <f t="shared" si="75"/>
        <v>62.421132671976856</v>
      </c>
      <c r="AA238" s="920" t="str">
        <f t="shared" si="76"/>
        <v/>
      </c>
      <c r="AB238" s="917">
        <f t="shared" si="77"/>
        <v>5381.1321268945567</v>
      </c>
      <c r="AC238" s="918">
        <f t="shared" si="78"/>
        <v>6242.1132671976857</v>
      </c>
      <c r="AD238" s="916">
        <f t="shared" si="79"/>
        <v>37079.884904037259</v>
      </c>
      <c r="AE238" s="916">
        <f t="shared" si="80"/>
        <v>500</v>
      </c>
      <c r="AF238" s="919" cm="1">
        <f t="array" ref="AF238">IFERROR(_xlfn.LET(_xlpm.lam,TEXT(B238,"0"),_xlpm.thick,D238,_xlpm.crit,(TEXT(HELPER!$BZ$2:$BZ$250,"0")=_xlpm.lam)*(HELPER!$CC$2:$CC$250=_xlpm.thick)*(HELPER!$BW$2:$BW$250&lt;&gt;""),_xlpm.mats,TRIM(SUBSTITUTE(_xlfn._xlws.FILTER(HELPER!$BW$2:$BW$250,_xlpm.crit),CHAR(160),"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38" s="919">
        <f>IFERROR(IF(N238="Europe to Canada",IF(Q238&lt;1000,VLOOKUP(1000,HELPER!$AG$4:$AH$8,2,FALSE)/Q238,VLOOKUP(Q238,HELPER!$AG$4:$AH$8,2,TRUE)/Q238),IF(N238="Europe to US",HELPER!$AH$2,IF(N238="Europe to Europe",HELPER!$AH$3,0))),0)</f>
        <v>34.482758620689701</v>
      </c>
      <c r="AH238" s="919" cm="1">
        <f t="array" ref="AH238">IFERROR(_xlfn.LET(_xlpm.cap,IF(O238="Quantum",760,1220),_xlpm.wUsed,E238*MAX(1,MIN(MAX(2,INT(900/E238)),INT((_xlpm.cap-50)/E238))),_xlpm.kgmUsed,AR238/E238*_xlpm.wUsed,_xlpm.lam,TEXT(B238,"0"),_xlpm.crit,(TEXT(HELPER!$BZ$2:$BZ$250,"0")=_xlpm.lam)*(HELPER!$CC$2:$CC$250=D238)*(HELPER!$BW$2:$BW$250&lt;&gt;""),_xlpm.mats,_xlfn._xlws.FILTER(HELPER!$BW$2:$BW$250,_xlpm.crit),_xlpm.realLayers,SUM((_xlpm.mats&lt;&gt;"")*ISERROR(SEARCH("EPOTAL",_xlpm.mats&amp;""))*ISERROR(SEARCH("BASONAT",_xlpm.mats&amp;""))*ISERROR(SEARCH("ADH",_xlpm.mats&amp;""))*ISERROR(SEARCH("HARDENER",_xlpm.mats&amp;""))),_xlpm.steps,MAX(0,_xlpm.realLayers-1),_xlpm.tier,IF(P238&lt;3000,1,IF(P238&lt;10000,2,IF(P238&lt;25000,3,IF(P238&lt;50000,4,IF(P238&lt;100000,5,IF(P238&lt;250000,6,7)))))),_xlpm.widthRow,IF(_xlpm.wUsed&lt;900,0,5),_xlpm.supplierRow,IF(O238="Marma",3,IF(OR(O238="Bastin",O238="Quantum"),13,0)),_xlpm.rate,INDEX('Lmntn &amp; Prntng- Marma &amp; Bastin '!$D$1:$K$22,_xlpm.supplierRow+_xlpm.widthRow,_xlpm.tier),_xlpm.rate*_xlpm.steps/_xlpm.kgmUsed),"")</f>
        <v>2.2063590943185138</v>
      </c>
      <c r="AI238" s="919" cm="1">
        <f t="array" ref="AI238">IFERROR(_xlfn.LET(_xlpm.cap,IF(O238="Quantum",760,1220),_xlpm.wUsed,E238*MAX(1,MIN(MAX(2,INT(900/E238)),INT((_xlpm.cap-50)/E238))),_xlpm.kgmUsed,AR238/E238*_xlpm.wUsed,_xlpm.tier,IF(P238&lt;3000,1,IF(P238&lt;10000,2,IF(P238&lt;25000,3,IF(P238&lt;50000,4,IF(P238&lt;100000,5,IF(P238&lt;250000,6,IF(P238&lt;500000,7,8))))))),_xlpm.widthRow,IF(_xlpm.wUsed&lt;900,0,5),_xlpm.slitRow,IF(O238="Marma",7,IF(OR(O238="Bastin",O238="Quantum"),17,0)),_xlpm.slitRate,INDEX('Lmntn &amp; Prntng- Marma &amp; Bastin '!$D$1:$K$22,_xlpm.slitRow+_xlpm.widthRow,_xlpm.tier),_xlpm.numColors,IF(ISNUMBER(L238),L238,IFERROR(--RIGHT(L238,LEN(L238)-FIND("-",L238)),0)),_xlpm.printRate,IF(OR(K238&lt;&gt;"Printed",_xlpm.numColors=0),0,IF(O238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238))),MAX(_xlfn._xlws.FILTER(_xlpm.meters,(_xlpm.widths=_xlpm.qWidth)*(_xlpm.bands=_xlpm.band)))),INDEX(_xlpm.rates,_xlfn.XMATCH(1,(_xlpm.widths=_xlpm.qWidth)*(_xlpm.bands=_xlpm.band)*(_xlpm.meters=_xlpm.targetM),0))/HELPER!$AK$2),_xlfn.LET(_xlpm.colorOffset,IF(_xlpm.numColors&lt;=2,1,IF(_xlpm.numColors&lt;=4,2,3)),_xlpm.supplierRow,IF(O238="Marma",3,IF(O238="Bastin",13,0)),INDEX('Lmntn &amp; Prntng- Marma &amp; Bastin '!$D$1:$K$22,_xlpm.supplierRow+_xlpm.widthRow+_xlpm.colorOffset,_xlpm.tier)))),AH238+_xlpm.slitRate/_xlpm.kgmUsed+_xlpm.printRate/_xlpm.kgmUsed+AJ238),"")</f>
        <v>2.5286362653987462</v>
      </c>
      <c r="AJ238" s="919" cm="1">
        <f t="array" ref="AJ238">IF(OR(K238&lt;&gt;"Printed",L238=0,L238="0",L238=""),0,IFERROR(_xlfn.LET(_xlpm.lam,TEXT(B238,"0"),_xlpm.crit,(TEXT(HELPER!$BZ$2:$BZ$250,"0")=_xlpm.lam)*(HELPER!$CC$2:$CC$250=D238)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WHITE"},0)))/ROWS(_xlpm.real),_xlpm.numColors,IF(ISNUMBER(L238),L238,IFERROR(--RIGHT(L238,LEN(L238)-FIND("-",L238)),0)),HELPER!$DB$1*_xlpm.numColors*MAX(1,M238)*1.05*_xlpm.nkRatio/Q238),0))</f>
        <v>0</v>
      </c>
      <c r="AK238" s="919">
        <f t="shared" si="81"/>
        <v>3.9011472070912347</v>
      </c>
      <c r="AL238" s="919">
        <f t="shared" si="82"/>
        <v>725.61338051896962</v>
      </c>
      <c r="AM238" s="73" t="str">
        <f t="shared" si="83"/>
        <v>PASS</v>
      </c>
      <c r="AN238" s="908" t="str">
        <f t="shared" si="84"/>
        <v/>
      </c>
      <c r="AO238" s="919">
        <f t="shared" si="85"/>
        <v>121</v>
      </c>
      <c r="AP238" s="919">
        <f t="shared" si="86"/>
        <v>7415.9769808074516</v>
      </c>
      <c r="AQ238" s="919"/>
      <c r="AR238" s="919" cm="1">
        <f t="array" ref="AR238">IFERROR(_xlfn.LET(_xlpm.lam,TEXT(B238,"0"),_xlpm.thick,D238,_xlpm.crit,(TEXT(HELPER!$BZ$2:$BZ$250,"0")=_xlpm.lam)*(HELPER!$CC$2:$CC$250=_xlpm.thick)*(HELPER!$BW$2:$BW$250&lt;&gt;""),_xlpm.mats,TRIM(SUBSTITUTE(_xlfn._xlws.FILTER(HELPER!$BW$2:$BW$250,_xlpm.crit),CHAR(160),"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")),HELPER!$AQ$2:$AQ$20,1),_xlpm.mass,IF(ISNUMBER(SEARCH("paper",_xlpm.mats)),42,_xlpm.dens*_xlpm.ths),E238/1000000*SUM(_xlpm.mass)),"")</f>
        <v>1.3484400000000001E-2</v>
      </c>
      <c r="AS238" s="919">
        <f>IFERROR(IF(D238&gt;31,(5%+250/P238)*AF238,VLOOKUP(D238,HELPER!$BH$3:$BI$5,2,TRUE)*AF238),0)</f>
        <v>0.46637778382466966</v>
      </c>
      <c r="AT238" s="919">
        <v>0.19999999999999901</v>
      </c>
      <c r="AU238" s="919"/>
      <c r="AV238" s="919"/>
      <c r="AW238" s="919"/>
      <c r="AX238" s="919"/>
      <c r="AY238" s="919"/>
      <c r="AZ238" s="919">
        <f t="shared" si="87"/>
        <v>0</v>
      </c>
    </row>
    <row r="239" spans="1:52">
      <c r="A239" s="73" t="s">
        <v>2268</v>
      </c>
      <c r="B239" s="73">
        <v>823</v>
      </c>
      <c r="C239" s="908" t="s">
        <v>2214</v>
      </c>
      <c r="D239" s="915" cm="1">
        <f t="array" ref="D23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9" s="915">
        <v>350</v>
      </c>
      <c r="F239" s="73" t="s">
        <v>560</v>
      </c>
      <c r="G239" s="916">
        <v>5000</v>
      </c>
      <c r="H239" s="916">
        <v>5000</v>
      </c>
      <c r="I239" s="916"/>
      <c r="J239" s="916"/>
      <c r="K239" s="73" t="s">
        <v>123</v>
      </c>
      <c r="L239" s="921" t="s">
        <v>122</v>
      </c>
      <c r="M239" s="915">
        <v>4</v>
      </c>
      <c r="N239" s="73" t="s">
        <v>548</v>
      </c>
      <c r="O239" s="73" t="s">
        <v>1366</v>
      </c>
      <c r="P239" s="916" cm="1">
        <f t="array" ref="P239">IFERROR(_xlfn.SWITCH(F239,"By Weight",IF(H239&lt;&gt;"",H239,G239)/AR239,"By Length",G239,"By Imp",G239/MAX(1,ROUNDDOWN(E239/I239,0))*J239/1000,"IMP",G239/MAX(1,ROUNDDOWN(E239/I239,0))*J239/1000,""),"")</f>
        <v>127131.03395669916</v>
      </c>
      <c r="Q239" s="916">
        <f t="shared" si="66"/>
        <v>5000</v>
      </c>
      <c r="R239" s="917">
        <f t="shared" si="67"/>
        <v>103240.45405178149</v>
      </c>
      <c r="S239" s="918">
        <f t="shared" si="68"/>
        <v>119758.92670006651</v>
      </c>
      <c r="T239" s="919">
        <f t="shared" si="69"/>
        <v>20.648090810356297</v>
      </c>
      <c r="U239" s="920">
        <f t="shared" si="70"/>
        <v>23.951785340013302</v>
      </c>
      <c r="V239" s="919">
        <f t="shared" si="71"/>
        <v>0.95538716179518812</v>
      </c>
      <c r="W239" s="919">
        <f t="shared" si="72"/>
        <v>24.2918715415957</v>
      </c>
      <c r="X239" s="919" t="str">
        <f t="shared" si="73"/>
        <v/>
      </c>
      <c r="Y239" s="920">
        <f t="shared" si="74"/>
        <v>1.1082491076824181</v>
      </c>
      <c r="Z239" s="920">
        <f t="shared" si="75"/>
        <v>28.17857098825101</v>
      </c>
      <c r="AA239" s="920" t="str">
        <f t="shared" si="76"/>
        <v/>
      </c>
      <c r="AB239" s="917">
        <f t="shared" si="77"/>
        <v>121459.3577079785</v>
      </c>
      <c r="AC239" s="918">
        <f t="shared" si="78"/>
        <v>140892.85494125506</v>
      </c>
      <c r="AD239" s="916">
        <f t="shared" si="79"/>
        <v>12713.103395669916</v>
      </c>
      <c r="AE239" s="916">
        <f t="shared" si="80"/>
        <v>500</v>
      </c>
      <c r="AF239" s="919" cm="1">
        <f t="array" ref="AF239">IFERROR(_xlfn.LET(_xlpm.lam,TEXT(B239,"0"),_xlpm.thick,D239,_xlpm.crit,(TEXT(HELPER!$BZ$2:$BZ$250,"0")=_xlpm.lam)*(HELPER!$CC$2:$CC$250=_xlpm.thick)*(HELPER!$BW$2:$BW$250&lt;&gt;""),_xlpm.mats,TRIM(SUBSTITUTE(_xlfn._xlws.FILTER(HELPER!$BW$2:$BW$250,_xlpm.crit),CHAR(160),"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39" s="919">
        <f>IFERROR(IF(N239="Europe to Canada",IF(Q239&lt;1000,VLOOKUP(1000,HELPER!$AG$4:$AH$8,2,FALSE)/Q239,VLOOKUP(Q239,HELPER!$AG$4:$AH$8,2,TRUE)/Q239),IF(N239="Europe to US",HELPER!$AH$2,IF(N239="Europe to Europe",HELPER!$AH$3,0))),0)</f>
        <v>1.8448275862068959</v>
      </c>
      <c r="AH239" s="919" cm="1">
        <f t="array" ref="AH239">IFERROR(_xlfn.LET(_xlpm.cap,IF(O239="Quantum",760,1220),_xlpm.wUsed,E239*MAX(1,MIN(MAX(2,INT(900/E239)),INT((_xlpm.cap-50)/E239))),_xlpm.kgmUsed,AR239/E239*_xlpm.wUsed,_xlpm.lam,TEXT(B239,"0"),_xlpm.crit,(TEXT(HELPER!$BZ$2:$BZ$250,"0")=_xlpm.lam)*(HELPER!$CC$2:$CC$250=D239)*(HELPER!$BW$2:$BW$250&lt;&gt;""),_xlpm.mats,_xlfn._xlws.FILTER(HELPER!$BW$2:$BW$250,_xlpm.crit),_xlpm.realLayers,SUM((_xlpm.mats&lt;&gt;"")*ISERROR(SEARCH("EPOTAL",_xlpm.mats&amp;""))*ISERROR(SEARCH("BASONAT",_xlpm.mats&amp;""))*ISERROR(SEARCH("ADH",_xlpm.mats&amp;""))*ISERROR(SEARCH("HARDENER",_xlpm.mats&amp;""))),_xlpm.steps,MAX(0,_xlpm.realLayers-1),_xlpm.tier,IF(P239&lt;3000,1,IF(P239&lt;10000,2,IF(P239&lt;25000,3,IF(P239&lt;50000,4,IF(P239&lt;100000,5,IF(P239&lt;250000,6,7)))))),_xlpm.widthRow,IF(_xlpm.wUsed&lt;900,0,5),_xlpm.supplierRow,IF(O239="Marma",3,IF(OR(O239="Bastin",O239="Quantum"),13,0)),_xlpm.rate,INDEX('Lmntn &amp; Prntng- Marma &amp; Bastin '!$D$1:$K$22,_xlpm.supplierRow+_xlpm.widthRow,_xlpm.tier),_xlpm.rate*_xlpm.steps/_xlpm.kgmUsed),"")</f>
        <v>2.7755501595494474</v>
      </c>
      <c r="AI239" s="919" cm="1">
        <f t="array" ref="AI239">IFERROR(_xlfn.LET(_xlpm.cap,IF(O239="Quantum",760,1220),_xlpm.wUsed,E239*MAX(1,MIN(MAX(2,INT(900/E239)),INT((_xlpm.cap-50)/E239))),_xlpm.kgmUsed,AR239/E239*_xlpm.wUsed,_xlpm.tier,IF(P239&lt;3000,1,IF(P239&lt;10000,2,IF(P239&lt;25000,3,IF(P239&lt;50000,4,IF(P239&lt;100000,5,IF(P239&lt;250000,6,IF(P239&lt;500000,7,8))))))),_xlpm.widthRow,IF(_xlpm.wUsed&lt;900,0,5),_xlpm.slitRow,IF(O239="Marma",7,IF(OR(O239="Bastin",O239="Quantum"),17,0)),_xlpm.slitRate,INDEX('Lmntn &amp; Prntng- Marma &amp; Bastin '!$D$1:$K$22,_xlpm.slitRow+_xlpm.widthRow,_xlpm.tier),_xlpm.numColors,IF(ISNUMBER(L239),L239,IFERROR(--RIGHT(L239,LEN(L239)-FIND("-",L239)),0)),_xlpm.printRate,IF(OR(K239&lt;&gt;"Printed",_xlpm.numColors=0),0,IF(O239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239))),MAX(_xlfn._xlws.FILTER(_xlpm.meters,(_xlpm.widths=_xlpm.qWidth)*(_xlpm.bands=_xlpm.band)))),INDEX(_xlpm.rates,_xlfn.XMATCH(1,(_xlpm.widths=_xlpm.qWidth)*(_xlpm.bands=_xlpm.band)*(_xlpm.meters=_xlpm.targetM),0))/HELPER!$AK$2),_xlfn.LET(_xlpm.colorOffset,IF(_xlpm.numColors&lt;=2,1,IF(_xlpm.numColors&lt;=4,2,3)),_xlpm.supplierRow,IF(O239="Marma",3,IF(O239="Bastin",13,0)),INDEX('Lmntn &amp; Prntng- Marma &amp; Bastin '!$D$1:$K$22,_xlpm.supplierRow+_xlpm.widthRow+_xlpm.colorOffset,_xlpm.tier)))),AH239+_xlpm.slitRate/_xlpm.kgmUsed+_xlpm.printRate/_xlpm.kgmUsed+AJ239),"")</f>
        <v>12.942458870261026</v>
      </c>
      <c r="AJ239" s="919" cm="1">
        <f t="array" ref="AJ239">IF(OR(K239&lt;&gt;"Printed",L239=0,L239="0",L239=""),0,IFERROR(_xlfn.LET(_xlpm.lam,TEXT(B239,"0"),_xlpm.crit,(TEXT(HELPER!$BZ$2:$BZ$250,"0")=_xlpm.lam)*(HELPER!$CC$2:$CC$250=D239)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WHITE"},0)))/ROWS(_xlpm.real),_xlpm.numColors,IF(ISNUMBER(L239),L239,IFERROR(--RIGHT(L239,LEN(L239)-FIND("-",L239)),0)),HELPER!$DB$1*_xlpm.numColors*MAX(1,M239)*1.05*_xlpm.nkRatio/Q239),0))</f>
        <v>0.33600000000000002</v>
      </c>
      <c r="AK239" s="919">
        <f t="shared" si="81"/>
        <v>1.7610823258897477</v>
      </c>
      <c r="AL239" s="919">
        <f t="shared" si="82"/>
        <v>955.38716179518815</v>
      </c>
      <c r="AM239" s="73" t="str">
        <f t="shared" si="83"/>
        <v>PASS</v>
      </c>
      <c r="AN239" s="908" t="str">
        <f t="shared" si="84"/>
        <v/>
      </c>
      <c r="AO239" s="919">
        <f t="shared" si="85"/>
        <v>121</v>
      </c>
      <c r="AP239" s="919">
        <f t="shared" si="86"/>
        <v>127131.03395669916</v>
      </c>
      <c r="AQ239" s="919"/>
      <c r="AR239" s="919" cm="1">
        <f t="array" ref="AR239">IFERROR(_xlfn.LET(_xlpm.lam,TEXT(B239,"0"),_xlpm.thick,D239,_xlpm.crit,(TEXT(HELPER!$BZ$2:$BZ$250,"0")=_xlpm.lam)*(HELPER!$CC$2:$CC$250=_xlpm.thick)*(HELPER!$BW$2:$BW$250&lt;&gt;""),_xlpm.mats,TRIM(SUBSTITUTE(_xlfn._xlws.FILTER(HELPER!$BW$2:$BW$250,_xlpm.crit),CHAR(160),"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")),HELPER!$AQ$2:$AQ$20,1),_xlpm.mass,IF(ISNUMBER(SEARCH("paper",_xlpm.mats)),42,_xlpm.dens*_xlpm.ths),E239/1000000*SUM(_xlpm.mass)),"")</f>
        <v>3.9329500000000003E-2</v>
      </c>
      <c r="AS239" s="919">
        <f>IFERROR(IF(D239&gt;31,(5%+250/P239)*AF239,VLOOKUP(D239,HELPER!$BH$3:$BI$5,2,TRUE)*AF239),0)</f>
        <v>0.28952000864498217</v>
      </c>
      <c r="AT239" s="919">
        <v>0.15000000000000199</v>
      </c>
      <c r="AU239" s="919"/>
      <c r="AV239" s="919"/>
      <c r="AW239" s="919"/>
      <c r="AX239" s="919"/>
      <c r="AY239" s="919"/>
      <c r="AZ239" s="919">
        <f t="shared" si="87"/>
        <v>1680</v>
      </c>
    </row>
    <row r="240" spans="1:52">
      <c r="A240" s="73" t="s">
        <v>2269</v>
      </c>
      <c r="B240" s="73">
        <v>823</v>
      </c>
      <c r="C240" s="908" t="s">
        <v>2216</v>
      </c>
      <c r="D240" s="915" cm="1">
        <f t="array" ref="D24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0" s="915">
        <v>350</v>
      </c>
      <c r="F240" s="73" t="s">
        <v>561</v>
      </c>
      <c r="G240" s="916">
        <v>2000</v>
      </c>
      <c r="H240" s="916"/>
      <c r="I240" s="916"/>
      <c r="J240" s="916"/>
      <c r="K240" s="73" t="s">
        <v>124</v>
      </c>
      <c r="L240" s="921" t="s">
        <v>221</v>
      </c>
      <c r="M240" s="915">
        <v>1</v>
      </c>
      <c r="N240" s="73" t="s">
        <v>548</v>
      </c>
      <c r="O240" s="73" t="s">
        <v>240</v>
      </c>
      <c r="P240" s="916" cm="1">
        <f t="array" ref="P240">IFERROR(_xlfn.SWITCH(F240,"By Weight",IF(H240&lt;&gt;"",H240,G240)/AR240,"By Length",G240,"By Imp",G240/MAX(1,ROUNDDOWN(E240/I240,0))*J240/1000,"IMP",G240/MAX(1,ROUNDDOWN(E240/I240,0))*J240/1000,""),"")</f>
        <v>2000</v>
      </c>
      <c r="Q240" s="916">
        <f t="shared" si="66"/>
        <v>78.659000000000006</v>
      </c>
      <c r="R240" s="917">
        <f t="shared" si="67"/>
        <v>4312.0920570611579</v>
      </c>
      <c r="S240" s="918">
        <f t="shared" si="68"/>
        <v>5002.0267861909424</v>
      </c>
      <c r="T240" s="919">
        <f t="shared" si="69"/>
        <v>54.820072173065476</v>
      </c>
      <c r="U240" s="920">
        <f t="shared" si="70"/>
        <v>63.591283720755946</v>
      </c>
      <c r="V240" s="919">
        <f t="shared" si="71"/>
        <v>2.5365247394477577</v>
      </c>
      <c r="W240" s="919">
        <f t="shared" si="72"/>
        <v>64.494202556548075</v>
      </c>
      <c r="X240" s="919" t="str">
        <f t="shared" si="73"/>
        <v/>
      </c>
      <c r="Y240" s="920">
        <f t="shared" si="74"/>
        <v>2.9423686977593988</v>
      </c>
      <c r="Z240" s="920">
        <f t="shared" si="75"/>
        <v>74.813274965595767</v>
      </c>
      <c r="AA240" s="920" t="str">
        <f t="shared" si="76"/>
        <v/>
      </c>
      <c r="AB240" s="917">
        <f t="shared" si="77"/>
        <v>5073.0494788955157</v>
      </c>
      <c r="AC240" s="918">
        <f t="shared" si="78"/>
        <v>5884.7373955187977</v>
      </c>
      <c r="AD240" s="916">
        <f t="shared" si="79"/>
        <v>12713.103395669916</v>
      </c>
      <c r="AE240" s="916">
        <f t="shared" si="80"/>
        <v>500</v>
      </c>
      <c r="AF240" s="919" cm="1">
        <f t="array" ref="AF240">IFERROR(_xlfn.LET(_xlpm.lam,TEXT(B240,"0"),_xlpm.thick,D240,_xlpm.crit,(TEXT(HELPER!$BZ$2:$BZ$250,"0")=_xlpm.lam)*(HELPER!$CC$2:$CC$250=_xlpm.thick)*(HELPER!$BW$2:$BW$250&lt;&gt;""),_xlpm.mats,TRIM(SUBSTITUTE(_xlfn._xlws.FILTER(HELPER!$BW$2:$BW$250,_xlpm.crit),CHAR(160),"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40" s="919">
        <f>IFERROR(IF(N240="Europe to Canada",IF(Q240&lt;1000,VLOOKUP(1000,HELPER!$AG$4:$AH$8,2,FALSE)/Q240,VLOOKUP(Q240,HELPER!$AG$4:$AH$8,2,TRUE)/Q240),IF(N240="Europe to US",HELPER!$AH$2,IF(N240="Europe to Europe",HELPER!$AH$3,0))),0)</f>
        <v>43.838287571275629</v>
      </c>
      <c r="AH240" s="919" cm="1">
        <f t="array" ref="AH240">IFERROR(_xlfn.LET(_xlpm.cap,IF(O240="Quantum",760,1220),_xlpm.wUsed,E240*MAX(1,MIN(MAX(2,INT(900/E240)),INT((_xlpm.cap-50)/E240))),_xlpm.kgmUsed,AR240/E240*_xlpm.wUsed,_xlpm.lam,TEXT(B240,"0"),_xlpm.crit,(TEXT(HELPER!$BZ$2:$BZ$250,"0")=_xlpm.lam)*(HELPER!$CC$2:$CC$250=D240)*(HELPER!$BW$2:$BW$250&lt;&gt;""),_xlpm.mats,_xlfn._xlws.FILTER(HELPER!$BW$2:$BW$250,_xlpm.crit),_xlpm.realLayers,SUM((_xlpm.mats&lt;&gt;"")*ISERROR(SEARCH("EPOTAL",_xlpm.mats&amp;""))*ISERROR(SEARCH("BASONAT",_xlpm.mats&amp;""))*ISERROR(SEARCH("ADH",_xlpm.mats&amp;""))*ISERROR(SEARCH("HARDENER",_xlpm.mats&amp;""))),_xlpm.steps,MAX(0,_xlpm.realLayers-1),_xlpm.tier,IF(P240&lt;3000,1,IF(P240&lt;10000,2,IF(P240&lt;25000,3,IF(P240&lt;50000,4,IF(P240&lt;100000,5,IF(P240&lt;250000,6,7)))))),_xlpm.widthRow,IF(_xlpm.wUsed&lt;900,0,5),_xlpm.supplierRow,IF(O240="Marma",3,IF(OR(O240="Bastin",O240="Quantum"),13,0)),_xlpm.rate,INDEX('Lmntn &amp; Prntng- Marma &amp; Bastin '!$D$1:$K$22,_xlpm.supplierRow+_xlpm.widthRow,_xlpm.tier),_xlpm.rate*_xlpm.steps/_xlpm.kgmUsed),"")</f>
        <v>3.8584014543790279</v>
      </c>
      <c r="AI240" s="919" cm="1">
        <f t="array" ref="AI240">IFERROR(_xlfn.LET(_xlpm.cap,IF(O240="Quantum",760,1220),_xlpm.wUsed,E240*MAX(1,MIN(MAX(2,INT(900/E240)),INT((_xlpm.cap-50)/E240))),_xlpm.kgmUsed,AR240/E240*_xlpm.wUsed,_xlpm.tier,IF(P240&lt;3000,1,IF(P240&lt;10000,2,IF(P240&lt;25000,3,IF(P240&lt;50000,4,IF(P240&lt;100000,5,IF(P240&lt;250000,6,IF(P240&lt;500000,7,8))))))),_xlpm.widthRow,IF(_xlpm.wUsed&lt;900,0,5),_xlpm.slitRow,IF(O240="Marma",7,IF(OR(O240="Bastin",O240="Quantum"),17,0)),_xlpm.slitRate,INDEX('Lmntn &amp; Prntng- Marma &amp; Bastin '!$D$1:$K$22,_xlpm.slitRow+_xlpm.widthRow,_xlpm.tier),_xlpm.numColors,IF(ISNUMBER(L240),L240,IFERROR(--RIGHT(L240,LEN(L240)-FIND("-",L240)),0)),_xlpm.printRate,IF(OR(K240&lt;&gt;"Printed",_xlpm.numColors=0),0,IF(O240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240))),MAX(_xlfn._xlws.FILTER(_xlpm.meters,(_xlpm.widths=_xlpm.qWidth)*(_xlpm.bands=_xlpm.band)))),INDEX(_xlpm.rates,_xlfn.XMATCH(1,(_xlpm.widths=_xlpm.qWidth)*(_xlpm.bands=_xlpm.band)*(_xlpm.meters=_xlpm.targetM),0))/HELPER!$AK$2),_xlfn.LET(_xlpm.colorOffset,IF(_xlpm.numColors&lt;=2,1,IF(_xlpm.numColors&lt;=4,2,3)),_xlpm.supplierRow,IF(O240="Marma",3,IF(O240="Bastin",13,0)),INDEX('Lmntn &amp; Prntng- Marma &amp; Bastin '!$D$1:$K$22,_xlpm.supplierRow+_xlpm.widthRow+_xlpm.colorOffset,_xlpm.tier)))),AH240+_xlpm.slitRate/_xlpm.kgmUsed+_xlpm.printRate/_xlpm.kgmUsed+AJ240),"")</f>
        <v>4.435525496128859</v>
      </c>
      <c r="AJ240" s="919" cm="1">
        <f t="array" ref="AJ240">IF(OR(K240&lt;&gt;"Printed",L240=0,L240="0",L240=""),0,IFERROR(_xlfn.LET(_xlpm.lam,TEXT(B240,"0"),_xlpm.crit,(TEXT(HELPER!$BZ$2:$BZ$250,"0")=_xlpm.lam)*(HELPER!$CC$2:$CC$250=D240)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WHITE"},0)))/ROWS(_xlpm.real),_xlpm.numColors,IF(ISNUMBER(L240),L240,IFERROR(--RIGHT(L240,LEN(L240)-FIND("-",L240)),0)),HELPER!$DB$1*_xlpm.numColors*MAX(1,M240)*1.05*_xlpm.nkRatio/Q240),0))</f>
        <v>0</v>
      </c>
      <c r="AK240" s="919">
        <f t="shared" si="81"/>
        <v>4.675621639535037</v>
      </c>
      <c r="AL240" s="919">
        <f t="shared" si="82"/>
        <v>2536.5247394477578</v>
      </c>
      <c r="AM240" s="73" t="str">
        <f t="shared" si="83"/>
        <v>PASS</v>
      </c>
      <c r="AN240" s="908" t="str">
        <f t="shared" si="84"/>
        <v/>
      </c>
      <c r="AO240" s="919">
        <f t="shared" si="85"/>
        <v>121</v>
      </c>
      <c r="AP240" s="919">
        <f t="shared" si="86"/>
        <v>2000</v>
      </c>
      <c r="AQ240" s="919"/>
      <c r="AR240" s="919" cm="1">
        <f t="array" ref="AR240">IFERROR(_xlfn.LET(_xlpm.lam,TEXT(B240,"0"),_xlpm.thick,D240,_xlpm.crit,(TEXT(HELPER!$BZ$2:$BZ$250,"0")=_xlpm.lam)*(HELPER!$CC$2:$CC$250=_xlpm.thick)*(HELPER!$BW$2:$BW$250&lt;&gt;""),_xlpm.mats,TRIM(SUBSTITUTE(_xlfn._xlws.FILTER(HELPER!$BW$2:$BW$250,_xlpm.crit),CHAR(160),"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")),HELPER!$AQ$2:$AQ$20,1),_xlpm.mass,IF(ISNUMBER(SEARCH("paper",_xlpm.mats)),42,_xlpm.dens*_xlpm.ths),E240/1000000*SUM(_xlpm.mass)),"")</f>
        <v>3.9329500000000003E-2</v>
      </c>
      <c r="AS240" s="919">
        <f>IFERROR(IF(D240&gt;31,(5%+250/P240)*AF240,VLOOKUP(D240,HELPER!$BH$3:$BI$5,2,TRUE)*AF240),0)</f>
        <v>0.97497476041759357</v>
      </c>
      <c r="AT240" s="919">
        <v>0.15000000000000599</v>
      </c>
      <c r="AU240" s="919"/>
      <c r="AV240" s="919"/>
      <c r="AW240" s="919"/>
      <c r="AX240" s="919"/>
      <c r="AY240" s="919"/>
      <c r="AZ240" s="919">
        <f t="shared" si="87"/>
        <v>0</v>
      </c>
    </row>
    <row r="241" spans="1:52">
      <c r="A241" s="73" t="s">
        <v>2270</v>
      </c>
      <c r="B241" s="73">
        <v>823</v>
      </c>
      <c r="C241" s="908" t="s">
        <v>2218</v>
      </c>
      <c r="D241" s="915" cm="1">
        <f t="array" ref="D24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1" s="915">
        <v>900</v>
      </c>
      <c r="F241" s="73" t="s">
        <v>1040</v>
      </c>
      <c r="G241" s="916">
        <v>1600000</v>
      </c>
      <c r="H241" s="916"/>
      <c r="I241" s="916">
        <v>140</v>
      </c>
      <c r="J241" s="916">
        <v>80</v>
      </c>
      <c r="K241" s="73" t="s">
        <v>123</v>
      </c>
      <c r="L241" s="921" t="s">
        <v>592</v>
      </c>
      <c r="M241" s="915">
        <v>8</v>
      </c>
      <c r="N241" s="73" t="s">
        <v>548</v>
      </c>
      <c r="O241" s="73" t="s">
        <v>250</v>
      </c>
      <c r="P241" s="916" cm="1">
        <f t="array" ref="P241">IFERROR(_xlfn.SWITCH(F241,"By Weight",IF(H241&lt;&gt;"",H241,G241)/AR241,"By Length",G241,"By Imp",G241/MAX(1,ROUNDDOWN(E241/I241,0))*J241/1000,"IMP",G241/MAX(1,ROUNDDOWN(E241/I241,0))*J241/1000,""),"")</f>
        <v>21333.333333333336</v>
      </c>
      <c r="Q241" s="916">
        <f t="shared" si="66"/>
        <v>2157.5040000000004</v>
      </c>
      <c r="R241" s="917">
        <f t="shared" si="67"/>
        <v>32538.469131872498</v>
      </c>
      <c r="S241" s="918">
        <f t="shared" si="68"/>
        <v>37744.624192972093</v>
      </c>
      <c r="T241" s="919">
        <f t="shared" si="69"/>
        <v>15.081533629542514</v>
      </c>
      <c r="U241" s="920">
        <f t="shared" si="70"/>
        <v>17.494579010269316</v>
      </c>
      <c r="V241" s="919">
        <f t="shared" si="71"/>
        <v>1.9065509256956517</v>
      </c>
      <c r="W241" s="919">
        <f t="shared" si="72"/>
        <v>18.851917036928121</v>
      </c>
      <c r="X241" s="919">
        <f t="shared" si="73"/>
        <v>2.5420679009275356E-2</v>
      </c>
      <c r="Y241" s="920">
        <f t="shared" si="74"/>
        <v>2.2115990738069558</v>
      </c>
      <c r="Z241" s="920">
        <f t="shared" si="75"/>
        <v>21.868223762836617</v>
      </c>
      <c r="AA241" s="920">
        <f t="shared" si="76"/>
        <v>2.9487987650759412E-2</v>
      </c>
      <c r="AB241" s="917">
        <f t="shared" si="77"/>
        <v>40673.086414840574</v>
      </c>
      <c r="AC241" s="918">
        <f t="shared" si="78"/>
        <v>47180.780241215063</v>
      </c>
      <c r="AD241" s="916">
        <f t="shared" si="79"/>
        <v>4943.9846538716347</v>
      </c>
      <c r="AE241" s="916">
        <f t="shared" si="80"/>
        <v>500</v>
      </c>
      <c r="AF241" s="919" cm="1">
        <f t="array" ref="AF241">IFERROR(_xlfn.LET(_xlpm.lam,TEXT(B241,"0"),_xlpm.thick,D241,_xlpm.crit,(TEXT(HELPER!$BZ$2:$BZ$250,"0")=_xlpm.lam)*(HELPER!$CC$2:$CC$250=_xlpm.thick)*(HELPER!$BW$2:$BW$250&lt;&gt;""),_xlpm.mats,TRIM(SUBSTITUTE(_xlfn._xlws.FILTER(HELPER!$BW$2:$BW$250,_xlpm.crit),CHAR(160),"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41" s="919">
        <f>IFERROR(IF(N241="Europe to Canada",IF(Q241&lt;1000,VLOOKUP(1000,HELPER!$AG$4:$AH$8,2,FALSE)/Q241,VLOOKUP(Q241,HELPER!$AG$4:$AH$8,2,TRUE)/Q241),IF(N241="Europe to US",HELPER!$AH$2,IF(N241="Europe to Europe",HELPER!$AH$3,0))),0)</f>
        <v>2.3174928065023281</v>
      </c>
      <c r="AH241" s="919" cm="1">
        <f t="array" ref="AH241">IFERROR(_xlfn.LET(_xlpm.cap,IF(O241="Quantum",760,1220),_xlpm.wUsed,E241*MAX(1,MIN(MAX(2,INT(900/E241)),INT((_xlpm.cap-50)/E241))),_xlpm.kgmUsed,AR241/E241*_xlpm.wUsed,_xlpm.lam,TEXT(B241,"0"),_xlpm.crit,(TEXT(HELPER!$BZ$2:$BZ$250,"0")=_xlpm.lam)*(HELPER!$CC$2:$CC$250=D241)*(HELPER!$BW$2:$BW$250&lt;&gt;""),_xlpm.mats,_xlfn._xlws.FILTER(HELPER!$BW$2:$BW$250,_xlpm.crit),_xlpm.realLayers,SUM((_xlpm.mats&lt;&gt;"")*ISERROR(SEARCH("EPOTAL",_xlpm.mats&amp;""))*ISERROR(SEARCH("BASONAT",_xlpm.mats&amp;""))*ISERROR(SEARCH("ADH",_xlpm.mats&amp;""))*ISERROR(SEARCH("HARDENER",_xlpm.mats&amp;""))),_xlpm.steps,MAX(0,_xlpm.realLayers-1),_xlpm.tier,IF(P241&lt;3000,1,IF(P241&lt;10000,2,IF(P241&lt;25000,3,IF(P241&lt;50000,4,IF(P241&lt;100000,5,IF(P241&lt;250000,6,7)))))),_xlpm.widthRow,IF(_xlpm.wUsed&lt;900,0,5),_xlpm.supplierRow,IF(O241="Marma",3,IF(OR(O241="Bastin",O241="Quantum"),13,0)),_xlpm.rate,INDEX('Lmntn &amp; Prntng- Marma &amp; Bastin '!$D$1:$K$22,_xlpm.supplierRow+_xlpm.widthRow,_xlpm.tier),_xlpm.rate*_xlpm.steps/_xlpm.kgmUsed),"")</f>
        <v>1.8100916614754827</v>
      </c>
      <c r="AI241" s="919" cm="1">
        <f t="array" ref="AI241">IFERROR(_xlfn.LET(_xlpm.cap,IF(O241="Quantum",760,1220),_xlpm.wUsed,E241*MAX(1,MIN(MAX(2,INT(900/E241)),INT((_xlpm.cap-50)/E241))),_xlpm.kgmUsed,AR241/E241*_xlpm.wUsed,_xlpm.tier,IF(P241&lt;3000,1,IF(P241&lt;10000,2,IF(P241&lt;25000,3,IF(P241&lt;50000,4,IF(P241&lt;100000,5,IF(P241&lt;250000,6,IF(P241&lt;500000,7,8))))))),_xlpm.widthRow,IF(_xlpm.wUsed&lt;900,0,5),_xlpm.slitRow,IF(O241="Marma",7,IF(OR(O241="Bastin",O241="Quantum"),17,0)),_xlpm.slitRate,INDEX('Lmntn &amp; Prntng- Marma &amp; Bastin '!$D$1:$K$22,_xlpm.slitRow+_xlpm.widthRow,_xlpm.tier),_xlpm.numColors,IF(ISNUMBER(L241),L241,IFERROR(--RIGHT(L241,LEN(L241)-FIND("-",L241)),0)),_xlpm.printRate,IF(OR(K241&lt;&gt;"Printed",_xlpm.numColors=0),0,IF(O241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241))),MAX(_xlfn._xlws.FILTER(_xlpm.meters,(_xlpm.widths=_xlpm.qWidth)*(_xlpm.bands=_xlpm.band)))),INDEX(_xlpm.rates,_xlfn.XMATCH(1,(_xlpm.widths=_xlpm.qWidth)*(_xlpm.bands=_xlpm.band)*(_xlpm.meters=_xlpm.targetM),0))/HELPER!$AK$2),_xlfn.LET(_xlpm.colorOffset,IF(_xlpm.numColors&lt;=2,1,IF(_xlpm.numColors&lt;=4,2,3)),_xlpm.supplierRow,IF(O241="Marma",3,IF(O241="Bastin",13,0)),INDEX('Lmntn &amp; Prntng- Marma &amp; Bastin '!$D$1:$K$22,_xlpm.supplierRow+_xlpm.widthRow+_xlpm.colorOffset,_xlpm.tier)))),AH241+_xlpm.slitRate/_xlpm.kgmUsed+_xlpm.printRate/_xlpm.kgmUsed+AJ241),"")</f>
        <v>6.8489037721138022</v>
      </c>
      <c r="AJ241" s="919" cm="1">
        <f t="array" ref="AJ241">IF(OR(K241&lt;&gt;"Printed",L241=0,L241="0",L241=""),0,IFERROR(_xlfn.LET(_xlpm.lam,TEXT(B241,"0"),_xlpm.crit,(TEXT(HELPER!$BZ$2:$BZ$250,"0")=_xlpm.lam)*(HELPER!$CC$2:$CC$250=D241)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WHITE"},0)))/ROWS(_xlpm.real),_xlpm.numColors,IF(ISNUMBER(L241),L241,IFERROR(--RIGHT(L241,LEN(L241)-FIND("-",L241)),0)),HELPER!$DB$1*_xlpm.numColors*MAX(1,M241)*1.05*_xlpm.nkRatio/Q241),0))</f>
        <v>3.1147103319391292</v>
      </c>
      <c r="AK241" s="919">
        <f t="shared" si="81"/>
        <v>1.3667031725416858</v>
      </c>
      <c r="AL241" s="919">
        <f t="shared" si="82"/>
        <v>1906.5509256956516</v>
      </c>
      <c r="AM241" s="73" t="str">
        <f t="shared" si="83"/>
        <v>PASS</v>
      </c>
      <c r="AN241" s="908" t="str">
        <f t="shared" si="84"/>
        <v/>
      </c>
      <c r="AO241" s="919">
        <f t="shared" si="85"/>
        <v>121</v>
      </c>
      <c r="AP241" s="919">
        <f t="shared" si="86"/>
        <v>21333.333333333336</v>
      </c>
      <c r="AQ241" s="919"/>
      <c r="AR241" s="919" cm="1">
        <f t="array" ref="AR241">IFERROR(_xlfn.LET(_xlpm.lam,TEXT(B241,"0"),_xlpm.thick,D241,_xlpm.crit,(TEXT(HELPER!$BZ$2:$BZ$250,"0")=_xlpm.lam)*(HELPER!$CC$2:$CC$250=_xlpm.thick)*(HELPER!$BW$2:$BW$250&lt;&gt;""),_xlpm.mats,TRIM(SUBSTITUTE(_xlfn._xlws.FILTER(HELPER!$BW$2:$BW$250,_xlpm.crit),CHAR(160),"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")),HELPER!$AQ$2:$AQ$20,1),_xlpm.mass,IF(ISNUMBER(SEARCH("paper",_xlpm.mats)),42,_xlpm.dens*_xlpm.ths),E241/1000000*SUM(_xlpm.mass)),"")</f>
        <v>0.101133</v>
      </c>
      <c r="AS241" s="919">
        <f>IFERROR(IF(D241&gt;31,(5%+250/P241)*AF241,VLOOKUP(D241,HELPER!$BH$3:$BI$5,2,TRUE)*AF241),0)</f>
        <v>0.34385270568299064</v>
      </c>
      <c r="AT241" s="919">
        <v>0.19999999999999901</v>
      </c>
      <c r="AU241" s="919"/>
      <c r="AV241" s="919"/>
      <c r="AW241" s="919"/>
      <c r="AX241" s="919"/>
      <c r="AY241" s="919"/>
      <c r="AZ241" s="919">
        <f t="shared" si="87"/>
        <v>6720</v>
      </c>
    </row>
    <row r="242" spans="1:52">
      <c r="A242" s="73" t="s">
        <v>2271</v>
      </c>
      <c r="B242" s="73">
        <v>918</v>
      </c>
      <c r="C242" s="908" t="s">
        <v>2212</v>
      </c>
      <c r="D242" s="915" cm="1">
        <f t="array" ref="D24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2" s="915">
        <v>120</v>
      </c>
      <c r="F242" s="73" t="s">
        <v>560</v>
      </c>
      <c r="G242" s="916">
        <v>100</v>
      </c>
      <c r="H242" s="916">
        <v>100</v>
      </c>
      <c r="I242" s="916"/>
      <c r="J242" s="916"/>
      <c r="K242" s="73" t="s">
        <v>124</v>
      </c>
      <c r="L242" s="921" t="s">
        <v>221</v>
      </c>
      <c r="M242" s="915">
        <v>1</v>
      </c>
      <c r="N242" s="73" t="s">
        <v>548</v>
      </c>
      <c r="O242" s="73" t="s">
        <v>250</v>
      </c>
      <c r="P242" s="916" cm="1">
        <f t="array" ref="P242">IFERROR(_xlfn.SWITCH(F242,"By Weight",IF(H242&lt;&gt;"",H242,G242)/AR242,"By Length",G242,"By Imp",G242/MAX(1,ROUNDDOWN(E242/I242,0))*J242/1000,"IMP",G242/MAX(1,ROUNDDOWN(E242/I242,0))*J242/1000,""),"")</f>
        <v>12369.50175646925</v>
      </c>
      <c r="Q242" s="916">
        <f t="shared" si="66"/>
        <v>100</v>
      </c>
      <c r="R242" s="917">
        <f t="shared" si="67"/>
        <v>4545.9850906588381</v>
      </c>
      <c r="S242" s="918">
        <f t="shared" si="68"/>
        <v>5273.342705164252</v>
      </c>
      <c r="T242" s="919">
        <f t="shared" si="69"/>
        <v>45.459850906588379</v>
      </c>
      <c r="U242" s="920">
        <f t="shared" si="70"/>
        <v>52.733427051642515</v>
      </c>
      <c r="V242" s="919">
        <f t="shared" si="71"/>
        <v>0.43237131608144197</v>
      </c>
      <c r="W242" s="919">
        <f t="shared" si="72"/>
        <v>53.482177537163174</v>
      </c>
      <c r="X242" s="919" t="str">
        <f t="shared" si="73"/>
        <v/>
      </c>
      <c r="Y242" s="920">
        <f t="shared" si="74"/>
        <v>0.50155072665447265</v>
      </c>
      <c r="Z242" s="920">
        <f t="shared" si="75"/>
        <v>62.039325943109276</v>
      </c>
      <c r="AA242" s="920" t="str">
        <f t="shared" si="76"/>
        <v/>
      </c>
      <c r="AB242" s="917">
        <f t="shared" si="77"/>
        <v>5348.217753716317</v>
      </c>
      <c r="AC242" s="918">
        <f t="shared" si="78"/>
        <v>6203.932594310927</v>
      </c>
      <c r="AD242" s="916">
        <f t="shared" si="79"/>
        <v>61847.508782346245</v>
      </c>
      <c r="AE242" s="916">
        <f t="shared" si="80"/>
        <v>500</v>
      </c>
      <c r="AF242" s="919" cm="1">
        <f t="array" ref="AF242">IFERROR(_xlfn.LET(_xlpm.lam,TEXT(B242,"0"),_xlpm.thick,D242,_xlpm.crit,(TEXT(HELPER!$BZ$2:$BZ$250,"0")=_xlpm.lam)*(HELPER!$CC$2:$CC$250=_xlpm.thick)*(HELPER!$BW$2:$BW$250&lt;&gt;""),_xlpm.mats,TRIM(SUBSTITUTE(_xlfn._xlws.FILTER(HELPER!$BW$2:$BW$250,_xlpm.crit),CHAR(160),"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2" s="919">
        <f>IFERROR(IF(N242="Europe to Canada",IF(Q242&lt;1000,VLOOKUP(1000,HELPER!$AG$4:$AH$8,2,FALSE)/Q242,VLOOKUP(Q242,HELPER!$AG$4:$AH$8,2,TRUE)/Q242),IF(N242="Europe to US",HELPER!$AH$2,IF(N242="Europe to Europe",HELPER!$AH$3,0))),0)</f>
        <v>34.482758620689701</v>
      </c>
      <c r="AH242" s="919" cm="1">
        <f t="array" ref="AH242">IFERROR(_xlfn.LET(_xlpm.cap,IF(O242="Quantum",760,1220),_xlpm.wUsed,E242*MAX(1,MIN(MAX(2,INT(900/E242)),INT((_xlpm.cap-50)/E242))),_xlpm.kgmUsed,AR242/E242*_xlpm.wUsed,_xlpm.lam,TEXT(B242,"0"),_xlpm.crit,(TEXT(HELPER!$BZ$2:$BZ$250,"0")=_xlpm.lam)*(HELPER!$CC$2:$CC$250=D242)*(HELPER!$BW$2:$BW$250&lt;&gt;""),_xlpm.mats,_xlfn._xlws.FILTER(HELPER!$BW$2:$BW$250,_xlpm.crit),_xlpm.realLayers,SUM((_xlpm.mats&lt;&gt;"")*ISERROR(SEARCH("EPOTAL",_xlpm.mats&amp;""))*ISERROR(SEARCH("BASONAT",_xlpm.mats&amp;""))*ISERROR(SEARCH("ADH",_xlpm.mats&amp;""))*ISERROR(SEARCH("HARDENER",_xlpm.mats&amp;""))),_xlpm.steps,MAX(0,_xlpm.realLayers-1),_xlpm.tier,IF(P242&lt;3000,1,IF(P242&lt;10000,2,IF(P242&lt;25000,3,IF(P242&lt;50000,4,IF(P242&lt;100000,5,IF(P242&lt;250000,6,7)))))),_xlpm.widthRow,IF(_xlpm.wUsed&lt;900,0,5),_xlpm.supplierRow,IF(O242="Marma",3,IF(OR(O242="Bastin",O242="Quantum"),13,0)),_xlpm.rate,INDEX('Lmntn &amp; Prntng- Marma &amp; Bastin '!$D$1:$K$22,_xlpm.supplierRow+_xlpm.widthRow,_xlpm.tier),_xlpm.rate*_xlpm.steps/_xlpm.kgmUsed),"")</f>
        <v>1.617400708242329</v>
      </c>
      <c r="AI242" s="919" cm="1">
        <f t="array" ref="AI242">IFERROR(_xlfn.LET(_xlpm.cap,IF(O242="Quantum",760,1220),_xlpm.wUsed,E242*MAX(1,MIN(MAX(2,INT(900/E242)),INT((_xlpm.cap-50)/E242))),_xlpm.kgmUsed,AR242/E242*_xlpm.wUsed,_xlpm.tier,IF(P242&lt;3000,1,IF(P242&lt;10000,2,IF(P242&lt;25000,3,IF(P242&lt;50000,4,IF(P242&lt;100000,5,IF(P242&lt;250000,6,IF(P242&lt;500000,7,8))))))),_xlpm.widthRow,IF(_xlpm.wUsed&lt;900,0,5),_xlpm.slitRow,IF(O242="Marma",7,IF(OR(O242="Bastin",O242="Quantum"),17,0)),_xlpm.slitRate,INDEX('Lmntn &amp; Prntng- Marma &amp; Bastin '!$D$1:$K$22,_xlpm.slitRow+_xlpm.widthRow,_xlpm.tier),_xlpm.numColors,IF(ISNUMBER(L242),L242,IFERROR(--RIGHT(L242,LEN(L242)-FIND("-",L242)),0)),_xlpm.printRate,IF(OR(K242&lt;&gt;"Printed",_xlpm.numColors=0),0,IF(O242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242))),MAX(_xlfn._xlws.FILTER(_xlpm.meters,(_xlpm.widths=_xlpm.qWidth)*(_xlpm.bands=_xlpm.band)))),INDEX(_xlpm.rates,_xlfn.XMATCH(1,(_xlpm.widths=_xlpm.qWidth)*(_xlpm.bands=_xlpm.band)*(_xlpm.meters=_xlpm.targetM),0))/HELPER!$AK$2),_xlfn.LET(_xlpm.colorOffset,IF(_xlpm.numColors&lt;=2,1,IF(_xlpm.numColors&lt;=4,2,3)),_xlpm.supplierRow,IF(O242="Marma",3,IF(O242="Bastin",13,0)),INDEX('Lmntn &amp; Prntng- Marma &amp; Bastin '!$D$1:$K$22,_xlpm.supplierRow+_xlpm.widthRow+_xlpm.colorOffset,_xlpm.tier)))),AH242+_xlpm.slitRate/_xlpm.kgmUsed+_xlpm.printRate/_xlpm.kgmUsed+AJ242),"")</f>
        <v>2.0754256875675905</v>
      </c>
      <c r="AJ242" s="919" cm="1">
        <f t="array" ref="AJ242">IF(OR(K242&lt;&gt;"Printed",L242=0,L242="0",L242=""),0,IFERROR(_xlfn.LET(_xlpm.lam,TEXT(B242,"0"),_xlpm.crit,(TEXT(HELPER!$BZ$2:$BZ$250,"0")=_xlpm.lam)*(HELPER!$CC$2:$CC$250=D242)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WHITE"},0)))/ROWS(_xlpm.real),_xlpm.numColors,IF(ISNUMBER(L242),L242,IFERROR(--RIGHT(L242,LEN(L242)-FIND("-",L242)),0)),HELPER!$DB$1*_xlpm.numColors*MAX(1,M242)*1.05*_xlpm.nkRatio/Q242),0))</f>
        <v>0</v>
      </c>
      <c r="AK242" s="919">
        <f t="shared" si="81"/>
        <v>2.3245769681797954</v>
      </c>
      <c r="AL242" s="919">
        <f t="shared" si="82"/>
        <v>432.37131608144199</v>
      </c>
      <c r="AM242" s="73" t="str">
        <f t="shared" si="83"/>
        <v>PASS</v>
      </c>
      <c r="AN242" s="908" t="str">
        <f t="shared" si="84"/>
        <v/>
      </c>
      <c r="AO242" s="919">
        <f t="shared" si="85"/>
        <v>51</v>
      </c>
      <c r="AP242" s="919">
        <f t="shared" si="86"/>
        <v>12369.50175646925</v>
      </c>
      <c r="AQ242" s="919"/>
      <c r="AR242" s="919" cm="1">
        <f t="array" ref="AR242">IFERROR(_xlfn.LET(_xlpm.lam,TEXT(B242,"0"),_xlpm.thick,D242,_xlpm.crit,(TEXT(HELPER!$BZ$2:$BZ$250,"0")=_xlpm.lam)*(HELPER!$CC$2:$CC$250=_xlpm.thick)*(HELPER!$BW$2:$BW$250&lt;&gt;""),_xlpm.mats,TRIM(SUBSTITUTE(_xlfn._xlws.FILTER(HELPER!$BW$2:$BW$250,_xlpm.crit),CHAR(160),"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")),HELPER!$AQ$2:$AQ$20,1),_xlpm.mass,IF(ISNUMBER(SEARCH("paper",_xlpm.mats)),42,_xlpm.dens*_xlpm.ths),E242/1000000*SUM(_xlpm.mass)),"")</f>
        <v>8.0844000000000003E-3</v>
      </c>
      <c r="AS242" s="919">
        <f>IFERROR(IF(D242&gt;31,(5%+250/P242)*AF242,VLOOKUP(D242,HELPER!$BH$3:$BI$5,2,TRUE)*AF242),0)</f>
        <v>0.58399223474195683</v>
      </c>
      <c r="AT242" s="919">
        <v>0.15000000000000599</v>
      </c>
      <c r="AU242" s="919"/>
      <c r="AV242" s="919"/>
      <c r="AW242" s="919"/>
      <c r="AX242" s="919"/>
      <c r="AY242" s="919"/>
      <c r="AZ242" s="919">
        <f t="shared" si="87"/>
        <v>0</v>
      </c>
    </row>
    <row r="243" spans="1:52">
      <c r="A243" s="73" t="s">
        <v>2272</v>
      </c>
      <c r="B243" s="73">
        <v>918</v>
      </c>
      <c r="C243" s="908" t="s">
        <v>2214</v>
      </c>
      <c r="D243" s="915" cm="1">
        <f t="array" ref="D24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3" s="915">
        <v>350</v>
      </c>
      <c r="F243" s="73" t="s">
        <v>560</v>
      </c>
      <c r="G243" s="916">
        <v>5000</v>
      </c>
      <c r="H243" s="916">
        <v>5000</v>
      </c>
      <c r="I243" s="916"/>
      <c r="J243" s="916"/>
      <c r="K243" s="73" t="s">
        <v>123</v>
      </c>
      <c r="L243" s="921" t="s">
        <v>122</v>
      </c>
      <c r="M243" s="915">
        <v>4</v>
      </c>
      <c r="N243" s="73" t="s">
        <v>548</v>
      </c>
      <c r="O243" s="73" t="s">
        <v>1366</v>
      </c>
      <c r="P243" s="916" cm="1">
        <f t="array" ref="P243">IFERROR(_xlfn.SWITCH(F243,"By Weight",IF(H243&lt;&gt;"",H243,G243)/AR243,"By Length",G243,"By Imp",G243/MAX(1,ROUNDDOWN(E243/I243,0))*J243/1000,"IMP",G243/MAX(1,ROUNDDOWN(E243/I243,0))*J243/1000,""),"")</f>
        <v>212048.60153947285</v>
      </c>
      <c r="Q243" s="916">
        <f t="shared" si="66"/>
        <v>5000</v>
      </c>
      <c r="R243" s="917">
        <f t="shared" si="67"/>
        <v>149022.15173293024</v>
      </c>
      <c r="S243" s="918">
        <f t="shared" si="68"/>
        <v>172865.69601019908</v>
      </c>
      <c r="T243" s="919">
        <f t="shared" si="69"/>
        <v>29.804430346586049</v>
      </c>
      <c r="U243" s="920">
        <f t="shared" si="70"/>
        <v>34.573139202039812</v>
      </c>
      <c r="V243" s="919">
        <f t="shared" si="71"/>
        <v>0.87846695669665931</v>
      </c>
      <c r="W243" s="919">
        <f t="shared" si="72"/>
        <v>37.255537933232652</v>
      </c>
      <c r="X243" s="919" t="str">
        <f t="shared" si="73"/>
        <v/>
      </c>
      <c r="Y243" s="920">
        <f t="shared" si="74"/>
        <v>1.0190216697681247</v>
      </c>
      <c r="Z243" s="920">
        <f t="shared" si="75"/>
        <v>43.216424002549871</v>
      </c>
      <c r="AA243" s="920" t="str">
        <f t="shared" si="76"/>
        <v/>
      </c>
      <c r="AB243" s="917">
        <f t="shared" si="77"/>
        <v>186277.68966616326</v>
      </c>
      <c r="AC243" s="918">
        <f t="shared" si="78"/>
        <v>216082.12001274936</v>
      </c>
      <c r="AD243" s="916">
        <f t="shared" si="79"/>
        <v>21204.860153947284</v>
      </c>
      <c r="AE243" s="916">
        <f t="shared" si="80"/>
        <v>500</v>
      </c>
      <c r="AF243" s="919" cm="1">
        <f t="array" ref="AF243">IFERROR(_xlfn.LET(_xlpm.lam,TEXT(B243,"0"),_xlpm.thick,D243,_xlpm.crit,(TEXT(HELPER!$BZ$2:$BZ$250,"0")=_xlpm.lam)*(HELPER!$CC$2:$CC$250=_xlpm.thick)*(HELPER!$BW$2:$BW$250&lt;&gt;""),_xlpm.mats,TRIM(SUBSTITUTE(_xlfn._xlws.FILTER(HELPER!$BW$2:$BW$250,_xlpm.crit),CHAR(160),"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3" s="919">
        <f>IFERROR(IF(N243="Europe to Canada",IF(Q243&lt;1000,VLOOKUP(1000,HELPER!$AG$4:$AH$8,2,FALSE)/Q243,VLOOKUP(Q243,HELPER!$AG$4:$AH$8,2,TRUE)/Q243),IF(N243="Europe to US",HELPER!$AH$2,IF(N243="Europe to Europe",HELPER!$AH$3,0))),0)</f>
        <v>1.8448275862068959</v>
      </c>
      <c r="AH243" s="919" cm="1">
        <f t="array" ref="AH243">IFERROR(_xlfn.LET(_xlpm.cap,IF(O243="Quantum",760,1220),_xlpm.wUsed,E243*MAX(1,MIN(MAX(2,INT(900/E243)),INT((_xlpm.cap-50)/E243))),_xlpm.kgmUsed,AR243/E243*_xlpm.wUsed,_xlpm.lam,TEXT(B243,"0"),_xlpm.crit,(TEXT(HELPER!$BZ$2:$BZ$250,"0")=_xlpm.lam)*(HELPER!$CC$2:$CC$250=D243)*(HELPER!$BW$2:$BW$250&lt;&gt;""),_xlpm.mats,_xlfn._xlws.FILTER(HELPER!$BW$2:$BW$250,_xlpm.crit),_xlpm.realLayers,SUM((_xlpm.mats&lt;&gt;"")*ISERROR(SEARCH("EPOTAL",_xlpm.mats&amp;""))*ISERROR(SEARCH("BASONAT",_xlpm.mats&amp;""))*ISERROR(SEARCH("ADH",_xlpm.mats&amp;""))*ISERROR(SEARCH("HARDENER",_xlpm.mats&amp;""))),_xlpm.steps,MAX(0,_xlpm.realLayers-1),_xlpm.tier,IF(P243&lt;3000,1,IF(P243&lt;10000,2,IF(P243&lt;25000,3,IF(P243&lt;50000,4,IF(P243&lt;100000,5,IF(P243&lt;250000,6,7)))))),_xlpm.widthRow,IF(_xlpm.wUsed&lt;900,0,5),_xlpm.supplierRow,IF(O243="Marma",3,IF(OR(O243="Bastin",O243="Quantum"),13,0)),_xlpm.rate,INDEX('Lmntn &amp; Prntng- Marma &amp; Bastin '!$D$1:$K$22,_xlpm.supplierRow+_xlpm.widthRow,_xlpm.tier),_xlpm.rate*_xlpm.steps/_xlpm.kgmUsed),"")</f>
        <v>2.3147437392650398</v>
      </c>
      <c r="AI243" s="919" cm="1">
        <f t="array" ref="AI243">IFERROR(_xlfn.LET(_xlpm.cap,IF(O243="Quantum",760,1220),_xlpm.wUsed,E243*MAX(1,MIN(MAX(2,INT(900/E243)),INT((_xlpm.cap-50)/E243))),_xlpm.kgmUsed,AR243/E243*_xlpm.wUsed,_xlpm.tier,IF(P243&lt;3000,1,IF(P243&lt;10000,2,IF(P243&lt;25000,3,IF(P243&lt;50000,4,IF(P243&lt;100000,5,IF(P243&lt;250000,6,IF(P243&lt;500000,7,8))))))),_xlpm.widthRow,IF(_xlpm.wUsed&lt;900,0,5),_xlpm.slitRow,IF(O243="Marma",7,IF(OR(O243="Bastin",O243="Quantum"),17,0)),_xlpm.slitRate,INDEX('Lmntn &amp; Prntng- Marma &amp; Bastin '!$D$1:$K$22,_xlpm.slitRow+_xlpm.widthRow,_xlpm.tier),_xlpm.numColors,IF(ISNUMBER(L243),L243,IFERROR(--RIGHT(L243,LEN(L243)-FIND("-",L243)),0)),_xlpm.printRate,IF(OR(K243&lt;&gt;"Printed",_xlpm.numColors=0),0,IF(O243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243))),MAX(_xlfn._xlws.FILTER(_xlpm.meters,(_xlpm.widths=_xlpm.qWidth)*(_xlpm.bands=_xlpm.band)))),INDEX(_xlpm.rates,_xlfn.XMATCH(1,(_xlpm.widths=_xlpm.qWidth)*(_xlpm.bands=_xlpm.band)*(_xlpm.meters=_xlpm.targetM),0))/HELPER!$AK$2),_xlfn.LET(_xlpm.colorOffset,IF(_xlpm.numColors&lt;=2,1,IF(_xlpm.numColors&lt;=4,2,3)),_xlpm.supplierRow,IF(O243="Marma",3,IF(O243="Bastin",13,0)),INDEX('Lmntn &amp; Prntng- Marma &amp; Bastin '!$D$1:$K$22,_xlpm.supplierRow+_xlpm.widthRow+_xlpm.colorOffset,_xlpm.tier)))),AH243+_xlpm.slitRate/_xlpm.kgmUsed+_xlpm.printRate/_xlpm.kgmUsed+AJ243),"")</f>
        <v>19.216238348477749</v>
      </c>
      <c r="AJ243" s="919" cm="1">
        <f t="array" ref="AJ243">IF(OR(K243&lt;&gt;"Printed",L243=0,L243="0",L243=""),0,IFERROR(_xlfn.LET(_xlpm.lam,TEXT(B243,"0"),_xlpm.crit,(TEXT(HELPER!$BZ$2:$BZ$250,"0")=_xlpm.lam)*(HELPER!$CC$2:$CC$250=D243)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WHITE"},0)))/ROWS(_xlpm.real),_xlpm.numColors,IF(ISNUMBER(L243),L243,IFERROR(--RIGHT(L243,LEN(L243)-FIND("-",L243)),0)),HELPER!$DB$1*_xlpm.numColors*MAX(1,M243)*1.05*_xlpm.nkRatio/Q243),0))</f>
        <v>0.504</v>
      </c>
      <c r="AK243" s="919">
        <f t="shared" si="81"/>
        <v>1.6192939293947637</v>
      </c>
      <c r="AL243" s="919">
        <f t="shared" si="82"/>
        <v>878.46695669665928</v>
      </c>
      <c r="AM243" s="73" t="str">
        <f t="shared" si="83"/>
        <v>PASS</v>
      </c>
      <c r="AN243" s="908" t="str">
        <f t="shared" si="84"/>
        <v/>
      </c>
      <c r="AO243" s="919">
        <f t="shared" si="85"/>
        <v>51</v>
      </c>
      <c r="AP243" s="919">
        <f t="shared" si="86"/>
        <v>212048.60153947285</v>
      </c>
      <c r="AQ243" s="919"/>
      <c r="AR243" s="919" cm="1">
        <f t="array" ref="AR243">IFERROR(_xlfn.LET(_xlpm.lam,TEXT(B243,"0"),_xlpm.thick,D243,_xlpm.crit,(TEXT(HELPER!$BZ$2:$BZ$250,"0")=_xlpm.lam)*(HELPER!$CC$2:$CC$250=_xlpm.thick)*(HELPER!$BW$2:$BW$250&lt;&gt;""),_xlpm.mats,TRIM(SUBSTITUTE(_xlfn._xlws.FILTER(HELPER!$BW$2:$BW$250,_xlpm.crit),CHAR(160),"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")),HELPER!$AQ$2:$AQ$20,1),_xlpm.mass,IF(ISNUMBER(SEARCH("paper",_xlpm.mats)),42,_xlpm.dens*_xlpm.ths),E243/1000000*SUM(_xlpm.mass)),"")</f>
        <v>2.35795E-2</v>
      </c>
      <c r="AS243" s="919">
        <f>IFERROR(IF(D243&gt;31,(5%+250/P243)*AF243,VLOOKUP(D243,HELPER!$BH$3:$BI$5,2,TRUE)*AF243),0)</f>
        <v>0.42569004831226931</v>
      </c>
      <c r="AT243" s="919">
        <v>0.20000000000000201</v>
      </c>
      <c r="AU243" s="919"/>
      <c r="AV243" s="919"/>
      <c r="AW243" s="919"/>
      <c r="AX243" s="919"/>
      <c r="AY243" s="919"/>
      <c r="AZ243" s="919">
        <f t="shared" si="87"/>
        <v>2520</v>
      </c>
    </row>
    <row r="244" spans="1:52">
      <c r="A244" s="73" t="s">
        <v>2273</v>
      </c>
      <c r="B244" s="73">
        <v>918</v>
      </c>
      <c r="C244" s="908" t="s">
        <v>2216</v>
      </c>
      <c r="D244" s="915" cm="1">
        <f t="array" ref="D24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4" s="915">
        <v>350</v>
      </c>
      <c r="F244" s="73" t="s">
        <v>561</v>
      </c>
      <c r="G244" s="916">
        <v>2000</v>
      </c>
      <c r="H244" s="916"/>
      <c r="I244" s="916"/>
      <c r="J244" s="916"/>
      <c r="K244" s="73" t="s">
        <v>124</v>
      </c>
      <c r="L244" s="921" t="s">
        <v>221</v>
      </c>
      <c r="M244" s="915">
        <v>1</v>
      </c>
      <c r="N244" s="73" t="s">
        <v>548</v>
      </c>
      <c r="O244" s="73" t="s">
        <v>240</v>
      </c>
      <c r="P244" s="916" cm="1">
        <f t="array" ref="P244">IFERROR(_xlfn.SWITCH(F244,"By Weight",IF(H244&lt;&gt;"",H244,G244)/AR244,"By Length",G244,"By Imp",G244/MAX(1,ROUNDDOWN(E244/I244,0))*J244/1000,"IMP",G244/MAX(1,ROUNDDOWN(E244/I244,0))*J244/1000,""),"")</f>
        <v>2000</v>
      </c>
      <c r="Q244" s="916">
        <f t="shared" si="66"/>
        <v>47.158999999999999</v>
      </c>
      <c r="R244" s="917">
        <f t="shared" si="67"/>
        <v>4106.3183783111581</v>
      </c>
      <c r="S244" s="918">
        <f t="shared" si="68"/>
        <v>4763.3293188409434</v>
      </c>
      <c r="T244" s="919">
        <f t="shared" si="69"/>
        <v>87.073906959671703</v>
      </c>
      <c r="U244" s="920">
        <f t="shared" si="70"/>
        <v>101.00573207321916</v>
      </c>
      <c r="V244" s="919">
        <f t="shared" si="71"/>
        <v>2.4154813990065636</v>
      </c>
      <c r="W244" s="919">
        <f t="shared" si="72"/>
        <v>102.43989054079024</v>
      </c>
      <c r="X244" s="919" t="str">
        <f t="shared" si="73"/>
        <v/>
      </c>
      <c r="Y244" s="920">
        <f t="shared" si="74"/>
        <v>2.8019584228476133</v>
      </c>
      <c r="Z244" s="920">
        <f t="shared" si="75"/>
        <v>118.83027302731668</v>
      </c>
      <c r="AA244" s="920" t="str">
        <f t="shared" si="76"/>
        <v/>
      </c>
      <c r="AB244" s="917">
        <f t="shared" si="77"/>
        <v>4830.9627980131272</v>
      </c>
      <c r="AC244" s="918">
        <f t="shared" si="78"/>
        <v>5603.9168456952275</v>
      </c>
      <c r="AD244" s="916">
        <f t="shared" si="79"/>
        <v>21204.860153947284</v>
      </c>
      <c r="AE244" s="916">
        <f t="shared" si="80"/>
        <v>500</v>
      </c>
      <c r="AF244" s="919" cm="1">
        <f t="array" ref="AF244">IFERROR(_xlfn.LET(_xlpm.lam,TEXT(B244,"0"),_xlpm.thick,D244,_xlpm.crit,(TEXT(HELPER!$BZ$2:$BZ$250,"0")=_xlpm.lam)*(HELPER!$CC$2:$CC$250=_xlpm.thick)*(HELPER!$BW$2:$BW$250&lt;&gt;""),_xlpm.mats,TRIM(SUBSTITUTE(_xlfn._xlws.FILTER(HELPER!$BW$2:$BW$250,_xlpm.crit),CHAR(160),"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4" s="919">
        <f>IFERROR(IF(N244="Europe to Canada",IF(Q244&lt;1000,VLOOKUP(1000,HELPER!$AG$4:$AH$8,2,FALSE)/Q244,VLOOKUP(Q244,HELPER!$AG$4:$AH$8,2,TRUE)/Q244),IF(N244="Europe to US",HELPER!$AH$2,IF(N244="Europe to Europe",HELPER!$AH$3,0))),0)</f>
        <v>73.120207427404523</v>
      </c>
      <c r="AH244" s="919" cm="1">
        <f t="array" ref="AH244">IFERROR(_xlfn.LET(_xlpm.cap,IF(O244="Quantum",760,1220),_xlpm.wUsed,E244*MAX(1,MIN(MAX(2,INT(900/E244)),INT((_xlpm.cap-50)/E244))),_xlpm.kgmUsed,AR244/E244*_xlpm.wUsed,_xlpm.lam,TEXT(B244,"0"),_xlpm.crit,(TEXT(HELPER!$BZ$2:$BZ$250,"0")=_xlpm.lam)*(HELPER!$CC$2:$CC$250=D244)*(HELPER!$BW$2:$BW$250&lt;&gt;""),_xlpm.mats,_xlfn._xlws.FILTER(HELPER!$BW$2:$BW$250,_xlpm.crit),_xlpm.realLayers,SUM((_xlpm.mats&lt;&gt;"")*ISERROR(SEARCH("EPOTAL",_xlpm.mats&amp;""))*ISERROR(SEARCH("BASONAT",_xlpm.mats&amp;""))*ISERROR(SEARCH("ADH",_xlpm.mats&amp;""))*ISERROR(SEARCH("HARDENER",_xlpm.mats&amp;""))),_xlpm.steps,MAX(0,_xlpm.realLayers-1),_xlpm.tier,IF(P244&lt;3000,1,IF(P244&lt;10000,2,IF(P244&lt;25000,3,IF(P244&lt;50000,4,IF(P244&lt;100000,5,IF(P244&lt;250000,6,7)))))),_xlpm.widthRow,IF(_xlpm.wUsed&lt;900,0,5),_xlpm.supplierRow,IF(O244="Marma",3,IF(OR(O244="Bastin",O244="Quantum"),13,0)),_xlpm.rate,INDEX('Lmntn &amp; Prntng- Marma &amp; Bastin '!$D$1:$K$22,_xlpm.supplierRow+_xlpm.widthRow,_xlpm.tier),_xlpm.rate*_xlpm.steps/_xlpm.kgmUsed),"")</f>
        <v>3.2178163235013466</v>
      </c>
      <c r="AI244" s="919" cm="1">
        <f t="array" ref="AI244">IFERROR(_xlfn.LET(_xlpm.cap,IF(O244="Quantum",760,1220),_xlpm.wUsed,E244*MAX(1,MIN(MAX(2,INT(900/E244)),INT((_xlpm.cap-50)/E244))),_xlpm.kgmUsed,AR244/E244*_xlpm.wUsed,_xlpm.tier,IF(P244&lt;3000,1,IF(P244&lt;10000,2,IF(P244&lt;25000,3,IF(P244&lt;50000,4,IF(P244&lt;100000,5,IF(P244&lt;250000,6,IF(P244&lt;500000,7,8))))))),_xlpm.widthRow,IF(_xlpm.wUsed&lt;900,0,5),_xlpm.slitRow,IF(O244="Marma",7,IF(OR(O244="Bastin",O244="Quantum"),17,0)),_xlpm.slitRate,INDEX('Lmntn &amp; Prntng- Marma &amp; Bastin '!$D$1:$K$22,_xlpm.slitRow+_xlpm.widthRow,_xlpm.tier),_xlpm.numColors,IF(ISNUMBER(L244),L244,IFERROR(--RIGHT(L244,LEN(L244)-FIND("-",L244)),0)),_xlpm.printRate,IF(OR(K244&lt;&gt;"Printed",_xlpm.numColors=0),0,IF(O244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244))),MAX(_xlfn._xlws.FILTER(_xlpm.meters,(_xlpm.widths=_xlpm.qWidth)*(_xlpm.bands=_xlpm.band)))),INDEX(_xlpm.rates,_xlfn.XMATCH(1,(_xlpm.widths=_xlpm.qWidth)*(_xlpm.bands=_xlpm.band)*(_xlpm.meters=_xlpm.targetM),0))/HELPER!$AK$2),_xlfn.LET(_xlpm.colorOffset,IF(_xlpm.numColors&lt;=2,1,IF(_xlpm.numColors&lt;=4,2,3)),_xlpm.supplierRow,IF(O244="Marma",3,IF(O244="Bastin",13,0)),INDEX('Lmntn &amp; Prntng- Marma &amp; Bastin '!$D$1:$K$22,_xlpm.supplierRow+_xlpm.widthRow+_xlpm.colorOffset,_xlpm.tier)))),AH244+_xlpm.slitRate/_xlpm.kgmUsed+_xlpm.printRate/_xlpm.kgmUsed+AJ244),"")</f>
        <v>4.180432155049937</v>
      </c>
      <c r="AJ244" s="919" cm="1">
        <f t="array" ref="AJ244">IF(OR(K244&lt;&gt;"Printed",L244=0,L244="0",L244=""),0,IFERROR(_xlfn.LET(_xlpm.lam,TEXT(B244,"0"),_xlpm.crit,(TEXT(HELPER!$BZ$2:$BZ$250,"0")=_xlpm.lam)*(HELPER!$CC$2:$CC$250=D244)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WHITE"},0)))/ROWS(_xlpm.real),_xlpm.numColors,IF(ISNUMBER(L244),L244,IFERROR(--RIGHT(L244,LEN(L244)-FIND("-",L244)),0)),HELPER!$DB$1*_xlpm.numColors*MAX(1,M244)*1.05*_xlpm.nkRatio/Q244),0))</f>
        <v>0</v>
      </c>
      <c r="AK244" s="919">
        <f t="shared" si="81"/>
        <v>4.4525002746664768</v>
      </c>
      <c r="AL244" s="919">
        <f t="shared" si="82"/>
        <v>2415.4813990065636</v>
      </c>
      <c r="AM244" s="73" t="str">
        <f t="shared" si="83"/>
        <v>PASS</v>
      </c>
      <c r="AN244" s="908" t="str">
        <f t="shared" si="84"/>
        <v/>
      </c>
      <c r="AO244" s="919">
        <f t="shared" si="85"/>
        <v>51</v>
      </c>
      <c r="AP244" s="919">
        <f t="shared" si="86"/>
        <v>2000</v>
      </c>
      <c r="AQ244" s="919"/>
      <c r="AR244" s="919" cm="1">
        <f t="array" ref="AR244">IFERROR(_xlfn.LET(_xlpm.lam,TEXT(B244,"0"),_xlpm.thick,D244,_xlpm.crit,(TEXT(HELPER!$BZ$2:$BZ$250,"0")=_xlpm.lam)*(HELPER!$CC$2:$CC$250=_xlpm.thick)*(HELPER!$BW$2:$BW$250&lt;&gt;""),_xlpm.mats,TRIM(SUBSTITUTE(_xlfn._xlws.FILTER(HELPER!$BW$2:$BW$250,_xlpm.crit),CHAR(160),"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")),HELPER!$AQ$2:$AQ$20,1),_xlpm.mass,IF(ISNUMBER(SEARCH("paper",_xlpm.mats)),42,_xlpm.dens*_xlpm.ths),E244/1000000*SUM(_xlpm.mass)),"")</f>
        <v>2.35795E-2</v>
      </c>
      <c r="AS244" s="919">
        <f>IFERROR(IF(D244&gt;31,(5%+250/P244)*AF244,VLOOKUP(D244,HELPER!$BH$3:$BI$5,2,TRUE)*AF244),0)</f>
        <v>1.4555930136280988</v>
      </c>
      <c r="AT244" s="919">
        <v>0.15</v>
      </c>
      <c r="AU244" s="919"/>
      <c r="AV244" s="919"/>
      <c r="AW244" s="919"/>
      <c r="AX244" s="919"/>
      <c r="AY244" s="919"/>
      <c r="AZ244" s="919">
        <f t="shared" si="87"/>
        <v>0</v>
      </c>
    </row>
    <row r="245" spans="1:52">
      <c r="A245" s="73" t="s">
        <v>2274</v>
      </c>
      <c r="B245" s="73">
        <v>918</v>
      </c>
      <c r="C245" s="908" t="s">
        <v>2218</v>
      </c>
      <c r="D245" s="915" cm="1">
        <f t="array" ref="D24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5" s="915">
        <v>900</v>
      </c>
      <c r="F245" s="73" t="s">
        <v>1040</v>
      </c>
      <c r="G245" s="916">
        <v>1600000</v>
      </c>
      <c r="H245" s="916"/>
      <c r="I245" s="916">
        <v>140</v>
      </c>
      <c r="J245" s="916">
        <v>80</v>
      </c>
      <c r="K245" s="73" t="s">
        <v>123</v>
      </c>
      <c r="L245" s="921" t="s">
        <v>592</v>
      </c>
      <c r="M245" s="915">
        <v>8</v>
      </c>
      <c r="N245" s="73" t="s">
        <v>548</v>
      </c>
      <c r="O245" s="73" t="s">
        <v>250</v>
      </c>
      <c r="P245" s="916" cm="1">
        <f t="array" ref="P245">IFERROR(_xlfn.SWITCH(F245,"By Weight",IF(H245&lt;&gt;"",H245,G245)/AR245,"By Length",G245,"By Imp",G245/MAX(1,ROUNDDOWN(E245/I245,0))*J245/1000,"IMP",G245/MAX(1,ROUNDDOWN(E245/I245,0))*J245/1000,""),"")</f>
        <v>21333.333333333336</v>
      </c>
      <c r="Q245" s="916">
        <f t="shared" si="66"/>
        <v>1293.5040000000001</v>
      </c>
      <c r="R245" s="917">
        <f t="shared" si="67"/>
        <v>31055.146846441465</v>
      </c>
      <c r="S245" s="918">
        <f t="shared" si="68"/>
        <v>36023.970341872096</v>
      </c>
      <c r="T245" s="919">
        <f t="shared" si="69"/>
        <v>24.008543341529258</v>
      </c>
      <c r="U245" s="920">
        <f t="shared" si="70"/>
        <v>27.849910276173937</v>
      </c>
      <c r="V245" s="919">
        <f t="shared" si="71"/>
        <v>1.7126000099140513</v>
      </c>
      <c r="W245" s="919">
        <f t="shared" si="72"/>
        <v>28.24534510768148</v>
      </c>
      <c r="X245" s="919">
        <f t="shared" si="73"/>
        <v>2.2834666798854018E-2</v>
      </c>
      <c r="Y245" s="920">
        <f t="shared" si="74"/>
        <v>1.9866160115002993</v>
      </c>
      <c r="Z245" s="920">
        <f t="shared" si="75"/>
        <v>32.764600324910518</v>
      </c>
      <c r="AA245" s="920">
        <f t="shared" si="76"/>
        <v>2.6488213486670659E-2</v>
      </c>
      <c r="AB245" s="917">
        <f t="shared" si="77"/>
        <v>36535.46687816643</v>
      </c>
      <c r="AC245" s="918">
        <f t="shared" si="78"/>
        <v>42381.141578673058</v>
      </c>
      <c r="AD245" s="916">
        <f t="shared" si="79"/>
        <v>8246.3345043128338</v>
      </c>
      <c r="AE245" s="916">
        <f t="shared" si="80"/>
        <v>500</v>
      </c>
      <c r="AF245" s="919" cm="1">
        <f t="array" ref="AF245">IFERROR(_xlfn.LET(_xlpm.lam,TEXT(B245,"0"),_xlpm.thick,D245,_xlpm.crit,(TEXT(HELPER!$BZ$2:$BZ$250,"0")=_xlpm.lam)*(HELPER!$CC$2:$CC$250=_xlpm.thick)*(HELPER!$BW$2:$BW$250&lt;&gt;""),_xlpm.mats,TRIM(SUBSTITUTE(_xlfn._xlws.FILTER(HELPER!$BW$2:$BW$250,_xlpm.crit),CHAR(160),"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5" s="919">
        <f>IFERROR(IF(N245="Europe to Canada",IF(Q245&lt;1000,VLOOKUP(1000,HELPER!$AG$4:$AH$8,2,FALSE)/Q245,VLOOKUP(Q245,HELPER!$AG$4:$AH$8,2,TRUE)/Q245),IF(N245="Europe to US",HELPER!$AH$2,IF(N245="Europe to Europe",HELPER!$AH$3,0))),0)</f>
        <v>2.6658408957907898</v>
      </c>
      <c r="AH245" s="919" cm="1">
        <f t="array" ref="AH245">IFERROR(_xlfn.LET(_xlpm.cap,IF(O245="Quantum",760,1220),_xlpm.wUsed,E245*MAX(1,MIN(MAX(2,INT(900/E245)),INT((_xlpm.cap-50)/E245))),_xlpm.kgmUsed,AR245/E245*_xlpm.wUsed,_xlpm.lam,TEXT(B245,"0"),_xlpm.crit,(TEXT(HELPER!$BZ$2:$BZ$250,"0")=_xlpm.lam)*(HELPER!$CC$2:$CC$250=D245)*(HELPER!$BW$2:$BW$250&lt;&gt;""),_xlpm.mats,_xlfn._xlws.FILTER(HELPER!$BW$2:$BW$250,_xlpm.crit),_xlpm.realLayers,SUM((_xlpm.mats&lt;&gt;"")*ISERROR(SEARCH("EPOTAL",_xlpm.mats&amp;""))*ISERROR(SEARCH("BASONAT",_xlpm.mats&amp;""))*ISERROR(SEARCH("ADH",_xlpm.mats&amp;""))*ISERROR(SEARCH("HARDENER",_xlpm.mats&amp;""))),_xlpm.steps,MAX(0,_xlpm.realLayers-1),_xlpm.tier,IF(P245&lt;3000,1,IF(P245&lt;10000,2,IF(P245&lt;25000,3,IF(P245&lt;50000,4,IF(P245&lt;100000,5,IF(P245&lt;250000,6,7)))))),_xlpm.widthRow,IF(_xlpm.wUsed&lt;900,0,5),_xlpm.supplierRow,IF(O245="Marma",3,IF(OR(O245="Bastin",O245="Quantum"),13,0)),_xlpm.rate,INDEX('Lmntn &amp; Prntng- Marma &amp; Bastin '!$D$1:$K$22,_xlpm.supplierRow+_xlpm.widthRow,_xlpm.tier),_xlpm.rate*_xlpm.steps/_xlpm.kgmUsed),"")</f>
        <v>1.5095739943595072</v>
      </c>
      <c r="AI245" s="919" cm="1">
        <f t="array" ref="AI245">IFERROR(_xlfn.LET(_xlpm.cap,IF(O245="Quantum",760,1220),_xlpm.wUsed,E245*MAX(1,MIN(MAX(2,INT(900/E245)),INT((_xlpm.cap-50)/E245))),_xlpm.kgmUsed,AR245/E245*_xlpm.wUsed,_xlpm.tier,IF(P245&lt;3000,1,IF(P245&lt;10000,2,IF(P245&lt;25000,3,IF(P245&lt;50000,4,IF(P245&lt;100000,5,IF(P245&lt;250000,6,IF(P245&lt;500000,7,8))))))),_xlpm.widthRow,IF(_xlpm.wUsed&lt;900,0,5),_xlpm.slitRow,IF(O245="Marma",7,IF(OR(O245="Bastin",O245="Quantum"),17,0)),_xlpm.slitRate,INDEX('Lmntn &amp; Prntng- Marma &amp; Bastin '!$D$1:$K$22,_xlpm.slitRow+_xlpm.widthRow,_xlpm.tier),_xlpm.numColors,IF(ISNUMBER(L245),L245,IFERROR(--RIGHT(L245,LEN(L245)-FIND("-",L245)),0)),_xlpm.printRate,IF(OR(K245&lt;&gt;"Printed",_xlpm.numColors=0),0,IF(O245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245))),MAX(_xlfn._xlws.FILTER(_xlpm.meters,(_xlpm.widths=_xlpm.qWidth)*(_xlpm.bands=_xlpm.band)))),INDEX(_xlpm.rates,_xlfn.XMATCH(1,(_xlpm.widths=_xlpm.qWidth)*(_xlpm.bands=_xlpm.band)*(_xlpm.meters=_xlpm.targetM),0))/HELPER!$AK$2),_xlfn.LET(_xlpm.colorOffset,IF(_xlpm.numColors&lt;=2,1,IF(_xlpm.numColors&lt;=4,2,3)),_xlpm.supplierRow,IF(O245="Marma",3,IF(O245="Bastin",13,0)),INDEX('Lmntn &amp; Prntng- Marma &amp; Bastin '!$D$1:$K$22,_xlpm.supplierRow+_xlpm.widthRow+_xlpm.colorOffset,_xlpm.tier)))),AH245+_xlpm.slitRate/_xlpm.kgmUsed+_xlpm.printRate/_xlpm.kgmUsed+AJ245),"")</f>
        <v>12.511671617521566</v>
      </c>
      <c r="AJ245" s="919" cm="1">
        <f t="array" ref="AJ245">IF(OR(K245&lt;&gt;"Printed",L245=0,L245="0",L245=""),0,IFERROR(_xlfn.LET(_xlpm.lam,TEXT(B245,"0"),_xlpm.crit,(TEXT(HELPER!$BZ$2:$BZ$250,"0")=_xlpm.lam)*(HELPER!$CC$2:$CC$250=D245)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WHITE"},0)))/ROWS(_xlpm.real),_xlpm.numColors,IF(ISNUMBER(L245),L245,IFERROR(--RIGHT(L245,LEN(L245)-FIND("-",L245)),0)),HELPER!$DB$1*_xlpm.numColors*MAX(1,M245)*1.05*_xlpm.nkRatio/Q245),0))</f>
        <v>7.7927861065756261</v>
      </c>
      <c r="AK245" s="919">
        <f t="shared" si="81"/>
        <v>1.2276702580029042</v>
      </c>
      <c r="AL245" s="919">
        <f t="shared" si="82"/>
        <v>1712.6000099140513</v>
      </c>
      <c r="AM245" s="73" t="str">
        <f t="shared" si="83"/>
        <v>PASS</v>
      </c>
      <c r="AN245" s="908" t="str">
        <f t="shared" si="84"/>
        <v/>
      </c>
      <c r="AO245" s="919">
        <f t="shared" si="85"/>
        <v>51</v>
      </c>
      <c r="AP245" s="919">
        <f t="shared" si="86"/>
        <v>21333.333333333336</v>
      </c>
      <c r="AQ245" s="919"/>
      <c r="AR245" s="919" cm="1">
        <f t="array" ref="AR245">IFERROR(_xlfn.LET(_xlpm.lam,TEXT(B245,"0"),_xlpm.thick,D245,_xlpm.crit,(TEXT(HELPER!$BZ$2:$BZ$250,"0")=_xlpm.lam)*(HELPER!$CC$2:$CC$250=_xlpm.thick)*(HELPER!$BW$2:$BW$250&lt;&gt;""),_xlpm.mats,TRIM(SUBSTITUTE(_xlfn._xlws.FILTER(HELPER!$BW$2:$BW$250,_xlpm.crit),CHAR(160),"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")),HELPER!$AQ$2:$AQ$20,1),_xlpm.mass,IF(ISNUMBER(SEARCH("paper",_xlpm.mats)),42,_xlpm.dens*_xlpm.ths),E245/1000000*SUM(_xlpm.mass)),"")</f>
        <v>6.0632999999999999E-2</v>
      </c>
      <c r="AS245" s="919">
        <f>IFERROR(IF(D245&gt;31,(5%+250/P245)*AF245,VLOOKUP(D245,HELPER!$BH$3:$BI$5,2,TRUE)*AF245),0)</f>
        <v>0.51335646462776696</v>
      </c>
      <c r="AT245" s="919">
        <v>0.15</v>
      </c>
      <c r="AU245" s="919"/>
      <c r="AV245" s="919"/>
      <c r="AW245" s="919"/>
      <c r="AX245" s="919"/>
      <c r="AY245" s="919"/>
      <c r="AZ245" s="919">
        <f t="shared" si="87"/>
        <v>10080</v>
      </c>
    </row>
    <row r="246" spans="1:52">
      <c r="A246" s="73" t="s">
        <v>2275</v>
      </c>
      <c r="B246" s="73">
        <v>919</v>
      </c>
      <c r="C246" s="908" t="s">
        <v>2212</v>
      </c>
      <c r="D246" s="915" cm="1">
        <f t="array" ref="D24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6" s="915">
        <v>120</v>
      </c>
      <c r="F246" s="73" t="s">
        <v>560</v>
      </c>
      <c r="G246" s="916">
        <v>100</v>
      </c>
      <c r="H246" s="916">
        <v>100</v>
      </c>
      <c r="I246" s="916"/>
      <c r="J246" s="916"/>
      <c r="K246" s="73" t="s">
        <v>124</v>
      </c>
      <c r="L246" s="921" t="s">
        <v>221</v>
      </c>
      <c r="M246" s="915">
        <v>1</v>
      </c>
      <c r="N246" s="73" t="s">
        <v>548</v>
      </c>
      <c r="O246" s="73" t="s">
        <v>250</v>
      </c>
      <c r="P246" s="916" cm="1">
        <f t="array" ref="P246">IFERROR(_xlfn.SWITCH(F246,"By Weight",IF(H246&lt;&gt;"",H246,G246)/AR246,"By Length",G246,"By Imp",G246/MAX(1,ROUNDDOWN(E246/I246,0))*J246/1000,"IMP",G246/MAX(1,ROUNDDOWN(E246/I246,0))*J246/1000,""),"")</f>
        <v>7415.9769808074516</v>
      </c>
      <c r="Q246" s="916">
        <f t="shared" si="66"/>
        <v>100</v>
      </c>
      <c r="R246" s="917">
        <f t="shared" si="67"/>
        <v>4241.9043097241993</v>
      </c>
      <c r="S246" s="918">
        <f t="shared" si="68"/>
        <v>4920.6089992800707</v>
      </c>
      <c r="T246" s="919">
        <f t="shared" si="69"/>
        <v>42.419043097241996</v>
      </c>
      <c r="U246" s="920">
        <f t="shared" si="70"/>
        <v>49.206089992800713</v>
      </c>
      <c r="V246" s="919">
        <f t="shared" si="71"/>
        <v>0.6729356996946495</v>
      </c>
      <c r="W246" s="919">
        <f t="shared" si="72"/>
        <v>49.904756584990764</v>
      </c>
      <c r="X246" s="919" t="str">
        <f t="shared" si="73"/>
        <v/>
      </c>
      <c r="Y246" s="920">
        <f t="shared" si="74"/>
        <v>0.78060541164579333</v>
      </c>
      <c r="Z246" s="920">
        <f t="shared" si="75"/>
        <v>57.889517638589282</v>
      </c>
      <c r="AA246" s="920" t="str">
        <f t="shared" si="76"/>
        <v/>
      </c>
      <c r="AB246" s="917">
        <f t="shared" si="77"/>
        <v>4990.4756584990764</v>
      </c>
      <c r="AC246" s="918">
        <f t="shared" si="78"/>
        <v>5788.9517638589286</v>
      </c>
      <c r="AD246" s="916">
        <f t="shared" si="79"/>
        <v>37079.884904037259</v>
      </c>
      <c r="AE246" s="916">
        <f t="shared" si="80"/>
        <v>500</v>
      </c>
      <c r="AF246" s="919" cm="1">
        <f t="array" ref="AF246">IFERROR(_xlfn.LET(_xlpm.lam,TEXT(B246,"0"),_xlpm.thick,D246,_xlpm.crit,(TEXT(HELPER!$BZ$2:$BZ$250,"0")=_xlpm.lam)*(HELPER!$CC$2:$CC$250=_xlpm.thick)*(HELPER!$BW$2:$BW$250&lt;&gt;""),_xlpm.mats,TRIM(SUBSTITUTE(_xlfn._xlws.FILTER(HELPER!$BW$2:$BW$250,_xlpm.crit),CHAR(160),"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6" s="919">
        <f>IFERROR(IF(N246="Europe to Canada",IF(Q246&lt;1000,VLOOKUP(1000,HELPER!$AG$4:$AH$8,2,FALSE)/Q246,VLOOKUP(Q246,HELPER!$AG$4:$AH$8,2,TRUE)/Q246),IF(N246="Europe to US",HELPER!$AH$2,IF(N246="Europe to Europe",HELPER!$AH$3,0))),0)</f>
        <v>34.482758620689701</v>
      </c>
      <c r="AH246" s="919" cm="1">
        <f t="array" ref="AH246">IFERROR(_xlfn.LET(_xlpm.cap,IF(O246="Quantum",760,1220),_xlpm.wUsed,E246*MAX(1,MIN(MAX(2,INT(900/E246)),INT((_xlpm.cap-50)/E246))),_xlpm.kgmUsed,AR246/E246*_xlpm.wUsed,_xlpm.lam,TEXT(B246,"0"),_xlpm.crit,(TEXT(HELPER!$BZ$2:$BZ$250,"0")=_xlpm.lam)*(HELPER!$CC$2:$CC$250=D246)*(HELPER!$BW$2:$BW$250&lt;&gt;""),_xlpm.mats,_xlfn._xlws.FILTER(HELPER!$BW$2:$BW$250,_xlpm.crit),_xlpm.realLayers,SUM((_xlpm.mats&lt;&gt;"")*ISERROR(SEARCH("EPOTAL",_xlpm.mats&amp;""))*ISERROR(SEARCH("BASONAT",_xlpm.mats&amp;""))*ISERROR(SEARCH("ADH",_xlpm.mats&amp;""))*ISERROR(SEARCH("HARDENER",_xlpm.mats&amp;""))),_xlpm.steps,MAX(0,_xlpm.realLayers-1),_xlpm.tier,IF(P246&lt;3000,1,IF(P246&lt;10000,2,IF(P246&lt;25000,3,IF(P246&lt;50000,4,IF(P246&lt;100000,5,IF(P246&lt;250000,6,7)))))),_xlpm.widthRow,IF(_xlpm.wUsed&lt;900,0,5),_xlpm.supplierRow,IF(O246="Marma",3,IF(OR(O246="Bastin",O246="Quantum"),13,0)),_xlpm.rate,INDEX('Lmntn &amp; Prntng- Marma &amp; Bastin '!$D$1:$K$22,_xlpm.supplierRow+_xlpm.widthRow,_xlpm.tier),_xlpm.rate*_xlpm.steps/_xlpm.kgmUsed),"")</f>
        <v>2.2063590943185138</v>
      </c>
      <c r="AI246" s="919" cm="1">
        <f t="array" ref="AI246">IFERROR(_xlfn.LET(_xlpm.cap,IF(O246="Quantum",760,1220),_xlpm.wUsed,E246*MAX(1,MIN(MAX(2,INT(900/E246)),INT((_xlpm.cap-50)/E246))),_xlpm.kgmUsed,AR246/E246*_xlpm.wUsed,_xlpm.tier,IF(P246&lt;3000,1,IF(P246&lt;10000,2,IF(P246&lt;25000,3,IF(P246&lt;50000,4,IF(P246&lt;100000,5,IF(P246&lt;250000,6,IF(P246&lt;500000,7,8))))))),_xlpm.widthRow,IF(_xlpm.wUsed&lt;900,0,5),_xlpm.slitRow,IF(O246="Marma",7,IF(OR(O246="Bastin",O246="Quantum"),17,0)),_xlpm.slitRate,INDEX('Lmntn &amp; Prntng- Marma &amp; Bastin '!$D$1:$K$22,_xlpm.slitRow+_xlpm.widthRow,_xlpm.tier),_xlpm.numColors,IF(ISNUMBER(L246),L246,IFERROR(--RIGHT(L246,LEN(L246)-FIND("-",L246)),0)),_xlpm.printRate,IF(OR(K246&lt;&gt;"Printed",_xlpm.numColors=0),0,IF(O246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246))),MAX(_xlfn._xlws.FILTER(_xlpm.meters,(_xlpm.widths=_xlpm.qWidth)*(_xlpm.bands=_xlpm.band)))),INDEX(_xlpm.rates,_xlfn.XMATCH(1,(_xlpm.widths=_xlpm.qWidth)*(_xlpm.bands=_xlpm.band)*(_xlpm.meters=_xlpm.targetM),0))/HELPER!$AK$2),_xlfn.LET(_xlpm.colorOffset,IF(_xlpm.numColors&lt;=2,1,IF(_xlpm.numColors&lt;=4,2,3)),_xlpm.supplierRow,IF(O246="Marma",3,IF(O246="Bastin",13,0)),INDEX('Lmntn &amp; Prntng- Marma &amp; Bastin '!$D$1:$K$22,_xlpm.supplierRow+_xlpm.widthRow+_xlpm.colorOffset,_xlpm.tier)))),AH246+_xlpm.slitRate/_xlpm.kgmUsed+_xlpm.printRate/_xlpm.kgmUsed+AJ246),"")</f>
        <v>2.5286362653987462</v>
      </c>
      <c r="AJ246" s="919" cm="1">
        <f t="array" ref="AJ246">IF(OR(K246&lt;&gt;"Printed",L246=0,L246="0",L246=""),0,IFERROR(_xlfn.LET(_xlpm.lam,TEXT(B246,"0"),_xlpm.crit,(TEXT(HELPER!$BZ$2:$BZ$250,"0")=_xlpm.lam)*(HELPER!$CC$2:$CC$250=D246)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WHITE"},0)))/ROWS(_xlpm.real),_xlpm.numColors,IF(ISNUMBER(L246),L246,IFERROR(--RIGHT(L246,LEN(L246)-FIND("-",L246)),0)),HELPER!$DB$1*_xlpm.numColors*MAX(1,M246)*1.05*_xlpm.nkRatio/Q246),0))</f>
        <v>0</v>
      </c>
      <c r="AK246" s="919">
        <f t="shared" si="81"/>
        <v>3.6179338693260727</v>
      </c>
      <c r="AL246" s="919">
        <f t="shared" si="82"/>
        <v>672.93569969464954</v>
      </c>
      <c r="AM246" s="73" t="str">
        <f t="shared" si="83"/>
        <v>PASS</v>
      </c>
      <c r="AN246" s="908" t="str">
        <f t="shared" si="84"/>
        <v/>
      </c>
      <c r="AO246" s="919">
        <f t="shared" si="85"/>
        <v>121</v>
      </c>
      <c r="AP246" s="919">
        <f t="shared" si="86"/>
        <v>7415.9769808074516</v>
      </c>
      <c r="AQ246" s="919"/>
      <c r="AR246" s="919" cm="1">
        <f t="array" ref="AR246">IFERROR(_xlfn.LET(_xlpm.lam,TEXT(B246,"0"),_xlpm.thick,D246,_xlpm.crit,(TEXT(HELPER!$BZ$2:$BZ$250,"0")=_xlpm.lam)*(HELPER!$CC$2:$CC$250=_xlpm.thick)*(HELPER!$BW$2:$BW$250&lt;&gt;""),_xlpm.mats,TRIM(SUBSTITUTE(_xlfn._xlws.FILTER(HELPER!$BW$2:$BW$250,_xlpm.crit),CHAR(160),"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")),HELPER!$AQ$2:$AQ$20,1),_xlpm.mass,IF(ISNUMBER(SEARCH("paper",_xlpm.mats)),42,_xlpm.dens*_xlpm.ths),E246/1000000*SUM(_xlpm.mass)),"")</f>
        <v>1.3484400000000001E-2</v>
      </c>
      <c r="AS246" s="919">
        <f>IFERROR(IF(D246&gt;31,(5%+250/P246)*AF246,VLOOKUP(D246,HELPER!$BH$3:$BI$5,2,TRUE)*AF246),0)</f>
        <v>0.41771250767397883</v>
      </c>
      <c r="AT246" s="919">
        <v>0.15000000000000299</v>
      </c>
      <c r="AU246" s="919"/>
      <c r="AV246" s="919"/>
      <c r="AW246" s="919"/>
      <c r="AX246" s="919"/>
      <c r="AY246" s="919"/>
      <c r="AZ246" s="919">
        <f t="shared" si="87"/>
        <v>0</v>
      </c>
    </row>
    <row r="247" spans="1:52">
      <c r="A247" s="73" t="s">
        <v>2276</v>
      </c>
      <c r="B247" s="73">
        <v>919</v>
      </c>
      <c r="C247" s="908" t="s">
        <v>2214</v>
      </c>
      <c r="D247" s="915" cm="1">
        <f t="array" ref="D24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7" s="915">
        <v>350</v>
      </c>
      <c r="F247" s="73" t="s">
        <v>560</v>
      </c>
      <c r="G247" s="916">
        <v>5000</v>
      </c>
      <c r="H247" s="916">
        <v>5000</v>
      </c>
      <c r="I247" s="916"/>
      <c r="J247" s="916"/>
      <c r="K247" s="73" t="s">
        <v>123</v>
      </c>
      <c r="L247" s="921" t="s">
        <v>122</v>
      </c>
      <c r="M247" s="915">
        <v>4</v>
      </c>
      <c r="N247" s="73" t="s">
        <v>548</v>
      </c>
      <c r="O247" s="73" t="s">
        <v>1366</v>
      </c>
      <c r="P247" s="916" cm="1">
        <f t="array" ref="P247">IFERROR(_xlfn.SWITCH(F247,"By Weight",IF(H247&lt;&gt;"",H247,G247)/AR247,"By Length",G247,"By Imp",G247/MAX(1,ROUNDDOWN(E247/I247,0))*J247/1000,"IMP",G247/MAX(1,ROUNDDOWN(E247/I247,0))*J247/1000,""),"")</f>
        <v>127131.03395669916</v>
      </c>
      <c r="Q247" s="916">
        <f t="shared" si="66"/>
        <v>5000</v>
      </c>
      <c r="R247" s="917">
        <f t="shared" si="67"/>
        <v>100182.65764466989</v>
      </c>
      <c r="S247" s="918">
        <f t="shared" si="68"/>
        <v>116211.88286781707</v>
      </c>
      <c r="T247" s="919">
        <f t="shared" si="69"/>
        <v>20.036531528933978</v>
      </c>
      <c r="U247" s="920">
        <f t="shared" si="70"/>
        <v>23.242376573563412</v>
      </c>
      <c r="V247" s="919">
        <f t="shared" si="71"/>
        <v>0.92709031384377427</v>
      </c>
      <c r="W247" s="919">
        <f t="shared" si="72"/>
        <v>23.572390034039948</v>
      </c>
      <c r="X247" s="919" t="str">
        <f t="shared" si="73"/>
        <v/>
      </c>
      <c r="Y247" s="920">
        <f t="shared" si="74"/>
        <v>1.0754247640587782</v>
      </c>
      <c r="Z247" s="920">
        <f t="shared" si="75"/>
        <v>27.34397243948634</v>
      </c>
      <c r="AA247" s="920" t="str">
        <f t="shared" si="76"/>
        <v/>
      </c>
      <c r="AB247" s="917">
        <f t="shared" si="77"/>
        <v>117861.95017019974</v>
      </c>
      <c r="AC247" s="918">
        <f t="shared" si="78"/>
        <v>136719.86219743168</v>
      </c>
      <c r="AD247" s="916">
        <f t="shared" si="79"/>
        <v>12713.103395669916</v>
      </c>
      <c r="AE247" s="916">
        <f t="shared" si="80"/>
        <v>500</v>
      </c>
      <c r="AF247" s="919" cm="1">
        <f t="array" ref="AF247">IFERROR(_xlfn.LET(_xlpm.lam,TEXT(B247,"0"),_xlpm.thick,D247,_xlpm.crit,(TEXT(HELPER!$BZ$2:$BZ$250,"0")=_xlpm.lam)*(HELPER!$CC$2:$CC$250=_xlpm.thick)*(HELPER!$BW$2:$BW$250&lt;&gt;""),_xlpm.mats,TRIM(SUBSTITUTE(_xlfn._xlws.FILTER(HELPER!$BW$2:$BW$250,_xlpm.crit),CHAR(160),"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7" s="919">
        <f>IFERROR(IF(N247="Europe to Canada",IF(Q247&lt;1000,VLOOKUP(1000,HELPER!$AG$4:$AH$8,2,FALSE)/Q247,VLOOKUP(Q247,HELPER!$AG$4:$AH$8,2,TRUE)/Q247),IF(N247="Europe to US",HELPER!$AH$2,IF(N247="Europe to Europe",HELPER!$AH$3,0))),0)</f>
        <v>1.8448275862068959</v>
      </c>
      <c r="AH247" s="919" cm="1">
        <f t="array" ref="AH247">IFERROR(_xlfn.LET(_xlpm.cap,IF(O247="Quantum",760,1220),_xlpm.wUsed,E247*MAX(1,MIN(MAX(2,INT(900/E247)),INT((_xlpm.cap-50)/E247))),_xlpm.kgmUsed,AR247/E247*_xlpm.wUsed,_xlpm.lam,TEXT(B247,"0"),_xlpm.crit,(TEXT(HELPER!$BZ$2:$BZ$250,"0")=_xlpm.lam)*(HELPER!$CC$2:$CC$250=D247)*(HELPER!$BW$2:$BW$250&lt;&gt;""),_xlpm.mats,_xlfn._xlws.FILTER(HELPER!$BW$2:$BW$250,_xlpm.crit),_xlpm.realLayers,SUM((_xlpm.mats&lt;&gt;"")*ISERROR(SEARCH("EPOTAL",_xlpm.mats&amp;""))*ISERROR(SEARCH("BASONAT",_xlpm.mats&amp;""))*ISERROR(SEARCH("ADH",_xlpm.mats&amp;""))*ISERROR(SEARCH("HARDENER",_xlpm.mats&amp;""))),_xlpm.steps,MAX(0,_xlpm.realLayers-1),_xlpm.tier,IF(P247&lt;3000,1,IF(P247&lt;10000,2,IF(P247&lt;25000,3,IF(P247&lt;50000,4,IF(P247&lt;100000,5,IF(P247&lt;250000,6,7)))))),_xlpm.widthRow,IF(_xlpm.wUsed&lt;900,0,5),_xlpm.supplierRow,IF(O247="Marma",3,IF(OR(O247="Bastin",O247="Quantum"),13,0)),_xlpm.rate,INDEX('Lmntn &amp; Prntng- Marma &amp; Bastin '!$D$1:$K$22,_xlpm.supplierRow+_xlpm.widthRow,_xlpm.tier),_xlpm.rate*_xlpm.steps/_xlpm.kgmUsed),"")</f>
        <v>2.7755501595494474</v>
      </c>
      <c r="AI247" s="919" cm="1">
        <f t="array" ref="AI247">IFERROR(_xlfn.LET(_xlpm.cap,IF(O247="Quantum",760,1220),_xlpm.wUsed,E247*MAX(1,MIN(MAX(2,INT(900/E247)),INT((_xlpm.cap-50)/E247))),_xlpm.kgmUsed,AR247/E247*_xlpm.wUsed,_xlpm.tier,IF(P247&lt;3000,1,IF(P247&lt;10000,2,IF(P247&lt;25000,3,IF(P247&lt;50000,4,IF(P247&lt;100000,5,IF(P247&lt;250000,6,IF(P247&lt;500000,7,8))))))),_xlpm.widthRow,IF(_xlpm.wUsed&lt;900,0,5),_xlpm.slitRow,IF(O247="Marma",7,IF(OR(O247="Bastin",O247="Quantum"),17,0)),_xlpm.slitRate,INDEX('Lmntn &amp; Prntng- Marma &amp; Bastin '!$D$1:$K$22,_xlpm.slitRow+_xlpm.widthRow,_xlpm.tier),_xlpm.numColors,IF(ISNUMBER(L247),L247,IFERROR(--RIGHT(L247,LEN(L247)-FIND("-",L247)),0)),_xlpm.printRate,IF(OR(K247&lt;&gt;"Printed",_xlpm.numColors=0),0,IF(O247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247))),MAX(_xlfn._xlws.FILTER(_xlpm.meters,(_xlpm.widths=_xlpm.qWidth)*(_xlpm.bands=_xlpm.band)))),INDEX(_xlpm.rates,_xlfn.XMATCH(1,(_xlpm.widths=_xlpm.qWidth)*(_xlpm.bands=_xlpm.band)*(_xlpm.meters=_xlpm.targetM),0))/HELPER!$AK$2),_xlfn.LET(_xlpm.colorOffset,IF(_xlpm.numColors&lt;=2,1,IF(_xlpm.numColors&lt;=4,2,3)),_xlpm.supplierRow,IF(O247="Marma",3,IF(O247="Bastin",13,0)),INDEX('Lmntn &amp; Prntng- Marma &amp; Bastin '!$D$1:$K$22,_xlpm.supplierRow+_xlpm.widthRow+_xlpm.colorOffset,_xlpm.tier)))),AH247+_xlpm.slitRate/_xlpm.kgmUsed+_xlpm.printRate/_xlpm.kgmUsed+AJ247),"")</f>
        <v>12.942458870261026</v>
      </c>
      <c r="AJ247" s="919" cm="1">
        <f t="array" ref="AJ247">IF(OR(K247&lt;&gt;"Printed",L247=0,L247="0",L247=""),0,IFERROR(_xlfn.LET(_xlpm.lam,TEXT(B247,"0"),_xlpm.crit,(TEXT(HELPER!$BZ$2:$BZ$250,"0")=_xlpm.lam)*(HELPER!$CC$2:$CC$250=D247)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WHITE"},0)))/ROWS(_xlpm.real),_xlpm.numColors,IF(ISNUMBER(L247),L247,IFERROR(--RIGHT(L247,LEN(L247)-FIND("-",L247)),0)),HELPER!$DB$1*_xlpm.numColors*MAX(1,M247)*1.05*_xlpm.nkRatio/Q247),0))</f>
        <v>0.33600000000000002</v>
      </c>
      <c r="AK247" s="919">
        <f t="shared" si="81"/>
        <v>1.7089222375000448</v>
      </c>
      <c r="AL247" s="919">
        <f t="shared" si="82"/>
        <v>927.09031384377431</v>
      </c>
      <c r="AM247" s="73" t="str">
        <f t="shared" si="83"/>
        <v>PASS</v>
      </c>
      <c r="AN247" s="908" t="str">
        <f t="shared" si="84"/>
        <v/>
      </c>
      <c r="AO247" s="919">
        <f t="shared" si="85"/>
        <v>121</v>
      </c>
      <c r="AP247" s="919">
        <f t="shared" si="86"/>
        <v>127131.03395669916</v>
      </c>
      <c r="AQ247" s="919"/>
      <c r="AR247" s="919" cm="1">
        <f t="array" ref="AR247">IFERROR(_xlfn.LET(_xlpm.lam,TEXT(B247,"0"),_xlpm.thick,D247,_xlpm.crit,(TEXT(HELPER!$BZ$2:$BZ$250,"0")=_xlpm.lam)*(HELPER!$CC$2:$CC$250=_xlpm.thick)*(HELPER!$BW$2:$BW$250&lt;&gt;""),_xlpm.mats,TRIM(SUBSTITUTE(_xlfn._xlws.FILTER(HELPER!$BW$2:$BW$250,_xlpm.crit),CHAR(160),"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")),HELPER!$AQ$2:$AQ$20,1),_xlpm.mass,IF(ISNUMBER(SEARCH("paper",_xlpm.mats)),42,_xlpm.dens*_xlpm.ths),E247/1000000*SUM(_xlpm.mass)),"")</f>
        <v>3.9329500000000003E-2</v>
      </c>
      <c r="AS247" s="919">
        <f>IFERROR(IF(D247&gt;31,(5%+250/P247)*AF247,VLOOKUP(D247,HELPER!$BH$3:$BI$5,2,TRUE)*AF247),0)</f>
        <v>0.25930936898647883</v>
      </c>
      <c r="AT247" s="919">
        <v>0.149999999999999</v>
      </c>
      <c r="AU247" s="919"/>
      <c r="AV247" s="919"/>
      <c r="AW247" s="919"/>
      <c r="AX247" s="919"/>
      <c r="AY247" s="919"/>
      <c r="AZ247" s="919">
        <f t="shared" si="87"/>
        <v>1680</v>
      </c>
    </row>
    <row r="248" spans="1:52">
      <c r="A248" s="73" t="s">
        <v>2277</v>
      </c>
      <c r="B248" s="73">
        <v>919</v>
      </c>
      <c r="C248" s="908" t="s">
        <v>2216</v>
      </c>
      <c r="D248" s="915" cm="1">
        <f t="array" ref="D24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8" s="915">
        <v>350</v>
      </c>
      <c r="F248" s="73" t="s">
        <v>561</v>
      </c>
      <c r="G248" s="916">
        <v>2000</v>
      </c>
      <c r="H248" s="916"/>
      <c r="I248" s="916"/>
      <c r="J248" s="916"/>
      <c r="K248" s="73" t="s">
        <v>124</v>
      </c>
      <c r="L248" s="921" t="s">
        <v>221</v>
      </c>
      <c r="M248" s="915">
        <v>1</v>
      </c>
      <c r="N248" s="73" t="s">
        <v>548</v>
      </c>
      <c r="O248" s="73" t="s">
        <v>240</v>
      </c>
      <c r="P248" s="916" cm="1">
        <f t="array" ref="P248">IFERROR(_xlfn.SWITCH(F248,"By Weight",IF(H248&lt;&gt;"",H248,G248)/AR248,"By Length",G248,"By Imp",G248/MAX(1,ROUNDDOWN(E248/I248,0))*J248/1000,"IMP",G248/MAX(1,ROUNDDOWN(E248/I248,0))*J248/1000,""),"")</f>
        <v>2000</v>
      </c>
      <c r="Q248" s="916">
        <f t="shared" si="66"/>
        <v>78.659000000000006</v>
      </c>
      <c r="R248" s="917">
        <f t="shared" si="67"/>
        <v>4258.3613012564701</v>
      </c>
      <c r="S248" s="918">
        <f t="shared" si="68"/>
        <v>4939.6991094575051</v>
      </c>
      <c r="T248" s="919">
        <f t="shared" si="69"/>
        <v>54.136987518992989</v>
      </c>
      <c r="U248" s="920">
        <f t="shared" si="70"/>
        <v>62.798905522031859</v>
      </c>
      <c r="V248" s="919">
        <f t="shared" si="71"/>
        <v>2.6614758132852843</v>
      </c>
      <c r="W248" s="919">
        <f t="shared" si="72"/>
        <v>67.671234398740992</v>
      </c>
      <c r="X248" s="919" t="str">
        <f t="shared" si="73"/>
        <v/>
      </c>
      <c r="Y248" s="920">
        <f t="shared" si="74"/>
        <v>3.0873119434109295</v>
      </c>
      <c r="Z248" s="920">
        <f t="shared" si="75"/>
        <v>78.498631902539543</v>
      </c>
      <c r="AA248" s="920" t="str">
        <f t="shared" si="76"/>
        <v/>
      </c>
      <c r="AB248" s="917">
        <f t="shared" si="77"/>
        <v>5322.9516265705679</v>
      </c>
      <c r="AC248" s="918">
        <f t="shared" si="78"/>
        <v>6174.6238868218579</v>
      </c>
      <c r="AD248" s="916">
        <f t="shared" si="79"/>
        <v>12713.103395669916</v>
      </c>
      <c r="AE248" s="916">
        <f t="shared" si="80"/>
        <v>500</v>
      </c>
      <c r="AF248" s="919" cm="1">
        <f t="array" ref="AF248">IFERROR(_xlfn.LET(_xlpm.lam,TEXT(B248,"0"),_xlpm.thick,D248,_xlpm.crit,(TEXT(HELPER!$BZ$2:$BZ$250,"0")=_xlpm.lam)*(HELPER!$CC$2:$CC$250=_xlpm.thick)*(HELPER!$BW$2:$BW$250&lt;&gt;""),_xlpm.mats,TRIM(SUBSTITUTE(_xlfn._xlws.FILTER(HELPER!$BW$2:$BW$250,_xlpm.crit),CHAR(160),"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8" s="919">
        <f>IFERROR(IF(N248="Europe to Canada",IF(Q248&lt;1000,VLOOKUP(1000,HELPER!$AG$4:$AH$8,2,FALSE)/Q248,VLOOKUP(Q248,HELPER!$AG$4:$AH$8,2,TRUE)/Q248),IF(N248="Europe to US",HELPER!$AH$2,IF(N248="Europe to Europe",HELPER!$AH$3,0))),0)</f>
        <v>43.838287571275629</v>
      </c>
      <c r="AH248" s="919" cm="1">
        <f t="array" ref="AH248">IFERROR(_xlfn.LET(_xlpm.cap,IF(O248="Quantum",760,1220),_xlpm.wUsed,E248*MAX(1,MIN(MAX(2,INT(900/E248)),INT((_xlpm.cap-50)/E248))),_xlpm.kgmUsed,AR248/E248*_xlpm.wUsed,_xlpm.lam,TEXT(B248,"0"),_xlpm.crit,(TEXT(HELPER!$BZ$2:$BZ$250,"0")=_xlpm.lam)*(HELPER!$CC$2:$CC$250=D248)*(HELPER!$BW$2:$BW$250&lt;&gt;""),_xlpm.mats,_xlfn._xlws.FILTER(HELPER!$BW$2:$BW$250,_xlpm.crit),_xlpm.realLayers,SUM((_xlpm.mats&lt;&gt;"")*ISERROR(SEARCH("EPOTAL",_xlpm.mats&amp;""))*ISERROR(SEARCH("BASONAT",_xlpm.mats&amp;""))*ISERROR(SEARCH("ADH",_xlpm.mats&amp;""))*ISERROR(SEARCH("HARDENER",_xlpm.mats&amp;""))),_xlpm.steps,MAX(0,_xlpm.realLayers-1),_xlpm.tier,IF(P248&lt;3000,1,IF(P248&lt;10000,2,IF(P248&lt;25000,3,IF(P248&lt;50000,4,IF(P248&lt;100000,5,IF(P248&lt;250000,6,7)))))),_xlpm.widthRow,IF(_xlpm.wUsed&lt;900,0,5),_xlpm.supplierRow,IF(O248="Marma",3,IF(OR(O248="Bastin",O248="Quantum"),13,0)),_xlpm.rate,INDEX('Lmntn &amp; Prntng- Marma &amp; Bastin '!$D$1:$K$22,_xlpm.supplierRow+_xlpm.widthRow,_xlpm.tier),_xlpm.rate*_xlpm.steps/_xlpm.kgmUsed),"")</f>
        <v>3.8584014543790279</v>
      </c>
      <c r="AI248" s="919" cm="1">
        <f t="array" ref="AI248">IFERROR(_xlfn.LET(_xlpm.cap,IF(O248="Quantum",760,1220),_xlpm.wUsed,E248*MAX(1,MIN(MAX(2,INT(900/E248)),INT((_xlpm.cap-50)/E248))),_xlpm.kgmUsed,AR248/E248*_xlpm.wUsed,_xlpm.tier,IF(P248&lt;3000,1,IF(P248&lt;10000,2,IF(P248&lt;25000,3,IF(P248&lt;50000,4,IF(P248&lt;100000,5,IF(P248&lt;250000,6,IF(P248&lt;500000,7,8))))))),_xlpm.widthRow,IF(_xlpm.wUsed&lt;900,0,5),_xlpm.slitRow,IF(O248="Marma",7,IF(OR(O248="Bastin",O248="Quantum"),17,0)),_xlpm.slitRate,INDEX('Lmntn &amp; Prntng- Marma &amp; Bastin '!$D$1:$K$22,_xlpm.slitRow+_xlpm.widthRow,_xlpm.tier),_xlpm.numColors,IF(ISNUMBER(L248),L248,IFERROR(--RIGHT(L248,LEN(L248)-FIND("-",L248)),0)),_xlpm.printRate,IF(OR(K248&lt;&gt;"Printed",_xlpm.numColors=0),0,IF(O248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248))),MAX(_xlfn._xlws.FILTER(_xlpm.meters,(_xlpm.widths=_xlpm.qWidth)*(_xlpm.bands=_xlpm.band)))),INDEX(_xlpm.rates,_xlfn.XMATCH(1,(_xlpm.widths=_xlpm.qWidth)*(_xlpm.bands=_xlpm.band)*(_xlpm.meters=_xlpm.targetM),0))/HELPER!$AK$2),_xlfn.LET(_xlpm.colorOffset,IF(_xlpm.numColors&lt;=2,1,IF(_xlpm.numColors&lt;=4,2,3)),_xlpm.supplierRow,IF(O248="Marma",3,IF(O248="Bastin",13,0)),INDEX('Lmntn &amp; Prntng- Marma &amp; Bastin '!$D$1:$K$22,_xlpm.supplierRow+_xlpm.widthRow+_xlpm.colorOffset,_xlpm.tier)))),AH248+_xlpm.slitRate/_xlpm.kgmUsed+_xlpm.printRate/_xlpm.kgmUsed+AJ248),"")</f>
        <v>4.435525496128859</v>
      </c>
      <c r="AJ248" s="919" cm="1">
        <f t="array" ref="AJ248">IF(OR(K248&lt;&gt;"Printed",L248=0,L248="0",L248=""),0,IFERROR(_xlfn.LET(_xlpm.lam,TEXT(B248,"0"),_xlpm.crit,(TEXT(HELPER!$BZ$2:$BZ$250,"0")=_xlpm.lam)*(HELPER!$CC$2:$CC$250=D248)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WHITE"},0)))/ROWS(_xlpm.real),_xlpm.numColors,IF(ISNUMBER(L248),L248,IFERROR(--RIGHT(L248,LEN(L248)-FIND("-",L248)),0)),HELPER!$DB$1*_xlpm.numColors*MAX(1,M248)*1.05*_xlpm.nkRatio/Q248),0))</f>
        <v>0</v>
      </c>
      <c r="AK248" s="919">
        <f t="shared" si="81"/>
        <v>4.9059461996042106</v>
      </c>
      <c r="AL248" s="919">
        <f t="shared" si="82"/>
        <v>2661.4758132852844</v>
      </c>
      <c r="AM248" s="73" t="str">
        <f t="shared" si="83"/>
        <v>PASS</v>
      </c>
      <c r="AN248" s="908" t="str">
        <f t="shared" si="84"/>
        <v/>
      </c>
      <c r="AO248" s="919">
        <f t="shared" si="85"/>
        <v>121</v>
      </c>
      <c r="AP248" s="919">
        <f t="shared" si="86"/>
        <v>2000</v>
      </c>
      <c r="AQ248" s="919"/>
      <c r="AR248" s="919" cm="1">
        <f t="array" ref="AR248">IFERROR(_xlfn.LET(_xlpm.lam,TEXT(B248,"0"),_xlpm.thick,D248,_xlpm.crit,(TEXT(HELPER!$BZ$2:$BZ$250,"0")=_xlpm.lam)*(HELPER!$CC$2:$CC$250=_xlpm.thick)*(HELPER!$BW$2:$BW$250&lt;&gt;""),_xlpm.mats,TRIM(SUBSTITUTE(_xlfn._xlws.FILTER(HELPER!$BW$2:$BW$250,_xlpm.crit),CHAR(160),"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")),HELPER!$AQ$2:$AQ$20,1),_xlpm.mass,IF(ISNUMBER(SEARCH("paper",_xlpm.mats)),42,_xlpm.dens*_xlpm.ths),E248/1000000*SUM(_xlpm.mass)),"")</f>
        <v>3.9329500000000003E-2</v>
      </c>
      <c r="AS248" s="919">
        <f>IFERROR(IF(D248&gt;31,(5%+250/P248)*AF248,VLOOKUP(D248,HELPER!$BH$3:$BI$5,2,TRUE)*AF248),0)</f>
        <v>0.87323874810892577</v>
      </c>
      <c r="AT248" s="919">
        <v>0.19999999999999701</v>
      </c>
      <c r="AU248" s="919"/>
      <c r="AV248" s="919"/>
      <c r="AW248" s="919"/>
      <c r="AX248" s="919"/>
      <c r="AY248" s="919"/>
      <c r="AZ248" s="919">
        <f t="shared" si="87"/>
        <v>0</v>
      </c>
    </row>
    <row r="249" spans="1:52">
      <c r="A249" s="73" t="s">
        <v>2278</v>
      </c>
      <c r="B249" s="73">
        <v>919</v>
      </c>
      <c r="C249" s="908" t="s">
        <v>2218</v>
      </c>
      <c r="D249" s="915" cm="1">
        <f t="array" ref="D24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9" s="915">
        <v>900</v>
      </c>
      <c r="F249" s="73" t="s">
        <v>1040</v>
      </c>
      <c r="G249" s="916">
        <v>1600000</v>
      </c>
      <c r="H249" s="916"/>
      <c r="I249" s="916">
        <v>140</v>
      </c>
      <c r="J249" s="916">
        <v>80</v>
      </c>
      <c r="K249" s="73" t="s">
        <v>123</v>
      </c>
      <c r="L249" s="921" t="s">
        <v>592</v>
      </c>
      <c r="M249" s="915">
        <v>8</v>
      </c>
      <c r="N249" s="73" t="s">
        <v>548</v>
      </c>
      <c r="O249" s="73" t="s">
        <v>250</v>
      </c>
      <c r="P249" s="916" cm="1">
        <f t="array" ref="P249">IFERROR(_xlfn.SWITCH(F249,"By Weight",IF(H249&lt;&gt;"",H249,G249)/AR249,"By Length",G249,"By Imp",G249/MAX(1,ROUNDDOWN(E249/I249,0))*J249/1000,"IMP",G249/MAX(1,ROUNDDOWN(E249/I249,0))*J249/1000,""),"")</f>
        <v>21333.333333333336</v>
      </c>
      <c r="Q249" s="916">
        <f t="shared" si="66"/>
        <v>2157.5040000000004</v>
      </c>
      <c r="R249" s="917">
        <f t="shared" si="67"/>
        <v>31206.795627825621</v>
      </c>
      <c r="S249" s="918">
        <f t="shared" si="68"/>
        <v>36199.882928277715</v>
      </c>
      <c r="T249" s="919">
        <f t="shared" si="69"/>
        <v>14.464304876294836</v>
      </c>
      <c r="U249" s="920">
        <f t="shared" si="70"/>
        <v>16.778593656502007</v>
      </c>
      <c r="V249" s="919">
        <f t="shared" si="71"/>
        <v>1.7209629941815618</v>
      </c>
      <c r="W249" s="919">
        <f t="shared" si="72"/>
        <v>17.016829266229241</v>
      </c>
      <c r="X249" s="919">
        <f t="shared" si="73"/>
        <v>2.2946173255754158E-2</v>
      </c>
      <c r="Y249" s="920">
        <f t="shared" si="74"/>
        <v>1.9963170732506117</v>
      </c>
      <c r="Z249" s="920">
        <f t="shared" si="75"/>
        <v>19.739521948825917</v>
      </c>
      <c r="AA249" s="920">
        <f t="shared" si="76"/>
        <v>2.6617560976674823E-2</v>
      </c>
      <c r="AB249" s="917">
        <f t="shared" si="77"/>
        <v>36713.877209206657</v>
      </c>
      <c r="AC249" s="918">
        <f t="shared" si="78"/>
        <v>42588.097562679723</v>
      </c>
      <c r="AD249" s="916">
        <f t="shared" si="79"/>
        <v>4943.9846538716347</v>
      </c>
      <c r="AE249" s="916">
        <f t="shared" si="80"/>
        <v>500</v>
      </c>
      <c r="AF249" s="919" cm="1">
        <f t="array" ref="AF249">IFERROR(_xlfn.LET(_xlpm.lam,TEXT(B249,"0"),_xlpm.thick,D249,_xlpm.crit,(TEXT(HELPER!$BZ$2:$BZ$250,"0")=_xlpm.lam)*(HELPER!$CC$2:$CC$250=_xlpm.thick)*(HELPER!$BW$2:$BW$250&lt;&gt;""),_xlpm.mats,TRIM(SUBSTITUTE(_xlfn._xlws.FILTER(HELPER!$BW$2:$BW$250,_xlpm.crit),CHAR(160),"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9" s="919">
        <f>IFERROR(IF(N249="Europe to Canada",IF(Q249&lt;1000,VLOOKUP(1000,HELPER!$AG$4:$AH$8,2,FALSE)/Q249,VLOOKUP(Q249,HELPER!$AG$4:$AH$8,2,TRUE)/Q249),IF(N249="Europe to US",HELPER!$AH$2,IF(N249="Europe to Europe",HELPER!$AH$3,0))),0)</f>
        <v>2.3174928065023281</v>
      </c>
      <c r="AH249" s="919" cm="1">
        <f t="array" ref="AH249">IFERROR(_xlfn.LET(_xlpm.cap,IF(O249="Quantum",760,1220),_xlpm.wUsed,E249*MAX(1,MIN(MAX(2,INT(900/E249)),INT((_xlpm.cap-50)/E249))),_xlpm.kgmUsed,AR249/E249*_xlpm.wUsed,_xlpm.lam,TEXT(B249,"0"),_xlpm.crit,(TEXT(HELPER!$BZ$2:$BZ$250,"0")=_xlpm.lam)*(HELPER!$CC$2:$CC$250=D249)*(HELPER!$BW$2:$BW$250&lt;&gt;""),_xlpm.mats,_xlfn._xlws.FILTER(HELPER!$BW$2:$BW$250,_xlpm.crit),_xlpm.realLayers,SUM((_xlpm.mats&lt;&gt;"")*ISERROR(SEARCH("EPOTAL",_xlpm.mats&amp;""))*ISERROR(SEARCH("BASONAT",_xlpm.mats&amp;""))*ISERROR(SEARCH("ADH",_xlpm.mats&amp;""))*ISERROR(SEARCH("HARDENER",_xlpm.mats&amp;""))),_xlpm.steps,MAX(0,_xlpm.realLayers-1),_xlpm.tier,IF(P249&lt;3000,1,IF(P249&lt;10000,2,IF(P249&lt;25000,3,IF(P249&lt;50000,4,IF(P249&lt;100000,5,IF(P249&lt;250000,6,7)))))),_xlpm.widthRow,IF(_xlpm.wUsed&lt;900,0,5),_xlpm.supplierRow,IF(O249="Marma",3,IF(OR(O249="Bastin",O249="Quantum"),13,0)),_xlpm.rate,INDEX('Lmntn &amp; Prntng- Marma &amp; Bastin '!$D$1:$K$22,_xlpm.supplierRow+_xlpm.widthRow,_xlpm.tier),_xlpm.rate*_xlpm.steps/_xlpm.kgmUsed),"")</f>
        <v>1.8100916614754827</v>
      </c>
      <c r="AI249" s="919" cm="1">
        <f t="array" ref="AI249">IFERROR(_xlfn.LET(_xlpm.cap,IF(O249="Quantum",760,1220),_xlpm.wUsed,E249*MAX(1,MIN(MAX(2,INT(900/E249)),INT((_xlpm.cap-50)/E249))),_xlpm.kgmUsed,AR249/E249*_xlpm.wUsed,_xlpm.tier,IF(P249&lt;3000,1,IF(P249&lt;10000,2,IF(P249&lt;25000,3,IF(P249&lt;50000,4,IF(P249&lt;100000,5,IF(P249&lt;250000,6,IF(P249&lt;500000,7,8))))))),_xlpm.widthRow,IF(_xlpm.wUsed&lt;900,0,5),_xlpm.slitRow,IF(O249="Marma",7,IF(OR(O249="Bastin",O249="Quantum"),17,0)),_xlpm.slitRate,INDEX('Lmntn &amp; Prntng- Marma &amp; Bastin '!$D$1:$K$22,_xlpm.slitRow+_xlpm.widthRow,_xlpm.tier),_xlpm.numColors,IF(ISNUMBER(L249),L249,IFERROR(--RIGHT(L249,LEN(L249)-FIND("-",L249)),0)),_xlpm.printRate,IF(OR(K249&lt;&gt;"Printed",_xlpm.numColors=0),0,IF(O249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249))),MAX(_xlfn._xlws.FILTER(_xlpm.meters,(_xlpm.widths=_xlpm.qWidth)*(_xlpm.bands=_xlpm.band)))),INDEX(_xlpm.rates,_xlfn.XMATCH(1,(_xlpm.widths=_xlpm.qWidth)*(_xlpm.bands=_xlpm.band)*(_xlpm.meters=_xlpm.targetM),0))/HELPER!$AK$2),_xlfn.LET(_xlpm.colorOffset,IF(_xlpm.numColors&lt;=2,1,IF(_xlpm.numColors&lt;=4,2,3)),_xlpm.supplierRow,IF(O249="Marma",3,IF(O249="Bastin",13,0)),INDEX('Lmntn &amp; Prntng- Marma &amp; Bastin '!$D$1:$K$22,_xlpm.supplierRow+_xlpm.widthRow+_xlpm.colorOffset,_xlpm.tier)))),AH249+_xlpm.slitRate/_xlpm.kgmUsed+_xlpm.printRate/_xlpm.kgmUsed+AJ249),"")</f>
        <v>6.8489037721138022</v>
      </c>
      <c r="AJ249" s="919" cm="1">
        <f t="array" ref="AJ249">IF(OR(K249&lt;&gt;"Printed",L249=0,L249="0",L249=""),0,IFERROR(_xlfn.LET(_xlpm.lam,TEXT(B249,"0"),_xlpm.crit,(TEXT(HELPER!$BZ$2:$BZ$250,"0")=_xlpm.lam)*(HELPER!$CC$2:$CC$250=D249)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WHITE"},0)))/ROWS(_xlpm.real),_xlpm.numColors,IF(ISNUMBER(L249),L249,IFERROR(--RIGHT(L249,LEN(L249)-FIND("-",L249)),0)),HELPER!$DB$1*_xlpm.numColors*MAX(1,M249)*1.05*_xlpm.nkRatio/Q249),0))</f>
        <v>3.1147103319391292</v>
      </c>
      <c r="AK249" s="919">
        <f t="shared" si="81"/>
        <v>1.2336652288039869</v>
      </c>
      <c r="AL249" s="919">
        <f t="shared" si="82"/>
        <v>1720.962994181562</v>
      </c>
      <c r="AM249" s="73" t="str">
        <f t="shared" si="83"/>
        <v>PASS</v>
      </c>
      <c r="AN249" s="908" t="str">
        <f t="shared" si="84"/>
        <v/>
      </c>
      <c r="AO249" s="919">
        <f t="shared" si="85"/>
        <v>121</v>
      </c>
      <c r="AP249" s="919">
        <f t="shared" si="86"/>
        <v>21333.333333333336</v>
      </c>
      <c r="AQ249" s="919"/>
      <c r="AR249" s="919" cm="1">
        <f t="array" ref="AR249">IFERROR(_xlfn.LET(_xlpm.lam,TEXT(B249,"0"),_xlpm.thick,D249,_xlpm.crit,(TEXT(HELPER!$BZ$2:$BZ$250,"0")=_xlpm.lam)*(HELPER!$CC$2:$CC$250=_xlpm.thick)*(HELPER!$BW$2:$BW$250&lt;&gt;""),_xlpm.mats,TRIM(SUBSTITUTE(_xlfn._xlws.FILTER(HELPER!$BW$2:$BW$250,_xlpm.crit),CHAR(160),"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")),HELPER!$AQ$2:$AQ$20,1),_xlpm.mass,IF(ISNUMBER(SEARCH("paper",_xlpm.mats)),42,_xlpm.dens*_xlpm.ths),E249/1000000*SUM(_xlpm.mass)),"")</f>
        <v>0.101133</v>
      </c>
      <c r="AS249" s="919">
        <f>IFERROR(IF(D249&gt;31,(5%+250/P249)*AF249,VLOOKUP(D249,HELPER!$BH$3:$BI$5,2,TRUE)*AF249),0)</f>
        <v>0.30797259419913009</v>
      </c>
      <c r="AT249" s="919">
        <v>0.15000000000000099</v>
      </c>
      <c r="AU249" s="919"/>
      <c r="AV249" s="919"/>
      <c r="AW249" s="919"/>
      <c r="AX249" s="919"/>
      <c r="AY249" s="919"/>
      <c r="AZ249" s="919">
        <f t="shared" si="87"/>
        <v>6720</v>
      </c>
    </row>
    <row r="250" spans="1:52">
      <c r="A250" s="73" t="s">
        <v>2279</v>
      </c>
      <c r="B250" s="73">
        <v>923</v>
      </c>
      <c r="C250" s="908" t="s">
        <v>2212</v>
      </c>
      <c r="D250" s="915" cm="1">
        <f t="array" ref="D25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0" s="915">
        <v>120</v>
      </c>
      <c r="F250" s="73" t="s">
        <v>560</v>
      </c>
      <c r="G250" s="916">
        <v>100</v>
      </c>
      <c r="H250" s="916">
        <v>100</v>
      </c>
      <c r="I250" s="916"/>
      <c r="J250" s="916"/>
      <c r="K250" s="73" t="s">
        <v>124</v>
      </c>
      <c r="L250" s="921" t="s">
        <v>221</v>
      </c>
      <c r="M250" s="915">
        <v>1</v>
      </c>
      <c r="N250" s="73" t="s">
        <v>548</v>
      </c>
      <c r="O250" s="73" t="s">
        <v>250</v>
      </c>
      <c r="P250" s="916" cm="1">
        <f t="array" ref="P250">IFERROR(_xlfn.SWITCH(F250,"By Weight",IF(H250&lt;&gt;"",H250,G250)/AR250,"By Length",G250,"By Imp",G250/MAX(1,ROUNDDOWN(E250/I250,0))*J250/1000,"IMP",G250/MAX(1,ROUNDDOWN(E250/I250,0))*J250/1000,""),"")</f>
        <v>7415.9769808074516</v>
      </c>
      <c r="Q250" s="916">
        <f t="shared" si="66"/>
        <v>100</v>
      </c>
      <c r="R250" s="917">
        <f t="shared" si="67"/>
        <v>4311.2447888192019</v>
      </c>
      <c r="S250" s="918">
        <f t="shared" si="68"/>
        <v>5001.0439550302735</v>
      </c>
      <c r="T250" s="919">
        <f t="shared" si="69"/>
        <v>43.112447888192015</v>
      </c>
      <c r="U250" s="920">
        <f t="shared" si="70"/>
        <v>50.010439550302735</v>
      </c>
      <c r="V250" s="919">
        <f t="shared" si="71"/>
        <v>0.72668186537942048</v>
      </c>
      <c r="W250" s="919">
        <f t="shared" si="72"/>
        <v>53.890559860240018</v>
      </c>
      <c r="X250" s="919" t="str">
        <f t="shared" si="73"/>
        <v/>
      </c>
      <c r="Y250" s="920">
        <f t="shared" si="74"/>
        <v>0.84295096384012769</v>
      </c>
      <c r="Z250" s="920">
        <f t="shared" si="75"/>
        <v>62.513049437878415</v>
      </c>
      <c r="AA250" s="920" t="str">
        <f t="shared" si="76"/>
        <v/>
      </c>
      <c r="AB250" s="917">
        <f t="shared" si="77"/>
        <v>5389.0559860240019</v>
      </c>
      <c r="AC250" s="918">
        <f t="shared" si="78"/>
        <v>6251.3049437878417</v>
      </c>
      <c r="AD250" s="916">
        <f t="shared" si="79"/>
        <v>37079.884904037259</v>
      </c>
      <c r="AE250" s="916">
        <f t="shared" si="80"/>
        <v>500</v>
      </c>
      <c r="AF250" s="919" cm="1">
        <f t="array" ref="AF250">IFERROR(_xlfn.LET(_xlpm.lam,TEXT(B250,"0"),_xlpm.thick,D250,_xlpm.crit,(TEXT(HELPER!$BZ$2:$BZ$250,"0")=_xlpm.lam)*(HELPER!$CC$2:$CC$250=_xlpm.thick)*(HELPER!$BW$2:$BW$250&lt;&gt;""),_xlpm.mats,TRIM(SUBSTITUTE(_xlfn._xlws.FILTER(HELPER!$BW$2:$BW$250,_xlpm.crit),CHAR(160),"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0" s="919">
        <f>IFERROR(IF(N250="Europe to Canada",IF(Q250&lt;1000,VLOOKUP(1000,HELPER!$AG$4:$AH$8,2,FALSE)/Q250,VLOOKUP(Q250,HELPER!$AG$4:$AH$8,2,TRUE)/Q250),IF(N250="Europe to US",HELPER!$AH$2,IF(N250="Europe to Europe",HELPER!$AH$3,0))),0)</f>
        <v>34.482758620689701</v>
      </c>
      <c r="AH250" s="919" cm="1">
        <f t="array" ref="AH250">IFERROR(_xlfn.LET(_xlpm.cap,IF(O250="Quantum",760,1220),_xlpm.wUsed,E250*MAX(1,MIN(MAX(2,INT(900/E250)),INT((_xlpm.cap-50)/E250))),_xlpm.kgmUsed,AR250/E250*_xlpm.wUsed,_xlpm.lam,TEXT(B250,"0"),_xlpm.crit,(TEXT(HELPER!$BZ$2:$BZ$250,"0")=_xlpm.lam)*(HELPER!$CC$2:$CC$250=D250)*(HELPER!$BW$2:$BW$250&lt;&gt;""),_xlpm.mats,_xlfn._xlws.FILTER(HELPER!$BW$2:$BW$250,_xlpm.crit),_xlpm.realLayers,SUM((_xlpm.mats&lt;&gt;"")*ISERROR(SEARCH("EPOTAL",_xlpm.mats&amp;""))*ISERROR(SEARCH("BASONAT",_xlpm.mats&amp;""))*ISERROR(SEARCH("ADH",_xlpm.mats&amp;""))*ISERROR(SEARCH("HARDENER",_xlpm.mats&amp;""))),_xlpm.steps,MAX(0,_xlpm.realLayers-1),_xlpm.tier,IF(P250&lt;3000,1,IF(P250&lt;10000,2,IF(P250&lt;25000,3,IF(P250&lt;50000,4,IF(P250&lt;100000,5,IF(P250&lt;250000,6,7)))))),_xlpm.widthRow,IF(_xlpm.wUsed&lt;900,0,5),_xlpm.supplierRow,IF(O250="Marma",3,IF(OR(O250="Bastin",O250="Quantum"),13,0)),_xlpm.rate,INDEX('Lmntn &amp; Prntng- Marma &amp; Bastin '!$D$1:$K$22,_xlpm.supplierRow+_xlpm.widthRow,_xlpm.tier),_xlpm.rate*_xlpm.steps/_xlpm.kgmUsed),"")</f>
        <v>2.2063590943185138</v>
      </c>
      <c r="AI250" s="919" cm="1">
        <f t="array" ref="AI250">IFERROR(_xlfn.LET(_xlpm.cap,IF(O250="Quantum",760,1220),_xlpm.wUsed,E250*MAX(1,MIN(MAX(2,INT(900/E250)),INT((_xlpm.cap-50)/E250))),_xlpm.kgmUsed,AR250/E250*_xlpm.wUsed,_xlpm.tier,IF(P250&lt;3000,1,IF(P250&lt;10000,2,IF(P250&lt;25000,3,IF(P250&lt;50000,4,IF(P250&lt;100000,5,IF(P250&lt;250000,6,IF(P250&lt;500000,7,8))))))),_xlpm.widthRow,IF(_xlpm.wUsed&lt;900,0,5),_xlpm.slitRow,IF(O250="Marma",7,IF(OR(O250="Bastin",O250="Quantum"),17,0)),_xlpm.slitRate,INDEX('Lmntn &amp; Prntng- Marma &amp; Bastin '!$D$1:$K$22,_xlpm.slitRow+_xlpm.widthRow,_xlpm.tier),_xlpm.numColors,IF(ISNUMBER(L250),L250,IFERROR(--RIGHT(L250,LEN(L250)-FIND("-",L250)),0)),_xlpm.printRate,IF(OR(K250&lt;&gt;"Printed",_xlpm.numColors=0),0,IF(O250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250))),MAX(_xlfn._xlws.FILTER(_xlpm.meters,(_xlpm.widths=_xlpm.qWidth)*(_xlpm.bands=_xlpm.band)))),INDEX(_xlpm.rates,_xlfn.XMATCH(1,(_xlpm.widths=_xlpm.qWidth)*(_xlpm.bands=_xlpm.band)*(_xlpm.meters=_xlpm.targetM),0))/HELPER!$AK$2),_xlfn.LET(_xlpm.colorOffset,IF(_xlpm.numColors&lt;=2,1,IF(_xlpm.numColors&lt;=4,2,3)),_xlpm.supplierRow,IF(O250="Marma",3,IF(O250="Bastin",13,0)),INDEX('Lmntn &amp; Prntng- Marma &amp; Bastin '!$D$1:$K$22,_xlpm.supplierRow+_xlpm.widthRow+_xlpm.colorOffset,_xlpm.tier)))),AH250+_xlpm.slitRate/_xlpm.kgmUsed+_xlpm.printRate/_xlpm.kgmUsed+AJ250),"")</f>
        <v>2.5286362653987462</v>
      </c>
      <c r="AJ250" s="919" cm="1">
        <f t="array" ref="AJ250">IF(OR(K250&lt;&gt;"Printed",L250=0,L250="0",L250=""),0,IFERROR(_xlfn.LET(_xlpm.lam,TEXT(B250,"0"),_xlpm.crit,(TEXT(HELPER!$BZ$2:$BZ$250,"0")=_xlpm.lam)*(HELPER!$CC$2:$CC$250=D250)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WHITE"},0)))/ROWS(_xlpm.real),_xlpm.numColors,IF(ISNUMBER(L250),L250,IFERROR(--RIGHT(L250,LEN(L250)-FIND("-",L250)),0)),HELPER!$DB$1*_xlpm.numColors*MAX(1,M250)*1.05*_xlpm.nkRatio/Q250),0))</f>
        <v>0</v>
      </c>
      <c r="AK250" s="919">
        <f t="shared" si="81"/>
        <v>3.9068917493517232</v>
      </c>
      <c r="AL250" s="919">
        <f t="shared" si="82"/>
        <v>726.68186537942051</v>
      </c>
      <c r="AM250" s="73" t="str">
        <f t="shared" si="83"/>
        <v>PASS</v>
      </c>
      <c r="AN250" s="908" t="str">
        <f t="shared" si="84"/>
        <v/>
      </c>
      <c r="AO250" s="919">
        <f t="shared" si="85"/>
        <v>121</v>
      </c>
      <c r="AP250" s="919">
        <f t="shared" si="86"/>
        <v>7415.9769808074516</v>
      </c>
      <c r="AQ250" s="919"/>
      <c r="AR250" s="919" cm="1">
        <f t="array" ref="AR250">IFERROR(_xlfn.LET(_xlpm.lam,TEXT(B250,"0"),_xlpm.thick,D250,_xlpm.crit,(TEXT(HELPER!$BZ$2:$BZ$250,"0")=_xlpm.lam)*(HELPER!$CC$2:$CC$250=_xlpm.thick)*(HELPER!$BW$2:$BW$250&lt;&gt;""),_xlpm.mats,TRIM(SUBSTITUTE(_xlfn._xlws.FILTER(HELPER!$BW$2:$BW$250,_xlpm.crit),CHAR(160),"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")),HELPER!$AQ$2:$AQ$20,1),_xlpm.mass,IF(ISNUMBER(SEARCH("paper",_xlpm.mats)),42,_xlpm.dens*_xlpm.ths),E250/1000000*SUM(_xlpm.mass)),"")</f>
        <v>1.3484400000000001E-2</v>
      </c>
      <c r="AS250" s="919">
        <f>IFERROR(IF(D250&gt;31,(5%+250/P250)*AF250,VLOOKUP(D250,HELPER!$BH$3:$BI$5,2,TRUE)*AF250),0)</f>
        <v>0.47127439682636046</v>
      </c>
      <c r="AT250" s="919">
        <v>0.2</v>
      </c>
      <c r="AU250" s="919"/>
      <c r="AV250" s="919"/>
      <c r="AW250" s="919"/>
      <c r="AX250" s="919"/>
      <c r="AY250" s="919"/>
      <c r="AZ250" s="919">
        <f t="shared" si="87"/>
        <v>0</v>
      </c>
    </row>
    <row r="251" spans="1:52">
      <c r="A251" s="73" t="s">
        <v>2280</v>
      </c>
      <c r="B251" s="73">
        <v>923</v>
      </c>
      <c r="C251" s="908" t="s">
        <v>2214</v>
      </c>
      <c r="D251" s="915" cm="1">
        <f t="array" ref="D25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1" s="915">
        <v>350</v>
      </c>
      <c r="F251" s="73" t="s">
        <v>560</v>
      </c>
      <c r="G251" s="916">
        <v>5000</v>
      </c>
      <c r="H251" s="916">
        <v>5000</v>
      </c>
      <c r="I251" s="916"/>
      <c r="J251" s="916"/>
      <c r="K251" s="73" t="s">
        <v>123</v>
      </c>
      <c r="L251" s="921" t="s">
        <v>122</v>
      </c>
      <c r="M251" s="915">
        <v>4</v>
      </c>
      <c r="N251" s="73" t="s">
        <v>548</v>
      </c>
      <c r="O251" s="73" t="s">
        <v>1366</v>
      </c>
      <c r="P251" s="916" cm="1">
        <f t="array" ref="P251">IFERROR(_xlfn.SWITCH(F251,"By Weight",IF(H251&lt;&gt;"",H251,G251)/AR251,"By Length",G251,"By Imp",G251/MAX(1,ROUNDDOWN(E251/I251,0))*J251/1000,"IMP",G251/MAX(1,ROUNDDOWN(E251/I251,0))*J251/1000,""),"")</f>
        <v>127131.03395669916</v>
      </c>
      <c r="Q251" s="916">
        <f t="shared" ref="Q251:Q257" si="88">IFERROR(P251*AR251,"")</f>
        <v>5000</v>
      </c>
      <c r="R251" s="917">
        <f t="shared" ref="R251:R257" si="89">IFERROR(Q251*T251,"")</f>
        <v>103548.12405445901</v>
      </c>
      <c r="S251" s="918">
        <f t="shared" ref="S251:S257" si="90">IFERROR(R251*1.16,"")</f>
        <v>120115.82390317245</v>
      </c>
      <c r="T251" s="919">
        <f t="shared" ref="T251:T257" si="91">IFERROR(AF251+AG251+AI251+AS251,"")</f>
        <v>20.709624810891803</v>
      </c>
      <c r="U251" s="920">
        <f t="shared" ref="U251:U257" si="92">IFERROR(T251*1.16,"")</f>
        <v>24.023164780634492</v>
      </c>
      <c r="V251" s="919">
        <f t="shared" ref="V251:V257" si="93">IFERROR(W251*AR251,"")</f>
        <v>0.95823433999996732</v>
      </c>
      <c r="W251" s="919">
        <f t="shared" ref="W251:W257" si="94">IFERROR(T251/(1-AT251),"")</f>
        <v>24.364264483402209</v>
      </c>
      <c r="X251" s="919" t="str">
        <f t="shared" ref="X251:X257" si="95">IF(OR(I251="",J251=""),"",IFERROR(V251*(J251/1000)/MAX(1,ROUNDDOWN(E251/I251,0)),""))</f>
        <v/>
      </c>
      <c r="Y251" s="920">
        <f t="shared" ref="Y251:Y257" si="96">IFERROR(V251*1.16,"")</f>
        <v>1.111551834399962</v>
      </c>
      <c r="Z251" s="920">
        <f t="shared" ref="Z251:Z257" si="97">IFERROR(W251*1.16,"")</f>
        <v>28.262546800746559</v>
      </c>
      <c r="AA251" s="920" t="str">
        <f t="shared" ref="AA251:AA257" si="98">IFERROR(X251*1.16,"")</f>
        <v/>
      </c>
      <c r="AB251" s="917">
        <f t="shared" ref="AB251:AB257" si="99">IFERROR(W251*Q251,"")</f>
        <v>121821.32241701105</v>
      </c>
      <c r="AC251" s="918">
        <f t="shared" ref="AC251:AC257" si="100">IFERROR(AB251*1.16,"")</f>
        <v>141312.7340037328</v>
      </c>
      <c r="AD251" s="916">
        <f t="shared" ref="AD251:AD257" si="101">IFERROR(AE251/AR251,"")</f>
        <v>12713.103395669916</v>
      </c>
      <c r="AE251" s="916">
        <f t="shared" ref="AE251:AE257" si="102">_xlfn.LET(_xlpm.lam,UPPER(SUBSTITUTE(B251&amp;"","LAMINATE","")),IF(_xlpm.lam="608W",2000,IF(_xlpm.lam="608",750,500)))</f>
        <v>500</v>
      </c>
      <c r="AF251" s="919" cm="1">
        <f t="array" ref="AF251">IFERROR(_xlfn.LET(_xlpm.lam,TEXT(B251,"0"),_xlpm.thick,D251,_xlpm.crit,(TEXT(HELPER!$BZ$2:$BZ$250,"0")=_xlpm.lam)*(HELPER!$CC$2:$CC$250=_xlpm.thick)*(HELPER!$BW$2:$BW$250&lt;&gt;""),_xlpm.mats,TRIM(SUBSTITUTE(_xlfn._xlws.FILTER(HELPER!$BW$2:$BW$250,_xlpm.crit),CHAR(160),"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1" s="919">
        <f>IFERROR(IF(N251="Europe to Canada",IF(Q251&lt;1000,VLOOKUP(1000,HELPER!$AG$4:$AH$8,2,FALSE)/Q251,VLOOKUP(Q251,HELPER!$AG$4:$AH$8,2,TRUE)/Q251),IF(N251="Europe to US",HELPER!$AH$2,IF(N251="Europe to Europe",HELPER!$AH$3,0))),0)</f>
        <v>1.8448275862068959</v>
      </c>
      <c r="AH251" s="919" cm="1">
        <f t="array" ref="AH251">IFERROR(_xlfn.LET(_xlpm.cap,IF(O251="Quantum",760,1220),_xlpm.wUsed,E251*MAX(1,MIN(MAX(2,INT(900/E251)),INT((_xlpm.cap-50)/E251))),_xlpm.kgmUsed,AR251/E251*_xlpm.wUsed,_xlpm.lam,TEXT(B251,"0"),_xlpm.crit,(TEXT(HELPER!$BZ$2:$BZ$250,"0")=_xlpm.lam)*(HELPER!$CC$2:$CC$250=D251)*(HELPER!$BW$2:$BW$250&lt;&gt;""),_xlpm.mats,_xlfn._xlws.FILTER(HELPER!$BW$2:$BW$250,_xlpm.crit),_xlpm.realLayers,SUM((_xlpm.mats&lt;&gt;"")*ISERROR(SEARCH("EPOTAL",_xlpm.mats&amp;""))*ISERROR(SEARCH("BASONAT",_xlpm.mats&amp;""))*ISERROR(SEARCH("ADH",_xlpm.mats&amp;""))*ISERROR(SEARCH("HARDENER",_xlpm.mats&amp;""))),_xlpm.steps,MAX(0,_xlpm.realLayers-1),_xlpm.tier,IF(P251&lt;3000,1,IF(P251&lt;10000,2,IF(P251&lt;25000,3,IF(P251&lt;50000,4,IF(P251&lt;100000,5,IF(P251&lt;250000,6,7)))))),_xlpm.widthRow,IF(_xlpm.wUsed&lt;900,0,5),_xlpm.supplierRow,IF(O251="Marma",3,IF(OR(O251="Bastin",O251="Quantum"),13,0)),_xlpm.rate,INDEX('Lmntn &amp; Prntng- Marma &amp; Bastin '!$D$1:$K$22,_xlpm.supplierRow+_xlpm.widthRow,_xlpm.tier),_xlpm.rate*_xlpm.steps/_xlpm.kgmUsed),"")</f>
        <v>2.7755501595494474</v>
      </c>
      <c r="AI251" s="919" cm="1">
        <f t="array" ref="AI251">IFERROR(_xlfn.LET(_xlpm.cap,IF(O251="Quantum",760,1220),_xlpm.wUsed,E251*MAX(1,MIN(MAX(2,INT(900/E251)),INT((_xlpm.cap-50)/E251))),_xlpm.kgmUsed,AR251/E251*_xlpm.wUsed,_xlpm.tier,IF(P251&lt;3000,1,IF(P251&lt;10000,2,IF(P251&lt;25000,3,IF(P251&lt;50000,4,IF(P251&lt;100000,5,IF(P251&lt;250000,6,IF(P251&lt;500000,7,8))))))),_xlpm.widthRow,IF(_xlpm.wUsed&lt;900,0,5),_xlpm.slitRow,IF(O251="Marma",7,IF(OR(O251="Bastin",O251="Quantum"),17,0)),_xlpm.slitRate,INDEX('Lmntn &amp; Prntng- Marma &amp; Bastin '!$D$1:$K$22,_xlpm.slitRow+_xlpm.widthRow,_xlpm.tier),_xlpm.numColors,IF(ISNUMBER(L251),L251,IFERROR(--RIGHT(L251,LEN(L251)-FIND("-",L251)),0)),_xlpm.printRate,IF(OR(K251&lt;&gt;"Printed",_xlpm.numColors=0),0,IF(O251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251))),MAX(_xlfn._xlws.FILTER(_xlpm.meters,(_xlpm.widths=_xlpm.qWidth)*(_xlpm.bands=_xlpm.band)))),INDEX(_xlpm.rates,_xlfn.XMATCH(1,(_xlpm.widths=_xlpm.qWidth)*(_xlpm.bands=_xlpm.band)*(_xlpm.meters=_xlpm.targetM),0))/HELPER!$AK$2),_xlfn.LET(_xlpm.colorOffset,IF(_xlpm.numColors&lt;=2,1,IF(_xlpm.numColors&lt;=4,2,3)),_xlpm.supplierRow,IF(O251="Marma",3,IF(O251="Bastin",13,0)),INDEX('Lmntn &amp; Prntng- Marma &amp; Bastin '!$D$1:$K$22,_xlpm.supplierRow+_xlpm.widthRow+_xlpm.colorOffset,_xlpm.tier)))),AH251+_xlpm.slitRate/_xlpm.kgmUsed+_xlpm.printRate/_xlpm.kgmUsed+AJ251),"")</f>
        <v>12.942458870261026</v>
      </c>
      <c r="AJ251" s="919" cm="1">
        <f t="array" ref="AJ251">IF(OR(K251&lt;&gt;"Printed",L251=0,L251="0",L251=""),0,IFERROR(_xlfn.LET(_xlpm.lam,TEXT(B251,"0"),_xlpm.crit,(TEXT(HELPER!$BZ$2:$BZ$250,"0")=_xlpm.lam)*(HELPER!$CC$2:$CC$250=D251)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WHITE"},0)))/ROWS(_xlpm.real),_xlpm.numColors,IF(ISNUMBER(L251),L251,IFERROR(--RIGHT(L251,LEN(L251)-FIND("-",L251)),0)),HELPER!$DB$1*_xlpm.numColors*MAX(1,M251)*1.05*_xlpm.nkRatio/Q251),0))</f>
        <v>0.33600000000000002</v>
      </c>
      <c r="AK251" s="919">
        <f t="shared" ref="AK251:AK257" si="103">IFERROR(V251/(E251/1000*1.55),"")</f>
        <v>1.7663305806451011</v>
      </c>
      <c r="AL251" s="919">
        <f t="shared" ref="AL251:AL257" si="104">IFERROR(V251*1000,"")</f>
        <v>958.23433999996735</v>
      </c>
      <c r="AM251" s="73" t="str">
        <f t="shared" ref="AM251:AM257" si="105">IF(AND(ISNUMBER(P251),ISNUMBER(Q251),ISNUMBER(R251),ISNUMBER(T251),Q251&gt;0),IF(ABS(T251-R251/Q251)&lt;0.02,IF(AN251="","PASS","CHECK"),"CHECK"),"CHECK")</f>
        <v>PASS</v>
      </c>
      <c r="AN251" s="908" t="str">
        <f t="shared" si="84"/>
        <v/>
      </c>
      <c r="AO251" s="919">
        <f t="shared" si="85"/>
        <v>121</v>
      </c>
      <c r="AP251" s="919">
        <f t="shared" si="86"/>
        <v>127131.03395669916</v>
      </c>
      <c r="AQ251" s="919"/>
      <c r="AR251" s="919" cm="1">
        <f t="array" ref="AR251">IFERROR(_xlfn.LET(_xlpm.lam,TEXT(B251,"0"),_xlpm.thick,D251,_xlpm.crit,(TEXT(HELPER!$BZ$2:$BZ$250,"0")=_xlpm.lam)*(HELPER!$CC$2:$CC$250=_xlpm.thick)*(HELPER!$BW$2:$BW$250&lt;&gt;""),_xlpm.mats,TRIM(SUBSTITUTE(_xlfn._xlws.FILTER(HELPER!$BW$2:$BW$250,_xlpm.crit),CHAR(160),"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")),HELPER!$AQ$2:$AQ$20,1),_xlpm.mass,IF(ISNUMBER(SEARCH("paper",_xlpm.mats)),42,_xlpm.dens*_xlpm.ths),E251/1000000*SUM(_xlpm.mass)),"")</f>
        <v>3.9329500000000003E-2</v>
      </c>
      <c r="AS251" s="919">
        <f>IFERROR(IF(D251&gt;31,(5%+250/P251)*AF251,VLOOKUP(D251,HELPER!$BH$3:$BI$5,2,TRUE)*AF251),0)</f>
        <v>0.29255974914667299</v>
      </c>
      <c r="AT251" s="919">
        <v>0.15000000000000299</v>
      </c>
      <c r="AU251" s="919"/>
      <c r="AV251" s="919"/>
      <c r="AW251" s="919"/>
      <c r="AX251" s="919"/>
      <c r="AY251" s="919"/>
      <c r="AZ251" s="919">
        <f t="shared" si="87"/>
        <v>1680</v>
      </c>
    </row>
    <row r="252" spans="1:52">
      <c r="A252" s="73" t="s">
        <v>2281</v>
      </c>
      <c r="B252" s="73">
        <v>923</v>
      </c>
      <c r="C252" s="908" t="s">
        <v>2216</v>
      </c>
      <c r="D252" s="915" cm="1">
        <f t="array" ref="D25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2" s="915">
        <v>350</v>
      </c>
      <c r="F252" s="73" t="s">
        <v>561</v>
      </c>
      <c r="G252" s="916">
        <v>2000</v>
      </c>
      <c r="H252" s="916"/>
      <c r="I252" s="916"/>
      <c r="J252" s="916"/>
      <c r="K252" s="73" t="s">
        <v>124</v>
      </c>
      <c r="L252" s="921" t="s">
        <v>221</v>
      </c>
      <c r="M252" s="915">
        <v>1</v>
      </c>
      <c r="N252" s="73" t="s">
        <v>548</v>
      </c>
      <c r="O252" s="73" t="s">
        <v>240</v>
      </c>
      <c r="P252" s="916" cm="1">
        <f t="array" ref="P252">IFERROR(_xlfn.SWITCH(F252,"By Weight",IF(H252&lt;&gt;"",H252,G252)/AR252,"By Length",G252,"By Imp",G252/MAX(1,ROUNDDOWN(E252/I252,0))*J252/1000,"IMP",G252/MAX(1,ROUNDDOWN(E252/I252,0))*J252/1000,""),"")</f>
        <v>2000</v>
      </c>
      <c r="Q252" s="916">
        <f t="shared" si="88"/>
        <v>78.659000000000006</v>
      </c>
      <c r="R252" s="917">
        <f t="shared" si="89"/>
        <v>4317.4983495611577</v>
      </c>
      <c r="S252" s="918">
        <f t="shared" si="90"/>
        <v>5008.2980854909429</v>
      </c>
      <c r="T252" s="919">
        <f t="shared" si="91"/>
        <v>54.888802928605209</v>
      </c>
      <c r="U252" s="920">
        <f t="shared" si="92"/>
        <v>63.671011397182035</v>
      </c>
      <c r="V252" s="919">
        <f t="shared" si="93"/>
        <v>2.5397049115065693</v>
      </c>
      <c r="W252" s="919">
        <f t="shared" si="94"/>
        <v>64.575062268947462</v>
      </c>
      <c r="X252" s="919" t="str">
        <f t="shared" si="95"/>
        <v/>
      </c>
      <c r="Y252" s="920">
        <f t="shared" si="96"/>
        <v>2.9460576973476202</v>
      </c>
      <c r="Z252" s="920">
        <f t="shared" si="97"/>
        <v>74.907072231979058</v>
      </c>
      <c r="AA252" s="920" t="str">
        <f t="shared" si="98"/>
        <v/>
      </c>
      <c r="AB252" s="917">
        <f t="shared" si="99"/>
        <v>5079.4098230131385</v>
      </c>
      <c r="AC252" s="918">
        <f t="shared" si="100"/>
        <v>5892.11539469524</v>
      </c>
      <c r="AD252" s="916">
        <f t="shared" si="101"/>
        <v>12713.103395669916</v>
      </c>
      <c r="AE252" s="916">
        <f t="shared" si="102"/>
        <v>500</v>
      </c>
      <c r="AF252" s="919" cm="1">
        <f t="array" ref="AF252">IFERROR(_xlfn.LET(_xlpm.lam,TEXT(B252,"0"),_xlpm.thick,D252,_xlpm.crit,(TEXT(HELPER!$BZ$2:$BZ$250,"0")=_xlpm.lam)*(HELPER!$CC$2:$CC$250=_xlpm.thick)*(HELPER!$BW$2:$BW$250&lt;&gt;""),_xlpm.mats,TRIM(SUBSTITUTE(_xlfn._xlws.FILTER(HELPER!$BW$2:$BW$250,_xlpm.crit),CHAR(160),"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2" s="919">
        <f>IFERROR(IF(N252="Europe to Canada",IF(Q252&lt;1000,VLOOKUP(1000,HELPER!$AG$4:$AH$8,2,FALSE)/Q252,VLOOKUP(Q252,HELPER!$AG$4:$AH$8,2,TRUE)/Q252),IF(N252="Europe to US",HELPER!$AH$2,IF(N252="Europe to Europe",HELPER!$AH$3,0))),0)</f>
        <v>43.838287571275629</v>
      </c>
      <c r="AH252" s="919" cm="1">
        <f t="array" ref="AH252">IFERROR(_xlfn.LET(_xlpm.cap,IF(O252="Quantum",760,1220),_xlpm.wUsed,E252*MAX(1,MIN(MAX(2,INT(900/E252)),INT((_xlpm.cap-50)/E252))),_xlpm.kgmUsed,AR252/E252*_xlpm.wUsed,_xlpm.lam,TEXT(B252,"0"),_xlpm.crit,(TEXT(HELPER!$BZ$2:$BZ$250,"0")=_xlpm.lam)*(HELPER!$CC$2:$CC$250=D252)*(HELPER!$BW$2:$BW$250&lt;&gt;""),_xlpm.mats,_xlfn._xlws.FILTER(HELPER!$BW$2:$BW$250,_xlpm.crit),_xlpm.realLayers,SUM((_xlpm.mats&lt;&gt;"")*ISERROR(SEARCH("EPOTAL",_xlpm.mats&amp;""))*ISERROR(SEARCH("BASONAT",_xlpm.mats&amp;""))*ISERROR(SEARCH("ADH",_xlpm.mats&amp;""))*ISERROR(SEARCH("HARDENER",_xlpm.mats&amp;""))),_xlpm.steps,MAX(0,_xlpm.realLayers-1),_xlpm.tier,IF(P252&lt;3000,1,IF(P252&lt;10000,2,IF(P252&lt;25000,3,IF(P252&lt;50000,4,IF(P252&lt;100000,5,IF(P252&lt;250000,6,7)))))),_xlpm.widthRow,IF(_xlpm.wUsed&lt;900,0,5),_xlpm.supplierRow,IF(O252="Marma",3,IF(OR(O252="Bastin",O252="Quantum"),13,0)),_xlpm.rate,INDEX('Lmntn &amp; Prntng- Marma &amp; Bastin '!$D$1:$K$22,_xlpm.supplierRow+_xlpm.widthRow,_xlpm.tier),_xlpm.rate*_xlpm.steps/_xlpm.kgmUsed),"")</f>
        <v>3.8584014543790279</v>
      </c>
      <c r="AI252" s="919" cm="1">
        <f t="array" ref="AI252">IFERROR(_xlfn.LET(_xlpm.cap,IF(O252="Quantum",760,1220),_xlpm.wUsed,E252*MAX(1,MIN(MAX(2,INT(900/E252)),INT((_xlpm.cap-50)/E252))),_xlpm.kgmUsed,AR252/E252*_xlpm.wUsed,_xlpm.tier,IF(P252&lt;3000,1,IF(P252&lt;10000,2,IF(P252&lt;25000,3,IF(P252&lt;50000,4,IF(P252&lt;100000,5,IF(P252&lt;250000,6,IF(P252&lt;500000,7,8))))))),_xlpm.widthRow,IF(_xlpm.wUsed&lt;900,0,5),_xlpm.slitRow,IF(O252="Marma",7,IF(OR(O252="Bastin",O252="Quantum"),17,0)),_xlpm.slitRate,INDEX('Lmntn &amp; Prntng- Marma &amp; Bastin '!$D$1:$K$22,_xlpm.slitRow+_xlpm.widthRow,_xlpm.tier),_xlpm.numColors,IF(ISNUMBER(L252),L252,IFERROR(--RIGHT(L252,LEN(L252)-FIND("-",L252)),0)),_xlpm.printRate,IF(OR(K252&lt;&gt;"Printed",_xlpm.numColors=0),0,IF(O252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252))),MAX(_xlfn._xlws.FILTER(_xlpm.meters,(_xlpm.widths=_xlpm.qWidth)*(_xlpm.bands=_xlpm.band)))),INDEX(_xlpm.rates,_xlfn.XMATCH(1,(_xlpm.widths=_xlpm.qWidth)*(_xlpm.bands=_xlpm.band)*(_xlpm.meters=_xlpm.targetM),0))/HELPER!$AK$2),_xlfn.LET(_xlpm.colorOffset,IF(_xlpm.numColors&lt;=2,1,IF(_xlpm.numColors&lt;=4,2,3)),_xlpm.supplierRow,IF(O252="Marma",3,IF(O252="Bastin",13,0)),INDEX('Lmntn &amp; Prntng- Marma &amp; Bastin '!$D$1:$K$22,_xlpm.supplierRow+_xlpm.widthRow+_xlpm.colorOffset,_xlpm.tier)))),AH252+_xlpm.slitRate/_xlpm.kgmUsed+_xlpm.printRate/_xlpm.kgmUsed+AJ252),"")</f>
        <v>4.435525496128859</v>
      </c>
      <c r="AJ252" s="919" cm="1">
        <f t="array" ref="AJ252">IF(OR(K252&lt;&gt;"Printed",L252=0,L252="0",L252=""),0,IFERROR(_xlfn.LET(_xlpm.lam,TEXT(B252,"0"),_xlpm.crit,(TEXT(HELPER!$BZ$2:$BZ$250,"0")=_xlpm.lam)*(HELPER!$CC$2:$CC$250=D252)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WHITE"},0)))/ROWS(_xlpm.real),_xlpm.numColors,IF(ISNUMBER(L252),L252,IFERROR(--RIGHT(L252,LEN(L252)-FIND("-",L252)),0)),HELPER!$DB$1*_xlpm.numColors*MAX(1,M252)*1.05*_xlpm.nkRatio/Q252),0))</f>
        <v>0</v>
      </c>
      <c r="AK252" s="919">
        <f t="shared" si="103"/>
        <v>4.681483707846211</v>
      </c>
      <c r="AL252" s="919">
        <f t="shared" si="104"/>
        <v>2539.7049115065693</v>
      </c>
      <c r="AM252" s="73" t="str">
        <f t="shared" si="105"/>
        <v>PASS</v>
      </c>
      <c r="AN252" s="908" t="str">
        <f t="shared" si="84"/>
        <v/>
      </c>
      <c r="AO252" s="919">
        <f t="shared" si="85"/>
        <v>121</v>
      </c>
      <c r="AP252" s="919">
        <f t="shared" si="86"/>
        <v>2000</v>
      </c>
      <c r="AQ252" s="919"/>
      <c r="AR252" s="919" cm="1">
        <f t="array" ref="AR252">IFERROR(_xlfn.LET(_xlpm.lam,TEXT(B252,"0"),_xlpm.thick,D252,_xlpm.crit,(TEXT(HELPER!$BZ$2:$BZ$250,"0")=_xlpm.lam)*(HELPER!$CC$2:$CC$250=_xlpm.thick)*(HELPER!$BW$2:$BW$250&lt;&gt;""),_xlpm.mats,TRIM(SUBSTITUTE(_xlfn._xlws.FILTER(HELPER!$BW$2:$BW$250,_xlpm.crit),CHAR(160),"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")),HELPER!$AQ$2:$AQ$20,1),_xlpm.mass,IF(ISNUMBER(SEARCH("paper",_xlpm.mats)),42,_xlpm.dens*_xlpm.ths),E252/1000000*SUM(_xlpm.mass)),"")</f>
        <v>3.9329500000000003E-2</v>
      </c>
      <c r="AS252" s="919">
        <f>IFERROR(IF(D252&gt;31,(5%+250/P252)*AF252,VLOOKUP(D252,HELPER!$BH$3:$BI$5,2,TRUE)*AF252),0)</f>
        <v>0.98521125592351144</v>
      </c>
      <c r="AT252" s="919">
        <v>0.15000000000000199</v>
      </c>
      <c r="AU252" s="919"/>
      <c r="AV252" s="919"/>
      <c r="AW252" s="919"/>
      <c r="AX252" s="919"/>
      <c r="AY252" s="919"/>
      <c r="AZ252" s="919">
        <f t="shared" si="87"/>
        <v>0</v>
      </c>
    </row>
    <row r="253" spans="1:52">
      <c r="A253" s="73" t="s">
        <v>2282</v>
      </c>
      <c r="B253" s="73">
        <v>923</v>
      </c>
      <c r="C253" s="908" t="s">
        <v>2218</v>
      </c>
      <c r="D253" s="915" cm="1">
        <f t="array" ref="D25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3" s="915">
        <v>900</v>
      </c>
      <c r="F253" s="73" t="s">
        <v>1040</v>
      </c>
      <c r="G253" s="916">
        <v>1600000</v>
      </c>
      <c r="H253" s="916"/>
      <c r="I253" s="916">
        <v>140</v>
      </c>
      <c r="J253" s="916">
        <v>80</v>
      </c>
      <c r="K253" s="73" t="s">
        <v>123</v>
      </c>
      <c r="L253" s="921" t="s">
        <v>592</v>
      </c>
      <c r="M253" s="915">
        <v>8</v>
      </c>
      <c r="N253" s="73" t="s">
        <v>548</v>
      </c>
      <c r="O253" s="73" t="s">
        <v>250</v>
      </c>
      <c r="P253" s="916" cm="1">
        <f t="array" ref="P253">IFERROR(_xlfn.SWITCH(F253,"By Weight",IF(H253&lt;&gt;"",H253,G253)/AR253,"By Length",G253,"By Imp",G253/MAX(1,ROUNDDOWN(E253/I253,0))*J253/1000,"IMP",G253/MAX(1,ROUNDDOWN(E253/I253,0))*J253/1000,""),"")</f>
        <v>21333.333333333336</v>
      </c>
      <c r="Q253" s="916">
        <f t="shared" si="88"/>
        <v>2157.5040000000004</v>
      </c>
      <c r="R253" s="917">
        <f t="shared" si="89"/>
        <v>32672.459736872494</v>
      </c>
      <c r="S253" s="918">
        <f t="shared" si="90"/>
        <v>37900.053294772093</v>
      </c>
      <c r="T253" s="919">
        <f t="shared" si="91"/>
        <v>15.143638082187792</v>
      </c>
      <c r="U253" s="920">
        <f t="shared" si="92"/>
        <v>17.566620175337839</v>
      </c>
      <c r="V253" s="919">
        <f t="shared" si="93"/>
        <v>1.9144019377073749</v>
      </c>
      <c r="W253" s="919">
        <f t="shared" si="94"/>
        <v>18.929547602734765</v>
      </c>
      <c r="X253" s="919">
        <f t="shared" si="95"/>
        <v>2.5525359169431664E-2</v>
      </c>
      <c r="Y253" s="920">
        <f t="shared" si="96"/>
        <v>2.2207062477405546</v>
      </c>
      <c r="Z253" s="920">
        <f t="shared" si="97"/>
        <v>21.958275219172325</v>
      </c>
      <c r="AA253" s="920">
        <f t="shared" si="98"/>
        <v>2.9609416636540729E-2</v>
      </c>
      <c r="AB253" s="917">
        <f t="shared" si="99"/>
        <v>40840.574671090675</v>
      </c>
      <c r="AC253" s="918">
        <f t="shared" si="100"/>
        <v>47375.066618465178</v>
      </c>
      <c r="AD253" s="916">
        <f t="shared" si="101"/>
        <v>4943.9846538716347</v>
      </c>
      <c r="AE253" s="916">
        <f t="shared" si="102"/>
        <v>500</v>
      </c>
      <c r="AF253" s="919" cm="1">
        <f t="array" ref="AF253">IFERROR(_xlfn.LET(_xlpm.lam,TEXT(B253,"0"),_xlpm.thick,D253,_xlpm.crit,(TEXT(HELPER!$BZ$2:$BZ$250,"0")=_xlpm.lam)*(HELPER!$CC$2:$CC$250=_xlpm.thick)*(HELPER!$BW$2:$BW$250&lt;&gt;""),_xlpm.mats,TRIM(SUBSTITUTE(_xlfn._xlws.FILTER(HELPER!$BW$2:$BW$250,_xlpm.crit),CHAR(160),"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3" s="919">
        <f>IFERROR(IF(N253="Europe to Canada",IF(Q253&lt;1000,VLOOKUP(1000,HELPER!$AG$4:$AH$8,2,FALSE)/Q253,VLOOKUP(Q253,HELPER!$AG$4:$AH$8,2,TRUE)/Q253),IF(N253="Europe to US",HELPER!$AH$2,IF(N253="Europe to Europe",HELPER!$AH$3,0))),0)</f>
        <v>2.3174928065023281</v>
      </c>
      <c r="AH253" s="919" cm="1">
        <f t="array" ref="AH253">IFERROR(_xlfn.LET(_xlpm.cap,IF(O253="Quantum",760,1220),_xlpm.wUsed,E253*MAX(1,MIN(MAX(2,INT(900/E253)),INT((_xlpm.cap-50)/E253))),_xlpm.kgmUsed,AR253/E253*_xlpm.wUsed,_xlpm.lam,TEXT(B253,"0"),_xlpm.crit,(TEXT(HELPER!$BZ$2:$BZ$250,"0")=_xlpm.lam)*(HELPER!$CC$2:$CC$250=D253)*(HELPER!$BW$2:$BW$250&lt;&gt;""),_xlpm.mats,_xlfn._xlws.FILTER(HELPER!$BW$2:$BW$250,_xlpm.crit),_xlpm.realLayers,SUM((_xlpm.mats&lt;&gt;"")*ISERROR(SEARCH("EPOTAL",_xlpm.mats&amp;""))*ISERROR(SEARCH("BASONAT",_xlpm.mats&amp;""))*ISERROR(SEARCH("ADH",_xlpm.mats&amp;""))*ISERROR(SEARCH("HARDENER",_xlpm.mats&amp;""))),_xlpm.steps,MAX(0,_xlpm.realLayers-1),_xlpm.tier,IF(P253&lt;3000,1,IF(P253&lt;10000,2,IF(P253&lt;25000,3,IF(P253&lt;50000,4,IF(P253&lt;100000,5,IF(P253&lt;250000,6,7)))))),_xlpm.widthRow,IF(_xlpm.wUsed&lt;900,0,5),_xlpm.supplierRow,IF(O253="Marma",3,IF(OR(O253="Bastin",O253="Quantum"),13,0)),_xlpm.rate,INDEX('Lmntn &amp; Prntng- Marma &amp; Bastin '!$D$1:$K$22,_xlpm.supplierRow+_xlpm.widthRow,_xlpm.tier),_xlpm.rate*_xlpm.steps/_xlpm.kgmUsed),"")</f>
        <v>1.8100916614754827</v>
      </c>
      <c r="AI253" s="919" cm="1">
        <f t="array" ref="AI253">IFERROR(_xlfn.LET(_xlpm.cap,IF(O253="Quantum",760,1220),_xlpm.wUsed,E253*MAX(1,MIN(MAX(2,INT(900/E253)),INT((_xlpm.cap-50)/E253))),_xlpm.kgmUsed,AR253/E253*_xlpm.wUsed,_xlpm.tier,IF(P253&lt;3000,1,IF(P253&lt;10000,2,IF(P253&lt;25000,3,IF(P253&lt;50000,4,IF(P253&lt;100000,5,IF(P253&lt;250000,6,IF(P253&lt;500000,7,8))))))),_xlpm.widthRow,IF(_xlpm.wUsed&lt;900,0,5),_xlpm.slitRow,IF(O253="Marma",7,IF(OR(O253="Bastin",O253="Quantum"),17,0)),_xlpm.slitRate,INDEX('Lmntn &amp; Prntng- Marma &amp; Bastin '!$D$1:$K$22,_xlpm.slitRow+_xlpm.widthRow,_xlpm.tier),_xlpm.numColors,IF(ISNUMBER(L253),L253,IFERROR(--RIGHT(L253,LEN(L253)-FIND("-",L253)),0)),_xlpm.printRate,IF(OR(K253&lt;&gt;"Printed",_xlpm.numColors=0),0,IF(O253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253))),MAX(_xlfn._xlws.FILTER(_xlpm.meters,(_xlpm.widths=_xlpm.qWidth)*(_xlpm.bands=_xlpm.band)))),INDEX(_xlpm.rates,_xlfn.XMATCH(1,(_xlpm.widths=_xlpm.qWidth)*(_xlpm.bands=_xlpm.band)*(_xlpm.meters=_xlpm.targetM),0))/HELPER!$AK$2),_xlfn.LET(_xlpm.colorOffset,IF(_xlpm.numColors&lt;=2,1,IF(_xlpm.numColors&lt;=4,2,3)),_xlpm.supplierRow,IF(O253="Marma",3,IF(O253="Bastin",13,0)),INDEX('Lmntn &amp; Prntng- Marma &amp; Bastin '!$D$1:$K$22,_xlpm.supplierRow+_xlpm.widthRow+_xlpm.colorOffset,_xlpm.tier)))),AH253+_xlpm.slitRate/_xlpm.kgmUsed+_xlpm.printRate/_xlpm.kgmUsed+AJ253),"")</f>
        <v>6.8489037721138022</v>
      </c>
      <c r="AJ253" s="919" cm="1">
        <f t="array" ref="AJ253">IF(OR(K253&lt;&gt;"Printed",L253=0,L253="0",L253=""),0,IFERROR(_xlfn.LET(_xlpm.lam,TEXT(B253,"0"),_xlpm.crit,(TEXT(HELPER!$BZ$2:$BZ$250,"0")=_xlpm.lam)*(HELPER!$CC$2:$CC$250=D253)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WHITE"},0)))/ROWS(_xlpm.real),_xlpm.numColors,IF(ISNUMBER(L253),L253,IFERROR(--RIGHT(L253,LEN(L253)-FIND("-",L253)),0)),HELPER!$DB$1*_xlpm.numColors*MAX(1,M253)*1.05*_xlpm.nkRatio/Q253),0))</f>
        <v>3.1147103319391292</v>
      </c>
      <c r="AK253" s="919">
        <f t="shared" si="103"/>
        <v>1.3723311381414873</v>
      </c>
      <c r="AL253" s="919">
        <f t="shared" si="104"/>
        <v>1914.4019377073748</v>
      </c>
      <c r="AM253" s="73" t="str">
        <f t="shared" si="105"/>
        <v>PASS</v>
      </c>
      <c r="AN253" s="908" t="str">
        <f t="shared" si="84"/>
        <v/>
      </c>
      <c r="AO253" s="919">
        <f t="shared" si="85"/>
        <v>121</v>
      </c>
      <c r="AP253" s="919">
        <f t="shared" si="86"/>
        <v>21333.333333333336</v>
      </c>
      <c r="AQ253" s="919"/>
      <c r="AR253" s="919" cm="1">
        <f t="array" ref="AR253">IFERROR(_xlfn.LET(_xlpm.lam,TEXT(B253,"0"),_xlpm.thick,D253,_xlpm.crit,(TEXT(HELPER!$BZ$2:$BZ$250,"0")=_xlpm.lam)*(HELPER!$CC$2:$CC$250=_xlpm.thick)*(HELPER!$BW$2:$BW$250&lt;&gt;""),_xlpm.mats,TRIM(SUBSTITUTE(_xlfn._xlws.FILTER(HELPER!$BW$2:$BW$250,_xlpm.crit),CHAR(160),"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")),HELPER!$AQ$2:$AQ$20,1),_xlpm.mass,IF(ISNUMBER(SEARCH("paper",_xlpm.mats)),42,_xlpm.dens*_xlpm.ths),E253/1000000*SUM(_xlpm.mass)),"")</f>
        <v>0.101133</v>
      </c>
      <c r="AS253" s="919">
        <f>IFERROR(IF(D253&gt;31,(5%+250/P253)*AF253,VLOOKUP(D253,HELPER!$BH$3:$BI$5,2,TRUE)*AF253),0)</f>
        <v>0.34746289829445276</v>
      </c>
      <c r="AT253" s="919">
        <v>0.20000000000000101</v>
      </c>
      <c r="AU253" s="919"/>
      <c r="AV253" s="919"/>
      <c r="AW253" s="919"/>
      <c r="AX253" s="919"/>
      <c r="AY253" s="919"/>
      <c r="AZ253" s="919">
        <f t="shared" si="87"/>
        <v>6720</v>
      </c>
    </row>
    <row r="254" spans="1:52">
      <c r="A254" s="73" t="s">
        <v>2283</v>
      </c>
      <c r="B254" s="73">
        <v>928</v>
      </c>
      <c r="C254" s="908" t="s">
        <v>2212</v>
      </c>
      <c r="D254" s="915" cm="1">
        <f t="array" ref="D25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4" s="915">
        <v>120</v>
      </c>
      <c r="F254" s="73" t="s">
        <v>560</v>
      </c>
      <c r="G254" s="916">
        <v>100</v>
      </c>
      <c r="H254" s="916">
        <v>100</v>
      </c>
      <c r="I254" s="916"/>
      <c r="J254" s="916"/>
      <c r="K254" s="73" t="s">
        <v>124</v>
      </c>
      <c r="L254" s="921" t="s">
        <v>221</v>
      </c>
      <c r="M254" s="915">
        <v>1</v>
      </c>
      <c r="N254" s="73" t="s">
        <v>548</v>
      </c>
      <c r="O254" s="73" t="s">
        <v>250</v>
      </c>
      <c r="P254" s="916" cm="1">
        <f t="array" ref="P254">IFERROR(_xlfn.SWITCH(F254,"By Weight",IF(H254&lt;&gt;"",H254,G254)/AR254,"By Length",G254,"By Imp",G254/MAX(1,ROUNDDOWN(E254/I254,0))*J254/1000,"IMP",G254/MAX(1,ROUNDDOWN(E254/I254,0))*J254/1000,""),"")</f>
        <v>11842.167590355737</v>
      </c>
      <c r="Q254" s="916">
        <f t="shared" si="88"/>
        <v>100</v>
      </c>
      <c r="R254" s="917">
        <f t="shared" si="89"/>
        <v>4526.1403463693559</v>
      </c>
      <c r="S254" s="918">
        <f t="shared" si="90"/>
        <v>5250.3228017884521</v>
      </c>
      <c r="T254" s="919">
        <f t="shared" si="91"/>
        <v>45.261403463693561</v>
      </c>
      <c r="U254" s="920">
        <f t="shared" si="92"/>
        <v>52.503228017884524</v>
      </c>
      <c r="V254" s="919">
        <f t="shared" si="93"/>
        <v>0.44965340636330792</v>
      </c>
      <c r="W254" s="919">
        <f t="shared" si="94"/>
        <v>53.248709957286231</v>
      </c>
      <c r="X254" s="919" t="str">
        <f t="shared" si="95"/>
        <v/>
      </c>
      <c r="Y254" s="920">
        <f t="shared" si="96"/>
        <v>0.52159795138143716</v>
      </c>
      <c r="Z254" s="920">
        <f t="shared" si="97"/>
        <v>61.768503550452024</v>
      </c>
      <c r="AA254" s="920" t="str">
        <f t="shared" si="98"/>
        <v/>
      </c>
      <c r="AB254" s="917">
        <f t="shared" si="99"/>
        <v>5324.8709957286228</v>
      </c>
      <c r="AC254" s="918">
        <f t="shared" si="100"/>
        <v>6176.8503550452024</v>
      </c>
      <c r="AD254" s="916">
        <f t="shared" si="101"/>
        <v>59210.837951778682</v>
      </c>
      <c r="AE254" s="916">
        <f t="shared" si="102"/>
        <v>500</v>
      </c>
      <c r="AF254" s="919" cm="1">
        <f t="array" ref="AF254">IFERROR(_xlfn.LET(_xlpm.lam,TEXT(B254,"0"),_xlpm.thick,D254,_xlpm.crit,(TEXT(HELPER!$BZ$2:$BZ$250,"0")=_xlpm.lam)*(HELPER!$CC$2:$CC$250=_xlpm.thick)*(HELPER!$BW$2:$BW$250&lt;&gt;""),_xlpm.mats,TRIM(SUBSTITUTE(_xlfn._xlws.FILTER(HELPER!$BW$2:$BW$250,_xlpm.crit),CHAR(160),"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4" s="919">
        <f>IFERROR(IF(N254="Europe to Canada",IF(Q254&lt;1000,VLOOKUP(1000,HELPER!$AG$4:$AH$8,2,FALSE)/Q254,VLOOKUP(Q254,HELPER!$AG$4:$AH$8,2,TRUE)/Q254),IF(N254="Europe to US",HELPER!$AH$2,IF(N254="Europe to Europe",HELPER!$AH$3,0))),0)</f>
        <v>34.482758620689701</v>
      </c>
      <c r="AH254" s="919" cm="1">
        <f t="array" ref="AH254">IFERROR(_xlfn.LET(_xlpm.cap,IF(O254="Quantum",760,1220),_xlpm.wUsed,E254*MAX(1,MIN(MAX(2,INT(900/E254)),INT((_xlpm.cap-50)/E254))),_xlpm.kgmUsed,AR254/E254*_xlpm.wUsed,_xlpm.lam,TEXT(B254,"0"),_xlpm.crit,(TEXT(HELPER!$BZ$2:$BZ$250,"0")=_xlpm.lam)*(HELPER!$CC$2:$CC$250=D254)*(HELPER!$BW$2:$BW$250&lt;&gt;""),_xlpm.mats,_xlfn._xlws.FILTER(HELPER!$BW$2:$BW$250,_xlpm.crit),_xlpm.realLayers,SUM((_xlpm.mats&lt;&gt;"")*ISERROR(SEARCH("EPOTAL",_xlpm.mats&amp;""))*ISERROR(SEARCH("BASONAT",_xlpm.mats&amp;""))*ISERROR(SEARCH("ADH",_xlpm.mats&amp;""))*ISERROR(SEARCH("HARDENER",_xlpm.mats&amp;""))),_xlpm.steps,MAX(0,_xlpm.realLayers-1),_xlpm.tier,IF(P254&lt;3000,1,IF(P254&lt;10000,2,IF(P254&lt;25000,3,IF(P254&lt;50000,4,IF(P254&lt;100000,5,IF(P254&lt;250000,6,7)))))),_xlpm.widthRow,IF(_xlpm.wUsed&lt;900,0,5),_xlpm.supplierRow,IF(O254="Marma",3,IF(OR(O254="Bastin",O254="Quantum"),13,0)),_xlpm.rate,INDEX('Lmntn &amp; Prntng- Marma &amp; Bastin '!$D$1:$K$22,_xlpm.supplierRow+_xlpm.widthRow,_xlpm.tier),_xlpm.rate*_xlpm.steps/_xlpm.kgmUsed),"")</f>
        <v>1.5484479993503724</v>
      </c>
      <c r="AI254" s="919" cm="1">
        <f t="array" ref="AI254">IFERROR(_xlfn.LET(_xlpm.cap,IF(O254="Quantum",760,1220),_xlpm.wUsed,E254*MAX(1,MIN(MAX(2,INT(900/E254)),INT((_xlpm.cap-50)/E254))),_xlpm.kgmUsed,AR254/E254*_xlpm.wUsed,_xlpm.tier,IF(P254&lt;3000,1,IF(P254&lt;10000,2,IF(P254&lt;25000,3,IF(P254&lt;50000,4,IF(P254&lt;100000,5,IF(P254&lt;250000,6,IF(P254&lt;500000,7,8))))))),_xlpm.widthRow,IF(_xlpm.wUsed&lt;900,0,5),_xlpm.slitRow,IF(O254="Marma",7,IF(OR(O254="Bastin",O254="Quantum"),17,0)),_xlpm.slitRate,INDEX('Lmntn &amp; Prntng- Marma &amp; Bastin '!$D$1:$K$22,_xlpm.slitRow+_xlpm.widthRow,_xlpm.tier),_xlpm.numColors,IF(ISNUMBER(L254),L254,IFERROR(--RIGHT(L254,LEN(L254)-FIND("-",L254)),0)),_xlpm.printRate,IF(OR(K254&lt;&gt;"Printed",_xlpm.numColors=0),0,IF(O254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254))),MAX(_xlfn._xlws.FILTER(_xlpm.meters,(_xlpm.widths=_xlpm.qWidth)*(_xlpm.bands=_xlpm.band)))),INDEX(_xlpm.rates,_xlfn.XMATCH(1,(_xlpm.widths=_xlpm.qWidth)*(_xlpm.bands=_xlpm.band)*(_xlpm.meters=_xlpm.targetM),0))/HELPER!$AK$2),_xlfn.LET(_xlpm.colorOffset,IF(_xlpm.numColors&lt;=2,1,IF(_xlpm.numColors&lt;=4,2,3)),_xlpm.supplierRow,IF(O254="Marma",3,IF(O254="Bastin",13,0)),INDEX('Lmntn &amp; Prntng- Marma &amp; Bastin '!$D$1:$K$22,_xlpm.supplierRow+_xlpm.widthRow+_xlpm.colorOffset,_xlpm.tier)))),AH254+_xlpm.slitRate/_xlpm.kgmUsed+_xlpm.printRate/_xlpm.kgmUsed+AJ254),"")</f>
        <v>1.9869465478389734</v>
      </c>
      <c r="AJ254" s="919" cm="1">
        <f t="array" ref="AJ254">IF(OR(K254&lt;&gt;"Printed",L254=0,L254="0",L254=""),0,IFERROR(_xlfn.LET(_xlpm.lam,TEXT(B254,"0"),_xlpm.crit,(TEXT(HELPER!$BZ$2:$BZ$250,"0")=_xlpm.lam)*(HELPER!$CC$2:$CC$250=D254)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WHITE"},0)))/ROWS(_xlpm.real),_xlpm.numColors,IF(ISNUMBER(L254),L254,IFERROR(--RIGHT(L254,LEN(L254)-FIND("-",L254)),0)),HELPER!$DB$1*_xlpm.numColors*MAX(1,M254)*1.05*_xlpm.nkRatio/Q254),0))</f>
        <v>0</v>
      </c>
      <c r="AK254" s="919">
        <f t="shared" si="103"/>
        <v>2.4174914320607952</v>
      </c>
      <c r="AL254" s="919">
        <f t="shared" si="104"/>
        <v>449.65340636330791</v>
      </c>
      <c r="AM254" s="73" t="str">
        <f t="shared" si="105"/>
        <v>PASS</v>
      </c>
      <c r="AN254" s="908" t="str">
        <f t="shared" si="84"/>
        <v/>
      </c>
      <c r="AO254" s="919">
        <f t="shared" si="85"/>
        <v>79</v>
      </c>
      <c r="AP254" s="919">
        <f t="shared" si="86"/>
        <v>11842.167590355737</v>
      </c>
      <c r="AQ254" s="919"/>
      <c r="AR254" s="919" cm="1">
        <f t="array" ref="AR254">IFERROR(_xlfn.LET(_xlpm.lam,TEXT(B254,"0"),_xlpm.thick,D254,_xlpm.crit,(TEXT(HELPER!$BZ$2:$BZ$250,"0")=_xlpm.lam)*(HELPER!$CC$2:$CC$250=_xlpm.thick)*(HELPER!$BW$2:$BW$250&lt;&gt;""),_xlpm.mats,TRIM(SUBSTITUTE(_xlfn._xlws.FILTER(HELPER!$BW$2:$BW$250,_xlpm.crit),CHAR(160),"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")),HELPER!$AQ$2:$AQ$20,1),_xlpm.mass,IF(ISNUMBER(SEARCH("paper",_xlpm.mats)),42,_xlpm.dens*_xlpm.ths),E254/1000000*SUM(_xlpm.mass)),"")</f>
        <v>8.4444000000000012E-3</v>
      </c>
      <c r="AS254" s="919">
        <f>IFERROR(IF(D254&gt;31,(5%+250/P254)*AF254,VLOOKUP(D254,HELPER!$BH$3:$BI$5,2,TRUE)*AF254),0)</f>
        <v>0.58368036316261385</v>
      </c>
      <c r="AT254" s="919">
        <v>0.149999999999995</v>
      </c>
      <c r="AU254" s="919"/>
      <c r="AV254" s="919"/>
      <c r="AW254" s="919"/>
      <c r="AX254" s="919"/>
      <c r="AY254" s="919"/>
      <c r="AZ254" s="919">
        <f t="shared" si="87"/>
        <v>0</v>
      </c>
    </row>
    <row r="255" spans="1:52">
      <c r="A255" s="73" t="s">
        <v>2284</v>
      </c>
      <c r="B255" s="73">
        <v>928</v>
      </c>
      <c r="C255" s="908" t="s">
        <v>2214</v>
      </c>
      <c r="D255" s="915" cm="1">
        <f t="array" ref="D25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5" s="915">
        <v>350</v>
      </c>
      <c r="F255" s="73" t="s">
        <v>560</v>
      </c>
      <c r="G255" s="916">
        <v>5000</v>
      </c>
      <c r="H255" s="916">
        <v>5000</v>
      </c>
      <c r="I255" s="916"/>
      <c r="J255" s="916"/>
      <c r="K255" s="73" t="s">
        <v>123</v>
      </c>
      <c r="L255" s="921" t="s">
        <v>122</v>
      </c>
      <c r="M255" s="915">
        <v>4</v>
      </c>
      <c r="N255" s="73" t="s">
        <v>548</v>
      </c>
      <c r="O255" s="73" t="s">
        <v>1366</v>
      </c>
      <c r="P255" s="916" cm="1">
        <f t="array" ref="P255">IFERROR(_xlfn.SWITCH(F255,"By Weight",IF(H255&lt;&gt;"",H255,G255)/AR255,"By Length",G255,"By Imp",G255/MAX(1,ROUNDDOWN(E255/I255,0))*J255/1000,"IMP",G255/MAX(1,ROUNDDOWN(E255/I255,0))*J255/1000,""),"")</f>
        <v>203008.58726324121</v>
      </c>
      <c r="Q255" s="916">
        <f t="shared" si="88"/>
        <v>5000</v>
      </c>
      <c r="R255" s="917">
        <f t="shared" si="89"/>
        <v>144459.28133560883</v>
      </c>
      <c r="S255" s="918">
        <f t="shared" si="90"/>
        <v>167572.76634930624</v>
      </c>
      <c r="T255" s="919">
        <f t="shared" si="91"/>
        <v>28.891856267121764</v>
      </c>
      <c r="U255" s="920">
        <f t="shared" si="92"/>
        <v>33.514553269861246</v>
      </c>
      <c r="V255" s="919">
        <f t="shared" si="93"/>
        <v>0.88948996741384334</v>
      </c>
      <c r="W255" s="919">
        <f t="shared" si="94"/>
        <v>36.114820333902159</v>
      </c>
      <c r="X255" s="919" t="str">
        <f t="shared" si="95"/>
        <v/>
      </c>
      <c r="Y255" s="920">
        <f t="shared" si="96"/>
        <v>1.0318083622000582</v>
      </c>
      <c r="Z255" s="920">
        <f t="shared" si="97"/>
        <v>41.893191587326498</v>
      </c>
      <c r="AA255" s="920" t="str">
        <f t="shared" si="98"/>
        <v/>
      </c>
      <c r="AB255" s="917">
        <f t="shared" si="99"/>
        <v>180574.1016695108</v>
      </c>
      <c r="AC255" s="918">
        <f t="shared" si="100"/>
        <v>209465.95793663251</v>
      </c>
      <c r="AD255" s="916">
        <f t="shared" si="101"/>
        <v>20300.858726324121</v>
      </c>
      <c r="AE255" s="916">
        <f t="shared" si="102"/>
        <v>500</v>
      </c>
      <c r="AF255" s="919" cm="1">
        <f t="array" ref="AF255">IFERROR(_xlfn.LET(_xlpm.lam,TEXT(B255,"0"),_xlpm.thick,D255,_xlpm.crit,(TEXT(HELPER!$BZ$2:$BZ$250,"0")=_xlpm.lam)*(HELPER!$CC$2:$CC$250=_xlpm.thick)*(HELPER!$BW$2:$BW$250&lt;&gt;""),_xlpm.mats,TRIM(SUBSTITUTE(_xlfn._xlws.FILTER(HELPER!$BW$2:$BW$250,_xlpm.crit),CHAR(160),"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5" s="919">
        <f>IFERROR(IF(N255="Europe to Canada",IF(Q255&lt;1000,VLOOKUP(1000,HELPER!$AG$4:$AH$8,2,FALSE)/Q255,VLOOKUP(Q255,HELPER!$AG$4:$AH$8,2,TRUE)/Q255),IF(N255="Europe to US",HELPER!$AH$2,IF(N255="Europe to Europe",HELPER!$AH$3,0))),0)</f>
        <v>1.8448275862068959</v>
      </c>
      <c r="AH255" s="919" cm="1">
        <f t="array" ref="AH255">IFERROR(_xlfn.LET(_xlpm.cap,IF(O255="Quantum",760,1220),_xlpm.wUsed,E255*MAX(1,MIN(MAX(2,INT(900/E255)),INT((_xlpm.cap-50)/E255))),_xlpm.kgmUsed,AR255/E255*_xlpm.wUsed,_xlpm.lam,TEXT(B255,"0"),_xlpm.crit,(TEXT(HELPER!$BZ$2:$BZ$250,"0")=_xlpm.lam)*(HELPER!$CC$2:$CC$250=D255)*(HELPER!$BW$2:$BW$250&lt;&gt;""),_xlpm.mats,_xlfn._xlws.FILTER(HELPER!$BW$2:$BW$250,_xlpm.crit),_xlpm.realLayers,SUM((_xlpm.mats&lt;&gt;"")*ISERROR(SEARCH("EPOTAL",_xlpm.mats&amp;""))*ISERROR(SEARCH("BASONAT",_xlpm.mats&amp;""))*ISERROR(SEARCH("ADH",_xlpm.mats&amp;""))*ISERROR(SEARCH("HARDENER",_xlpm.mats&amp;""))),_xlpm.steps,MAX(0,_xlpm.realLayers-1),_xlpm.tier,IF(P255&lt;3000,1,IF(P255&lt;10000,2,IF(P255&lt;25000,3,IF(P255&lt;50000,4,IF(P255&lt;100000,5,IF(P255&lt;250000,6,7)))))),_xlpm.widthRow,IF(_xlpm.wUsed&lt;900,0,5),_xlpm.supplierRow,IF(O255="Marma",3,IF(OR(O255="Bastin",O255="Quantum"),13,0)),_xlpm.rate,INDEX('Lmntn &amp; Prntng- Marma &amp; Bastin '!$D$1:$K$22,_xlpm.supplierRow+_xlpm.widthRow,_xlpm.tier),_xlpm.rate*_xlpm.steps/_xlpm.kgmUsed),"")</f>
        <v>2.2160620394242678</v>
      </c>
      <c r="AI255" s="919" cm="1">
        <f t="array" ref="AI255">IFERROR(_xlfn.LET(_xlpm.cap,IF(O255="Quantum",760,1220),_xlpm.wUsed,E255*MAX(1,MIN(MAX(2,INT(900/E255)),INT((_xlpm.cap-50)/E255))),_xlpm.kgmUsed,AR255/E255*_xlpm.wUsed,_xlpm.tier,IF(P255&lt;3000,1,IF(P255&lt;10000,2,IF(P255&lt;25000,3,IF(P255&lt;50000,4,IF(P255&lt;100000,5,IF(P255&lt;250000,6,IF(P255&lt;500000,7,8))))))),_xlpm.widthRow,IF(_xlpm.wUsed&lt;900,0,5),_xlpm.slitRow,IF(O255="Marma",7,IF(OR(O255="Bastin",O255="Quantum"),17,0)),_xlpm.slitRate,INDEX('Lmntn &amp; Prntng- Marma &amp; Bastin '!$D$1:$K$22,_xlpm.slitRow+_xlpm.widthRow,_xlpm.tier),_xlpm.numColors,IF(ISNUMBER(L255),L255,IFERROR(--RIGHT(L255,LEN(L255)-FIND("-",L255)),0)),_xlpm.printRate,IF(OR(K255&lt;&gt;"Printed",_xlpm.numColors=0),0,IF(O255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255))),MAX(_xlfn._xlws.FILTER(_xlpm.meters,(_xlpm.widths=_xlpm.qWidth)*(_xlpm.bands=_xlpm.band)))),INDEX(_xlpm.rates,_xlfn.XMATCH(1,(_xlpm.widths=_xlpm.qWidth)*(_xlpm.bands=_xlpm.band)*(_xlpm.meters=_xlpm.targetM),0))/HELPER!$AK$2),_xlfn.LET(_xlpm.colorOffset,IF(_xlpm.numColors&lt;=2,1,IF(_xlpm.numColors&lt;=4,2,3)),_xlpm.supplierRow,IF(O255="Marma",3,IF(O255="Bastin",13,0)),INDEX('Lmntn &amp; Prntng- Marma &amp; Bastin '!$D$1:$K$22,_xlpm.supplierRow+_xlpm.widthRow+_xlpm.colorOffset,_xlpm.tier)))),AH255+_xlpm.slitRate/_xlpm.kgmUsed+_xlpm.printRate/_xlpm.kgmUsed+AJ255),"")</f>
        <v>18.418501883429666</v>
      </c>
      <c r="AJ255" s="919" cm="1">
        <f t="array" ref="AJ255">IF(OR(K255&lt;&gt;"Printed",L255=0,L255="0",L255=""),0,IFERROR(_xlfn.LET(_xlpm.lam,TEXT(B255,"0"),_xlpm.crit,(TEXT(HELPER!$BZ$2:$BZ$250,"0")=_xlpm.lam)*(HELPER!$CC$2:$CC$250=D255)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WHITE"},0)))/ROWS(_xlpm.real),_xlpm.numColors,IF(ISNUMBER(L255),L255,IFERROR(--RIGHT(L255,LEN(L255)-FIND("-",L255)),0)),HELPER!$DB$1*_xlpm.numColors*MAX(1,M255)*1.05*_xlpm.nkRatio/Q255),0))</f>
        <v>0.504</v>
      </c>
      <c r="AK255" s="919">
        <f t="shared" si="103"/>
        <v>1.6396128431591583</v>
      </c>
      <c r="AL255" s="919">
        <f t="shared" si="104"/>
        <v>889.48996741384337</v>
      </c>
      <c r="AM255" s="73" t="str">
        <f t="shared" si="105"/>
        <v>PASS</v>
      </c>
      <c r="AN255" s="908" t="str">
        <f t="shared" si="84"/>
        <v/>
      </c>
      <c r="AO255" s="919">
        <f t="shared" si="85"/>
        <v>79</v>
      </c>
      <c r="AP255" s="919">
        <f t="shared" si="86"/>
        <v>203008.58726324121</v>
      </c>
      <c r="AQ255" s="919"/>
      <c r="AR255" s="919" cm="1">
        <f t="array" ref="AR255">IFERROR(_xlfn.LET(_xlpm.lam,TEXT(B255,"0"),_xlpm.thick,D255,_xlpm.crit,(TEXT(HELPER!$BZ$2:$BZ$250,"0")=_xlpm.lam)*(HELPER!$CC$2:$CC$250=_xlpm.thick)*(HELPER!$BW$2:$BW$250&lt;&gt;""),_xlpm.mats,TRIM(SUBSTITUTE(_xlfn._xlws.FILTER(HELPER!$BW$2:$BW$250,_xlpm.crit),CHAR(160),"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")),HELPER!$AQ$2:$AQ$20,1),_xlpm.mass,IF(ISNUMBER(SEARCH("paper",_xlpm.mats)),42,_xlpm.dens*_xlpm.ths),E255/1000000*SUM(_xlpm.mass)),"")</f>
        <v>2.4629500000000002E-2</v>
      </c>
      <c r="AS255" s="919">
        <f>IFERROR(IF(D255&gt;31,(5%+250/P255)*AF255,VLOOKUP(D255,HELPER!$BH$3:$BI$5,2,TRUE)*AF255),0)</f>
        <v>0.42050886548292626</v>
      </c>
      <c r="AT255" s="919">
        <v>0.19999999999999901</v>
      </c>
      <c r="AU255" s="919"/>
      <c r="AV255" s="919"/>
      <c r="AW255" s="919"/>
      <c r="AX255" s="919"/>
      <c r="AY255" s="919"/>
      <c r="AZ255" s="919">
        <f t="shared" si="87"/>
        <v>2520</v>
      </c>
    </row>
    <row r="256" spans="1:52">
      <c r="A256" s="73" t="s">
        <v>2285</v>
      </c>
      <c r="B256" s="73">
        <v>928</v>
      </c>
      <c r="C256" s="908" t="s">
        <v>2216</v>
      </c>
      <c r="D256" s="915" cm="1">
        <f t="array" ref="D25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6" s="915">
        <v>350</v>
      </c>
      <c r="F256" s="73" t="s">
        <v>561</v>
      </c>
      <c r="G256" s="916">
        <v>2000</v>
      </c>
      <c r="H256" s="916"/>
      <c r="I256" s="916"/>
      <c r="J256" s="916"/>
      <c r="K256" s="73" t="s">
        <v>124</v>
      </c>
      <c r="L256" s="921" t="s">
        <v>221</v>
      </c>
      <c r="M256" s="915">
        <v>1</v>
      </c>
      <c r="N256" s="73" t="s">
        <v>548</v>
      </c>
      <c r="O256" s="73" t="s">
        <v>240</v>
      </c>
      <c r="P256" s="916" cm="1">
        <f t="array" ref="P256">IFERROR(_xlfn.SWITCH(F256,"By Weight",IF(H256&lt;&gt;"",H256,G256)/AR256,"By Length",G256,"By Imp",G256/MAX(1,ROUNDDOWN(E256/I256,0))*J256/1000,"IMP",G256/MAX(1,ROUNDDOWN(E256/I256,0))*J256/1000,""),"")</f>
        <v>2000</v>
      </c>
      <c r="Q256" s="916">
        <f t="shared" si="88"/>
        <v>49.259000000000007</v>
      </c>
      <c r="R256" s="917">
        <f t="shared" si="89"/>
        <v>4120.4953995611586</v>
      </c>
      <c r="S256" s="918">
        <f t="shared" si="90"/>
        <v>4779.7746634909436</v>
      </c>
      <c r="T256" s="919">
        <f t="shared" si="91"/>
        <v>83.649594988959535</v>
      </c>
      <c r="U256" s="920">
        <f t="shared" si="92"/>
        <v>97.033530187193051</v>
      </c>
      <c r="V256" s="919">
        <f t="shared" si="93"/>
        <v>2.423820823271261</v>
      </c>
      <c r="W256" s="919">
        <f t="shared" si="94"/>
        <v>98.411288222304989</v>
      </c>
      <c r="X256" s="919" t="str">
        <f t="shared" si="95"/>
        <v/>
      </c>
      <c r="Y256" s="920">
        <f t="shared" si="96"/>
        <v>2.8116321549946628</v>
      </c>
      <c r="Z256" s="920">
        <f t="shared" si="97"/>
        <v>114.15709433787379</v>
      </c>
      <c r="AA256" s="920" t="str">
        <f t="shared" si="98"/>
        <v/>
      </c>
      <c r="AB256" s="917">
        <f t="shared" si="99"/>
        <v>4847.6416465425218</v>
      </c>
      <c r="AC256" s="918">
        <f t="shared" si="100"/>
        <v>5623.2643099893248</v>
      </c>
      <c r="AD256" s="916">
        <f t="shared" si="101"/>
        <v>20300.858726324121</v>
      </c>
      <c r="AE256" s="916">
        <f t="shared" si="102"/>
        <v>500</v>
      </c>
      <c r="AF256" s="919" cm="1">
        <f t="array" ref="AF256">IFERROR(_xlfn.LET(_xlpm.lam,TEXT(B256,"0"),_xlpm.thick,D256,_xlpm.crit,(TEXT(HELPER!$BZ$2:$BZ$250,"0")=_xlpm.lam)*(HELPER!$CC$2:$CC$250=_xlpm.thick)*(HELPER!$BW$2:$BW$250&lt;&gt;""),_xlpm.mats,TRIM(SUBSTITUTE(_xlfn._xlws.FILTER(HELPER!$BW$2:$BW$250,_xlpm.crit),CHAR(160),"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6" s="919">
        <f>IFERROR(IF(N256="Europe to Canada",IF(Q256&lt;1000,VLOOKUP(1000,HELPER!$AG$4:$AH$8,2,FALSE)/Q256,VLOOKUP(Q256,HELPER!$AG$4:$AH$8,2,TRUE)/Q256),IF(N256="Europe to US",HELPER!$AH$2,IF(N256="Europe to Europe",HELPER!$AH$3,0))),0)</f>
        <v>70.00296112525568</v>
      </c>
      <c r="AH256" s="919" cm="1">
        <f t="array" ref="AH256">IFERROR(_xlfn.LET(_xlpm.cap,IF(O256="Quantum",760,1220),_xlpm.wUsed,E256*MAX(1,MIN(MAX(2,INT(900/E256)),INT((_xlpm.cap-50)/E256))),_xlpm.kgmUsed,AR256/E256*_xlpm.wUsed,_xlpm.lam,TEXT(B256,"0"),_xlpm.crit,(TEXT(HELPER!$BZ$2:$BZ$250,"0")=_xlpm.lam)*(HELPER!$CC$2:$CC$250=D256)*(HELPER!$BW$2:$BW$250&lt;&gt;""),_xlpm.mats,_xlfn._xlws.FILTER(HELPER!$BW$2:$BW$250,_xlpm.crit),_xlpm.realLayers,SUM((_xlpm.mats&lt;&gt;"")*ISERROR(SEARCH("EPOTAL",_xlpm.mats&amp;""))*ISERROR(SEARCH("BASONAT",_xlpm.mats&amp;""))*ISERROR(SEARCH("ADH",_xlpm.mats&amp;""))*ISERROR(SEARCH("HARDENER",_xlpm.mats&amp;""))),_xlpm.steps,MAX(0,_xlpm.realLayers-1),_xlpm.tier,IF(P256&lt;3000,1,IF(P256&lt;10000,2,IF(P256&lt;25000,3,IF(P256&lt;50000,4,IF(P256&lt;100000,5,IF(P256&lt;250000,6,7)))))),_xlpm.widthRow,IF(_xlpm.wUsed&lt;900,0,5),_xlpm.supplierRow,IF(O256="Marma",3,IF(OR(O256="Bastin",O256="Quantum"),13,0)),_xlpm.rate,INDEX('Lmntn &amp; Prntng- Marma &amp; Bastin '!$D$1:$K$22,_xlpm.supplierRow+_xlpm.widthRow,_xlpm.tier),_xlpm.rate*_xlpm.steps/_xlpm.kgmUsed),"")</f>
        <v>3.0806350108609593</v>
      </c>
      <c r="AI256" s="919" cm="1">
        <f t="array" ref="AI256">IFERROR(_xlfn.LET(_xlpm.cap,IF(O256="Quantum",760,1220),_xlpm.wUsed,E256*MAX(1,MIN(MAX(2,INT(900/E256)),INT((_xlpm.cap-50)/E256))),_xlpm.kgmUsed,AR256/E256*_xlpm.wUsed,_xlpm.tier,IF(P256&lt;3000,1,IF(P256&lt;10000,2,IF(P256&lt;25000,3,IF(P256&lt;50000,4,IF(P256&lt;100000,5,IF(P256&lt;250000,6,IF(P256&lt;500000,7,8))))))),_xlpm.widthRow,IF(_xlpm.wUsed&lt;900,0,5),_xlpm.slitRow,IF(O256="Marma",7,IF(OR(O256="Bastin",O256="Quantum"),17,0)),_xlpm.slitRate,INDEX('Lmntn &amp; Prntng- Marma &amp; Bastin '!$D$1:$K$22,_xlpm.slitRow+_xlpm.widthRow,_xlpm.tier),_xlpm.numColors,IF(ISNUMBER(L256),L256,IFERROR(--RIGHT(L256,LEN(L256)-FIND("-",L256)),0)),_xlpm.printRate,IF(OR(K256&lt;&gt;"Printed",_xlpm.numColors=0),0,IF(O256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256))),MAX(_xlfn._xlws.FILTER(_xlpm.meters,(_xlpm.widths=_xlpm.qWidth)*(_xlpm.bands=_xlpm.band)))),INDEX(_xlpm.rates,_xlfn.XMATCH(1,(_xlpm.widths=_xlpm.qWidth)*(_xlpm.bands=_xlpm.band)*(_xlpm.meters=_xlpm.targetM),0))/HELPER!$AK$2),_xlfn.LET(_xlpm.colorOffset,IF(_xlpm.numColors&lt;=2,1,IF(_xlpm.numColors&lt;=4,2,3)),_xlpm.supplierRow,IF(O256="Marma",3,IF(O256="Bastin",13,0)),INDEX('Lmntn &amp; Prntng- Marma &amp; Bastin '!$D$1:$K$22,_xlpm.supplierRow+_xlpm.widthRow+_xlpm.colorOffset,_xlpm.tier)))),AH256+_xlpm.slitRate/_xlpm.kgmUsed+_xlpm.printRate/_xlpm.kgmUsed+AJ256),"")</f>
        <v>4.0022127936011689</v>
      </c>
      <c r="AJ256" s="919" cm="1">
        <f t="array" ref="AJ256">IF(OR(K256&lt;&gt;"Printed",L256=0,L256="0",L256=""),0,IFERROR(_xlfn.LET(_xlpm.lam,TEXT(B256,"0"),_xlpm.crit,(TEXT(HELPER!$BZ$2:$BZ$250,"0")=_xlpm.lam)*(HELPER!$CC$2:$CC$250=D256)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WHITE"},0)))/ROWS(_xlpm.real),_xlpm.numColors,IF(ISNUMBER(L256),L256,IFERROR(--RIGHT(L256,LEN(L256)-FIND("-",L256)),0)),HELPER!$DB$1*_xlpm.numColors*MAX(1,M256)*1.05*_xlpm.nkRatio/Q256),0))</f>
        <v>0</v>
      </c>
      <c r="AK256" s="919">
        <f t="shared" si="103"/>
        <v>4.4678724852926468</v>
      </c>
      <c r="AL256" s="919">
        <f t="shared" si="104"/>
        <v>2423.8208232712609</v>
      </c>
      <c r="AM256" s="73" t="str">
        <f t="shared" si="105"/>
        <v>PASS</v>
      </c>
      <c r="AN256" s="908" t="str">
        <f t="shared" si="84"/>
        <v/>
      </c>
      <c r="AO256" s="919">
        <f t="shared" si="85"/>
        <v>79</v>
      </c>
      <c r="AP256" s="919">
        <f t="shared" si="86"/>
        <v>2000</v>
      </c>
      <c r="AQ256" s="919"/>
      <c r="AR256" s="919" cm="1">
        <f t="array" ref="AR256">IFERROR(_xlfn.LET(_xlpm.lam,TEXT(B256,"0"),_xlpm.thick,D256,_xlpm.crit,(TEXT(HELPER!$BZ$2:$BZ$250,"0")=_xlpm.lam)*(HELPER!$CC$2:$CC$250=_xlpm.thick)*(HELPER!$BW$2:$BW$250&lt;&gt;""),_xlpm.mats,TRIM(SUBSTITUTE(_xlfn._xlws.FILTER(HELPER!$BW$2:$BW$250,_xlpm.crit),CHAR(160),"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")),HELPER!$AQ$2:$AQ$20,1),_xlpm.mass,IF(ISNUMBER(SEARCH("paper",_xlpm.mats)),42,_xlpm.dens*_xlpm.ths),E256/1000000*SUM(_xlpm.mass)),"")</f>
        <v>2.4629500000000002E-2</v>
      </c>
      <c r="AS256" s="919">
        <f>IFERROR(IF(D256&gt;31,(5%+250/P256)*AF256,VLOOKUP(D256,HELPER!$BH$3:$BI$5,2,TRUE)*AF256),0)</f>
        <v>1.4364031381003979</v>
      </c>
      <c r="AT256" s="919">
        <v>0.149999999999997</v>
      </c>
      <c r="AU256" s="919"/>
      <c r="AV256" s="919"/>
      <c r="AW256" s="919"/>
      <c r="AX256" s="919"/>
      <c r="AY256" s="919"/>
      <c r="AZ256" s="919">
        <f t="shared" si="87"/>
        <v>0</v>
      </c>
    </row>
    <row r="257" spans="1:52">
      <c r="A257" s="73" t="s">
        <v>2286</v>
      </c>
      <c r="B257" s="73">
        <v>928</v>
      </c>
      <c r="C257" s="908" t="s">
        <v>2218</v>
      </c>
      <c r="D257" s="915" cm="1">
        <f t="array" ref="D25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7" s="915">
        <v>900</v>
      </c>
      <c r="F257" s="73" t="s">
        <v>1040</v>
      </c>
      <c r="G257" s="916">
        <v>1600000</v>
      </c>
      <c r="H257" s="916"/>
      <c r="I257" s="916">
        <v>140</v>
      </c>
      <c r="J257" s="916">
        <v>80</v>
      </c>
      <c r="K257" s="73" t="s">
        <v>123</v>
      </c>
      <c r="L257" s="921" t="s">
        <v>592</v>
      </c>
      <c r="M257" s="915">
        <v>8</v>
      </c>
      <c r="N257" s="73" t="s">
        <v>548</v>
      </c>
      <c r="O257" s="73" t="s">
        <v>250</v>
      </c>
      <c r="P257" s="916" cm="1">
        <f t="array" ref="P257">IFERROR(_xlfn.SWITCH(F257,"By Weight",IF(H257&lt;&gt;"",H257,G257)/AR257,"By Length",G257,"By Imp",G257/MAX(1,ROUNDDOWN(E257/I257,0))*J257/1000,"IMP",G257/MAX(1,ROUNDDOWN(E257/I257,0))*J257/1000,""),"")</f>
        <v>21333.333333333336</v>
      </c>
      <c r="Q257" s="916">
        <f t="shared" si="88"/>
        <v>1351.1040000000003</v>
      </c>
      <c r="R257" s="917">
        <f t="shared" si="89"/>
        <v>31406.512898941473</v>
      </c>
      <c r="S257" s="918">
        <f t="shared" si="90"/>
        <v>36431.554962772105</v>
      </c>
      <c r="T257" s="919">
        <f t="shared" si="91"/>
        <v>23.24507432362088</v>
      </c>
      <c r="U257" s="920">
        <f t="shared" si="92"/>
        <v>26.964286215400218</v>
      </c>
      <c r="V257" s="919">
        <f t="shared" si="93"/>
        <v>1.7319768142798644</v>
      </c>
      <c r="W257" s="919">
        <f t="shared" si="94"/>
        <v>27.347146263083452</v>
      </c>
      <c r="X257" s="919">
        <f t="shared" si="95"/>
        <v>2.309302419039819E-2</v>
      </c>
      <c r="Y257" s="920">
        <f t="shared" si="96"/>
        <v>2.0090931045646427</v>
      </c>
      <c r="Z257" s="920">
        <f t="shared" si="97"/>
        <v>31.722689665176802</v>
      </c>
      <c r="AA257" s="920">
        <f t="shared" si="98"/>
        <v>2.6787908060861898E-2</v>
      </c>
      <c r="AB257" s="917">
        <f t="shared" si="99"/>
        <v>36948.838704637114</v>
      </c>
      <c r="AC257" s="918">
        <f t="shared" si="100"/>
        <v>42860.652897379048</v>
      </c>
      <c r="AD257" s="916">
        <f t="shared" si="101"/>
        <v>7894.778393570492</v>
      </c>
      <c r="AE257" s="916">
        <f t="shared" si="102"/>
        <v>500</v>
      </c>
      <c r="AF257" s="919" cm="1">
        <f t="array" ref="AF257">IFERROR(_xlfn.LET(_xlpm.lam,TEXT(B257,"0"),_xlpm.thick,D257,_xlpm.crit,(TEXT(HELPER!$BZ$2:$BZ$250,"0")=_xlpm.lam)*(HELPER!$CC$2:$CC$250=_xlpm.thick)*(HELPER!$BW$2:$BW$250&lt;&gt;""),_xlpm.mats,TRIM(SUBSTITUTE(_xlfn._xlws.FILTER(HELPER!$BW$2:$BW$250,_xlpm.crit),CHAR(160),"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")),HELPER!$E$2:$E$32,"")))),_xlpm.specialCost,_xlfn.XLOOKUP(_xlpm.mats,HELPER!$CK$2:$CK$106,HELPER!$CO$2:$CO$106,""),_xlpm.nkCost,_xlfn.XLOOKUP("NK",TRIM(SUBSTITUTE(HELPER!$A$2:$A$32,CHAR(160),"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7" s="919">
        <f>IFERROR(IF(N257="Europe to Canada",IF(Q257&lt;1000,VLOOKUP(1000,HELPER!$AG$4:$AH$8,2,FALSE)/Q257,VLOOKUP(Q257,HELPER!$AG$4:$AH$8,2,TRUE)/Q257),IF(N257="Europe to US",HELPER!$AH$2,IF(N257="Europe to Europe",HELPER!$AH$3,0))),0)</f>
        <v>2.5521912910249465</v>
      </c>
      <c r="AH257" s="919" cm="1">
        <f t="array" ref="AH257">IFERROR(_xlfn.LET(_xlpm.cap,IF(O257="Quantum",760,1220),_xlpm.wUsed,E257*MAX(1,MIN(MAX(2,INT(900/E257)),INT((_xlpm.cap-50)/E257))),_xlpm.kgmUsed,AR257/E257*_xlpm.wUsed,_xlpm.lam,TEXT(B257,"0"),_xlpm.crit,(TEXT(HELPER!$BZ$2:$BZ$250,"0")=_xlpm.lam)*(HELPER!$CC$2:$CC$250=D257)*(HELPER!$BW$2:$BW$250&lt;&gt;""),_xlpm.mats,_xlfn._xlws.FILTER(HELPER!$BW$2:$BW$250,_xlpm.crit),_xlpm.realLayers,SUM((_xlpm.mats&lt;&gt;"")*ISERROR(SEARCH("EPOTAL",_xlpm.mats&amp;""))*ISERROR(SEARCH("BASONAT",_xlpm.mats&amp;""))*ISERROR(SEARCH("ADH",_xlpm.mats&amp;""))*ISERROR(SEARCH("HARDENER",_xlpm.mats&amp;""))),_xlpm.steps,MAX(0,_xlpm.realLayers-1),_xlpm.tier,IF(P257&lt;3000,1,IF(P257&lt;10000,2,IF(P257&lt;25000,3,IF(P257&lt;50000,4,IF(P257&lt;100000,5,IF(P257&lt;250000,6,7)))))),_xlpm.widthRow,IF(_xlpm.wUsed&lt;900,0,5),_xlpm.supplierRow,IF(O257="Marma",3,IF(OR(O257="Bastin",O257="Quantum"),13,0)),_xlpm.rate,INDEX('Lmntn &amp; Prntng- Marma &amp; Bastin '!$D$1:$K$22,_xlpm.supplierRow+_xlpm.widthRow,_xlpm.tier),_xlpm.rate*_xlpm.steps/_xlpm.kgmUsed),"")</f>
        <v>1.4452181327270144</v>
      </c>
      <c r="AI257" s="919" cm="1">
        <f t="array" ref="AI257">IFERROR(_xlfn.LET(_xlpm.cap,IF(O257="Quantum",760,1220),_xlpm.wUsed,E257*MAX(1,MIN(MAX(2,INT(900/E257)),INT((_xlpm.cap-50)/E257))),_xlpm.kgmUsed,AR257/E257*_xlpm.wUsed,_xlpm.tier,IF(P257&lt;3000,1,IF(P257&lt;10000,2,IF(P257&lt;25000,3,IF(P257&lt;50000,4,IF(P257&lt;100000,5,IF(P257&lt;250000,6,IF(P257&lt;500000,7,8))))))),_xlpm.widthRow,IF(_xlpm.wUsed&lt;900,0,5),_xlpm.slitRow,IF(O257="Marma",7,IF(OR(O257="Bastin",O257="Quantum"),17,0)),_xlpm.slitRate,INDEX('Lmntn &amp; Prntng- Marma &amp; Bastin '!$D$1:$K$22,_xlpm.slitRow+_xlpm.widthRow,_xlpm.tier),_xlpm.numColors,IF(ISNUMBER(L257),L257,IFERROR(--RIGHT(L257,LEN(L257)-FIND("-",L257)),0)),_xlpm.printRate,IF(OR(K257&lt;&gt;"Printed",_xlpm.numColors=0),0,IF(O257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257))),MAX(_xlfn._xlws.FILTER(_xlpm.meters,(_xlpm.widths=_xlpm.qWidth)*(_xlpm.bands=_xlpm.band)))),INDEX(_xlpm.rates,_xlfn.XMATCH(1,(_xlpm.widths=_xlpm.qWidth)*(_xlpm.bands=_xlpm.band)*(_xlpm.meters=_xlpm.targetM),0))/HELPER!$AK$2),_xlfn.LET(_xlpm.colorOffset,IF(_xlpm.numColors&lt;=2,1,IF(_xlpm.numColors&lt;=4,2,3)),_xlpm.supplierRow,IF(O257="Marma",3,IF(O257="Bastin",13,0)),INDEX('Lmntn &amp; Prntng- Marma &amp; Bastin '!$D$1:$K$22,_xlpm.supplierRow+_xlpm.widthRow+_xlpm.colorOffset,_xlpm.tier)))),AH257+_xlpm.slitRate/_xlpm.kgmUsed+_xlpm.printRate/_xlpm.kgmUsed+AJ257),"")</f>
        <v>11.97827649385289</v>
      </c>
      <c r="AJ257" s="919" cm="1">
        <f t="array" ref="AJ257">IF(OR(K257&lt;&gt;"Printed",L257=0,L257="0",L257=""),0,IFERROR(_xlfn.LET(_xlpm.lam,TEXT(B257,"0"),_xlpm.crit,(TEXT(HELPER!$BZ$2:$BZ$250,"0")=_xlpm.lam)*(HELPER!$CC$2:$CC$250=D257)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WHITE"},0)))/ROWS(_xlpm.real),_xlpm.numColors,IF(ISNUMBER(L257),L257,IFERROR(--RIGHT(L257,LEN(L257)-FIND("-",L257)),0)),HELPER!$DB$1*_xlpm.numColors*MAX(1,M257)*1.05*_xlpm.nkRatio/Q257),0))</f>
        <v>7.4605655819241141</v>
      </c>
      <c r="AK257" s="919">
        <f t="shared" si="103"/>
        <v>1.2415604403439888</v>
      </c>
      <c r="AL257" s="919">
        <f t="shared" si="104"/>
        <v>1731.9768142798644</v>
      </c>
      <c r="AM257" s="73" t="str">
        <f t="shared" si="105"/>
        <v>PASS</v>
      </c>
      <c r="AN257" s="908" t="str">
        <f t="shared" si="84"/>
        <v/>
      </c>
      <c r="AO257" s="919">
        <f t="shared" si="85"/>
        <v>79</v>
      </c>
      <c r="AP257" s="919">
        <f t="shared" si="86"/>
        <v>21333.333333333336</v>
      </c>
      <c r="AQ257" s="919"/>
      <c r="AR257" s="919" cm="1">
        <f t="array" ref="AR257">IFERROR(_xlfn.LET(_xlpm.lam,TEXT(B257,"0"),_xlpm.thick,D257,_xlpm.crit,(TEXT(HELPER!$BZ$2:$BZ$250,"0")=_xlpm.lam)*(HELPER!$CC$2:$CC$250=_xlpm.thick)*(HELPER!$BW$2:$BW$250&lt;&gt;""),_xlpm.mats,TRIM(SUBSTITUTE(_xlfn._xlws.FILTER(HELPER!$BW$2:$BW$250,_xlpm.crit),CHAR(160),"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")),HELPER!$AQ$2:$AQ$20,1),_xlpm.mass,IF(ISNUMBER(SEARCH("paper",_xlpm.mats)),42,_xlpm.dens*_xlpm.ths),E257/1000000*SUM(_xlpm.mass)),"")</f>
        <v>6.3333E-2</v>
      </c>
      <c r="AS257" s="919">
        <f>IFERROR(IF(D257&gt;31,(5%+250/P257)*AF257,VLOOKUP(D257,HELPER!$BH$3:$BI$5,2,TRUE)*AF257),0)</f>
        <v>0.50658860674076545</v>
      </c>
      <c r="AT257" s="919">
        <v>0.15000000000000199</v>
      </c>
      <c r="AU257" s="919"/>
      <c r="AV257" s="919"/>
      <c r="AW257" s="919"/>
      <c r="AX257" s="919"/>
      <c r="AY257" s="919"/>
      <c r="AZ257" s="919">
        <f t="shared" si="87"/>
        <v>10080</v>
      </c>
    </row>
  </sheetData>
  <mergeCells count="3">
    <mergeCell ref="A1:AN1"/>
    <mergeCell ref="A2:AN2"/>
    <mergeCell ref="A3:AN3"/>
  </mergeCells>
  <conditionalFormatting sqref="AM6:AM257">
    <cfRule type="expression" dxfId="9" priority="1">
      <formula>AM6="CHECK"</formula>
    </cfRule>
    <cfRule type="expression" dxfId="8" priority="2">
      <formula>AM6="PASS"</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252F-6A09-46E2-B2A1-7FD9040124C1}">
  <dimension ref="A1:DR256"/>
  <sheetViews>
    <sheetView topLeftCell="AH31" zoomScale="70" zoomScaleNormal="70" workbookViewId="0">
      <selection activeCell="AP51" sqref="AP51"/>
    </sheetView>
  </sheetViews>
  <sheetFormatPr defaultRowHeight="15"/>
  <cols>
    <col min="1" max="2" width="22.7109375" bestFit="1" customWidth="1"/>
    <col min="3" max="3" width="22.7109375" style="2" bestFit="1" customWidth="1"/>
    <col min="4" max="4" width="22.7109375" bestFit="1" customWidth="1"/>
    <col min="5" max="5" width="20.28515625" bestFit="1" customWidth="1"/>
    <col min="6" max="6" width="46.5703125" style="10" bestFit="1" customWidth="1"/>
    <col min="7" max="7" width="38.5703125" bestFit="1" customWidth="1"/>
    <col min="8" max="8" width="1.7109375" customWidth="1"/>
    <col min="9" max="9" width="12" bestFit="1" customWidth="1"/>
    <col min="10" max="10" width="1.140625" customWidth="1"/>
    <col min="11" max="11" width="7.42578125" bestFit="1" customWidth="1"/>
    <col min="12" max="12" width="0.85546875" customWidth="1"/>
    <col min="13" max="13" width="10.42578125" bestFit="1" customWidth="1"/>
    <col min="14" max="14" width="1.5703125" customWidth="1"/>
    <col min="15" max="15" width="10.42578125" bestFit="1" customWidth="1"/>
    <col min="16" max="16" width="21.5703125" bestFit="1" customWidth="1"/>
    <col min="17" max="17" width="19" customWidth="1"/>
    <col min="18" max="18" width="21.28515625" customWidth="1"/>
    <col min="19" max="19" width="36" customWidth="1"/>
    <col min="20" max="20" width="11" bestFit="1" customWidth="1"/>
    <col min="21" max="21" width="1.7109375" customWidth="1"/>
    <col min="22" max="22" width="10.42578125" customWidth="1"/>
    <col min="23" max="23" width="1.42578125" customWidth="1"/>
    <col min="24" max="24" width="15.5703125" bestFit="1" customWidth="1"/>
    <col min="25" max="25" width="1.140625" customWidth="1"/>
    <col min="26" max="26" width="19.42578125" bestFit="1" customWidth="1"/>
    <col min="27" max="27" width="1.7109375" customWidth="1"/>
    <col min="28" max="28" width="10.42578125" bestFit="1" customWidth="1"/>
    <col min="29" max="29" width="3" customWidth="1"/>
    <col min="30" max="30" width="8" bestFit="1" customWidth="1"/>
    <col min="31" max="31" width="3.140625" customWidth="1"/>
    <col min="32" max="32" width="32.140625" customWidth="1"/>
    <col min="33" max="33" width="33.140625" customWidth="1"/>
    <col min="34" max="34" width="22.42578125" bestFit="1" customWidth="1"/>
    <col min="35" max="35" width="2.28515625" customWidth="1"/>
    <col min="36" max="36" width="6.85546875" bestFit="1" customWidth="1"/>
    <col min="37" max="37" width="4.85546875" bestFit="1" customWidth="1"/>
    <col min="38" max="38" width="3.42578125" customWidth="1"/>
    <col min="39" max="39" width="6" bestFit="1" customWidth="1"/>
    <col min="40" max="40" width="7.140625" bestFit="1" customWidth="1"/>
    <col min="41" max="41" width="2.140625" customWidth="1"/>
    <col min="42" max="42" width="22.7109375" bestFit="1" customWidth="1"/>
    <col min="43" max="43" width="7.42578125" bestFit="1" customWidth="1"/>
    <col min="44" max="44" width="5.85546875" customWidth="1"/>
    <col min="45" max="45" width="13.7109375" bestFit="1" customWidth="1"/>
    <col min="46" max="46" width="9.28515625" bestFit="1" customWidth="1"/>
    <col min="48" max="48" width="12.28515625" style="2" bestFit="1" customWidth="1"/>
    <col min="49" max="49" width="21.7109375" style="2" bestFit="1" customWidth="1"/>
    <col min="50" max="50" width="25.28515625" style="2" bestFit="1" customWidth="1"/>
    <col min="51" max="51" width="22.140625" style="549" bestFit="1" customWidth="1"/>
    <col min="52" max="52" width="19.5703125" style="2" bestFit="1" customWidth="1"/>
    <col min="53" max="53" width="19.28515625" style="2" bestFit="1" customWidth="1"/>
    <col min="54" max="54" width="12" style="2" bestFit="1" customWidth="1"/>
    <col min="55" max="55" width="9.5703125" style="2" bestFit="1" customWidth="1"/>
    <col min="56" max="56" width="20" style="2" bestFit="1" customWidth="1"/>
    <col min="58" max="58" width="30" customWidth="1"/>
    <col min="59" max="59" width="13.28515625" customWidth="1"/>
    <col min="60" max="60" width="17.28515625" customWidth="1"/>
    <col min="61" max="61" width="11.85546875" customWidth="1"/>
    <col min="62" max="62" width="13.28515625" customWidth="1"/>
    <col min="63" max="63" width="16.42578125" customWidth="1"/>
    <col min="64" max="65" width="13.28515625" customWidth="1"/>
    <col min="66" max="66" width="20" customWidth="1"/>
    <col min="67" max="67" width="32.7109375" customWidth="1"/>
    <col min="68" max="68" width="13.28515625" customWidth="1"/>
    <col min="69" max="69" width="29.140625" customWidth="1"/>
    <col min="70" max="70" width="13.5703125" customWidth="1"/>
    <col min="71" max="72" width="13.28515625" customWidth="1"/>
    <col min="73" max="73" width="17.28515625" style="2" customWidth="1"/>
    <col min="74" max="74" width="19.140625" customWidth="1"/>
    <col min="75" max="75" width="30.85546875" customWidth="1"/>
    <col min="76" max="76" width="16.42578125" customWidth="1"/>
    <col min="77" max="77" width="17.28515625" customWidth="1"/>
    <col min="78" max="78" width="17.28515625" style="2" customWidth="1"/>
    <col min="80" max="80" width="20" customWidth="1"/>
    <col min="81" max="81" width="20.85546875" customWidth="1"/>
    <col min="82" max="84" width="21.85546875" customWidth="1"/>
    <col min="86" max="86" width="19.140625" bestFit="1" customWidth="1"/>
    <col min="87" max="87" width="29.7109375" bestFit="1" customWidth="1"/>
    <col min="89" max="89" width="13.42578125" bestFit="1" customWidth="1"/>
    <col min="90" max="90" width="12" bestFit="1" customWidth="1"/>
    <col min="91" max="91" width="10.42578125" bestFit="1" customWidth="1"/>
    <col min="92" max="92" width="15.28515625" bestFit="1" customWidth="1"/>
    <col min="93" max="93" width="12.28515625" bestFit="1" customWidth="1"/>
    <col min="94" max="94" width="62.42578125" bestFit="1" customWidth="1"/>
    <col min="96" max="96" width="11.5703125" bestFit="1" customWidth="1"/>
    <col min="97" max="97" width="8.85546875" bestFit="1" customWidth="1"/>
    <col min="98" max="98" width="9.28515625" bestFit="1" customWidth="1"/>
    <col min="99" max="99" width="11.85546875" bestFit="1" customWidth="1"/>
    <col min="100" max="100" width="45.85546875" bestFit="1" customWidth="1"/>
    <col min="105" max="105" width="22.140625" bestFit="1" customWidth="1"/>
    <col min="107" max="107" width="11" bestFit="1" customWidth="1"/>
    <col min="109" max="109" width="19.85546875" bestFit="1" customWidth="1"/>
    <col min="113" max="113" width="14.5703125" bestFit="1" customWidth="1"/>
    <col min="114" max="114" width="19.42578125" customWidth="1"/>
    <col min="115" max="115" width="13.140625" bestFit="1" customWidth="1"/>
    <col min="116" max="116" width="11.85546875" bestFit="1" customWidth="1"/>
    <col min="117" max="117" width="14" bestFit="1" customWidth="1"/>
    <col min="118" max="118" width="34.5703125" bestFit="1" customWidth="1"/>
    <col min="119" max="119" width="28.28515625" bestFit="1" customWidth="1"/>
  </cols>
  <sheetData>
    <row r="1" spans="1:122" ht="30" customHeight="1">
      <c r="A1" s="36" t="s">
        <v>3</v>
      </c>
      <c r="B1" s="36" t="s">
        <v>22</v>
      </c>
      <c r="C1" s="37" t="s">
        <v>72</v>
      </c>
      <c r="D1" s="36" t="s">
        <v>21</v>
      </c>
      <c r="E1" s="36" t="s">
        <v>91</v>
      </c>
      <c r="G1" s="18" t="s">
        <v>49</v>
      </c>
      <c r="I1" s="18" t="s">
        <v>4</v>
      </c>
      <c r="K1" s="18" t="s">
        <v>57</v>
      </c>
      <c r="M1" s="18" t="s">
        <v>66</v>
      </c>
      <c r="O1" s="18" t="s">
        <v>60</v>
      </c>
      <c r="P1" s="18" t="s">
        <v>500</v>
      </c>
      <c r="Q1" s="18" t="s">
        <v>109</v>
      </c>
      <c r="T1" s="18" t="s">
        <v>110</v>
      </c>
      <c r="V1" s="18" t="s">
        <v>111</v>
      </c>
      <c r="X1" s="18" t="s">
        <v>112</v>
      </c>
      <c r="Z1" s="18" t="s">
        <v>126</v>
      </c>
      <c r="AB1" s="18" t="s">
        <v>127</v>
      </c>
      <c r="AD1" s="18" t="s">
        <v>114</v>
      </c>
      <c r="AF1" s="18" t="s">
        <v>547</v>
      </c>
      <c r="AG1" s="18" t="s">
        <v>557</v>
      </c>
      <c r="AH1" s="18" t="s">
        <v>129</v>
      </c>
      <c r="AJ1" s="1134" t="s">
        <v>146</v>
      </c>
      <c r="AK1" s="1135"/>
      <c r="AM1" s="1134" t="s">
        <v>64</v>
      </c>
      <c r="AN1" s="1135"/>
      <c r="AP1" s="18" t="s">
        <v>54</v>
      </c>
      <c r="AQ1" s="18" t="s">
        <v>57</v>
      </c>
      <c r="AS1" s="1136" t="s">
        <v>157</v>
      </c>
      <c r="AT1" s="1137"/>
      <c r="AV1" s="542" t="s">
        <v>158</v>
      </c>
      <c r="AW1" s="542" t="s">
        <v>1054</v>
      </c>
      <c r="AX1" s="542" t="s">
        <v>1055</v>
      </c>
      <c r="AY1" s="542" t="s">
        <v>1056</v>
      </c>
      <c r="AZ1" s="542" t="s">
        <v>1057</v>
      </c>
      <c r="BA1" s="542" t="s">
        <v>1058</v>
      </c>
      <c r="BB1" s="542" t="s">
        <v>90</v>
      </c>
      <c r="BC1" s="542" t="s">
        <v>1059</v>
      </c>
      <c r="BD1" s="543" t="s">
        <v>1066</v>
      </c>
      <c r="BF1" s="553" t="s">
        <v>1074</v>
      </c>
      <c r="BG1" s="554"/>
      <c r="BH1" s="1138" t="s">
        <v>501</v>
      </c>
      <c r="BI1" s="1138"/>
      <c r="BJ1" s="554"/>
      <c r="BK1" s="555" t="s">
        <v>559</v>
      </c>
      <c r="BL1" s="554"/>
      <c r="BM1" s="554"/>
      <c r="BN1" s="555" t="s">
        <v>562</v>
      </c>
      <c r="BO1" s="555" t="s">
        <v>563</v>
      </c>
      <c r="BP1" s="556"/>
      <c r="BQ1" s="557" t="s">
        <v>565</v>
      </c>
      <c r="BR1" s="557" t="s">
        <v>4</v>
      </c>
      <c r="BS1" s="556"/>
      <c r="BT1" s="556"/>
      <c r="BU1" s="558" t="s">
        <v>1061</v>
      </c>
      <c r="BV1" s="558" t="s">
        <v>1062</v>
      </c>
      <c r="BW1" s="558" t="s">
        <v>1055</v>
      </c>
      <c r="BX1" s="558" t="s">
        <v>1063</v>
      </c>
      <c r="BY1" s="558" t="s">
        <v>1057</v>
      </c>
      <c r="BZ1" s="558" t="s">
        <v>568</v>
      </c>
      <c r="CA1" s="558" t="s">
        <v>1064</v>
      </c>
      <c r="CB1" s="558" t="s">
        <v>584</v>
      </c>
      <c r="CC1" s="558" t="s">
        <v>586</v>
      </c>
      <c r="CD1" s="558" t="s">
        <v>1071</v>
      </c>
      <c r="CE1" s="558" t="s">
        <v>1072</v>
      </c>
      <c r="CF1" s="558" t="s">
        <v>1073</v>
      </c>
      <c r="CG1" s="558" t="s">
        <v>1064</v>
      </c>
      <c r="CH1" s="558" t="s">
        <v>1065</v>
      </c>
      <c r="CI1" s="510" t="s">
        <v>1093</v>
      </c>
      <c r="CJ1" s="510" t="s">
        <v>1094</v>
      </c>
      <c r="CK1" s="596" t="s">
        <v>267</v>
      </c>
      <c r="CL1" s="446" t="s">
        <v>1002</v>
      </c>
      <c r="CM1" s="446" t="s">
        <v>999</v>
      </c>
      <c r="CN1" s="446" t="s">
        <v>1000</v>
      </c>
      <c r="CO1" s="446" t="s">
        <v>927</v>
      </c>
      <c r="CP1" s="446" t="s">
        <v>1001</v>
      </c>
      <c r="CQ1" s="446" t="s">
        <v>1095</v>
      </c>
      <c r="CR1" t="s">
        <v>158</v>
      </c>
      <c r="CS1" t="s">
        <v>1031</v>
      </c>
      <c r="CT1" t="s">
        <v>953</v>
      </c>
      <c r="CU1" t="s">
        <v>203</v>
      </c>
      <c r="CV1" t="s">
        <v>1032</v>
      </c>
      <c r="CW1" s="510" t="s">
        <v>1093</v>
      </c>
      <c r="CX1" s="510" t="s">
        <v>1094</v>
      </c>
      <c r="CY1" s="510" t="s">
        <v>1095</v>
      </c>
      <c r="DA1" s="631" t="s">
        <v>1146</v>
      </c>
      <c r="DB1" s="620">
        <v>300</v>
      </c>
      <c r="DC1" s="597"/>
      <c r="DE1" s="597" t="s">
        <v>1099</v>
      </c>
      <c r="DF1" t="s">
        <v>1216</v>
      </c>
      <c r="DG1" t="s">
        <v>1217</v>
      </c>
      <c r="DH1" t="s">
        <v>1218</v>
      </c>
      <c r="DI1" s="446" t="s">
        <v>1250</v>
      </c>
      <c r="DJ1" s="446" t="s">
        <v>1251</v>
      </c>
      <c r="DK1" s="446" t="s">
        <v>4</v>
      </c>
      <c r="DL1" s="446" t="s">
        <v>1252</v>
      </c>
      <c r="DM1" s="596" t="s">
        <v>1253</v>
      </c>
      <c r="DN1" s="958" t="s">
        <v>2178</v>
      </c>
      <c r="DO1" s="959" t="s">
        <v>2324</v>
      </c>
      <c r="DP1" s="632" t="s">
        <v>2344</v>
      </c>
      <c r="DQ1" s="978">
        <v>0.5</v>
      </c>
      <c r="DR1" s="632" t="s">
        <v>2345</v>
      </c>
    </row>
    <row r="2" spans="1:122" ht="48" customHeight="1">
      <c r="A2" s="19" t="s">
        <v>13</v>
      </c>
      <c r="B2" s="19" t="s">
        <v>73</v>
      </c>
      <c r="C2" s="19" t="s">
        <v>74</v>
      </c>
      <c r="D2" s="19" t="s">
        <v>33</v>
      </c>
      <c r="E2" s="19">
        <v>3.17</v>
      </c>
      <c r="G2" s="5">
        <v>0.2</v>
      </c>
      <c r="I2">
        <v>20</v>
      </c>
      <c r="K2">
        <v>1.25</v>
      </c>
      <c r="M2" s="5">
        <v>0.3</v>
      </c>
      <c r="O2" s="9">
        <v>0.15</v>
      </c>
      <c r="P2" s="95">
        <v>50000</v>
      </c>
      <c r="Q2" t="s">
        <v>116</v>
      </c>
      <c r="T2" t="s">
        <v>120</v>
      </c>
      <c r="V2" t="s">
        <v>123</v>
      </c>
      <c r="X2" s="172" t="s">
        <v>221</v>
      </c>
      <c r="Z2">
        <v>300</v>
      </c>
      <c r="AB2">
        <v>300</v>
      </c>
      <c r="AD2" s="41">
        <v>0.16900000000000001</v>
      </c>
      <c r="AF2" t="s">
        <v>550</v>
      </c>
      <c r="AH2" s="989">
        <v>5.4</v>
      </c>
      <c r="AJ2" t="s">
        <v>145</v>
      </c>
      <c r="AK2">
        <v>1.1599999999999999</v>
      </c>
      <c r="AM2" s="34">
        <v>0</v>
      </c>
      <c r="AN2" s="65">
        <v>0.25</v>
      </c>
      <c r="AP2" s="5" t="str" cm="1">
        <f t="array" ref="AP2">IFERROR(INDEX(_xlfn._xlws.FILTER(Table3[Film],LEFT(Table3[Film],4)="TIPA"),1),"")</f>
        <v>TIPA 302FG</v>
      </c>
      <c r="AQ2">
        <v>1.25</v>
      </c>
      <c r="AS2" s="38" t="s">
        <v>152</v>
      </c>
      <c r="AT2" s="38" t="s">
        <v>153</v>
      </c>
      <c r="AV2" s="544">
        <v>608</v>
      </c>
      <c r="AW2" s="545">
        <v>100</v>
      </c>
      <c r="AX2" s="544" t="s">
        <v>168</v>
      </c>
      <c r="AY2" s="545">
        <v>23</v>
      </c>
      <c r="AZ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 s="544"/>
      <c r="BB2" s="544"/>
      <c r="BC2" s="544" t="s">
        <v>1060</v>
      </c>
      <c r="BD2" s="546">
        <v>0.103333333333333</v>
      </c>
      <c r="BF2" s="1139" t="s">
        <v>1067</v>
      </c>
      <c r="BG2" s="1140"/>
      <c r="BH2" s="1140"/>
      <c r="BI2" s="1140"/>
      <c r="BJ2" s="1140"/>
      <c r="BK2" s="1140"/>
      <c r="BL2" s="1140"/>
      <c r="BM2" s="1140"/>
      <c r="BN2" s="1140"/>
      <c r="BO2" s="1141"/>
      <c r="BP2" s="556"/>
      <c r="BQ2" s="559"/>
      <c r="BR2" s="560"/>
      <c r="BS2" s="556"/>
      <c r="BT2" s="556"/>
      <c r="BU2" s="561" cm="1">
        <f t="array" ref="BU2">IFERROR(_xlfn.LET(_xlpm.i,ROWS($BU$2:BU2),_xlpm.cur,INDEX(tblLaminateStructures[Laminate],_xlpm.i),_xlpm.prev,IF(_xlpm.i=1,"",INDEX(tblLaminateStructures[Laminate],_xlpm.i-1)),IF(_xlpm.cur&lt;&gt;_xlpm.prev,_xlpm.cur,"")),"")</f>
        <v>608</v>
      </c>
      <c r="BV2" s="562" cm="1">
        <f t="array" ref="BV2">IFERROR(_xlfn.LET(_xlpm.i,ROWS($BV$2:BV2),_xlpm.cur,INDEX(tblLaminateStructures[Total Thickness (µ)],_xlpm.i),_xlpm.prev,IF(_xlpm.i=1,"",INDEX(tblLaminateStructures[Total Thickness (µ)],_xlpm.i-1)),IF(OR(_xlpm.cur&lt;&gt;_xlpm.prev,BU2&lt;&gt;""),_xlpm.cur,"")),"")</f>
        <v>100</v>
      </c>
      <c r="BW2" s="563" t="str" cm="1">
        <f t="array" ref="BW2">IFERROR(INDEX(tblLaminateStructures[Material / Layer],ROWS($BW$2:BW2)),"")</f>
        <v>NK</v>
      </c>
      <c r="BX2" s="562" cm="1">
        <f t="array" ref="BX2">IFERROR(INDEX(tblLaminateStructures[Layer Thickness (µ)],ROWS($BX$2:BX2)),"")</f>
        <v>23</v>
      </c>
      <c r="BY2" s="562" cm="1">
        <f t="array" ref="BY2">IFERROR(INDEX(tblLaminateStructures[Structure Check],ROWS($BY$2:BY2)),"")</f>
        <v>100</v>
      </c>
      <c r="BZ2" s="563" cm="1">
        <f t="array" ref="BZ2">IFERROR(INDEX(tblLaminateStructures[Laminate],ROWS($BZ$2:BZ2)),"")</f>
        <v>608</v>
      </c>
      <c r="CA2" s="563"/>
      <c r="CB2" s="563" cm="1">
        <f t="array" ref="CB2:CB22">_xlfn._xlws.SORT(_xlfn.UNIQUE(_xlfn._xlws.FILTER(tblLaminateStructures[Laminate],tblLaminateStructures[Laminate]&lt;&gt;"")))</f>
        <v>120</v>
      </c>
      <c r="CC2" s="562" cm="1">
        <f t="array" ref="CC2">IFERROR(INDEX(tblLaminateStructures[Total Thickness (µ)],ROWS($CC$2:CC2)),"")</f>
        <v>100</v>
      </c>
      <c r="CD2" s="562" cm="1">
        <f t="array" ref="CD2">_xlfn._xlws.SORT(_xlfn.UNIQUE(_xlfn._xlws.FILTER(tblLaminateStructures[Total Thickness (µ)],(TEXT(tblLaminateStructures[Laminate],"0")=TEXT(Laminates!$AH$3,"0"))*(tblLaminateStructures[Total Thickness (µ)]&lt;&gt;""))))</f>
        <v>80</v>
      </c>
      <c r="CE2" s="562" cm="1">
        <f t="array" ref="CE2">_xlfn._xlws.SORT(_xlfn.UNIQUE(_xlfn._xlws.FILTER(tblLaminateStructures[Total Thickness (µ)],(TEXT(tblLaminateStructures[Laminate],"0")=TEXT(Laminates!$AL$3,"0"))*(tblLaminateStructures[Total Thickness (µ)]&lt;&gt;""))))</f>
        <v>80</v>
      </c>
      <c r="CF2" s="562" cm="1">
        <f t="array" ref="CF2">_xlfn._xlws.SORT(_xlfn.UNIQUE(_xlfn._xlws.FILTER(tblLaminateStructures[Total Thickness (µ)],(TEXT(tblLaminateStructures[Laminate],"0")=TEXT(Laminates!$AP$3,"0"))*(tblLaminateStructures[Total Thickness (µ)]&lt;&gt;""))))</f>
        <v>80</v>
      </c>
      <c r="CG2" s="563"/>
      <c r="CH2" s="564">
        <f>$BD$2</f>
        <v>0.103333333333333</v>
      </c>
      <c r="CI2" cm="1">
        <f t="array" ref="CI2">_xlfn._xlws.SORT(_xlfn.UNIQUE(_xlfn._xlws.FILTER($CC$2:$CC$250,(TEXT($BZ$2:$BZ$250,"0")=TEXT(Pouches!AH52,"0"))*($CC$2:$CC$250&lt;&gt;""),"")))</f>
        <v>80</v>
      </c>
      <c r="CJ2" cm="1">
        <f t="array" ref="CJ2">_xlfn._xlws.SORT(_xlfn.UNIQUE(_xlfn._xlws.FILTER($CC$2:$CC$250,(TEXT($BZ$2:$BZ$250,"0")=TEXT(Pouches!AL52,"0"))*($CC$2:$CC$250&lt;&gt;""),"")))</f>
        <v>80</v>
      </c>
      <c r="CK2" t="s">
        <v>0</v>
      </c>
      <c r="CL2" s="253">
        <v>6.6535064000000004</v>
      </c>
      <c r="CN2" s="253" cm="1">
        <f t="array" ref="CN2">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2" s="253">
        <f>IF(tblFilmAdditivePricing[[#This Row],[FILM]]="","",IF(tblFilmAdditivePricing[[#This Row],[FILM Price]]="","",tblFilmAdditivePricing[[#This Row],[FILM Price]]+IF(tblFilmAdditivePricing[[#This Row],[Additive Price]]="",0,tblFilmAdditivePricing[[#This Row],[Additive Price]])))</f>
        <v>6.6535064000000004</v>
      </c>
      <c r="CP2" s="50" t="s">
        <v>1009</v>
      </c>
      <c r="CQ2" s="253" cm="1">
        <f t="array" ref="CQ2">_xlfn._xlws.SORT(_xlfn.UNIQUE(_xlfn._xlws.FILTER($CC$2:$CC$250,(TRIM($BZ$2:$BZ$250&amp;"")=TRIM(Pouches!AP52&amp;""))*($CC$2:$CC$250&lt;&gt;""),"")))</f>
        <v>80</v>
      </c>
      <c r="CR2" t="e">
        <f>TRIM(#REF!)</f>
        <v>#REF!</v>
      </c>
      <c r="CS2" s="95">
        <v>500000</v>
      </c>
      <c r="CT2" s="95" t="e">
        <f>#REF!</f>
        <v>#REF!</v>
      </c>
      <c r="CU2" s="95" t="e">
        <f>#REF!</f>
        <v>#REF!</v>
      </c>
      <c r="CV2" s="50" t="s">
        <v>1033</v>
      </c>
      <c r="CW2" t="str" cm="1">
        <f t="array" ref="CW2">IF(OR(TRIM(Pouches!$AH$52&amp;"")="618",TRIM(Pouches!$AH$52&amp;"")="618 W"),106,IF(5=1,IFERROR(INDEX(_xlfn._xlws.FILTER(tblLaminateStructures[Total Thickness (µ)],(TRIM(tblLaminateStructures[Laminate]&amp;"")=TRIM(Pouches!$AH$52&amp;""))*(tblLaminateStructures[Total Thickness (µ)]&lt;&gt;"")),1),""),""))</f>
        <v/>
      </c>
      <c r="CX2" t="str" cm="1">
        <f t="array" ref="CX2">IF(OR(TRIM(Pouches!$AL$52&amp;"")="618",TRIM(Pouches!$AL$52&amp;"")="618 W"),106,IF(5=1,IFERROR(INDEX(_xlfn._xlws.FILTER(tblLaminateStructures[Total Thickness (µ)],(TRIM(tblLaminateStructures[Laminate]&amp;"")=TRIM(Pouches!$AL$52&amp;""))*(tblLaminateStructures[Total Thickness (µ)]&lt;&gt;"")),1),""),""))</f>
        <v/>
      </c>
      <c r="CY2" t="str" cm="1">
        <f t="array" ref="CY2">IF(OR(TRIM(Pouches!$AP$52&amp;"")="618",TRIM(Pouches!$AP$52&amp;"")="618 W"),106,IF(5=1,IFERROR(INDEX(_xlfn._xlws.FILTER(tblLaminateStructures[Total Thickness (µ)],(TRIM(tblLaminateStructures[Laminate]&amp;"")=TRIM(Pouches!$AP$52&amp;""))*(tblLaminateStructures[Total Thickness (µ)]&lt;&gt;"")),1),""),""))</f>
        <v/>
      </c>
      <c r="DC2" s="901">
        <v>0.14399999999999999</v>
      </c>
      <c r="DE2" s="598">
        <v>600</v>
      </c>
      <c r="DF2" cm="1">
        <f t="array" ref="DF2">_xlfn._xlws.SORT(_xlfn.UNIQUE(_xlfn._xlws.FILTER(tblLaminateStructures[Total Thickness (µ)],(TRIM(tblLaminateStructures[Laminate]&amp;"")=TRIM(Laminates!$AH$52&amp;""))*(tblLaminateStructures[Total Thickness (µ)]&lt;&gt;""),"")))</f>
        <v>80</v>
      </c>
      <c r="DG2" cm="1">
        <f t="array" ref="DG2">_xlfn._xlws.SORT(_xlfn.UNIQUE(_xlfn._xlws.FILTER(tblLaminateStructures[Total Thickness (µ)],(TRIM(tblLaminateStructures[Laminate]&amp;"")=TRIM(Laminates!$AL$52&amp;""))*(tblLaminateStructures[Total Thickness (µ)]&lt;&gt;""),"")))</f>
        <v>79</v>
      </c>
      <c r="DH2" cm="1">
        <f t="array" ref="DH2">_xlfn._xlws.SORT(_xlfn.UNIQUE(_xlfn._xlws.FILTER(tblLaminateStructures[Total Thickness (µ)],(TRIM(tblLaminateStructures[Laminate]&amp;"")=TRIM(Laminates!$AP$52&amp;""))*(tblLaminateStructures[Total Thickness (µ)]&lt;&gt;""),"")))</f>
        <v>121</v>
      </c>
      <c r="DI2" t="s">
        <v>116</v>
      </c>
      <c r="DJ2" t="s">
        <v>46</v>
      </c>
      <c r="DK2">
        <v>20</v>
      </c>
      <c r="DL2" s="173" t="s">
        <v>221</v>
      </c>
      <c r="DM2" t="s">
        <v>250</v>
      </c>
      <c r="DN2" s="925" t="s">
        <v>2179</v>
      </c>
      <c r="DO2" s="990">
        <v>1</v>
      </c>
    </row>
    <row r="3" spans="1:122" ht="45">
      <c r="A3" s="20" t="s">
        <v>13</v>
      </c>
      <c r="B3" s="20" t="s">
        <v>28</v>
      </c>
      <c r="C3" s="20" t="s">
        <v>75</v>
      </c>
      <c r="D3" s="20" t="s">
        <v>34</v>
      </c>
      <c r="E3" s="20">
        <v>3.17</v>
      </c>
      <c r="F3" s="168" t="s">
        <v>558</v>
      </c>
      <c r="G3" s="5">
        <v>0.6</v>
      </c>
      <c r="I3">
        <v>25</v>
      </c>
      <c r="O3" s="9">
        <v>1.1499999999999999</v>
      </c>
      <c r="Q3" t="s">
        <v>117</v>
      </c>
      <c r="T3" t="s">
        <v>121</v>
      </c>
      <c r="V3" t="s">
        <v>124</v>
      </c>
      <c r="X3" s="171" t="s">
        <v>591</v>
      </c>
      <c r="AF3" t="s">
        <v>2387</v>
      </c>
      <c r="AH3" s="165">
        <v>0.2</v>
      </c>
      <c r="AJ3" t="s">
        <v>147</v>
      </c>
      <c r="AK3">
        <v>1</v>
      </c>
      <c r="AM3" s="34">
        <v>501</v>
      </c>
      <c r="AN3" s="66">
        <v>0.2</v>
      </c>
      <c r="AP3" s="5" t="str" cm="1">
        <f t="array" ref="AP3">IFERROR(INDEX(_xlfn._xlws.FILTER(Table3[Film],LEFT(Table3[Film],4)="TIPA"),2),"")</f>
        <v>TIPA 302FG W</v>
      </c>
      <c r="AQ3">
        <v>1.25</v>
      </c>
      <c r="AS3" s="74">
        <v>50000</v>
      </c>
      <c r="AT3" s="4">
        <v>1.7</v>
      </c>
      <c r="AV3" s="544">
        <v>608</v>
      </c>
      <c r="AW3" s="545">
        <v>100</v>
      </c>
      <c r="AX3" s="544" t="s">
        <v>0</v>
      </c>
      <c r="AY3" s="545">
        <v>60</v>
      </c>
      <c r="AZ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3" s="544"/>
      <c r="BB3" s="544"/>
      <c r="BC3" s="544" t="s">
        <v>1060</v>
      </c>
      <c r="BD3" s="544"/>
      <c r="BF3" s="565" t="s">
        <v>240</v>
      </c>
      <c r="BG3" s="566"/>
      <c r="BH3" s="566">
        <v>0</v>
      </c>
      <c r="BI3" s="567">
        <v>7.4999999999999997E-2</v>
      </c>
      <c r="BJ3" s="566"/>
      <c r="BK3" s="566" t="s">
        <v>561</v>
      </c>
      <c r="BL3" s="566"/>
      <c r="BM3" s="566"/>
      <c r="BN3" s="566"/>
      <c r="BO3" s="568"/>
      <c r="BP3" s="556"/>
      <c r="BQ3" s="569" t="s">
        <v>0</v>
      </c>
      <c r="BR3" s="570">
        <v>25</v>
      </c>
      <c r="BS3" s="556"/>
      <c r="BT3" s="556"/>
      <c r="BU3" s="571" t="str" cm="1">
        <f t="array" ref="BU3">IFERROR(_xlfn.LET(_xlpm.i,ROWS($BU$2:BU3),_xlpm.cur,INDEX(tblLaminateStructures[Laminate],_xlpm.i),_xlpm.prev,IF(_xlpm.i=1,"",INDEX(tblLaminateStructures[Laminate],_xlpm.i-1)),IF(_xlpm.cur&lt;&gt;_xlpm.prev,_xlpm.cur,"")),"")</f>
        <v/>
      </c>
      <c r="BV3" s="572" t="str" cm="1">
        <f t="array" ref="BV3">IFERROR(_xlfn.LET(_xlpm.i,ROWS($BV$2:BV3),_xlpm.cur,INDEX(tblLaminateStructures[Total Thickness (µ)],_xlpm.i),_xlpm.prev,IF(_xlpm.i=1,"",INDEX(tblLaminateStructures[Total Thickness (µ)],_xlpm.i-1)),IF(OR(_xlpm.cur&lt;&gt;_xlpm.prev,BU3&lt;&gt;""),_xlpm.cur,"")),"")</f>
        <v/>
      </c>
      <c r="BW3" s="573" t="str" cm="1">
        <f t="array" ref="BW3">IFERROR(INDEX(tblLaminateStructures[Material / Layer],ROWS($BW$2:BW3)),"")</f>
        <v>TIPA 302FG</v>
      </c>
      <c r="BX3" s="572" cm="1">
        <f t="array" ref="BX3">IFERROR(INDEX(tblLaminateStructures[Layer Thickness (µ)],ROWS($BX$2:BX3)),"")</f>
        <v>60</v>
      </c>
      <c r="BY3" s="572" cm="1">
        <f t="array" ref="BY3">IFERROR(INDEX(tblLaminateStructures[Structure Check],ROWS($BY$2:BY3)),"")</f>
        <v>100</v>
      </c>
      <c r="BZ3" s="573" cm="1">
        <f t="array" ref="BZ3">IFERROR(INDEX(tblLaminateStructures[Laminate],ROWS($BZ$2:BZ3)),"")</f>
        <v>608</v>
      </c>
      <c r="CA3" s="573"/>
      <c r="CB3" s="573">
        <v>418</v>
      </c>
      <c r="CC3" s="572" cm="1">
        <f t="array" ref="CC3">IFERROR(INDEX(tblLaminateStructures[Total Thickness (µ)],ROWS($CC$2:CC3)),"")</f>
        <v>100</v>
      </c>
      <c r="CD3" s="572"/>
      <c r="CE3" s="572"/>
      <c r="CF3" s="572"/>
      <c r="CG3" s="573"/>
      <c r="CH3" s="574"/>
      <c r="CK3" t="s">
        <v>43</v>
      </c>
      <c r="CL3" s="253">
        <v>7.2467043000000002</v>
      </c>
      <c r="CN3" s="253" cm="1">
        <f t="array" ref="CN3">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3" s="253">
        <f>IF(tblFilmAdditivePricing[[#This Row],[FILM]]="","",IF(tblFilmAdditivePricing[[#This Row],[FILM Price]]="","",tblFilmAdditivePricing[[#This Row],[FILM Price]]+IF(tblFilmAdditivePricing[[#This Row],[Additive Price]]="",0,tblFilmAdditivePricing[[#This Row],[Additive Price]])))</f>
        <v>7.2467043000000002</v>
      </c>
      <c r="CP3" s="50" t="s">
        <v>1009</v>
      </c>
      <c r="CQ3" s="253" t="str" cm="1">
        <f t="array" ref="CQ3">_xlfn._xlws.SORT(_xlfn.UNIQUE(_xlfn._xlws.FILTER($CC$2:$CC$250,(TRIM($BZ$2:$BZ$250&amp;"")=TRIM(Pouches!AP53&amp;""))*($CC$2:$CC$250&lt;&gt;""),"")))</f>
        <v/>
      </c>
      <c r="CR3" t="e">
        <f>TRIM(#REF!)</f>
        <v>#REF!</v>
      </c>
      <c r="CS3" s="95">
        <v>1000000</v>
      </c>
      <c r="CT3" s="95" t="e">
        <f>#REF!</f>
        <v>#REF!</v>
      </c>
      <c r="CU3" s="95" t="e">
        <f>#REF!</f>
        <v>#REF!</v>
      </c>
      <c r="CV3" s="50" t="s">
        <v>1034</v>
      </c>
      <c r="CW3" t="str" cm="1">
        <f t="array" ref="CW3">IF(OR(TRIM(Pouches!$AH$52&amp;"")="618",TRIM(Pouches!$AH$52&amp;"")="618 W"),106,IF(5=1,IFERROR(INDEX(_xlfn._xlws.FILTER(tblLaminateStructures[Total Thickness (µ)],(TRIM(tblLaminateStructures[Laminate]&amp;"")=TRIM(Pouches!$AH$52&amp;""))*(tblLaminateStructures[Total Thickness (µ)]&lt;&gt;"")),1),""),""))</f>
        <v/>
      </c>
      <c r="CX3" t="str" cm="1">
        <f t="array" ref="CX3">IF(OR(TRIM(Pouches!$AL$52&amp;"")="618",TRIM(Pouches!$AL$52&amp;"")="618 W"),106,IF(5=1,IFERROR(INDEX(_xlfn._xlws.FILTER(tblLaminateStructures[Total Thickness (µ)],(TRIM(tblLaminateStructures[Laminate]&amp;"")=TRIM(Pouches!$AL$52&amp;""))*(tblLaminateStructures[Total Thickness (µ)]&lt;&gt;"")),1),""),""))</f>
        <v/>
      </c>
      <c r="CY3" t="str" cm="1">
        <f t="array" ref="CY3">IF(OR(TRIM(Pouches!$AP$52&amp;"")="618",TRIM(Pouches!$AP$52&amp;"")="618 W"),106,IF(5=1,IFERROR(INDEX(_xlfn._xlws.FILTER(tblLaminateStructures[Total Thickness (µ)],(TRIM(tblLaminateStructures[Laminate]&amp;"")=TRIM(Pouches!$AP$52&amp;""))*(tblLaminateStructures[Total Thickness (µ)]&lt;&gt;"")),1),""),""))</f>
        <v/>
      </c>
      <c r="DI3" t="s">
        <v>117</v>
      </c>
      <c r="DJ3" t="s">
        <v>47</v>
      </c>
      <c r="DK3">
        <v>25</v>
      </c>
      <c r="DL3" s="173" t="s">
        <v>591</v>
      </c>
      <c r="DM3" t="s">
        <v>240</v>
      </c>
      <c r="DN3" s="926" t="s">
        <v>2180</v>
      </c>
      <c r="DO3" s="991">
        <v>1</v>
      </c>
    </row>
    <row r="4" spans="1:122" ht="45">
      <c r="A4" s="19" t="s">
        <v>14</v>
      </c>
      <c r="B4" s="19" t="s">
        <v>23</v>
      </c>
      <c r="C4" s="19" t="s">
        <v>76</v>
      </c>
      <c r="D4" s="19" t="s">
        <v>35</v>
      </c>
      <c r="E4" s="19">
        <v>1.81</v>
      </c>
      <c r="F4" s="10">
        <v>2.8</v>
      </c>
      <c r="I4">
        <v>30</v>
      </c>
      <c r="O4" s="9">
        <v>510</v>
      </c>
      <c r="Q4" t="s">
        <v>118</v>
      </c>
      <c r="X4" s="172" t="s">
        <v>122</v>
      </c>
      <c r="AF4" s="1133" t="s">
        <v>548</v>
      </c>
      <c r="AG4" s="166">
        <v>1000</v>
      </c>
      <c r="AH4" s="165">
        <v>3448.2758620689701</v>
      </c>
      <c r="AM4" s="34">
        <v>1001</v>
      </c>
      <c r="AN4" s="65">
        <v>0.18</v>
      </c>
      <c r="AP4" s="5" t="str" cm="1">
        <f t="array" ref="AP4">IFERROR(INDEX(_xlfn._xlws.FILTER(Table3[Film],LEFT(Table3[Film],4)="TIPA"),3),"")</f>
        <v>TIPA 306M</v>
      </c>
      <c r="AQ4">
        <v>1.25</v>
      </c>
      <c r="AS4" s="74">
        <v>100000</v>
      </c>
      <c r="AT4" s="4">
        <v>1.5</v>
      </c>
      <c r="AV4" s="544">
        <v>608</v>
      </c>
      <c r="AW4" s="545">
        <v>100</v>
      </c>
      <c r="AX4" s="544" t="s">
        <v>14</v>
      </c>
      <c r="AY4" s="545">
        <v>17</v>
      </c>
      <c r="AZ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4" s="544"/>
      <c r="BB4" s="544"/>
      <c r="BC4" s="544" t="s">
        <v>1060</v>
      </c>
      <c r="BD4" s="544"/>
      <c r="BF4" s="565"/>
      <c r="BG4" s="566"/>
      <c r="BH4" s="566">
        <v>26</v>
      </c>
      <c r="BI4" s="575">
        <v>0.05</v>
      </c>
      <c r="BJ4" s="566"/>
      <c r="BK4" s="566" t="s">
        <v>1040</v>
      </c>
      <c r="BL4" s="576"/>
      <c r="BM4" s="577"/>
      <c r="BN4" s="566"/>
      <c r="BO4" s="568"/>
      <c r="BP4" s="556"/>
      <c r="BQ4" s="569" t="s">
        <v>43</v>
      </c>
      <c r="BR4" s="570">
        <v>25</v>
      </c>
      <c r="BS4" s="556"/>
      <c r="BT4" s="556"/>
      <c r="BU4" s="571" t="str" cm="1">
        <f t="array" ref="BU4">IFERROR(_xlfn.LET(_xlpm.i,ROWS($BU$2:BU4),_xlpm.cur,INDEX(tblLaminateStructures[Laminate],_xlpm.i),_xlpm.prev,IF(_xlpm.i=1,"",INDEX(tblLaminateStructures[Laminate],_xlpm.i-1)),IF(_xlpm.cur&lt;&gt;_xlpm.prev,_xlpm.cur,"")),"")</f>
        <v/>
      </c>
      <c r="BV4" s="572" t="str" cm="1">
        <f t="array" ref="BV4">IFERROR(_xlfn.LET(_xlpm.i,ROWS($BV$2:BV4),_xlpm.cur,INDEX(tblLaminateStructures[Total Thickness (µ)],_xlpm.i),_xlpm.prev,IF(_xlpm.i=1,"",INDEX(tblLaminateStructures[Total Thickness (µ)],_xlpm.i-1)),IF(OR(_xlpm.cur&lt;&gt;_xlpm.prev,BU4&lt;&gt;""),_xlpm.cur,"")),"")</f>
        <v/>
      </c>
      <c r="BW4" s="573" t="str" cm="1">
        <f t="array" ref="BW4">IFERROR(INDEX(tblLaminateStructures[Material / Layer],ROWS($BW$2:BW4)),"")</f>
        <v>PBAT</v>
      </c>
      <c r="BX4" s="572" cm="1">
        <f t="array" ref="BX4">IFERROR(INDEX(tblLaminateStructures[Layer Thickness (µ)],ROWS($BX$2:BX4)),"")</f>
        <v>17</v>
      </c>
      <c r="BY4" s="572" cm="1">
        <f t="array" ref="BY4">IFERROR(INDEX(tblLaminateStructures[Structure Check],ROWS($BY$2:BY4)),"")</f>
        <v>100</v>
      </c>
      <c r="BZ4" s="573" cm="1">
        <f t="array" ref="BZ4">IFERROR(INDEX(tblLaminateStructures[Laminate],ROWS($BZ$2:BZ4)),"")</f>
        <v>608</v>
      </c>
      <c r="CA4" s="573"/>
      <c r="CB4" s="573">
        <v>428</v>
      </c>
      <c r="CC4" s="572" cm="1">
        <f t="array" ref="CC4">IFERROR(INDEX(tblLaminateStructures[Total Thickness (µ)],ROWS($CC$2:CC4)),"")</f>
        <v>100</v>
      </c>
      <c r="CD4" s="572"/>
      <c r="CE4" s="572"/>
      <c r="CF4" s="572"/>
      <c r="CG4" s="573"/>
      <c r="CK4" t="s">
        <v>44</v>
      </c>
      <c r="CL4" s="253">
        <v>7.2316977500000004</v>
      </c>
      <c r="CN4" s="253" cm="1">
        <f t="array" ref="CN4">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4" s="253">
        <f>IF(tblFilmAdditivePricing[[#This Row],[FILM]]="","",IF(tblFilmAdditivePricing[[#This Row],[FILM Price]]="","",tblFilmAdditivePricing[[#This Row],[FILM Price]]+IF(tblFilmAdditivePricing[[#This Row],[Additive Price]]="",0,tblFilmAdditivePricing[[#This Row],[Additive Price]])))</f>
        <v>7.2316977500000004</v>
      </c>
      <c r="CP4" s="50" t="s">
        <v>1009</v>
      </c>
      <c r="CQ4" s="253" t="str" cm="1">
        <f t="array" ref="CQ4">_xlfn._xlws.SORT(_xlfn.UNIQUE(_xlfn._xlws.FILTER($CC$2:$CC$250,(TRIM($BZ$2:$BZ$250&amp;"")=TRIM(Pouches!AP54&amp;""))*($CC$2:$CC$250&lt;&gt;""),"")))</f>
        <v/>
      </c>
      <c r="CR4" t="e">
        <f>TRIM(#REF!)</f>
        <v>#REF!</v>
      </c>
      <c r="CS4" s="95">
        <v>2000000</v>
      </c>
      <c r="CT4" s="95" t="e">
        <f>#REF!</f>
        <v>#REF!</v>
      </c>
      <c r="CU4" s="95" t="e">
        <f>#REF!</f>
        <v>#REF!</v>
      </c>
      <c r="CV4" s="50" t="s">
        <v>1034</v>
      </c>
      <c r="CW4" t="str" cm="1">
        <f t="array" ref="CW4">IF(OR(TRIM(Pouches!$AH$52&amp;"")="618",TRIM(Pouches!$AH$52&amp;"")="618 W"),106,IF(5=1,IFERROR(INDEX(_xlfn._xlws.FILTER(tblLaminateStructures[Total Thickness (µ)],(TRIM(tblLaminateStructures[Laminate]&amp;"")=TRIM(Pouches!$AH$52&amp;""))*(tblLaminateStructures[Total Thickness (µ)]&lt;&gt;"")),1),""),""))</f>
        <v/>
      </c>
      <c r="CX4" t="str" cm="1">
        <f t="array" ref="CX4">IF(OR(TRIM(Pouches!$AL$52&amp;"")="618",TRIM(Pouches!$AL$52&amp;"")="618 W"),106,IF(5=1,IFERROR(INDEX(_xlfn._xlws.FILTER(tblLaminateStructures[Total Thickness (µ)],(TRIM(tblLaminateStructures[Laminate]&amp;"")=TRIM(Pouches!$AL$52&amp;""))*(tblLaminateStructures[Total Thickness (µ)]&lt;&gt;"")),1),""),""))</f>
        <v/>
      </c>
      <c r="CY4" t="str" cm="1">
        <f t="array" ref="CY4">IF(OR(TRIM(Pouches!$AP$52&amp;"")="618",TRIM(Pouches!$AP$52&amp;"")="618 W"),106,IF(5=1,IFERROR(INDEX(_xlfn._xlws.FILTER(tblLaminateStructures[Total Thickness (µ)],(TRIM(tblLaminateStructures[Laminate]&amp;"")=TRIM(Pouches!$AP$52&amp;""))*(tblLaminateStructures[Total Thickness (µ)]&lt;&gt;"")),1),""),""))</f>
        <v/>
      </c>
      <c r="DI4" t="s">
        <v>118</v>
      </c>
      <c r="DJ4" t="s">
        <v>48</v>
      </c>
      <c r="DK4">
        <v>30</v>
      </c>
      <c r="DL4" s="173" t="s">
        <v>122</v>
      </c>
      <c r="DM4" s="956" t="s">
        <v>2322</v>
      </c>
      <c r="DN4" s="956"/>
      <c r="DO4" s="957">
        <v>0.16500000000000001</v>
      </c>
    </row>
    <row r="5" spans="1:122" ht="45">
      <c r="A5" s="238" t="s">
        <v>14</v>
      </c>
      <c r="B5" s="238" t="s">
        <v>27</v>
      </c>
      <c r="C5" s="238" t="s">
        <v>77</v>
      </c>
      <c r="D5" s="238" t="s">
        <v>36</v>
      </c>
      <c r="E5" s="238">
        <v>4.2</v>
      </c>
      <c r="F5" s="10" t="s">
        <v>220</v>
      </c>
      <c r="I5">
        <v>35</v>
      </c>
      <c r="O5" s="9"/>
      <c r="Q5" t="s">
        <v>107</v>
      </c>
      <c r="X5" s="171" t="s">
        <v>592</v>
      </c>
      <c r="AF5" s="1133"/>
      <c r="AG5" s="166">
        <v>2000</v>
      </c>
      <c r="AH5" s="165">
        <v>5000</v>
      </c>
      <c r="AM5" s="34">
        <v>2001</v>
      </c>
      <c r="AN5" s="65">
        <v>0.15</v>
      </c>
      <c r="AP5" s="5" t="str" cm="1">
        <f t="array" ref="AP5">IFERROR(INDEX(_xlfn._xlws.FILTER(Table3[Film],LEFT(Table3[Film],4)="TIPA"),4),"")</f>
        <v>TIPA 306W</v>
      </c>
      <c r="AQ5">
        <v>1.25</v>
      </c>
      <c r="AS5" s="74">
        <v>200000</v>
      </c>
      <c r="AT5" s="4">
        <v>1.45</v>
      </c>
      <c r="AV5" s="544" t="s">
        <v>567</v>
      </c>
      <c r="AW5" s="545">
        <v>100</v>
      </c>
      <c r="AX5" s="544" t="s">
        <v>168</v>
      </c>
      <c r="AY5" s="545">
        <v>23</v>
      </c>
      <c r="AZ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5" s="544"/>
      <c r="BB5" s="544"/>
      <c r="BC5" s="544" t="s">
        <v>1060</v>
      </c>
      <c r="BD5" s="544"/>
      <c r="BF5" s="565"/>
      <c r="BG5" s="566"/>
      <c r="BH5" s="566">
        <v>31</v>
      </c>
      <c r="BI5" s="566">
        <v>0</v>
      </c>
      <c r="BJ5" s="566"/>
      <c r="BK5" s="566"/>
      <c r="BL5" s="576"/>
      <c r="BM5" s="577"/>
      <c r="BN5" s="566"/>
      <c r="BO5" s="568"/>
      <c r="BP5" s="556"/>
      <c r="BQ5" s="569" t="s">
        <v>180</v>
      </c>
      <c r="BR5" s="570">
        <v>25</v>
      </c>
      <c r="BS5" s="556"/>
      <c r="BT5" s="556"/>
      <c r="BU5" s="571" t="str" cm="1">
        <f t="array" ref="BU5">IFERROR(_xlfn.LET(_xlpm.i,ROWS($BU$2:BU5),_xlpm.cur,INDEX(tblLaminateStructures[Laminate],_xlpm.i),_xlpm.prev,IF(_xlpm.i=1,"",INDEX(tblLaminateStructures[Laminate],_xlpm.i-1)),IF(_xlpm.cur&lt;&gt;_xlpm.prev,_xlpm.cur,"")),"")</f>
        <v>608 W</v>
      </c>
      <c r="BV5" s="572" cm="1">
        <f t="array" ref="BV5">IFERROR(_xlfn.LET(_xlpm.i,ROWS($BV$2:BV5),_xlpm.cur,INDEX(tblLaminateStructures[Total Thickness (µ)],_xlpm.i),_xlpm.prev,IF(_xlpm.i=1,"",INDEX(tblLaminateStructures[Total Thickness (µ)],_xlpm.i-1)),IF(OR(_xlpm.cur&lt;&gt;_xlpm.prev,BU5&lt;&gt;""),_xlpm.cur,"")),"")</f>
        <v>100</v>
      </c>
      <c r="BW5" s="573" t="str" cm="1">
        <f t="array" ref="BW5">IFERROR(INDEX(tblLaminateStructures[Material / Layer],ROWS($BW$2:BW5)),"")</f>
        <v>NK</v>
      </c>
      <c r="BX5" s="572" cm="1">
        <f t="array" ref="BX5">IFERROR(INDEX(tblLaminateStructures[Layer Thickness (µ)],ROWS($BX$2:BX5)),"")</f>
        <v>23</v>
      </c>
      <c r="BY5" s="572" cm="1">
        <f t="array" ref="BY5">IFERROR(INDEX(tblLaminateStructures[Structure Check],ROWS($BY$2:BY5)),"")</f>
        <v>100</v>
      </c>
      <c r="BZ5" s="573" t="str" cm="1">
        <f t="array" ref="BZ5">IFERROR(INDEX(tblLaminateStructures[Laminate],ROWS($BZ$2:BZ5)),"")</f>
        <v>608 W</v>
      </c>
      <c r="CA5" s="573"/>
      <c r="CB5" s="573">
        <v>608</v>
      </c>
      <c r="CC5" s="572" cm="1">
        <f t="array" ref="CC5">IFERROR(INDEX(tblLaminateStructures[Total Thickness (µ)],ROWS($CC$2:CC5)),"")</f>
        <v>100</v>
      </c>
      <c r="CD5" s="572"/>
      <c r="CE5" s="572"/>
      <c r="CF5" s="572"/>
      <c r="CG5" s="573"/>
      <c r="CH5" s="574"/>
      <c r="CK5" t="s">
        <v>45</v>
      </c>
      <c r="CL5" s="253">
        <v>8.4419841499999997</v>
      </c>
      <c r="CN5" s="253" cm="1">
        <f t="array" ref="CN5">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5" s="253">
        <f>IF(tblFilmAdditivePricing[[#This Row],[FILM]]="","",IF(tblFilmAdditivePricing[[#This Row],[FILM Price]]="","",tblFilmAdditivePricing[[#This Row],[FILM Price]]+IF(tblFilmAdditivePricing[[#This Row],[Additive Price]]="",0,tblFilmAdditivePricing[[#This Row],[Additive Price]])))</f>
        <v>8.4419841499999997</v>
      </c>
      <c r="CP5" s="50" t="s">
        <v>1009</v>
      </c>
      <c r="CQ5" s="253" t="str" cm="1">
        <f t="array" ref="CQ5">_xlfn._xlws.SORT(_xlfn.UNIQUE(_xlfn._xlws.FILTER($CC$2:$CC$250,(TRIM($BZ$2:$BZ$250&amp;"")=TRIM(Pouches!AP55&amp;""))*($CC$2:$CC$250&lt;&gt;""),"")))</f>
        <v/>
      </c>
      <c r="CR5" t="e">
        <f>TRIM(#REF!)</f>
        <v>#REF!</v>
      </c>
      <c r="CS5" s="95">
        <v>3000000</v>
      </c>
      <c r="CT5" s="95" t="e">
        <f>#REF!</f>
        <v>#REF!</v>
      </c>
      <c r="CU5" s="95" t="e">
        <f>#REF!</f>
        <v>#REF!</v>
      </c>
      <c r="CV5" s="50" t="s">
        <v>1035</v>
      </c>
      <c r="CW5" t="str" cm="1">
        <f t="array" ref="CW5">IF(OR(TRIM(Pouches!$AH$52&amp;"")="618",TRIM(Pouches!$AH$52&amp;"")="618 W"),106,IF(5=1,IFERROR(INDEX(_xlfn._xlws.FILTER(tblLaminateStructures[Total Thickness (µ)],(TRIM(tblLaminateStructures[Laminate]&amp;"")=TRIM(Pouches!$AH$52&amp;""))*(tblLaminateStructures[Total Thickness (µ)]&lt;&gt;"")),1),""),""))</f>
        <v/>
      </c>
      <c r="CX5" t="str" cm="1">
        <f t="array" ref="CX5">IF(OR(TRIM(Pouches!$AL$52&amp;"")="618",TRIM(Pouches!$AL$52&amp;"")="618 W"),106,IF(5=1,IFERROR(INDEX(_xlfn._xlws.FILTER(tblLaminateStructures[Total Thickness (µ)],(TRIM(tblLaminateStructures[Laminate]&amp;"")=TRIM(Pouches!$AL$52&amp;""))*(tblLaminateStructures[Total Thickness (µ)]&lt;&gt;"")),1),""),""))</f>
        <v/>
      </c>
      <c r="CY5" t="str" cm="1">
        <f t="array" ref="CY5">IF(OR(TRIM(Pouches!$AP$52&amp;"")="618",TRIM(Pouches!$AP$52&amp;"")="618 W"),106,IF(5=1,IFERROR(INDEX(_xlfn._xlws.FILTER(tblLaminateStructures[Total Thickness (µ)],(TRIM(tblLaminateStructures[Laminate]&amp;"")=TRIM(Pouches!$AP$52&amp;""))*(tblLaminateStructures[Total Thickness (µ)]&lt;&gt;"")),1),""),""))</f>
        <v/>
      </c>
      <c r="DI5" t="s">
        <v>107</v>
      </c>
      <c r="DJ5" t="s">
        <v>0</v>
      </c>
      <c r="DK5">
        <v>35</v>
      </c>
      <c r="DL5" s="173" t="s">
        <v>592</v>
      </c>
    </row>
    <row r="6" spans="1:122" ht="45">
      <c r="A6" s="19" t="s">
        <v>14</v>
      </c>
      <c r="B6" s="19" t="s">
        <v>25</v>
      </c>
      <c r="C6" s="19" t="s">
        <v>78</v>
      </c>
      <c r="D6" s="19" t="s">
        <v>32</v>
      </c>
      <c r="E6" s="19">
        <v>1.81</v>
      </c>
      <c r="F6" s="168" t="s">
        <v>843</v>
      </c>
      <c r="I6">
        <v>40</v>
      </c>
      <c r="O6" s="9"/>
      <c r="Q6" t="s">
        <v>119</v>
      </c>
      <c r="X6" s="171" t="s">
        <v>593</v>
      </c>
      <c r="AF6" s="1133"/>
      <c r="AG6" s="166">
        <v>3000</v>
      </c>
      <c r="AH6" s="165">
        <v>6637.93103448276</v>
      </c>
      <c r="AM6" s="34">
        <v>5001</v>
      </c>
      <c r="AN6" s="66">
        <v>0.125</v>
      </c>
      <c r="AP6" s="5" t="str" cm="1">
        <f t="array" ref="AP6">IFERROR(INDEX(_xlfn._xlws.FILTER(Table3[Film],LEFT(Table3[Film],4)="TIPA"),5),"")</f>
        <v>TIPA 312 MET</v>
      </c>
      <c r="AQ6">
        <v>1.25</v>
      </c>
      <c r="AS6" s="74">
        <v>300000</v>
      </c>
      <c r="AT6" s="4">
        <v>1.25</v>
      </c>
      <c r="AV6" s="544" t="s">
        <v>567</v>
      </c>
      <c r="AW6" s="545">
        <v>100</v>
      </c>
      <c r="AX6" s="544" t="s">
        <v>43</v>
      </c>
      <c r="AY6" s="545">
        <v>60</v>
      </c>
      <c r="AZ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6" s="544"/>
      <c r="BB6" s="544"/>
      <c r="BC6" s="544" t="s">
        <v>1060</v>
      </c>
      <c r="BD6" s="544"/>
      <c r="BF6" s="578"/>
      <c r="BG6" s="579"/>
      <c r="BH6" s="579"/>
      <c r="BI6" s="579"/>
      <c r="BJ6" s="579"/>
      <c r="BK6" s="579"/>
      <c r="BL6" s="579"/>
      <c r="BM6" s="579"/>
      <c r="BN6" s="579"/>
      <c r="BO6" s="580"/>
      <c r="BP6" s="556"/>
      <c r="BQ6" s="569" t="s">
        <v>179</v>
      </c>
      <c r="BR6" s="570">
        <v>25</v>
      </c>
      <c r="BS6" s="556"/>
      <c r="BT6" s="556"/>
      <c r="BU6" s="571" t="str" cm="1">
        <f t="array" ref="BU6">IFERROR(_xlfn.LET(_xlpm.i,ROWS($BU$2:BU6),_xlpm.cur,INDEX(tblLaminateStructures[Laminate],_xlpm.i),_xlpm.prev,IF(_xlpm.i=1,"",INDEX(tblLaminateStructures[Laminate],_xlpm.i-1)),IF(_xlpm.cur&lt;&gt;_xlpm.prev,_xlpm.cur,"")),"")</f>
        <v/>
      </c>
      <c r="BV6" s="572" t="str" cm="1">
        <f t="array" ref="BV6">IFERROR(_xlfn.LET(_xlpm.i,ROWS($BV$2:BV6),_xlpm.cur,INDEX(tblLaminateStructures[Total Thickness (µ)],_xlpm.i),_xlpm.prev,IF(_xlpm.i=1,"",INDEX(tblLaminateStructures[Total Thickness (µ)],_xlpm.i-1)),IF(OR(_xlpm.cur&lt;&gt;_xlpm.prev,BU6&lt;&gt;""),_xlpm.cur,"")),"")</f>
        <v/>
      </c>
      <c r="BW6" s="573" t="str" cm="1">
        <f t="array" ref="BW6">IFERROR(INDEX(tblLaminateStructures[Material / Layer],ROWS($BW$2:BW6)),"")</f>
        <v>TIPA 302FG W</v>
      </c>
      <c r="BX6" s="572" cm="1">
        <f t="array" ref="BX6">IFERROR(INDEX(tblLaminateStructures[Layer Thickness (µ)],ROWS($BX$2:BX6)),"")</f>
        <v>60</v>
      </c>
      <c r="BY6" s="572" cm="1">
        <f t="array" ref="BY6">IFERROR(INDEX(tblLaminateStructures[Structure Check],ROWS($BY$2:BY6)),"")</f>
        <v>100</v>
      </c>
      <c r="BZ6" s="573" t="str" cm="1">
        <f t="array" ref="BZ6">IFERROR(INDEX(tblLaminateStructures[Laminate],ROWS($BZ$2:BZ6)),"")</f>
        <v>608 W</v>
      </c>
      <c r="CA6" s="573"/>
      <c r="CB6" s="573">
        <v>618</v>
      </c>
      <c r="CC6" s="572" cm="1">
        <f t="array" ref="CC6">IFERROR(INDEX(tblLaminateStructures[Total Thickness (µ)],ROWS($CC$2:CC6)),"")</f>
        <v>100</v>
      </c>
      <c r="CD6" s="572"/>
      <c r="CE6" s="572"/>
      <c r="CF6" s="572"/>
      <c r="CG6" s="573"/>
      <c r="CH6" s="574"/>
      <c r="CK6" t="s">
        <v>179</v>
      </c>
      <c r="CL6" s="253">
        <v>6.1697202999999998</v>
      </c>
      <c r="CN6" s="253" cm="1">
        <f t="array" ref="CN6">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6" s="253">
        <f>IF(tblFilmAdditivePricing[[#This Row],[FILM]]="","",IF(tblFilmAdditivePricing[[#This Row],[FILM Price]]="","",tblFilmAdditivePricing[[#This Row],[FILM Price]]+IF(tblFilmAdditivePricing[[#This Row],[Additive Price]]="",0,tblFilmAdditivePricing[[#This Row],[Additive Price]])))</f>
        <v>6.1697202999999998</v>
      </c>
      <c r="CP6" s="50" t="s">
        <v>1009</v>
      </c>
      <c r="CQ6" s="253" t="str" cm="1">
        <f t="array" ref="CQ6">_xlfn._xlws.SORT(_xlfn.UNIQUE(_xlfn._xlws.FILTER($CC$2:$CC$250,(TRIM($BZ$2:$BZ$250&amp;"")=TRIM(Pouches!AP56&amp;""))*($CC$2:$CC$250&lt;&gt;""),"")))</f>
        <v/>
      </c>
      <c r="CR6" t="e">
        <f>TRIM(#REF!)</f>
        <v>#REF!</v>
      </c>
      <c r="CS6" s="95">
        <v>4000000</v>
      </c>
      <c r="CT6" s="95" t="e">
        <f>#REF!</f>
        <v>#REF!</v>
      </c>
      <c r="CU6" s="95" t="e">
        <f>#REF!</f>
        <v>#REF!</v>
      </c>
      <c r="CV6" s="50" t="s">
        <v>1034</v>
      </c>
      <c r="CW6" t="str" cm="1">
        <f t="array" ref="CW6">IF(OR(TRIM(Pouches!$AH$52&amp;"")="618",TRIM(Pouches!$AH$52&amp;"")="618 W"),106,IF(5=1,IFERROR(INDEX(_xlfn._xlws.FILTER(tblLaminateStructures[Total Thickness (µ)],(TRIM(tblLaminateStructures[Laminate]&amp;"")=TRIM(Pouches!$AH$52&amp;""))*(tblLaminateStructures[Total Thickness (µ)]&lt;&gt;"")),1),""),""))</f>
        <v/>
      </c>
      <c r="CX6" t="str" cm="1">
        <f t="array" ref="CX6">IF(OR(TRIM(Pouches!$AL$52&amp;"")="618",TRIM(Pouches!$AL$52&amp;"")="618 W"),106,IF(5=1,IFERROR(INDEX(_xlfn._xlws.FILTER(tblLaminateStructures[Total Thickness (µ)],(TRIM(tblLaminateStructures[Laminate]&amp;"")=TRIM(Pouches!$AL$52&amp;""))*(tblLaminateStructures[Total Thickness (µ)]&lt;&gt;"")),1),""),""))</f>
        <v/>
      </c>
      <c r="CY6" t="str" cm="1">
        <f t="array" ref="CY6">IF(OR(TRIM(Pouches!$AP$52&amp;"")="618",TRIM(Pouches!$AP$52&amp;"")="618 W"),106,IF(5=1,IFERROR(INDEX(_xlfn._xlws.FILTER(tblLaminateStructures[Total Thickness (µ)],(TRIM(tblLaminateStructures[Laminate]&amp;"")=TRIM(Pouches!$AP$52&amp;""))*(tblLaminateStructures[Total Thickness (µ)]&lt;&gt;"")),1),""),""))</f>
        <v/>
      </c>
      <c r="DI6" t="s">
        <v>119</v>
      </c>
      <c r="DJ6" t="s">
        <v>43</v>
      </c>
      <c r="DK6">
        <v>40</v>
      </c>
    </row>
    <row r="7" spans="1:122" ht="45">
      <c r="A7" s="20" t="s">
        <v>20</v>
      </c>
      <c r="B7" s="20" t="s">
        <v>29</v>
      </c>
      <c r="C7" s="20" t="s">
        <v>85</v>
      </c>
      <c r="D7" s="20" t="s">
        <v>84</v>
      </c>
      <c r="E7" s="20">
        <v>7.62</v>
      </c>
      <c r="I7">
        <v>45</v>
      </c>
      <c r="O7" s="9"/>
      <c r="X7" s="171" t="s">
        <v>593</v>
      </c>
      <c r="AF7" s="1133"/>
      <c r="AG7" s="166">
        <v>4000</v>
      </c>
      <c r="AH7" s="165">
        <v>8017.2413793103497</v>
      </c>
      <c r="AP7" s="5" t="str" cm="1">
        <f t="array" ref="AP7">IFERROR(INDEX(_xlfn._xlws.FILTER(Table3[Film],LEFT(Table3[Film],4)="TIPA"),6),"")</f>
        <v>TIPA 312 MFG</v>
      </c>
      <c r="AQ7">
        <v>1.25</v>
      </c>
      <c r="AS7" s="74">
        <v>999999999</v>
      </c>
      <c r="AT7" s="4">
        <v>1.1499999999999999</v>
      </c>
      <c r="AV7" s="544" t="s">
        <v>567</v>
      </c>
      <c r="AW7" s="545">
        <v>100</v>
      </c>
      <c r="AX7" s="544" t="s">
        <v>14</v>
      </c>
      <c r="AY7" s="545">
        <v>17</v>
      </c>
      <c r="AZ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7" s="544"/>
      <c r="BB7" s="544"/>
      <c r="BC7" s="544" t="s">
        <v>1060</v>
      </c>
      <c r="BD7" s="544"/>
      <c r="BF7" s="556"/>
      <c r="BG7" s="556"/>
      <c r="BH7" s="556"/>
      <c r="BI7" s="556"/>
      <c r="BJ7" s="556"/>
      <c r="BK7" s="556"/>
      <c r="BL7" s="556"/>
      <c r="BM7" s="556"/>
      <c r="BN7" s="556"/>
      <c r="BO7" s="556"/>
      <c r="BP7" s="556"/>
      <c r="BQ7" s="569" t="s">
        <v>51</v>
      </c>
      <c r="BR7" s="570">
        <v>25</v>
      </c>
      <c r="BS7" s="556"/>
      <c r="BT7" s="556"/>
      <c r="BU7" s="571" t="str" cm="1">
        <f t="array" ref="BU7">IFERROR(_xlfn.LET(_xlpm.i,ROWS($BU$2:BU7),_xlpm.cur,INDEX(tblLaminateStructures[Laminate],_xlpm.i),_xlpm.prev,IF(_xlpm.i=1,"",INDEX(tblLaminateStructures[Laminate],_xlpm.i-1)),IF(_xlpm.cur&lt;&gt;_xlpm.prev,_xlpm.cur,"")),"")</f>
        <v/>
      </c>
      <c r="BV7" s="572" t="str" cm="1">
        <f t="array" ref="BV7">IFERROR(_xlfn.LET(_xlpm.i,ROWS($BV$2:BV7),_xlpm.cur,INDEX(tblLaminateStructures[Total Thickness (µ)],_xlpm.i),_xlpm.prev,IF(_xlpm.i=1,"",INDEX(tblLaminateStructures[Total Thickness (µ)],_xlpm.i-1)),IF(OR(_xlpm.cur&lt;&gt;_xlpm.prev,BU7&lt;&gt;""),_xlpm.cur,"")),"")</f>
        <v/>
      </c>
      <c r="BW7" s="573" t="str" cm="1">
        <f t="array" ref="BW7">IFERROR(INDEX(tblLaminateStructures[Material / Layer],ROWS($BW$2:BW7)),"")</f>
        <v>PBAT</v>
      </c>
      <c r="BX7" s="572" cm="1">
        <f t="array" ref="BX7">IFERROR(INDEX(tblLaminateStructures[Layer Thickness (µ)],ROWS($BX$2:BX7)),"")</f>
        <v>17</v>
      </c>
      <c r="BY7" s="572" cm="1">
        <f t="array" ref="BY7">IFERROR(INDEX(tblLaminateStructures[Structure Check],ROWS($BY$2:BY7)),"")</f>
        <v>100</v>
      </c>
      <c r="BZ7" s="573" t="str" cm="1">
        <f t="array" ref="BZ7">IFERROR(INDEX(tblLaminateStructures[Laminate],ROWS($BZ$2:BZ7)),"")</f>
        <v>608 W</v>
      </c>
      <c r="CA7" s="573"/>
      <c r="CB7" s="573">
        <v>648</v>
      </c>
      <c r="CC7" s="572" cm="1">
        <f t="array" ref="CC7">IFERROR(INDEX(tblLaminateStructures[Total Thickness (µ)],ROWS($CC$2:CC7)),"")</f>
        <v>100</v>
      </c>
      <c r="CD7" s="572"/>
      <c r="CE7" s="572"/>
      <c r="CF7" s="572"/>
      <c r="CG7" s="573"/>
      <c r="CH7" s="574"/>
      <c r="CK7" t="s">
        <v>51</v>
      </c>
      <c r="CL7" s="253">
        <v>6.7887103</v>
      </c>
      <c r="CN7" s="253" cm="1">
        <f t="array" ref="CN7">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7" s="253">
        <f>IF(tblFilmAdditivePricing[[#This Row],[FILM]]="","",IF(tblFilmAdditivePricing[[#This Row],[FILM Price]]="","",tblFilmAdditivePricing[[#This Row],[FILM Price]]+IF(tblFilmAdditivePricing[[#This Row],[Additive Price]]="",0,tblFilmAdditivePricing[[#This Row],[Additive Price]])))</f>
        <v>6.7887103</v>
      </c>
      <c r="CP7" s="50" t="s">
        <v>1009</v>
      </c>
      <c r="CQ7" s="253" t="str" cm="1">
        <f t="array" ref="CQ7">_xlfn._xlws.SORT(_xlfn.UNIQUE(_xlfn._xlws.FILTER($CC$2:$CC$250,(TRIM($BZ$2:$BZ$250&amp;"")=TRIM(Pouches!AP57&amp;""))*($CC$2:$CC$250&lt;&gt;""),"")))</f>
        <v/>
      </c>
      <c r="CR7" t="e">
        <f>TRIM(#REF!)</f>
        <v>#REF!</v>
      </c>
      <c r="CS7" s="95"/>
      <c r="CT7" s="95" t="e">
        <f>#REF!</f>
        <v>#REF!</v>
      </c>
      <c r="CU7" s="95" t="e">
        <f>#REF!</f>
        <v>#REF!</v>
      </c>
      <c r="CV7" s="50"/>
      <c r="CW7" t="str" cm="1">
        <f t="array" ref="CW7">IF(OR(TRIM(Pouches!$AH$52&amp;"")="618",TRIM(Pouches!$AH$52&amp;"")="618 W"),106,IF(5=1,IFERROR(INDEX(_xlfn._xlws.FILTER(tblLaminateStructures[Total Thickness (µ)],(TRIM(tblLaminateStructures[Laminate]&amp;"")=TRIM(Pouches!$AH$52&amp;""))*(tblLaminateStructures[Total Thickness (µ)]&lt;&gt;"")),1),""),""))</f>
        <v/>
      </c>
      <c r="CX7" t="str" cm="1">
        <f t="array" ref="CX7">IF(OR(TRIM(Pouches!$AL$52&amp;"")="618",TRIM(Pouches!$AL$52&amp;"")="618 W"),106,IF(5=1,IFERROR(INDEX(_xlfn._xlws.FILTER(tblLaminateStructures[Total Thickness (µ)],(TRIM(tblLaminateStructures[Laminate]&amp;"")=TRIM(Pouches!$AL$52&amp;""))*(tblLaminateStructures[Total Thickness (µ)]&lt;&gt;"")),1),""),""))</f>
        <v/>
      </c>
      <c r="CY7" t="str" cm="1">
        <f t="array" ref="CY7">IF(OR(TRIM(Pouches!$AP$52&amp;"")="618",TRIM(Pouches!$AP$52&amp;"")="618 W"),106,IF(5=1,IFERROR(INDEX(_xlfn._xlws.FILTER(tblLaminateStructures[Total Thickness (µ)],(TRIM(tblLaminateStructures[Laminate]&amp;"")=TRIM(Pouches!$AP$52&amp;""))*(tblLaminateStructures[Total Thickness (µ)]&lt;&gt;"")),1),""),""))</f>
        <v/>
      </c>
      <c r="DJ7" t="s">
        <v>44</v>
      </c>
      <c r="DK7">
        <v>45</v>
      </c>
    </row>
    <row r="8" spans="1:122" ht="30">
      <c r="A8" s="19" t="s">
        <v>15</v>
      </c>
      <c r="B8" s="19" t="s">
        <v>24</v>
      </c>
      <c r="C8" s="19" t="s">
        <v>79</v>
      </c>
      <c r="D8" s="19" t="s">
        <v>37</v>
      </c>
      <c r="E8" s="19">
        <v>7.3</v>
      </c>
      <c r="I8">
        <v>50</v>
      </c>
      <c r="O8" s="9"/>
      <c r="AF8" s="1133"/>
      <c r="AG8" s="166">
        <v>5000</v>
      </c>
      <c r="AH8" s="165">
        <v>9224.1379310344801</v>
      </c>
      <c r="AP8" s="5" t="s">
        <v>181</v>
      </c>
      <c r="AQ8">
        <v>1</v>
      </c>
      <c r="AV8" s="544">
        <v>618</v>
      </c>
      <c r="AW8" s="545">
        <v>51</v>
      </c>
      <c r="AX8" s="544" t="s">
        <v>168</v>
      </c>
      <c r="AY8" s="545">
        <v>23</v>
      </c>
      <c r="AZ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8" s="544"/>
      <c r="BB8" s="544"/>
      <c r="BC8" s="544" t="s">
        <v>1060</v>
      </c>
      <c r="BD8" s="544"/>
      <c r="BF8" s="556"/>
      <c r="BG8" s="556"/>
      <c r="BH8" s="556"/>
      <c r="BI8" s="556"/>
      <c r="BJ8" s="556"/>
      <c r="BK8" s="556"/>
      <c r="BL8" s="556"/>
      <c r="BM8" s="556"/>
      <c r="BN8" s="556"/>
      <c r="BO8" s="556"/>
      <c r="BP8" s="556"/>
      <c r="BQ8" s="569" t="s">
        <v>44</v>
      </c>
      <c r="BR8" s="570">
        <v>25</v>
      </c>
      <c r="BS8" s="556"/>
      <c r="BT8" s="556"/>
      <c r="BU8" s="571" cm="1">
        <f t="array" ref="BU8">IFERROR(_xlfn.LET(_xlpm.i,ROWS($BU$2:BU8),_xlpm.cur,INDEX(tblLaminateStructures[Laminate],_xlpm.i),_xlpm.prev,IF(_xlpm.i=1,"",INDEX(tblLaminateStructures[Laminate],_xlpm.i-1)),IF(_xlpm.cur&lt;&gt;_xlpm.prev,_xlpm.cur,"")),"")</f>
        <v>618</v>
      </c>
      <c r="BV8" s="572" cm="1">
        <f t="array" ref="BV8">IFERROR(_xlfn.LET(_xlpm.i,ROWS($BV$2:BV8),_xlpm.cur,INDEX(tblLaminateStructures[Total Thickness (µ)],_xlpm.i),_xlpm.prev,IF(_xlpm.i=1,"",INDEX(tblLaminateStructures[Total Thickness (µ)],_xlpm.i-1)),IF(OR(_xlpm.cur&lt;&gt;_xlpm.prev,BU8&lt;&gt;""),_xlpm.cur,"")),"")</f>
        <v>51</v>
      </c>
      <c r="BW8" s="573" t="str" cm="1">
        <f t="array" ref="BW8">IFERROR(INDEX(tblLaminateStructures[Material / Layer],ROWS($BW$2:BW8)),"")</f>
        <v>NK</v>
      </c>
      <c r="BX8" s="572" cm="1">
        <f t="array" ref="BX8">IFERROR(INDEX(tblLaminateStructures[Layer Thickness (µ)],ROWS($BX$2:BX8)),"")</f>
        <v>23</v>
      </c>
      <c r="BY8" s="572" cm="1">
        <f t="array" ref="BY8">IFERROR(INDEX(tblLaminateStructures[Structure Check],ROWS($BY$2:BY8)),"")</f>
        <v>51</v>
      </c>
      <c r="BZ8" s="573" cm="1">
        <f t="array" ref="BZ8">IFERROR(INDEX(tblLaminateStructures[Laminate],ROWS($BZ$2:BZ8)),"")</f>
        <v>618</v>
      </c>
      <c r="CA8" s="573"/>
      <c r="CB8" s="573">
        <v>724</v>
      </c>
      <c r="CC8" s="572" cm="1">
        <f t="array" ref="CC8">IFERROR(INDEX(tblLaminateStructures[Total Thickness (µ)],ROWS($CC$2:CC8)),"")</f>
        <v>51</v>
      </c>
      <c r="CD8" s="572"/>
      <c r="CE8" s="572"/>
      <c r="CF8" s="572"/>
      <c r="CG8" s="573"/>
      <c r="CH8" s="574"/>
      <c r="CK8" t="s">
        <v>180</v>
      </c>
      <c r="CL8" s="253">
        <v>6.1697202999999998</v>
      </c>
      <c r="CM8" t="s">
        <v>1003</v>
      </c>
      <c r="CN8" s="253" cm="1">
        <f t="array" ref="CN8">IF(tblFilmAdditivePricing[[#This Row],[Additive]]="",0,IFERROR(INDEX($E$2:$E$32,MATCH(TRUE,(TRIM($A$2:$A$32)=TRIM(tblFilmAdditivePricing[[#This Row],[Additive]]))+(TRIM($B$2:$B$32)=TRIM(tblFilmAdditivePricing[[#This Row],[Additive]]))+(TRIM($C$2:$C$32)=TRIM(tblFilmAdditivePricing[[#This Row],[Additive]]))+(TRIM($D$2:$D$32)=TRIM(tblFilmAdditivePricing[[#This Row],[Additive]]))&gt;0,0)),""))</f>
        <v>2.02</v>
      </c>
      <c r="CO8" s="253">
        <f>IF(tblFilmAdditivePricing[[#This Row],[FILM]]="","",IF(tblFilmAdditivePricing[[#This Row],[FILM Price]]="","",tblFilmAdditivePricing[[#This Row],[FILM Price]]+IF(tblFilmAdditivePricing[[#This Row],[Additive Price]]="",0,tblFilmAdditivePricing[[#This Row],[Additive Price]])))</f>
        <v>8.1897202999999994</v>
      </c>
      <c r="CP8" s="50" t="s">
        <v>1010</v>
      </c>
      <c r="CQ8" s="253" t="str" cm="1">
        <f t="array" ref="CQ8">_xlfn._xlws.SORT(_xlfn.UNIQUE(_xlfn._xlws.FILTER($CC$2:$CC$250,(TRIM($BZ$2:$BZ$250&amp;"")=TRIM(Pouches!AP58&amp;""))*($CC$2:$CC$250&lt;&gt;""),"")))</f>
        <v/>
      </c>
      <c r="CR8" t="e">
        <f>TRIM(#REF!)</f>
        <v>#REF!</v>
      </c>
      <c r="CS8" s="95"/>
      <c r="CT8" s="95" t="e">
        <f>#REF!</f>
        <v>#REF!</v>
      </c>
      <c r="CU8" s="95" t="e">
        <f>#REF!</f>
        <v>#REF!</v>
      </c>
      <c r="CV8" s="50"/>
      <c r="CW8" t="str" cm="1">
        <f t="array" ref="CW8">IF(OR(TRIM(Pouches!$AH$52&amp;"")="618",TRIM(Pouches!$AH$52&amp;"")="618 W"),106,IF(5=1,IFERROR(INDEX(_xlfn._xlws.FILTER(tblLaminateStructures[Total Thickness (µ)],(TRIM(tblLaminateStructures[Laminate]&amp;"")=TRIM(Pouches!$AH$52&amp;""))*(tblLaminateStructures[Total Thickness (µ)]&lt;&gt;"")),1),""),""))</f>
        <v/>
      </c>
      <c r="CX8" t="str" cm="1">
        <f t="array" ref="CX8">IF(OR(TRIM(Pouches!$AL$52&amp;"")="618",TRIM(Pouches!$AL$52&amp;"")="618 W"),106,IF(5=1,IFERROR(INDEX(_xlfn._xlws.FILTER(tblLaminateStructures[Total Thickness (µ)],(TRIM(tblLaminateStructures[Laminate]&amp;"")=TRIM(Pouches!$AL$52&amp;""))*(tblLaminateStructures[Total Thickness (µ)]&lt;&gt;"")),1),""),""))</f>
        <v/>
      </c>
      <c r="CY8" t="str" cm="1">
        <f t="array" ref="CY8">IF(OR(TRIM(Pouches!$AP$52&amp;"")="618",TRIM(Pouches!$AP$52&amp;"")="618 W"),106,IF(5=1,IFERROR(INDEX(_xlfn._xlws.FILTER(tblLaminateStructures[Total Thickness (µ)],(TRIM(tblLaminateStructures[Laminate]&amp;"")=TRIM(Pouches!$AP$52&amp;""))*(tblLaminateStructures[Total Thickness (µ)]&lt;&gt;"")),1),""),""))</f>
        <v/>
      </c>
      <c r="DJ8" t="s">
        <v>45</v>
      </c>
      <c r="DK8">
        <v>50</v>
      </c>
    </row>
    <row r="9" spans="1:122">
      <c r="A9" s="20" t="s">
        <v>16</v>
      </c>
      <c r="B9" s="20" t="s">
        <v>10</v>
      </c>
      <c r="C9" s="20" t="s">
        <v>80</v>
      </c>
      <c r="D9" s="20" t="s">
        <v>38</v>
      </c>
      <c r="E9" s="20">
        <v>16.16</v>
      </c>
      <c r="I9">
        <v>55</v>
      </c>
      <c r="O9" s="9"/>
      <c r="AP9" s="5" t="s">
        <v>168</v>
      </c>
      <c r="AQ9">
        <v>1.44</v>
      </c>
      <c r="AV9" s="544">
        <v>618</v>
      </c>
      <c r="AW9" s="545">
        <v>51</v>
      </c>
      <c r="AX9" s="544" t="s">
        <v>0</v>
      </c>
      <c r="AY9" s="545">
        <v>25</v>
      </c>
      <c r="AZ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9" s="544"/>
      <c r="BB9" s="544"/>
      <c r="BC9" s="544" t="s">
        <v>1060</v>
      </c>
      <c r="BD9" s="544"/>
      <c r="BF9" s="556"/>
      <c r="BG9" s="556"/>
      <c r="BH9" s="556"/>
      <c r="BI9" s="556"/>
      <c r="BJ9" s="556"/>
      <c r="BK9" s="556"/>
      <c r="BL9" s="556"/>
      <c r="BM9" s="556"/>
      <c r="BN9" s="556"/>
      <c r="BO9" s="556"/>
      <c r="BP9" s="556"/>
      <c r="BQ9" s="569" t="s">
        <v>45</v>
      </c>
      <c r="BR9" s="570">
        <v>25</v>
      </c>
      <c r="BS9" s="556"/>
      <c r="BT9" s="556"/>
      <c r="BU9" s="571" t="str" cm="1">
        <f t="array" ref="BU9">IFERROR(_xlfn.LET(_xlpm.i,ROWS($BU$2:BU9),_xlpm.cur,INDEX(tblLaminateStructures[Laminate],_xlpm.i),_xlpm.prev,IF(_xlpm.i=1,"",INDEX(tblLaminateStructures[Laminate],_xlpm.i-1)),IF(_xlpm.cur&lt;&gt;_xlpm.prev,_xlpm.cur,"")),"")</f>
        <v/>
      </c>
      <c r="BV9" s="572" t="str" cm="1">
        <f t="array" ref="BV9">IFERROR(_xlfn.LET(_xlpm.i,ROWS($BV$2:BV9),_xlpm.cur,INDEX(tblLaminateStructures[Total Thickness (µ)],_xlpm.i),_xlpm.prev,IF(_xlpm.i=1,"",INDEX(tblLaminateStructures[Total Thickness (µ)],_xlpm.i-1)),IF(OR(_xlpm.cur&lt;&gt;_xlpm.prev,BU9&lt;&gt;""),_xlpm.cur,"")),"")</f>
        <v/>
      </c>
      <c r="BW9" s="573" t="str" cm="1">
        <f t="array" ref="BW9">IFERROR(INDEX(tblLaminateStructures[Material / Layer],ROWS($BW$2:BW9)),"")</f>
        <v>TIPA 302FG</v>
      </c>
      <c r="BX9" s="572" cm="1">
        <f t="array" ref="BX9">IFERROR(INDEX(tblLaminateStructures[Layer Thickness (µ)],ROWS($BX$2:BX9)),"")</f>
        <v>25</v>
      </c>
      <c r="BY9" s="572" cm="1">
        <f t="array" ref="BY9">IFERROR(INDEX(tblLaminateStructures[Structure Check],ROWS($BY$2:BY9)),"")</f>
        <v>51</v>
      </c>
      <c r="BZ9" s="573" cm="1">
        <f t="array" ref="BZ9">IFERROR(INDEX(tblLaminateStructures[Laminate],ROWS($BZ$2:BZ9)),"")</f>
        <v>618</v>
      </c>
      <c r="CA9" s="573"/>
      <c r="CB9" s="573">
        <v>748</v>
      </c>
      <c r="CC9" s="572" cm="1">
        <f t="array" ref="CC9">IFERROR(INDEX(tblLaminateStructures[Total Thickness (µ)],ROWS($CC$2:CC9)),"")</f>
        <v>51</v>
      </c>
      <c r="CD9" s="572"/>
      <c r="CE9" s="572"/>
      <c r="CF9" s="572"/>
      <c r="CG9" s="573"/>
      <c r="CH9" s="574"/>
      <c r="CK9" t="s">
        <v>2370</v>
      </c>
      <c r="CL9" s="253">
        <f>_xlfn.XLOOKUP("TIPA 312 MET",tblFilmAdditivePricing[FILM],tblFilmAdditivePricing[FILM Price],"")</f>
        <v>6.1697202999999998</v>
      </c>
      <c r="CN9" s="253" cm="1">
        <f t="array" ref="CN9">IF(tblFilmAdditivePricing[[#This Row],[Additive]]="",0,IFERROR(INDEX($E$2:$E$32,MATCH(TRUE,(TRIM($A$2:$A$32)=TRIM(tblFilmAdditivePricing[[#This Row],[Additive]]))+(TRIM($B$2:$B$32)=TRIM(tblFilmAdditivePricing[[#This Row],[Additive]]))+(TRIM($C$2:$C$32)=TRIM(tblFilmAdditivePricing[[#This Row],[Additive]]))+(TRIM($D$2:$D$32)=TRIM(tblFilmAdditivePricing[[#This Row],[Additive]]))&gt;0,0)),""))</f>
        <v>0</v>
      </c>
      <c r="CO9" s="253">
        <f>IF(tblFilmAdditivePricing[[#This Row],[FILM]]="","",IF(tblFilmAdditivePricing[[#This Row],[FILM Price]]="","",tblFilmAdditivePricing[[#This Row],[FILM Price]]+IF(tblFilmAdditivePricing[[#This Row],[Additive Price]]="",0,tblFilmAdditivePricing[[#This Row],[Additive Price]])))</f>
        <v>6.1697202999999998</v>
      </c>
      <c r="CP9" s="50" t="s">
        <v>2371</v>
      </c>
      <c r="CQ9" s="253"/>
      <c r="CR9" t="e">
        <f>TRIM(#REF!)</f>
        <v>#REF!</v>
      </c>
      <c r="CS9" s="95"/>
      <c r="CT9" s="95" t="e">
        <f>#REF!</f>
        <v>#REF!</v>
      </c>
      <c r="CU9" s="95" t="e">
        <f>#REF!</f>
        <v>#REF!</v>
      </c>
      <c r="CV9" s="50"/>
      <c r="CW9" t="str" cm="1">
        <f t="array" ref="CW9">IF(OR(TRIM(Pouches!$AH$52&amp;"")="618",TRIM(Pouches!$AH$52&amp;"")="618 W"),106,IF(5=1,IFERROR(INDEX(_xlfn._xlws.FILTER(tblLaminateStructures[Total Thickness (µ)],(TRIM(tblLaminateStructures[Laminate]&amp;"")=TRIM(Pouches!$AH$52&amp;""))*(tblLaminateStructures[Total Thickness (µ)]&lt;&gt;"")),1),""),""))</f>
        <v/>
      </c>
      <c r="CX9" t="str" cm="1">
        <f t="array" ref="CX9">IF(OR(TRIM(Pouches!$AL$52&amp;"")="618",TRIM(Pouches!$AL$52&amp;"")="618 W"),106,IF(5=1,IFERROR(INDEX(_xlfn._xlws.FILTER(tblLaminateStructures[Total Thickness (µ)],(TRIM(tblLaminateStructures[Laminate]&amp;"")=TRIM(Pouches!$AL$52&amp;""))*(tblLaminateStructures[Total Thickness (µ)]&lt;&gt;"")),1),""),""))</f>
        <v/>
      </c>
      <c r="CY9" t="str" cm="1">
        <f t="array" ref="CY9">IF(OR(TRIM(Pouches!$AP$52&amp;"")="618",TRIM(Pouches!$AP$52&amp;"")="618 W"),106,IF(5=1,IFERROR(INDEX(_xlfn._xlws.FILTER(tblLaminateStructures[Total Thickness (µ)],(TRIM(tblLaminateStructures[Laminate]&amp;"")=TRIM(Pouches!$AP$52&amp;""))*(tblLaminateStructures[Total Thickness (µ)]&lt;&gt;"")),1),""),""))</f>
        <v/>
      </c>
      <c r="DJ9" t="s">
        <v>179</v>
      </c>
      <c r="DK9">
        <v>55</v>
      </c>
    </row>
    <row r="10" spans="1:122">
      <c r="A10" s="19" t="s">
        <v>17</v>
      </c>
      <c r="B10" s="19" t="s">
        <v>11</v>
      </c>
      <c r="C10" s="19" t="s">
        <v>81</v>
      </c>
      <c r="D10" s="19" t="s">
        <v>39</v>
      </c>
      <c r="E10" s="19">
        <v>14.7</v>
      </c>
      <c r="I10">
        <v>60</v>
      </c>
      <c r="O10" s="9"/>
      <c r="AG10" s="9"/>
      <c r="AP10" s="5" t="s">
        <v>180</v>
      </c>
      <c r="AQ10">
        <v>1.25</v>
      </c>
      <c r="AV10" s="544">
        <v>618</v>
      </c>
      <c r="AW10" s="545">
        <v>51</v>
      </c>
      <c r="AX10" s="544" t="s">
        <v>177</v>
      </c>
      <c r="AY10" s="545">
        <v>3</v>
      </c>
      <c r="AZ1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10" s="544"/>
      <c r="BB10" s="544"/>
      <c r="BC10" s="544" t="s">
        <v>1060</v>
      </c>
      <c r="BD10" s="544"/>
      <c r="BF10" s="556"/>
      <c r="BG10" s="556"/>
      <c r="BH10" s="556"/>
      <c r="BI10" s="556"/>
      <c r="BJ10" s="556"/>
      <c r="BK10" s="556"/>
      <c r="BL10" s="556"/>
      <c r="BM10" s="556"/>
      <c r="BN10" s="556"/>
      <c r="BO10" s="556"/>
      <c r="BP10" s="556"/>
      <c r="BQ10" s="569" t="s">
        <v>177</v>
      </c>
      <c r="BR10" s="570">
        <v>3</v>
      </c>
      <c r="BS10" s="556"/>
      <c r="BT10" s="556"/>
      <c r="BU10" s="571" t="str" cm="1">
        <f t="array" ref="BU10">IFERROR(_xlfn.LET(_xlpm.i,ROWS($BU$2:BU10),_xlpm.cur,INDEX(tblLaminateStructures[Laminate],_xlpm.i),_xlpm.prev,IF(_xlpm.i=1,"",INDEX(tblLaminateStructures[Laminate],_xlpm.i-1)),IF(_xlpm.cur&lt;&gt;_xlpm.prev,_xlpm.cur,"")),"")</f>
        <v/>
      </c>
      <c r="BV10" s="572" t="str" cm="1">
        <f t="array" ref="BV10">IFERROR(_xlfn.LET(_xlpm.i,ROWS($BV$2:BV10),_xlpm.cur,INDEX(tblLaminateStructures[Total Thickness (µ)],_xlpm.i),_xlpm.prev,IF(_xlpm.i=1,"",INDEX(tblLaminateStructures[Total Thickness (µ)],_xlpm.i-1)),IF(OR(_xlpm.cur&lt;&gt;_xlpm.prev,BU10&lt;&gt;""),_xlpm.cur,"")),"")</f>
        <v/>
      </c>
      <c r="BW10" s="573" t="str" cm="1">
        <f t="array" ref="BW10">IFERROR(INDEX(tblLaminateStructures[Material / Layer],ROWS($BW$2:BW10)),"")</f>
        <v>RM G Epotal ECO 3675</v>
      </c>
      <c r="BX10" s="572" cm="1">
        <f t="array" ref="BX10">IFERROR(INDEX(tblLaminateStructures[Layer Thickness (µ)],ROWS($BX$2:BX10)),"")</f>
        <v>3</v>
      </c>
      <c r="BY10" s="572" cm="1">
        <f t="array" ref="BY10">IFERROR(INDEX(tblLaminateStructures[Structure Check],ROWS($BY$2:BY10)),"")</f>
        <v>51</v>
      </c>
      <c r="BZ10" s="573" cm="1">
        <f t="array" ref="BZ10">IFERROR(INDEX(tblLaminateStructures[Laminate],ROWS($BZ$2:BZ10)),"")</f>
        <v>618</v>
      </c>
      <c r="CA10" s="573"/>
      <c r="CB10" s="573">
        <v>819</v>
      </c>
      <c r="CC10" s="572" cm="1">
        <f t="array" ref="CC10">IFERROR(INDEX(tblLaminateStructures[Total Thickness (µ)],ROWS($CC$2:CC10)),"")</f>
        <v>51</v>
      </c>
      <c r="CD10" s="572"/>
      <c r="CE10" s="572"/>
      <c r="CF10" s="572"/>
      <c r="CG10" s="573"/>
      <c r="CH10" s="574"/>
      <c r="CR10" t="e">
        <f>TRIM(#REF!)</f>
        <v>#REF!</v>
      </c>
      <c r="CS10" s="95"/>
      <c r="CT10" s="95" t="e">
        <f>#REF!</f>
        <v>#REF!</v>
      </c>
      <c r="CU10" s="95" t="e">
        <f>#REF!</f>
        <v>#REF!</v>
      </c>
      <c r="CV10" s="50"/>
      <c r="CW10" t="str" cm="1">
        <f t="array" ref="CW10">IF(OR(TRIM(Pouches!$AH$52&amp;"")="618",TRIM(Pouches!$AH$52&amp;"")="618 W"),106,IF(5=1,IFERROR(INDEX(_xlfn._xlws.FILTER(tblLaminateStructures[Total Thickness (µ)],(TRIM(tblLaminateStructures[Laminate]&amp;"")=TRIM(Pouches!$AH$52&amp;""))*(tblLaminateStructures[Total Thickness (µ)]&lt;&gt;"")),1),""),""))</f>
        <v/>
      </c>
      <c r="CX10" t="str" cm="1">
        <f t="array" ref="CX10">IF(OR(TRIM(Pouches!$AL$52&amp;"")="618",TRIM(Pouches!$AL$52&amp;"")="618 W"),106,IF(5=1,IFERROR(INDEX(_xlfn._xlws.FILTER(tblLaminateStructures[Total Thickness (µ)],(TRIM(tblLaminateStructures[Laminate]&amp;"")=TRIM(Pouches!$AL$52&amp;""))*(tblLaminateStructures[Total Thickness (µ)]&lt;&gt;"")),1),""),""))</f>
        <v/>
      </c>
      <c r="CY10" t="str" cm="1">
        <f t="array" ref="CY10">IF(OR(TRIM(Pouches!$AP$52&amp;"")="618",TRIM(Pouches!$AP$52&amp;"")="618 W"),106,IF(5=1,IFERROR(INDEX(_xlfn._xlws.FILTER(tblLaminateStructures[Total Thickness (µ)],(TRIM(tblLaminateStructures[Laminate]&amp;"")=TRIM(Pouches!$AP$52&amp;""))*(tblLaminateStructures[Total Thickness (µ)]&lt;&gt;"")),1),""),""))</f>
        <v/>
      </c>
      <c r="DJ10" t="s">
        <v>51</v>
      </c>
      <c r="DK10">
        <v>60</v>
      </c>
    </row>
    <row r="11" spans="1:122">
      <c r="A11" s="20" t="s">
        <v>18</v>
      </c>
      <c r="B11" s="20" t="s">
        <v>9</v>
      </c>
      <c r="C11" s="20" t="s">
        <v>82</v>
      </c>
      <c r="D11" s="20" t="s">
        <v>40</v>
      </c>
      <c r="E11" s="20">
        <v>7.55</v>
      </c>
      <c r="I11">
        <v>65</v>
      </c>
      <c r="O11" s="9"/>
      <c r="AG11" s="9"/>
      <c r="AP11" s="5" t="s">
        <v>14</v>
      </c>
      <c r="AQ11">
        <v>1.25</v>
      </c>
      <c r="AV11" s="544">
        <v>618</v>
      </c>
      <c r="AW11" s="545">
        <v>56</v>
      </c>
      <c r="AX11" s="544" t="s">
        <v>168</v>
      </c>
      <c r="AY11" s="545">
        <v>23</v>
      </c>
      <c r="AZ1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1" s="544"/>
      <c r="BB11" s="544"/>
      <c r="BC11" s="544" t="s">
        <v>1060</v>
      </c>
      <c r="BD11" s="544"/>
      <c r="BF11" s="556"/>
      <c r="BG11" s="556"/>
      <c r="BH11" s="556"/>
      <c r="BI11" s="556"/>
      <c r="BJ11" s="556"/>
      <c r="BK11" s="556"/>
      <c r="BL11" s="556"/>
      <c r="BM11" s="556"/>
      <c r="BN11" s="556"/>
      <c r="BO11" s="556"/>
      <c r="BP11" s="556"/>
      <c r="BQ11" s="569" t="s">
        <v>173</v>
      </c>
      <c r="BR11" s="570">
        <v>3</v>
      </c>
      <c r="BS11" s="556"/>
      <c r="BT11" s="556"/>
      <c r="BU11" s="571" t="str" cm="1">
        <f t="array" ref="BU11">IFERROR(_xlfn.LET(_xlpm.i,ROWS($BU$2:BU11),_xlpm.cur,INDEX(tblLaminateStructures[Laminate],_xlpm.i),_xlpm.prev,IF(_xlpm.i=1,"",INDEX(tblLaminateStructures[Laminate],_xlpm.i-1)),IF(_xlpm.cur&lt;&gt;_xlpm.prev,_xlpm.cur,"")),"")</f>
        <v/>
      </c>
      <c r="BV11" s="572" cm="1">
        <f t="array" ref="BV11">IFERROR(_xlfn.LET(_xlpm.i,ROWS($BV$2:BV11),_xlpm.cur,INDEX(tblLaminateStructures[Total Thickness (µ)],_xlpm.i),_xlpm.prev,IF(_xlpm.i=1,"",INDEX(tblLaminateStructures[Total Thickness (µ)],_xlpm.i-1)),IF(OR(_xlpm.cur&lt;&gt;_xlpm.prev,BU11&lt;&gt;""),_xlpm.cur,"")),"")</f>
        <v>56</v>
      </c>
      <c r="BW11" s="573" t="str" cm="1">
        <f t="array" ref="BW11">IFERROR(INDEX(tblLaminateStructures[Material / Layer],ROWS($BW$2:BW11)),"")</f>
        <v>NK</v>
      </c>
      <c r="BX11" s="572" cm="1">
        <f t="array" ref="BX11">IFERROR(INDEX(tblLaminateStructures[Layer Thickness (µ)],ROWS($BX$2:BX11)),"")</f>
        <v>23</v>
      </c>
      <c r="BY11" s="572" cm="1">
        <f t="array" ref="BY11">IFERROR(INDEX(tblLaminateStructures[Structure Check],ROWS($BY$2:BY11)),"")</f>
        <v>56</v>
      </c>
      <c r="BZ11" s="573" cm="1">
        <f t="array" ref="BZ11">IFERROR(INDEX(tblLaminateStructures[Laminate],ROWS($BZ$2:BZ11)),"")</f>
        <v>618</v>
      </c>
      <c r="CA11" s="573"/>
      <c r="CB11" s="573">
        <v>823</v>
      </c>
      <c r="CC11" s="572" cm="1">
        <f t="array" ref="CC11">IFERROR(INDEX(tblLaminateStructures[Total Thickness (µ)],ROWS($CC$2:CC11)),"")</f>
        <v>56</v>
      </c>
      <c r="CD11" s="572"/>
      <c r="CE11" s="572"/>
      <c r="CF11" s="572"/>
      <c r="CG11" s="573"/>
      <c r="CH11" s="574"/>
      <c r="CR11" t="e">
        <f>TRIM(#REF!)</f>
        <v>#REF!</v>
      </c>
      <c r="CS11" s="95"/>
      <c r="CT11" s="95" t="e">
        <f>#REF!</f>
        <v>#REF!</v>
      </c>
      <c r="CU11" s="95" t="e">
        <f>#REF!</f>
        <v>#REF!</v>
      </c>
      <c r="CV11" s="50"/>
      <c r="CW11" t="str" cm="1">
        <f t="array" ref="CW11">IF(OR(TRIM(Pouches!$AH$52&amp;"")="618",TRIM(Pouches!$AH$52&amp;"")="618 W"),106,IF(5=1,IFERROR(INDEX(_xlfn._xlws.FILTER(tblLaminateStructures[Total Thickness (µ)],(TRIM(tblLaminateStructures[Laminate]&amp;"")=TRIM(Pouches!$AH$52&amp;""))*(tblLaminateStructures[Total Thickness (µ)]&lt;&gt;"")),1),""),""))</f>
        <v/>
      </c>
      <c r="CX11" t="str" cm="1">
        <f t="array" ref="CX11">IF(OR(TRIM(Pouches!$AL$52&amp;"")="618",TRIM(Pouches!$AL$52&amp;"")="618 W"),106,IF(5=1,IFERROR(INDEX(_xlfn._xlws.FILTER(tblLaminateStructures[Total Thickness (µ)],(TRIM(tblLaminateStructures[Laminate]&amp;"")=TRIM(Pouches!$AL$52&amp;""))*(tblLaminateStructures[Total Thickness (µ)]&lt;&gt;"")),1),""),""))</f>
        <v/>
      </c>
      <c r="CY11" t="str" cm="1">
        <f t="array" ref="CY11">IF(OR(TRIM(Pouches!$AP$52&amp;"")="618",TRIM(Pouches!$AP$52&amp;"")="618 W"),106,IF(5=1,IFERROR(INDEX(_xlfn._xlws.FILTER(tblLaminateStructures[Total Thickness (µ)],(TRIM(tblLaminateStructures[Laminate]&amp;"")=TRIM(Pouches!$AP$52&amp;""))*(tblLaminateStructures[Total Thickness (µ)]&lt;&gt;"")),1),""),""))</f>
        <v/>
      </c>
      <c r="DJ11" t="s">
        <v>180</v>
      </c>
      <c r="DK11">
        <v>65</v>
      </c>
    </row>
    <row r="12" spans="1:122">
      <c r="A12" s="19" t="s">
        <v>19</v>
      </c>
      <c r="B12" s="19" t="s">
        <v>30</v>
      </c>
      <c r="C12" s="19" t="s">
        <v>30</v>
      </c>
      <c r="D12" s="19" t="s">
        <v>30</v>
      </c>
      <c r="E12" s="19">
        <v>18.5</v>
      </c>
      <c r="I12">
        <v>70</v>
      </c>
      <c r="O12" s="9"/>
      <c r="AP12" s="73" t="s">
        <v>173</v>
      </c>
      <c r="AQ12">
        <v>1</v>
      </c>
      <c r="AV12" s="544">
        <v>618</v>
      </c>
      <c r="AW12" s="545">
        <v>56</v>
      </c>
      <c r="AX12" s="544" t="s">
        <v>0</v>
      </c>
      <c r="AY12" s="545">
        <v>30</v>
      </c>
      <c r="AZ1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2" s="544"/>
      <c r="BB12" s="544"/>
      <c r="BC12" s="544" t="s">
        <v>1060</v>
      </c>
      <c r="BD12" s="544"/>
      <c r="BF12" s="556"/>
      <c r="BG12" s="556"/>
      <c r="BH12" s="556"/>
      <c r="BI12" s="556"/>
      <c r="BJ12" s="556"/>
      <c r="BK12" s="556"/>
      <c r="BL12" s="556"/>
      <c r="BM12" s="556"/>
      <c r="BN12" s="556"/>
      <c r="BO12" s="556"/>
      <c r="BP12" s="556"/>
      <c r="BQ12" s="569" t="s">
        <v>174</v>
      </c>
      <c r="BR12" s="570">
        <v>3</v>
      </c>
      <c r="BS12" s="556"/>
      <c r="BT12" s="556"/>
      <c r="BU12" s="571" t="str" cm="1">
        <f t="array" ref="BU12">IFERROR(_xlfn.LET(_xlpm.i,ROWS($BU$2:BU12),_xlpm.cur,INDEX(tblLaminateStructures[Laminate],_xlpm.i),_xlpm.prev,IF(_xlpm.i=1,"",INDEX(tblLaminateStructures[Laminate],_xlpm.i-1)),IF(_xlpm.cur&lt;&gt;_xlpm.prev,_xlpm.cur,"")),"")</f>
        <v/>
      </c>
      <c r="BV12" s="572" t="str" cm="1">
        <f t="array" ref="BV12">IFERROR(_xlfn.LET(_xlpm.i,ROWS($BV$2:BV12),_xlpm.cur,INDEX(tblLaminateStructures[Total Thickness (µ)],_xlpm.i),_xlpm.prev,IF(_xlpm.i=1,"",INDEX(tblLaminateStructures[Total Thickness (µ)],_xlpm.i-1)),IF(OR(_xlpm.cur&lt;&gt;_xlpm.prev,BU12&lt;&gt;""),_xlpm.cur,"")),"")</f>
        <v/>
      </c>
      <c r="BW12" s="573" t="str" cm="1">
        <f t="array" ref="BW12">IFERROR(INDEX(tblLaminateStructures[Material / Layer],ROWS($BW$2:BW12)),"")</f>
        <v>TIPA 302FG</v>
      </c>
      <c r="BX12" s="572" cm="1">
        <f t="array" ref="BX12">IFERROR(INDEX(tblLaminateStructures[Layer Thickness (µ)],ROWS($BX$2:BX12)),"")</f>
        <v>30</v>
      </c>
      <c r="BY12" s="572" cm="1">
        <f t="array" ref="BY12">IFERROR(INDEX(tblLaminateStructures[Structure Check],ROWS($BY$2:BY12)),"")</f>
        <v>56</v>
      </c>
      <c r="BZ12" s="573" cm="1">
        <f t="array" ref="BZ12">IFERROR(INDEX(tblLaminateStructures[Laminate],ROWS($BZ$2:BZ12)),"")</f>
        <v>618</v>
      </c>
      <c r="CA12" s="573"/>
      <c r="CB12" s="573">
        <v>918</v>
      </c>
      <c r="CC12" s="572" cm="1">
        <f t="array" ref="CC12">IFERROR(INDEX(tblLaminateStructures[Total Thickness (µ)],ROWS($CC$2:CC12)),"")</f>
        <v>56</v>
      </c>
      <c r="CD12" s="572"/>
      <c r="CE12" s="572"/>
      <c r="CF12" s="572"/>
      <c r="CG12" s="573"/>
      <c r="CH12" s="574"/>
      <c r="CR12" t="e">
        <f>TRIM(#REF!)</f>
        <v>#REF!</v>
      </c>
      <c r="CS12" s="95"/>
      <c r="CT12" s="95" t="e">
        <f>#REF!</f>
        <v>#REF!</v>
      </c>
      <c r="CU12" s="95" t="e">
        <f>#REF!</f>
        <v>#REF!</v>
      </c>
      <c r="CV12" s="50"/>
      <c r="CW12" t="str" cm="1">
        <f t="array" ref="CW12">IF(OR(TRIM(Pouches!$AH$52&amp;"")="618",TRIM(Pouches!$AH$52&amp;"")="618 W"),106,IF(5=1,IFERROR(INDEX(_xlfn._xlws.FILTER(tblLaminateStructures[Total Thickness (µ)],(TRIM(tblLaminateStructures[Laminate]&amp;"")=TRIM(Pouches!$AH$52&amp;""))*(tblLaminateStructures[Total Thickness (µ)]&lt;&gt;"")),1),""),""))</f>
        <v/>
      </c>
      <c r="CX12" t="str" cm="1">
        <f t="array" ref="CX12">IF(OR(TRIM(Pouches!$AL$52&amp;"")="618",TRIM(Pouches!$AL$52&amp;"")="618 W"),106,IF(5=1,IFERROR(INDEX(_xlfn._xlws.FILTER(tblLaminateStructures[Total Thickness (µ)],(TRIM(tblLaminateStructures[Laminate]&amp;"")=TRIM(Pouches!$AL$52&amp;""))*(tblLaminateStructures[Total Thickness (µ)]&lt;&gt;"")),1),""),""))</f>
        <v/>
      </c>
      <c r="CY12" t="str" cm="1">
        <f t="array" ref="CY12">IF(OR(TRIM(Pouches!$AP$52&amp;"")="618",TRIM(Pouches!$AP$52&amp;"")="618 W"),106,IF(5=1,IFERROR(INDEX(_xlfn._xlws.FILTER(tblLaminateStructures[Total Thickness (µ)],(TRIM(tblLaminateStructures[Laminate]&amp;"")=TRIM(Pouches!$AP$52&amp;""))*(tblLaminateStructures[Total Thickness (µ)]&lt;&gt;"")),1),""),""))</f>
        <v/>
      </c>
      <c r="DK12">
        <v>70</v>
      </c>
    </row>
    <row r="13" spans="1:122">
      <c r="A13" s="20" t="s">
        <v>12</v>
      </c>
      <c r="B13" s="20" t="s">
        <v>8</v>
      </c>
      <c r="C13" s="20" t="s">
        <v>83</v>
      </c>
      <c r="D13" s="20" t="s">
        <v>42</v>
      </c>
      <c r="E13" s="20">
        <v>6.75</v>
      </c>
      <c r="I13">
        <v>75</v>
      </c>
      <c r="AP13" s="5" t="s">
        <v>177</v>
      </c>
      <c r="AQ13">
        <v>1</v>
      </c>
      <c r="AV13" s="544">
        <v>618</v>
      </c>
      <c r="AW13" s="545">
        <v>56</v>
      </c>
      <c r="AX13" s="544" t="s">
        <v>177</v>
      </c>
      <c r="AY13" s="545">
        <v>3</v>
      </c>
      <c r="AZ1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3" s="544"/>
      <c r="BB13" s="544"/>
      <c r="BC13" s="544" t="s">
        <v>1060</v>
      </c>
      <c r="BD13" s="544"/>
      <c r="BF13" s="556"/>
      <c r="BG13" s="556"/>
      <c r="BH13" s="556"/>
      <c r="BI13" s="556"/>
      <c r="BJ13" s="556"/>
      <c r="BK13" s="556"/>
      <c r="BL13" s="556"/>
      <c r="BM13" s="556"/>
      <c r="BN13" s="556"/>
      <c r="BO13" s="556"/>
      <c r="BP13" s="556"/>
      <c r="BQ13" s="569" t="s">
        <v>181</v>
      </c>
      <c r="BR13" s="570">
        <v>40</v>
      </c>
      <c r="BS13" s="556"/>
      <c r="BT13" s="556"/>
      <c r="BU13" s="571" t="str" cm="1">
        <f t="array" ref="BU13">IFERROR(_xlfn.LET(_xlpm.i,ROWS($BU$2:BU13),_xlpm.cur,INDEX(tblLaminateStructures[Laminate],_xlpm.i),_xlpm.prev,IF(_xlpm.i=1,"",INDEX(tblLaminateStructures[Laminate],_xlpm.i-1)),IF(_xlpm.cur&lt;&gt;_xlpm.prev,_xlpm.cur,"")),"")</f>
        <v/>
      </c>
      <c r="BV13" s="572" t="str" cm="1">
        <f t="array" ref="BV13">IFERROR(_xlfn.LET(_xlpm.i,ROWS($BV$2:BV13),_xlpm.cur,INDEX(tblLaminateStructures[Total Thickness (µ)],_xlpm.i),_xlpm.prev,IF(_xlpm.i=1,"",INDEX(tblLaminateStructures[Total Thickness (µ)],_xlpm.i-1)),IF(OR(_xlpm.cur&lt;&gt;_xlpm.prev,BU13&lt;&gt;""),_xlpm.cur,"")),"")</f>
        <v/>
      </c>
      <c r="BW13" s="573" t="str" cm="1">
        <f t="array" ref="BW13">IFERROR(INDEX(tblLaminateStructures[Material / Layer],ROWS($BW$2:BW13)),"")</f>
        <v>RM G Epotal ECO 3675</v>
      </c>
      <c r="BX13" s="572" cm="1">
        <f t="array" ref="BX13">IFERROR(INDEX(tblLaminateStructures[Layer Thickness (µ)],ROWS($BX$2:BX13)),"")</f>
        <v>3</v>
      </c>
      <c r="BY13" s="572" cm="1">
        <f t="array" ref="BY13">IFERROR(INDEX(tblLaminateStructures[Structure Check],ROWS($BY$2:BY13)),"")</f>
        <v>56</v>
      </c>
      <c r="BZ13" s="573" cm="1">
        <f t="array" ref="BZ13">IFERROR(INDEX(tblLaminateStructures[Laminate],ROWS($BZ$2:BZ13)),"")</f>
        <v>618</v>
      </c>
      <c r="CA13" s="573"/>
      <c r="CB13" s="573">
        <v>919</v>
      </c>
      <c r="CC13" s="572" cm="1">
        <f t="array" ref="CC13">IFERROR(INDEX(tblLaminateStructures[Total Thickness (µ)],ROWS($CC$2:CC13)),"")</f>
        <v>56</v>
      </c>
      <c r="CD13" s="572"/>
      <c r="CE13" s="572"/>
      <c r="CF13" s="572"/>
      <c r="CG13" s="573"/>
      <c r="CH13" s="574"/>
      <c r="CR13" t="e">
        <f>TRIM(#REF!)</f>
        <v>#REF!</v>
      </c>
      <c r="CS13" s="95"/>
      <c r="CT13" s="95" t="e">
        <f>#REF!</f>
        <v>#REF!</v>
      </c>
      <c r="CU13" s="95" t="e">
        <f>#REF!</f>
        <v>#REF!</v>
      </c>
      <c r="CV13" s="50"/>
      <c r="CW13" t="str" cm="1">
        <f t="array" ref="CW13">IF(OR(TRIM(Pouches!$AH$52&amp;"")="618",TRIM(Pouches!$AH$52&amp;"")="618 W"),106,IF(5=1,IFERROR(INDEX(_xlfn._xlws.FILTER(tblLaminateStructures[Total Thickness (µ)],(TRIM(tblLaminateStructures[Laminate]&amp;"")=TRIM(Pouches!$AH$52&amp;""))*(tblLaminateStructures[Total Thickness (µ)]&lt;&gt;"")),1),""),""))</f>
        <v/>
      </c>
      <c r="CX13" t="str" cm="1">
        <f t="array" ref="CX13">IF(OR(TRIM(Pouches!$AL$52&amp;"")="618",TRIM(Pouches!$AL$52&amp;"")="618 W"),106,IF(5=1,IFERROR(INDEX(_xlfn._xlws.FILTER(tblLaminateStructures[Total Thickness (µ)],(TRIM(tblLaminateStructures[Laminate]&amp;"")=TRIM(Pouches!$AL$52&amp;""))*(tblLaminateStructures[Total Thickness (µ)]&lt;&gt;"")),1),""),""))</f>
        <v/>
      </c>
      <c r="CY13" t="str" cm="1">
        <f t="array" ref="CY13">IF(OR(TRIM(Pouches!$AP$52&amp;"")="618",TRIM(Pouches!$AP$52&amp;"")="618 W"),106,IF(5=1,IFERROR(INDEX(_xlfn._xlws.FILTER(tblLaminateStructures[Total Thickness (µ)],(TRIM(tblLaminateStructures[Laminate]&amp;"")=TRIM(Pouches!$AP$52&amp;""))*(tblLaminateStructures[Total Thickness (µ)]&lt;&gt;"")),1),""),""))</f>
        <v/>
      </c>
      <c r="DK13">
        <v>75</v>
      </c>
    </row>
    <row r="14" spans="1:122">
      <c r="A14" s="19" t="s">
        <v>41</v>
      </c>
      <c r="B14" s="19" t="s">
        <v>26</v>
      </c>
      <c r="C14" s="19" t="s">
        <v>26</v>
      </c>
      <c r="D14" s="19" t="s">
        <v>53</v>
      </c>
      <c r="E14" s="19">
        <v>6.15</v>
      </c>
      <c r="AP14" s="5" t="s">
        <v>174</v>
      </c>
      <c r="AQ14">
        <v>1</v>
      </c>
      <c r="AV14" s="544">
        <v>618</v>
      </c>
      <c r="AW14" s="545">
        <v>61</v>
      </c>
      <c r="AX14" s="544" t="s">
        <v>168</v>
      </c>
      <c r="AY14" s="545">
        <v>23</v>
      </c>
      <c r="AZ1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4" s="544"/>
      <c r="BB14" s="544"/>
      <c r="BC14" s="544" t="s">
        <v>1060</v>
      </c>
      <c r="BD14" s="544"/>
      <c r="BF14" s="556"/>
      <c r="BG14" s="556"/>
      <c r="BH14" s="556"/>
      <c r="BI14" s="556"/>
      <c r="BJ14" s="556"/>
      <c r="BK14" s="556"/>
      <c r="BL14" s="556"/>
      <c r="BM14" s="556"/>
      <c r="BN14" s="556"/>
      <c r="BO14" s="556"/>
      <c r="BP14" s="556"/>
      <c r="BQ14" s="569" t="s">
        <v>170</v>
      </c>
      <c r="BR14" s="570">
        <v>25</v>
      </c>
      <c r="BS14" s="556"/>
      <c r="BT14" s="556"/>
      <c r="BU14" s="571" t="str" cm="1">
        <f t="array" ref="BU14">IFERROR(_xlfn.LET(_xlpm.i,ROWS($BU$2:BU14),_xlpm.cur,INDEX(tblLaminateStructures[Laminate],_xlpm.i),_xlpm.prev,IF(_xlpm.i=1,"",INDEX(tblLaminateStructures[Laminate],_xlpm.i-1)),IF(_xlpm.cur&lt;&gt;_xlpm.prev,_xlpm.cur,"")),"")</f>
        <v/>
      </c>
      <c r="BV14" s="572" cm="1">
        <f t="array" ref="BV14">IFERROR(_xlfn.LET(_xlpm.i,ROWS($BV$2:BV14),_xlpm.cur,INDEX(tblLaminateStructures[Total Thickness (µ)],_xlpm.i),_xlpm.prev,IF(_xlpm.i=1,"",INDEX(tblLaminateStructures[Total Thickness (µ)],_xlpm.i-1)),IF(OR(_xlpm.cur&lt;&gt;_xlpm.prev,BU14&lt;&gt;""),_xlpm.cur,"")),"")</f>
        <v>61</v>
      </c>
      <c r="BW14" s="573" t="str" cm="1">
        <f t="array" ref="BW14">IFERROR(INDEX(tblLaminateStructures[Material / Layer],ROWS($BW$2:BW14)),"")</f>
        <v>NK</v>
      </c>
      <c r="BX14" s="572" cm="1">
        <f t="array" ref="BX14">IFERROR(INDEX(tblLaminateStructures[Layer Thickness (µ)],ROWS($BX$2:BX14)),"")</f>
        <v>23</v>
      </c>
      <c r="BY14" s="572" cm="1">
        <f t="array" ref="BY14">IFERROR(INDEX(tblLaminateStructures[Structure Check],ROWS($BY$2:BY14)),"")</f>
        <v>61</v>
      </c>
      <c r="BZ14" s="573" cm="1">
        <f t="array" ref="BZ14">IFERROR(INDEX(tblLaminateStructures[Laminate],ROWS($BZ$2:BZ14)),"")</f>
        <v>618</v>
      </c>
      <c r="CA14" s="573"/>
      <c r="CB14" s="573">
        <v>923</v>
      </c>
      <c r="CC14" s="572" cm="1">
        <f t="array" ref="CC14">IFERROR(INDEX(tblLaminateStructures[Total Thickness (µ)],ROWS($CC$2:CC14)),"")</f>
        <v>61</v>
      </c>
      <c r="CD14" s="572"/>
      <c r="CE14" s="572"/>
      <c r="CF14" s="572"/>
      <c r="CG14" s="573"/>
      <c r="CH14" s="574"/>
      <c r="CR14" t="e">
        <f>TRIM(#REF!)</f>
        <v>#REF!</v>
      </c>
      <c r="CS14" s="95"/>
      <c r="CT14" s="95" t="e">
        <f>#REF!</f>
        <v>#REF!</v>
      </c>
      <c r="CU14" s="95" t="e">
        <f>#REF!</f>
        <v>#REF!</v>
      </c>
      <c r="CV14" s="50"/>
      <c r="CW14" t="str" cm="1">
        <f t="array" ref="CW14">IF(OR(TRIM(Pouches!$AH$52&amp;"")="618",TRIM(Pouches!$AH$52&amp;"")="618 W"),106,IF(5=1,IFERROR(INDEX(_xlfn._xlws.FILTER(tblLaminateStructures[Total Thickness (µ)],(TRIM(tblLaminateStructures[Laminate]&amp;"")=TRIM(Pouches!$AH$52&amp;""))*(tblLaminateStructures[Total Thickness (µ)]&lt;&gt;"")),1),""),""))</f>
        <v/>
      </c>
      <c r="CX14" t="str" cm="1">
        <f t="array" ref="CX14">IF(OR(TRIM(Pouches!$AL$52&amp;"")="618",TRIM(Pouches!$AL$52&amp;"")="618 W"),106,IF(5=1,IFERROR(INDEX(_xlfn._xlws.FILTER(tblLaminateStructures[Total Thickness (µ)],(TRIM(tblLaminateStructures[Laminate]&amp;"")=TRIM(Pouches!$AL$52&amp;""))*(tblLaminateStructures[Total Thickness (µ)]&lt;&gt;"")),1),""),""))</f>
        <v/>
      </c>
      <c r="CY14" t="str" cm="1">
        <f t="array" ref="CY14">IF(OR(TRIM(Pouches!$AP$52&amp;"")="618",TRIM(Pouches!$AP$52&amp;"")="618 W"),106,IF(5=1,IFERROR(INDEX(_xlfn._xlws.FILTER(tblLaminateStructures[Total Thickness (µ)],(TRIM(tblLaminateStructures[Laminate]&amp;"")=TRIM(Pouches!$AP$52&amp;""))*(tblLaminateStructures[Total Thickness (µ)]&lt;&gt;"")),1),""),""))</f>
        <v/>
      </c>
    </row>
    <row r="15" spans="1:122">
      <c r="A15" s="20" t="s">
        <v>14</v>
      </c>
      <c r="B15" s="20" t="s">
        <v>171</v>
      </c>
      <c r="C15" s="20" t="s">
        <v>170</v>
      </c>
      <c r="D15" s="20" t="s">
        <v>169</v>
      </c>
      <c r="E15" s="20">
        <v>5.5</v>
      </c>
      <c r="F15" s="10" t="s">
        <v>183</v>
      </c>
      <c r="AP15" s="5" t="s">
        <v>1121</v>
      </c>
      <c r="AQ15">
        <v>1.44</v>
      </c>
      <c r="AV15" s="544">
        <v>618</v>
      </c>
      <c r="AW15" s="545">
        <v>61</v>
      </c>
      <c r="AX15" s="544" t="s">
        <v>0</v>
      </c>
      <c r="AY15" s="545">
        <v>35</v>
      </c>
      <c r="AZ1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5" s="544"/>
      <c r="BB15" s="544"/>
      <c r="BC15" s="544" t="s">
        <v>1060</v>
      </c>
      <c r="BD15" s="544"/>
      <c r="BF15" s="556"/>
      <c r="BG15" s="556"/>
      <c r="BH15" s="556"/>
      <c r="BI15" s="556"/>
      <c r="BJ15" s="556"/>
      <c r="BK15" s="556"/>
      <c r="BL15" s="556"/>
      <c r="BM15" s="556"/>
      <c r="BN15" s="556"/>
      <c r="BO15" s="556"/>
      <c r="BP15" s="556"/>
      <c r="BQ15" s="581" t="s">
        <v>182</v>
      </c>
      <c r="BR15" s="582">
        <v>40</v>
      </c>
      <c r="BS15" s="556"/>
      <c r="BT15" s="556"/>
      <c r="BU15" s="571" t="str" cm="1">
        <f t="array" ref="BU15">IFERROR(_xlfn.LET(_xlpm.i,ROWS($BU$2:BU15),_xlpm.cur,INDEX(tblLaminateStructures[Laminate],_xlpm.i),_xlpm.prev,IF(_xlpm.i=1,"",INDEX(tblLaminateStructures[Laminate],_xlpm.i-1)),IF(_xlpm.cur&lt;&gt;_xlpm.prev,_xlpm.cur,"")),"")</f>
        <v/>
      </c>
      <c r="BV15" s="572" t="str" cm="1">
        <f t="array" ref="BV15">IFERROR(_xlfn.LET(_xlpm.i,ROWS($BV$2:BV15),_xlpm.cur,INDEX(tblLaminateStructures[Total Thickness (µ)],_xlpm.i),_xlpm.prev,IF(_xlpm.i=1,"",INDEX(tblLaminateStructures[Total Thickness (µ)],_xlpm.i-1)),IF(OR(_xlpm.cur&lt;&gt;_xlpm.prev,BU15&lt;&gt;""),_xlpm.cur,"")),"")</f>
        <v/>
      </c>
      <c r="BW15" s="573" t="str" cm="1">
        <f t="array" ref="BW15">IFERROR(INDEX(tblLaminateStructures[Material / Layer],ROWS($BW$2:BW15)),"")</f>
        <v>TIPA 302FG</v>
      </c>
      <c r="BX15" s="572" cm="1">
        <f t="array" ref="BX15">IFERROR(INDEX(tblLaminateStructures[Layer Thickness (µ)],ROWS($BX$2:BX15)),"")</f>
        <v>35</v>
      </c>
      <c r="BY15" s="572" cm="1">
        <f t="array" ref="BY15">IFERROR(INDEX(tblLaminateStructures[Structure Check],ROWS($BY$2:BY15)),"")</f>
        <v>61</v>
      </c>
      <c r="BZ15" s="573" cm="1">
        <f t="array" ref="BZ15">IFERROR(INDEX(tblLaminateStructures[Laminate],ROWS($BZ$2:BZ15)),"")</f>
        <v>618</v>
      </c>
      <c r="CA15" s="573"/>
      <c r="CB15" s="573">
        <v>928</v>
      </c>
      <c r="CC15" s="572" cm="1">
        <f t="array" ref="CC15">IFERROR(INDEX(tblLaminateStructures[Total Thickness (µ)],ROWS($CC$2:CC15)),"")</f>
        <v>61</v>
      </c>
      <c r="CD15" s="572"/>
      <c r="CE15" s="572"/>
      <c r="CF15" s="572"/>
      <c r="CG15" s="573"/>
      <c r="CH15" s="574"/>
      <c r="CR15" t="e">
        <f>TRIM(#REF!)</f>
        <v>#REF!</v>
      </c>
      <c r="CS15" s="95"/>
      <c r="CT15" s="95" t="e">
        <f>#REF!</f>
        <v>#REF!</v>
      </c>
      <c r="CU15" s="95" t="e">
        <f>#REF!</f>
        <v>#REF!</v>
      </c>
      <c r="CV15" s="50"/>
      <c r="CW15" t="str" cm="1">
        <f t="array" ref="CW15">IF(OR(TRIM(Pouches!$AH$52&amp;"")="618",TRIM(Pouches!$AH$52&amp;"")="618 W"),106,IF(5=1,IFERROR(INDEX(_xlfn._xlws.FILTER(tblLaminateStructures[Total Thickness (µ)],(TRIM(tblLaminateStructures[Laminate]&amp;"")=TRIM(Pouches!$AH$52&amp;""))*(tblLaminateStructures[Total Thickness (µ)]&lt;&gt;"")),1),""),""))</f>
        <v/>
      </c>
      <c r="CX15" t="str" cm="1">
        <f t="array" ref="CX15">IF(OR(TRIM(Pouches!$AL$52&amp;"")="618",TRIM(Pouches!$AL$52&amp;"")="618 W"),106,IF(5=1,IFERROR(INDEX(_xlfn._xlws.FILTER(tblLaminateStructures[Total Thickness (µ)],(TRIM(tblLaminateStructures[Laminate]&amp;"")=TRIM(Pouches!$AL$52&amp;""))*(tblLaminateStructures[Total Thickness (µ)]&lt;&gt;"")),1),""),""))</f>
        <v/>
      </c>
      <c r="CY15" t="str" cm="1">
        <f t="array" ref="CY15">IF(OR(TRIM(Pouches!$AP$52&amp;"")="618",TRIM(Pouches!$AP$52&amp;"")="618 W"),106,IF(5=1,IFERROR(INDEX(_xlfn._xlws.FILTER(tblLaminateStructures[Total Thickness (µ)],(TRIM(tblLaminateStructures[Laminate]&amp;"")=TRIM(Pouches!$AP$52&amp;""))*(tblLaminateStructures[Total Thickness (µ)]&lt;&gt;"")),1),""),""))</f>
        <v/>
      </c>
    </row>
    <row r="16" spans="1:122">
      <c r="A16" s="19" t="s">
        <v>172</v>
      </c>
      <c r="B16" s="19"/>
      <c r="C16" s="19" t="s">
        <v>173</v>
      </c>
      <c r="D16" s="19"/>
      <c r="E16" s="19">
        <v>5.6</v>
      </c>
      <c r="F16" s="10" t="s">
        <v>183</v>
      </c>
      <c r="AP16" s="5" t="s">
        <v>1069</v>
      </c>
      <c r="AQ16">
        <v>1.44</v>
      </c>
      <c r="AV16" s="544">
        <v>618</v>
      </c>
      <c r="AW16" s="545">
        <v>61</v>
      </c>
      <c r="AX16" s="544" t="s">
        <v>177</v>
      </c>
      <c r="AY16" s="545">
        <v>3</v>
      </c>
      <c r="AZ1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6" s="544"/>
      <c r="BB16" s="544"/>
      <c r="BC16" s="544" t="s">
        <v>1060</v>
      </c>
      <c r="BD16" s="544"/>
      <c r="BF16" s="556"/>
      <c r="BG16" s="556"/>
      <c r="BH16" s="556"/>
      <c r="BI16" s="556"/>
      <c r="BJ16" s="556"/>
      <c r="BK16" s="556"/>
      <c r="BL16" s="556"/>
      <c r="BM16" s="556"/>
      <c r="BN16" s="556"/>
      <c r="BO16" s="556"/>
      <c r="BP16" s="556"/>
      <c r="BQ16" s="556"/>
      <c r="BR16" s="556"/>
      <c r="BS16" s="556"/>
      <c r="BT16" s="556"/>
      <c r="BU16" s="571" t="str" cm="1">
        <f t="array" ref="BU16">IFERROR(_xlfn.LET(_xlpm.i,ROWS($BU$2:BU16),_xlpm.cur,INDEX(tblLaminateStructures[Laminate],_xlpm.i),_xlpm.prev,IF(_xlpm.i=1,"",INDEX(tblLaminateStructures[Laminate],_xlpm.i-1)),IF(_xlpm.cur&lt;&gt;_xlpm.prev,_xlpm.cur,"")),"")</f>
        <v/>
      </c>
      <c r="BV16" s="572" t="str" cm="1">
        <f t="array" ref="BV16">IFERROR(_xlfn.LET(_xlpm.i,ROWS($BV$2:BV16),_xlpm.cur,INDEX(tblLaminateStructures[Total Thickness (µ)],_xlpm.i),_xlpm.prev,IF(_xlpm.i=1,"",INDEX(tblLaminateStructures[Total Thickness (µ)],_xlpm.i-1)),IF(OR(_xlpm.cur&lt;&gt;_xlpm.prev,BU16&lt;&gt;""),_xlpm.cur,"")),"")</f>
        <v/>
      </c>
      <c r="BW16" s="573" t="str" cm="1">
        <f t="array" ref="BW16">IFERROR(INDEX(tblLaminateStructures[Material / Layer],ROWS($BW$2:BW16)),"")</f>
        <v>RM G Epotal ECO 3675</v>
      </c>
      <c r="BX16" s="572" cm="1">
        <f t="array" ref="BX16">IFERROR(INDEX(tblLaminateStructures[Layer Thickness (µ)],ROWS($BX$2:BX16)),"")</f>
        <v>3</v>
      </c>
      <c r="BY16" s="572" cm="1">
        <f t="array" ref="BY16">IFERROR(INDEX(tblLaminateStructures[Structure Check],ROWS($BY$2:BY16)),"")</f>
        <v>61</v>
      </c>
      <c r="BZ16" s="573" cm="1">
        <f t="array" ref="BZ16">IFERROR(INDEX(tblLaminateStructures[Laminate],ROWS($BZ$2:BZ16)),"")</f>
        <v>618</v>
      </c>
      <c r="CA16" s="573"/>
      <c r="CB16" s="573" t="str">
        <v>608 W</v>
      </c>
      <c r="CC16" s="572" cm="1">
        <f t="array" ref="CC16">IFERROR(INDEX(tblLaminateStructures[Total Thickness (µ)],ROWS($CC$2:CC16)),"")</f>
        <v>61</v>
      </c>
      <c r="CD16" s="572"/>
      <c r="CE16" s="572"/>
      <c r="CF16" s="572"/>
      <c r="CG16" s="573"/>
      <c r="CH16" s="574"/>
      <c r="CR16" t="e">
        <f>TRIM(#REF!)</f>
        <v>#REF!</v>
      </c>
      <c r="CS16" s="95"/>
      <c r="CT16" s="95" t="e">
        <f>#REF!</f>
        <v>#REF!</v>
      </c>
      <c r="CU16" s="95" t="e">
        <f>#REF!</f>
        <v>#REF!</v>
      </c>
      <c r="CV16" s="50"/>
      <c r="CW16" t="str" cm="1">
        <f t="array" ref="CW16">IF(OR(TRIM(Pouches!$AH$52&amp;"")="618",TRIM(Pouches!$AH$52&amp;"")="618 W"),106,IF(5=1,IFERROR(INDEX(_xlfn._xlws.FILTER(tblLaminateStructures[Total Thickness (µ)],(TRIM(tblLaminateStructures[Laminate]&amp;"")=TRIM(Pouches!$AH$52&amp;""))*(tblLaminateStructures[Total Thickness (µ)]&lt;&gt;"")),1),""),""))</f>
        <v/>
      </c>
      <c r="CX16" t="str" cm="1">
        <f t="array" ref="CX16">IF(OR(TRIM(Pouches!$AL$52&amp;"")="618",TRIM(Pouches!$AL$52&amp;"")="618 W"),106,IF(5=1,IFERROR(INDEX(_xlfn._xlws.FILTER(tblLaminateStructures[Total Thickness (µ)],(TRIM(tblLaminateStructures[Laminate]&amp;"")=TRIM(Pouches!$AL$52&amp;""))*(tblLaminateStructures[Total Thickness (µ)]&lt;&gt;"")),1),""),""))</f>
        <v/>
      </c>
      <c r="CY16" t="str" cm="1">
        <f t="array" ref="CY16">IF(OR(TRIM(Pouches!$AP$52&amp;"")="618",TRIM(Pouches!$AP$52&amp;"")="618 W"),106,IF(5=1,IFERROR(INDEX(_xlfn._xlws.FILTER(tblLaminateStructures[Total Thickness (µ)],(TRIM(tblLaminateStructures[Laminate]&amp;"")=TRIM(Pouches!$AP$52&amp;""))*(tblLaminateStructures[Total Thickness (µ)]&lt;&gt;"")),1),""),""))</f>
        <v/>
      </c>
    </row>
    <row r="17" spans="1:103">
      <c r="A17" s="20" t="s">
        <v>176</v>
      </c>
      <c r="B17" s="20"/>
      <c r="C17" s="20" t="s">
        <v>177</v>
      </c>
      <c r="D17" s="20"/>
      <c r="E17" s="20">
        <v>4.6500000000000004</v>
      </c>
      <c r="F17" s="10" t="s">
        <v>183</v>
      </c>
      <c r="AP17" t="s">
        <v>1075</v>
      </c>
      <c r="AQ17" s="593">
        <v>2.27</v>
      </c>
      <c r="AV17" s="544">
        <v>618</v>
      </c>
      <c r="AW17" s="545">
        <v>66</v>
      </c>
      <c r="AX17" s="544" t="s">
        <v>168</v>
      </c>
      <c r="AY17" s="545">
        <v>23</v>
      </c>
      <c r="AZ1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7" s="544"/>
      <c r="BB17" s="544"/>
      <c r="BC17" s="544" t="s">
        <v>1060</v>
      </c>
      <c r="BD17" s="544"/>
      <c r="BF17" s="556"/>
      <c r="BG17" s="556"/>
      <c r="BH17" s="556"/>
      <c r="BI17" s="556"/>
      <c r="BJ17" s="556"/>
      <c r="BK17" s="556"/>
      <c r="BL17" s="556"/>
      <c r="BM17" s="556"/>
      <c r="BN17" s="556"/>
      <c r="BO17" s="556"/>
      <c r="BP17" s="556"/>
      <c r="BQ17" s="556"/>
      <c r="BR17" s="556"/>
      <c r="BS17" s="556"/>
      <c r="BT17" s="556"/>
      <c r="BU17" s="571" t="str" cm="1">
        <f t="array" ref="BU17">IFERROR(_xlfn.LET(_xlpm.i,ROWS($BU$2:BU17),_xlpm.cur,INDEX(tblLaminateStructures[Laminate],_xlpm.i),_xlpm.prev,IF(_xlpm.i=1,"",INDEX(tblLaminateStructures[Laminate],_xlpm.i-1)),IF(_xlpm.cur&lt;&gt;_xlpm.prev,_xlpm.cur,"")),"")</f>
        <v/>
      </c>
      <c r="BV17" s="572" cm="1">
        <f t="array" ref="BV17">IFERROR(_xlfn.LET(_xlpm.i,ROWS($BV$2:BV17),_xlpm.cur,INDEX(tblLaminateStructures[Total Thickness (µ)],_xlpm.i),_xlpm.prev,IF(_xlpm.i=1,"",INDEX(tblLaminateStructures[Total Thickness (µ)],_xlpm.i-1)),IF(OR(_xlpm.cur&lt;&gt;_xlpm.prev,BU17&lt;&gt;""),_xlpm.cur,"")),"")</f>
        <v>66</v>
      </c>
      <c r="BW17" s="573" t="str" cm="1">
        <f t="array" ref="BW17">IFERROR(INDEX(tblLaminateStructures[Material / Layer],ROWS($BW$2:BW17)),"")</f>
        <v>NK</v>
      </c>
      <c r="BX17" s="572" cm="1">
        <f t="array" ref="BX17">IFERROR(INDEX(tblLaminateStructures[Layer Thickness (µ)],ROWS($BX$2:BX17)),"")</f>
        <v>23</v>
      </c>
      <c r="BY17" s="572" cm="1">
        <f t="array" ref="BY17">IFERROR(INDEX(tblLaminateStructures[Structure Check],ROWS($BY$2:BY17)),"")</f>
        <v>66</v>
      </c>
      <c r="BZ17" s="573" cm="1">
        <f t="array" ref="BZ17">IFERROR(INDEX(tblLaminateStructures[Laminate],ROWS($BZ$2:BZ17)),"")</f>
        <v>618</v>
      </c>
      <c r="CA17" s="573"/>
      <c r="CB17" s="573" t="str">
        <v>618 W</v>
      </c>
      <c r="CC17" s="572" cm="1">
        <f t="array" ref="CC17">IFERROR(INDEX(tblLaminateStructures[Total Thickness (µ)],ROWS($CC$2:CC17)),"")</f>
        <v>66</v>
      </c>
      <c r="CD17" s="572"/>
      <c r="CE17" s="572"/>
      <c r="CF17" s="572"/>
      <c r="CG17" s="573"/>
      <c r="CH17" s="574"/>
      <c r="CR17" t="e">
        <f>TRIM(#REF!)</f>
        <v>#REF!</v>
      </c>
      <c r="CS17" s="95"/>
      <c r="CT17" s="95" t="e">
        <f>#REF!</f>
        <v>#REF!</v>
      </c>
      <c r="CU17" s="95" t="e">
        <f>#REF!</f>
        <v>#REF!</v>
      </c>
      <c r="CV17" s="50"/>
      <c r="CW17" t="str" cm="1">
        <f t="array" ref="CW17">IF(OR(TRIM(Pouches!$AH$52&amp;"")="618",TRIM(Pouches!$AH$52&amp;"")="618 W"),106,IF(5=1,IFERROR(INDEX(_xlfn._xlws.FILTER(tblLaminateStructures[Total Thickness (µ)],(TRIM(tblLaminateStructures[Laminate]&amp;"")=TRIM(Pouches!$AH$52&amp;""))*(tblLaminateStructures[Total Thickness (µ)]&lt;&gt;"")),1),""),""))</f>
        <v/>
      </c>
      <c r="CX17" t="str" cm="1">
        <f t="array" ref="CX17">IF(OR(TRIM(Pouches!$AL$52&amp;"")="618",TRIM(Pouches!$AL$52&amp;"")="618 W"),106,IF(5=1,IFERROR(INDEX(_xlfn._xlws.FILTER(tblLaminateStructures[Total Thickness (µ)],(TRIM(tblLaminateStructures[Laminate]&amp;"")=TRIM(Pouches!$AL$52&amp;""))*(tblLaminateStructures[Total Thickness (µ)]&lt;&gt;"")),1),""),""))</f>
        <v/>
      </c>
      <c r="CY17" t="str" cm="1">
        <f t="array" ref="CY17">IF(OR(TRIM(Pouches!$AP$52&amp;"")="618",TRIM(Pouches!$AP$52&amp;"")="618 W"),106,IF(5=1,IFERROR(INDEX(_xlfn._xlws.FILTER(tblLaminateStructures[Total Thickness (µ)],(TRIM(tblLaminateStructures[Laminate]&amp;"")=TRIM(Pouches!$AP$52&amp;""))*(tblLaminateStructures[Total Thickness (µ)]&lt;&gt;"")),1),""),""))</f>
        <v/>
      </c>
    </row>
    <row r="18" spans="1:103">
      <c r="A18" s="19" t="s">
        <v>175</v>
      </c>
      <c r="B18" s="19"/>
      <c r="C18" s="19" t="s">
        <v>174</v>
      </c>
      <c r="D18" s="19"/>
      <c r="E18" s="19">
        <v>10.45</v>
      </c>
      <c r="F18" s="10" t="s">
        <v>183</v>
      </c>
      <c r="AP18" s="983" t="s">
        <v>2351</v>
      </c>
      <c r="AQ18" s="983">
        <v>1</v>
      </c>
      <c r="AV18" s="544">
        <v>618</v>
      </c>
      <c r="AW18" s="545">
        <v>66</v>
      </c>
      <c r="AX18" s="544" t="s">
        <v>0</v>
      </c>
      <c r="AY18" s="545">
        <v>40</v>
      </c>
      <c r="AZ1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8" s="544"/>
      <c r="BB18" s="544"/>
      <c r="BC18" s="544" t="s">
        <v>1060</v>
      </c>
      <c r="BD18" s="544"/>
      <c r="BF18" s="556"/>
      <c r="BG18" s="556"/>
      <c r="BH18" s="556"/>
      <c r="BI18" s="556"/>
      <c r="BJ18" s="556"/>
      <c r="BK18" s="556"/>
      <c r="BL18" s="556"/>
      <c r="BM18" s="556"/>
      <c r="BN18" s="556"/>
      <c r="BO18" s="556"/>
      <c r="BP18" s="556"/>
      <c r="BQ18" s="556"/>
      <c r="BR18" s="556"/>
      <c r="BS18" s="556"/>
      <c r="BT18" s="556"/>
      <c r="BU18" s="571" t="str" cm="1">
        <f t="array" ref="BU18">IFERROR(_xlfn.LET(_xlpm.i,ROWS($BU$2:BU18),_xlpm.cur,INDEX(tblLaminateStructures[Laminate],_xlpm.i),_xlpm.prev,IF(_xlpm.i=1,"",INDEX(tblLaminateStructures[Laminate],_xlpm.i-1)),IF(_xlpm.cur&lt;&gt;_xlpm.prev,_xlpm.cur,"")),"")</f>
        <v/>
      </c>
      <c r="BV18" s="572" t="str" cm="1">
        <f t="array" ref="BV18">IFERROR(_xlfn.LET(_xlpm.i,ROWS($BV$2:BV18),_xlpm.cur,INDEX(tblLaminateStructures[Total Thickness (µ)],_xlpm.i),_xlpm.prev,IF(_xlpm.i=1,"",INDEX(tblLaminateStructures[Total Thickness (µ)],_xlpm.i-1)),IF(OR(_xlpm.cur&lt;&gt;_xlpm.prev,BU18&lt;&gt;""),_xlpm.cur,"")),"")</f>
        <v/>
      </c>
      <c r="BW18" s="573" t="str" cm="1">
        <f t="array" ref="BW18">IFERROR(INDEX(tblLaminateStructures[Material / Layer],ROWS($BW$2:BW18)),"")</f>
        <v>TIPA 302FG</v>
      </c>
      <c r="BX18" s="572" cm="1">
        <f t="array" ref="BX18">IFERROR(INDEX(tblLaminateStructures[Layer Thickness (µ)],ROWS($BX$2:BX18)),"")</f>
        <v>40</v>
      </c>
      <c r="BY18" s="572" cm="1">
        <f t="array" ref="BY18">IFERROR(INDEX(tblLaminateStructures[Structure Check],ROWS($BY$2:BY18)),"")</f>
        <v>66</v>
      </c>
      <c r="BZ18" s="573" cm="1">
        <f t="array" ref="BZ18">IFERROR(INDEX(tblLaminateStructures[Laminate],ROWS($BZ$2:BZ18)),"")</f>
        <v>618</v>
      </c>
      <c r="CA18" s="573"/>
      <c r="CB18" s="573" t="str">
        <v>648W</v>
      </c>
      <c r="CC18" s="572" cm="1">
        <f t="array" ref="CC18">IFERROR(INDEX(tblLaminateStructures[Total Thickness (µ)],ROWS($CC$2:CC18)),"")</f>
        <v>66</v>
      </c>
      <c r="CD18" s="572"/>
      <c r="CE18" s="572"/>
      <c r="CF18" s="572"/>
      <c r="CG18" s="573"/>
      <c r="CH18" s="574"/>
      <c r="CR18" t="e">
        <f>TRIM(#REF!)</f>
        <v>#REF!</v>
      </c>
      <c r="CS18" s="95"/>
      <c r="CT18" s="95" t="e">
        <f>#REF!</f>
        <v>#REF!</v>
      </c>
      <c r="CU18" s="95" t="e">
        <f>#REF!</f>
        <v>#REF!</v>
      </c>
      <c r="CV18" s="50"/>
      <c r="CW18" t="str" cm="1">
        <f t="array" ref="CW18">IF(OR(TRIM(Pouches!$AH$52&amp;"")="618",TRIM(Pouches!$AH$52&amp;"")="618 W"),106,IF(5=1,IFERROR(INDEX(_xlfn._xlws.FILTER(tblLaminateStructures[Total Thickness (µ)],(TRIM(tblLaminateStructures[Laminate]&amp;"")=TRIM(Pouches!$AH$52&amp;""))*(tblLaminateStructures[Total Thickness (µ)]&lt;&gt;"")),1),""),""))</f>
        <v/>
      </c>
      <c r="CX18" t="str" cm="1">
        <f t="array" ref="CX18">IF(OR(TRIM(Pouches!$AL$52&amp;"")="618",TRIM(Pouches!$AL$52&amp;"")="618 W"),106,IF(5=1,IFERROR(INDEX(_xlfn._xlws.FILTER(tblLaminateStructures[Total Thickness (µ)],(TRIM(tblLaminateStructures[Laminate]&amp;"")=TRIM(Pouches!$AL$52&amp;""))*(tblLaminateStructures[Total Thickness (µ)]&lt;&gt;"")),1),""),""))</f>
        <v/>
      </c>
      <c r="CY18" t="str" cm="1">
        <f t="array" ref="CY18">IF(OR(TRIM(Pouches!$AP$52&amp;"")="618",TRIM(Pouches!$AP$52&amp;"")="618 W"),106,IF(5=1,IFERROR(INDEX(_xlfn._xlws.FILTER(tblLaminateStructures[Total Thickness (µ)],(TRIM(tblLaminateStructures[Laminate]&amp;"")=TRIM(Pouches!$AP$52&amp;""))*(tblLaminateStructures[Total Thickness (µ)]&lt;&gt;"")),1),""),""))</f>
        <v/>
      </c>
    </row>
    <row r="19" spans="1:103">
      <c r="A19" s="20" t="s">
        <v>168</v>
      </c>
      <c r="B19" s="20" t="s">
        <v>168</v>
      </c>
      <c r="C19" s="20" t="s">
        <v>168</v>
      </c>
      <c r="D19" s="20" t="s">
        <v>168</v>
      </c>
      <c r="E19" s="20">
        <v>7.95</v>
      </c>
      <c r="F19" s="10" t="s">
        <v>183</v>
      </c>
      <c r="AP19" s="983" t="s">
        <v>2346</v>
      </c>
      <c r="AQ19" s="983">
        <v>1</v>
      </c>
      <c r="AV19" s="544">
        <v>618</v>
      </c>
      <c r="AW19" s="545">
        <v>66</v>
      </c>
      <c r="AX19" s="544" t="s">
        <v>177</v>
      </c>
      <c r="AY19" s="545">
        <v>3</v>
      </c>
      <c r="AZ1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9" s="544"/>
      <c r="BB19" s="544"/>
      <c r="BC19" s="544" t="s">
        <v>1060</v>
      </c>
      <c r="BD19" s="544"/>
      <c r="BF19" s="556"/>
      <c r="BG19" s="556"/>
      <c r="BH19" s="556"/>
      <c r="BI19" s="556"/>
      <c r="BJ19" s="556"/>
      <c r="BK19" s="556"/>
      <c r="BL19" s="556"/>
      <c r="BM19" s="556"/>
      <c r="BN19" s="556"/>
      <c r="BO19" s="556"/>
      <c r="BP19" s="556"/>
      <c r="BQ19" s="556"/>
      <c r="BR19" s="556"/>
      <c r="BS19" s="556"/>
      <c r="BT19" s="556"/>
      <c r="BU19" s="571" t="str" cm="1">
        <f t="array" ref="BU19">IFERROR(_xlfn.LET(_xlpm.i,ROWS($BU$2:BU19),_xlpm.cur,INDEX(tblLaminateStructures[Laminate],_xlpm.i),_xlpm.prev,IF(_xlpm.i=1,"",INDEX(tblLaminateStructures[Laminate],_xlpm.i-1)),IF(_xlpm.cur&lt;&gt;_xlpm.prev,_xlpm.cur,"")),"")</f>
        <v/>
      </c>
      <c r="BV19" s="572" t="str" cm="1">
        <f t="array" ref="BV19">IFERROR(_xlfn.LET(_xlpm.i,ROWS($BV$2:BV19),_xlpm.cur,INDEX(tblLaminateStructures[Total Thickness (µ)],_xlpm.i),_xlpm.prev,IF(_xlpm.i=1,"",INDEX(tblLaminateStructures[Total Thickness (µ)],_xlpm.i-1)),IF(OR(_xlpm.cur&lt;&gt;_xlpm.prev,BU19&lt;&gt;""),_xlpm.cur,"")),"")</f>
        <v/>
      </c>
      <c r="BW19" s="573" t="str" cm="1">
        <f t="array" ref="BW19">IFERROR(INDEX(tblLaminateStructures[Material / Layer],ROWS($BW$2:BW19)),"")</f>
        <v>RM G Epotal ECO 3675</v>
      </c>
      <c r="BX19" s="572" cm="1">
        <f t="array" ref="BX19">IFERROR(INDEX(tblLaminateStructures[Layer Thickness (µ)],ROWS($BX$2:BX19)),"")</f>
        <v>3</v>
      </c>
      <c r="BY19" s="572" cm="1">
        <f t="array" ref="BY19">IFERROR(INDEX(tblLaminateStructures[Structure Check],ROWS($BY$2:BY19)),"")</f>
        <v>66</v>
      </c>
      <c r="BZ19" s="573" cm="1">
        <f t="array" ref="BZ19">IFERROR(INDEX(tblLaminateStructures[Laminate],ROWS($BZ$2:BZ19)),"")</f>
        <v>618</v>
      </c>
      <c r="CA19" s="573"/>
      <c r="CB19" s="573" t="str">
        <v>818W</v>
      </c>
      <c r="CC19" s="572" cm="1">
        <f t="array" ref="CC19">IFERROR(INDEX(tblLaminateStructures[Total Thickness (µ)],ROWS($CC$2:CC19)),"")</f>
        <v>66</v>
      </c>
      <c r="CD19" s="572"/>
      <c r="CE19" s="572"/>
      <c r="CF19" s="572"/>
      <c r="CG19" s="573"/>
      <c r="CH19" s="574"/>
      <c r="CR19" t="e">
        <f>TRIM(#REF!)</f>
        <v>#REF!</v>
      </c>
      <c r="CS19" s="95"/>
      <c r="CT19" s="95" t="e">
        <f>#REF!</f>
        <v>#REF!</v>
      </c>
      <c r="CU19" s="95" t="e">
        <f>#REF!</f>
        <v>#REF!</v>
      </c>
      <c r="CV19" s="50"/>
      <c r="CW19" t="str" cm="1">
        <f t="array" ref="CW19">IF(OR(TRIM(Pouches!$AH$52&amp;"")="618",TRIM(Pouches!$AH$52&amp;"")="618 W"),106,IF(5=1,IFERROR(INDEX(_xlfn._xlws.FILTER(tblLaminateStructures[Total Thickness (µ)],(TRIM(tblLaminateStructures[Laminate]&amp;"")=TRIM(Pouches!$AH$52&amp;""))*(tblLaminateStructures[Total Thickness (µ)]&lt;&gt;"")),1),""),""))</f>
        <v/>
      </c>
      <c r="CX19" t="str" cm="1">
        <f t="array" ref="CX19">IF(OR(TRIM(Pouches!$AL$52&amp;"")="618",TRIM(Pouches!$AL$52&amp;"")="618 W"),106,IF(5=1,IFERROR(INDEX(_xlfn._xlws.FILTER(tblLaminateStructures[Total Thickness (µ)],(TRIM(tblLaminateStructures[Laminate]&amp;"")=TRIM(Pouches!$AL$52&amp;""))*(tblLaminateStructures[Total Thickness (µ)]&lt;&gt;"")),1),""),""))</f>
        <v/>
      </c>
      <c r="CY19" t="str" cm="1">
        <f t="array" ref="CY19">IF(OR(TRIM(Pouches!$AP$52&amp;"")="618",TRIM(Pouches!$AP$52&amp;"")="618 W"),106,IF(5=1,IFERROR(INDEX(_xlfn._xlws.FILTER(tblLaminateStructures[Total Thickness (µ)],(TRIM(tblLaminateStructures[Laminate]&amp;"")=TRIM(Pouches!$AP$52&amp;""))*(tblLaminateStructures[Total Thickness (µ)]&lt;&gt;"")),1),""),""))</f>
        <v/>
      </c>
    </row>
    <row r="20" spans="1:103">
      <c r="A20" s="19" t="s">
        <v>263</v>
      </c>
      <c r="B20" s="19" t="s">
        <v>263</v>
      </c>
      <c r="C20" s="19" t="s">
        <v>263</v>
      </c>
      <c r="D20" s="19" t="s">
        <v>263</v>
      </c>
      <c r="E20" s="19">
        <v>2.02</v>
      </c>
      <c r="F20" s="657" t="s">
        <v>264</v>
      </c>
      <c r="AP20" s="5" t="str" cm="1">
        <f t="array" ref="AP20">IFERROR(INDEX(_xlfn._xlws.FILTER(BOM!$Q$2:$Q$20,(LEFT(BOM!$Q$2:$Q$20,4)&lt;&gt;"TIPA")*(BOM!$Q$2:$Q$20&lt;&gt;"")*(BOM!$Q$2:$Q$20&lt;&gt;0)),4),"")</f>
        <v>PL202.2</v>
      </c>
      <c r="AV20" s="544">
        <v>618</v>
      </c>
      <c r="AW20" s="545">
        <v>77</v>
      </c>
      <c r="AX20" s="544" t="s">
        <v>168</v>
      </c>
      <c r="AY20" s="545">
        <v>23</v>
      </c>
      <c r="AZ2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v>
      </c>
      <c r="BA20" s="544"/>
      <c r="BB20" s="544"/>
      <c r="BC20" s="544" t="s">
        <v>1060</v>
      </c>
      <c r="BD20" s="544"/>
      <c r="BF20" s="556"/>
      <c r="BG20" s="556"/>
      <c r="BH20" s="556"/>
      <c r="BI20" s="556"/>
      <c r="BJ20" s="556"/>
      <c r="BK20" s="556"/>
      <c r="BL20" s="556"/>
      <c r="BM20" s="556"/>
      <c r="BN20" s="556"/>
      <c r="BO20" s="556"/>
      <c r="BP20" s="556"/>
      <c r="BQ20" s="556"/>
      <c r="BR20" s="556"/>
      <c r="BS20" s="556"/>
      <c r="BT20" s="556"/>
      <c r="BU20" s="571" t="str" cm="1">
        <f t="array" ref="BU20">IFERROR(_xlfn.LET(_xlpm.i,ROWS($BU$2:BU20),_xlpm.cur,INDEX(tblLaminateStructures[Laminate],_xlpm.i),_xlpm.prev,IF(_xlpm.i=1,"",INDEX(tblLaminateStructures[Laminate],_xlpm.i-1)),IF(_xlpm.cur&lt;&gt;_xlpm.prev,_xlpm.cur,"")),"")</f>
        <v/>
      </c>
      <c r="BV20" s="572" cm="1">
        <f t="array" ref="BV20">IFERROR(_xlfn.LET(_xlpm.i,ROWS($BV$2:BV20),_xlpm.cur,INDEX(tblLaminateStructures[Total Thickness (µ)],_xlpm.i),_xlpm.prev,IF(_xlpm.i=1,"",INDEX(tblLaminateStructures[Total Thickness (µ)],_xlpm.i-1)),IF(OR(_xlpm.cur&lt;&gt;_xlpm.prev,BU20&lt;&gt;""),_xlpm.cur,"")),"")</f>
        <v>77</v>
      </c>
      <c r="BW20" s="573" t="str" cm="1">
        <f t="array" ref="BW20">IFERROR(INDEX(tblLaminateStructures[Material / Layer],ROWS($BW$2:BW20)),"")</f>
        <v>NK</v>
      </c>
      <c r="BX20" s="572" cm="1">
        <f t="array" ref="BX20">IFERROR(INDEX(tblLaminateStructures[Layer Thickness (µ)],ROWS($BX$2:BX20)),"")</f>
        <v>23</v>
      </c>
      <c r="BY20" s="572" cm="1">
        <f t="array" ref="BY20">IFERROR(INDEX(tblLaminateStructures[Structure Check],ROWS($BY$2:BY20)),"")</f>
        <v>77</v>
      </c>
      <c r="BZ20" s="573" cm="1">
        <f t="array" ref="BZ20">IFERROR(INDEX(tblLaminateStructures[Laminate],ROWS($BZ$2:BZ20)),"")</f>
        <v>618</v>
      </c>
      <c r="CA20" s="573"/>
      <c r="CB20" s="573" t="str">
        <v>821M</v>
      </c>
      <c r="CC20" s="572" cm="1">
        <f t="array" ref="CC20">IFERROR(INDEX(tblLaminateStructures[Total Thickness (µ)],ROWS($CC$2:CC20)),"")</f>
        <v>77</v>
      </c>
      <c r="CD20" s="572"/>
      <c r="CE20" s="572"/>
      <c r="CF20" s="572"/>
      <c r="CG20" s="573"/>
      <c r="CH20" s="574"/>
      <c r="CR20" t="e">
        <f>TRIM(#REF!)</f>
        <v>#REF!</v>
      </c>
      <c r="CS20" s="95"/>
      <c r="CT20" s="95" t="e">
        <f>#REF!</f>
        <v>#REF!</v>
      </c>
      <c r="CU20" s="95" t="e">
        <f>#REF!</f>
        <v>#REF!</v>
      </c>
      <c r="CV20" s="50"/>
      <c r="CW20" t="str" cm="1">
        <f t="array" ref="CW20">IF(OR(TRIM(Pouches!$AH$52&amp;"")="618",TRIM(Pouches!$AH$52&amp;"")="618 W"),106,IF(5=1,IFERROR(INDEX(_xlfn._xlws.FILTER(tblLaminateStructures[Total Thickness (µ)],(TRIM(tblLaminateStructures[Laminate]&amp;"")=TRIM(Pouches!$AH$52&amp;""))*(tblLaminateStructures[Total Thickness (µ)]&lt;&gt;"")),1),""),""))</f>
        <v/>
      </c>
      <c r="CX20" t="str" cm="1">
        <f t="array" ref="CX20">IF(OR(TRIM(Pouches!$AL$52&amp;"")="618",TRIM(Pouches!$AL$52&amp;"")="618 W"),106,IF(5=1,IFERROR(INDEX(_xlfn._xlws.FILTER(tblLaminateStructures[Total Thickness (µ)],(TRIM(tblLaminateStructures[Laminate]&amp;"")=TRIM(Pouches!$AL$52&amp;""))*(tblLaminateStructures[Total Thickness (µ)]&lt;&gt;"")),1),""),""))</f>
        <v/>
      </c>
      <c r="CY20" t="str" cm="1">
        <f t="array" ref="CY20">IF(OR(TRIM(Pouches!$AP$52&amp;"")="618",TRIM(Pouches!$AP$52&amp;"")="618 W"),106,IF(5=1,IFERROR(INDEX(_xlfn._xlws.FILTER(tblLaminateStructures[Total Thickness (µ)],(TRIM(tblLaminateStructures[Laminate]&amp;"")=TRIM(Pouches!$AP$52&amp;""))*(tblLaminateStructures[Total Thickness (µ)]&lt;&gt;"")),1),""),""))</f>
        <v/>
      </c>
    </row>
    <row r="21" spans="1:103">
      <c r="A21" s="20" t="s">
        <v>181</v>
      </c>
      <c r="B21" s="20" t="s">
        <v>181</v>
      </c>
      <c r="C21" s="20" t="s">
        <v>181</v>
      </c>
      <c r="D21" s="20" t="s">
        <v>181</v>
      </c>
      <c r="E21" s="20">
        <v>1.31</v>
      </c>
      <c r="AP21" s="983" t="s">
        <v>2349</v>
      </c>
      <c r="AQ21" s="983">
        <v>1.44</v>
      </c>
      <c r="AV21" s="544">
        <v>618</v>
      </c>
      <c r="AW21" s="545">
        <v>77</v>
      </c>
      <c r="AX21" s="544" t="s">
        <v>0</v>
      </c>
      <c r="AY21" s="545">
        <v>50</v>
      </c>
      <c r="AZ2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v>
      </c>
      <c r="BA21" s="544"/>
      <c r="BB21" s="544"/>
      <c r="BC21" s="544" t="s">
        <v>1060</v>
      </c>
      <c r="BD21" s="544"/>
      <c r="BF21" s="556"/>
      <c r="BG21" s="556"/>
      <c r="BH21" s="556"/>
      <c r="BI21" s="556"/>
      <c r="BJ21" s="556"/>
      <c r="BK21" s="556"/>
      <c r="BL21" s="556"/>
      <c r="BM21" s="556"/>
      <c r="BN21" s="556"/>
      <c r="BO21" s="556"/>
      <c r="BP21" s="556"/>
      <c r="BQ21" s="556"/>
      <c r="BR21" s="556"/>
      <c r="BS21" s="556"/>
      <c r="BT21" s="556"/>
      <c r="BU21" s="571" t="str" cm="1">
        <f t="array" ref="BU21">IFERROR(_xlfn.LET(_xlpm.i,ROWS($BU$2:BU21),_xlpm.cur,INDEX(tblLaminateStructures[Laminate],_xlpm.i),_xlpm.prev,IF(_xlpm.i=1,"",INDEX(tblLaminateStructures[Laminate],_xlpm.i-1)),IF(_xlpm.cur&lt;&gt;_xlpm.prev,_xlpm.cur,"")),"")</f>
        <v/>
      </c>
      <c r="BV21" s="572" t="str" cm="1">
        <f t="array" ref="BV21">IFERROR(_xlfn.LET(_xlpm.i,ROWS($BV$2:BV21),_xlpm.cur,INDEX(tblLaminateStructures[Total Thickness (µ)],_xlpm.i),_xlpm.prev,IF(_xlpm.i=1,"",INDEX(tblLaminateStructures[Total Thickness (µ)],_xlpm.i-1)),IF(OR(_xlpm.cur&lt;&gt;_xlpm.prev,BU21&lt;&gt;""),_xlpm.cur,"")),"")</f>
        <v/>
      </c>
      <c r="BW21" s="573" t="str" cm="1">
        <f t="array" ref="BW21">IFERROR(INDEX(tblLaminateStructures[Material / Layer],ROWS($BW$2:BW21)),"")</f>
        <v>TIPA 302FG</v>
      </c>
      <c r="BX21" s="572" cm="1">
        <f t="array" ref="BX21">IFERROR(INDEX(tblLaminateStructures[Layer Thickness (µ)],ROWS($BX$2:BX21)),"")</f>
        <v>50</v>
      </c>
      <c r="BY21" s="572" cm="1">
        <f t="array" ref="BY21">IFERROR(INDEX(tblLaminateStructures[Structure Check],ROWS($BY$2:BY21)),"")</f>
        <v>77</v>
      </c>
      <c r="BZ21" s="573" cm="1">
        <f t="array" ref="BZ21">IFERROR(INDEX(tblLaminateStructures[Laminate],ROWS($BZ$2:BZ21)),"")</f>
        <v>618</v>
      </c>
      <c r="CA21" s="573"/>
      <c r="CB21" s="573" t="str">
        <v>XXX-Met</v>
      </c>
      <c r="CC21" s="572" cm="1">
        <f t="array" ref="CC21">IFERROR(INDEX(tblLaminateStructures[Total Thickness (µ)],ROWS($CC$2:CC21)),"")</f>
        <v>77</v>
      </c>
      <c r="CD21" s="572"/>
      <c r="CE21" s="572"/>
      <c r="CF21" s="572"/>
      <c r="CG21" s="573"/>
      <c r="CH21" s="574"/>
    </row>
    <row r="22" spans="1:103">
      <c r="A22" s="19" t="s">
        <v>1121</v>
      </c>
      <c r="B22" s="19" t="s">
        <v>1121</v>
      </c>
      <c r="C22" s="19" t="s">
        <v>1121</v>
      </c>
      <c r="D22" s="19" t="s">
        <v>1121</v>
      </c>
      <c r="E22" s="19">
        <v>8.52</v>
      </c>
      <c r="F22" s="10" t="s">
        <v>1070</v>
      </c>
      <c r="AP22" t="s">
        <v>2370</v>
      </c>
      <c r="AQ22">
        <v>1.25</v>
      </c>
      <c r="AV22" s="544">
        <v>618</v>
      </c>
      <c r="AW22" s="545">
        <v>77</v>
      </c>
      <c r="AX22" s="544" t="s">
        <v>177</v>
      </c>
      <c r="AY22" s="545">
        <v>4</v>
      </c>
      <c r="AZ2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v>
      </c>
      <c r="BA22" s="544"/>
      <c r="BB22" s="544"/>
      <c r="BC22" s="544" t="s">
        <v>1060</v>
      </c>
      <c r="BD22" s="544"/>
      <c r="BF22" s="556"/>
      <c r="BG22" s="556"/>
      <c r="BH22" s="556"/>
      <c r="BI22" s="556"/>
      <c r="BJ22" s="556"/>
      <c r="BK22" s="556"/>
      <c r="BL22" s="556"/>
      <c r="BM22" s="556"/>
      <c r="BN22" s="556"/>
      <c r="BO22" s="556"/>
      <c r="BP22" s="556"/>
      <c r="BQ22" s="556"/>
      <c r="BR22" s="556"/>
      <c r="BS22" s="556"/>
      <c r="BT22" s="556"/>
      <c r="BU22" s="571" t="str" cm="1">
        <f t="array" ref="BU22">IFERROR(_xlfn.LET(_xlpm.i,ROWS($BU$2:BU22),_xlpm.cur,INDEX(tblLaminateStructures[Laminate],_xlpm.i),_xlpm.prev,IF(_xlpm.i=1,"",INDEX(tblLaminateStructures[Laminate],_xlpm.i-1)),IF(_xlpm.cur&lt;&gt;_xlpm.prev,_xlpm.cur,"")),"")</f>
        <v/>
      </c>
      <c r="BV22" s="572" t="str" cm="1">
        <f t="array" ref="BV22">IFERROR(_xlfn.LET(_xlpm.i,ROWS($BV$2:BV22),_xlpm.cur,INDEX(tblLaminateStructures[Total Thickness (µ)],_xlpm.i),_xlpm.prev,IF(_xlpm.i=1,"",INDEX(tblLaminateStructures[Total Thickness (µ)],_xlpm.i-1)),IF(OR(_xlpm.cur&lt;&gt;_xlpm.prev,BU22&lt;&gt;""),_xlpm.cur,"")),"")</f>
        <v/>
      </c>
      <c r="BW22" s="573" t="str" cm="1">
        <f t="array" ref="BW22">IFERROR(INDEX(tblLaminateStructures[Material / Layer],ROWS($BW$2:BW22)),"")</f>
        <v>RM G Epotal ECO 3675</v>
      </c>
      <c r="BX22" s="572" cm="1">
        <f t="array" ref="BX22">IFERROR(INDEX(tblLaminateStructures[Layer Thickness (µ)],ROWS($BX$2:BX22)),"")</f>
        <v>4</v>
      </c>
      <c r="BY22" s="572" cm="1">
        <f t="array" ref="BY22">IFERROR(INDEX(tblLaminateStructures[Structure Check],ROWS($BY$2:BY22)),"")</f>
        <v>77</v>
      </c>
      <c r="BZ22" s="573" cm="1">
        <f t="array" ref="BZ22">IFERROR(INDEX(tblLaminateStructures[Laminate],ROWS($BZ$2:BZ22)),"")</f>
        <v>618</v>
      </c>
      <c r="CA22" s="573"/>
      <c r="CB22" s="573" t="str">
        <v>XXX-White</v>
      </c>
      <c r="CC22" s="572" cm="1">
        <f t="array" ref="CC22">IFERROR(INDEX(tblLaminateStructures[Total Thickness (µ)],ROWS($CC$2:CC22)),"")</f>
        <v>77</v>
      </c>
      <c r="CD22" s="572"/>
      <c r="CE22" s="572"/>
      <c r="CF22" s="572"/>
      <c r="CG22" s="573"/>
      <c r="CH22" s="574"/>
    </row>
    <row r="23" spans="1:103">
      <c r="A23" s="20" t="s">
        <v>1069</v>
      </c>
      <c r="B23" s="20" t="s">
        <v>1069</v>
      </c>
      <c r="C23" s="20" t="s">
        <v>1069</v>
      </c>
      <c r="D23" s="20" t="s">
        <v>1069</v>
      </c>
      <c r="E23" s="20">
        <v>9.52</v>
      </c>
      <c r="F23" s="10" t="s">
        <v>1070</v>
      </c>
      <c r="AV23" s="544">
        <v>618</v>
      </c>
      <c r="AW23" s="545">
        <v>86</v>
      </c>
      <c r="AX23" s="544" t="s">
        <v>168</v>
      </c>
      <c r="AY23" s="545">
        <v>23</v>
      </c>
      <c r="AZ2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3" s="544"/>
      <c r="BB23" s="544"/>
      <c r="BC23" s="544" t="s">
        <v>1060</v>
      </c>
      <c r="BD23" s="544"/>
      <c r="BF23" s="556"/>
      <c r="BG23" s="556"/>
      <c r="BH23" s="556"/>
      <c r="BI23" s="556"/>
      <c r="BJ23" s="556"/>
      <c r="BK23" s="556"/>
      <c r="BL23" s="556"/>
      <c r="BM23" s="556"/>
      <c r="BN23" s="556"/>
      <c r="BO23" s="556"/>
      <c r="BP23" s="556"/>
      <c r="BQ23" s="556"/>
      <c r="BR23" s="556"/>
      <c r="BS23" s="556"/>
      <c r="BT23" s="556"/>
      <c r="BU23" s="571" t="str" cm="1">
        <f t="array" ref="BU23">IFERROR(_xlfn.LET(_xlpm.i,ROWS($BU$2:BU23),_xlpm.cur,INDEX(tblLaminateStructures[Laminate],_xlpm.i),_xlpm.prev,IF(_xlpm.i=1,"",INDEX(tblLaminateStructures[Laminate],_xlpm.i-1)),IF(_xlpm.cur&lt;&gt;_xlpm.prev,_xlpm.cur,"")),"")</f>
        <v/>
      </c>
      <c r="BV23" s="572" cm="1">
        <f t="array" ref="BV23">IFERROR(_xlfn.LET(_xlpm.i,ROWS($BV$2:BV23),_xlpm.cur,INDEX(tblLaminateStructures[Total Thickness (µ)],_xlpm.i),_xlpm.prev,IF(_xlpm.i=1,"",INDEX(tblLaminateStructures[Total Thickness (µ)],_xlpm.i-1)),IF(OR(_xlpm.cur&lt;&gt;_xlpm.prev,BU23&lt;&gt;""),_xlpm.cur,"")),"")</f>
        <v>86</v>
      </c>
      <c r="BW23" s="573" t="str" cm="1">
        <f t="array" ref="BW23">IFERROR(INDEX(tblLaminateStructures[Material / Layer],ROWS($BW$2:BW23)),"")</f>
        <v>NK</v>
      </c>
      <c r="BX23" s="572" cm="1">
        <f t="array" ref="BX23">IFERROR(INDEX(tblLaminateStructures[Layer Thickness (µ)],ROWS($BX$2:BX23)),"")</f>
        <v>23</v>
      </c>
      <c r="BY23" s="572" cm="1">
        <f t="array" ref="BY23">IFERROR(INDEX(tblLaminateStructures[Structure Check],ROWS($BY$2:BY23)),"")</f>
        <v>86</v>
      </c>
      <c r="BZ23" s="573" cm="1">
        <f t="array" ref="BZ23">IFERROR(INDEX(tblLaminateStructures[Laminate],ROWS($BZ$2:BZ23)),"")</f>
        <v>618</v>
      </c>
      <c r="CA23" s="573"/>
      <c r="CB23" s="573"/>
      <c r="CC23" s="572" cm="1">
        <f t="array" ref="CC23">IFERROR(INDEX(tblLaminateStructures[Total Thickness (µ)],ROWS($CC$2:CC23)),"")</f>
        <v>86</v>
      </c>
      <c r="CD23" s="572"/>
      <c r="CE23" s="572"/>
      <c r="CF23" s="572"/>
      <c r="CG23" s="573"/>
      <c r="CH23" s="574"/>
    </row>
    <row r="24" spans="1:103">
      <c r="A24" s="19" t="s">
        <v>1075</v>
      </c>
      <c r="B24" s="19" t="s">
        <v>1075</v>
      </c>
      <c r="C24" s="19" t="s">
        <v>1075</v>
      </c>
      <c r="D24" s="19" t="s">
        <v>1075</v>
      </c>
      <c r="E24" s="19">
        <v>9.1999999999999993</v>
      </c>
      <c r="F24" s="10" t="s">
        <v>1070</v>
      </c>
      <c r="AV24" s="544">
        <v>618</v>
      </c>
      <c r="AW24" s="545">
        <v>86</v>
      </c>
      <c r="AX24" s="544" t="s">
        <v>0</v>
      </c>
      <c r="AY24" s="545">
        <v>60</v>
      </c>
      <c r="AZ2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4" s="544"/>
      <c r="BB24" s="544"/>
      <c r="BC24" s="544" t="s">
        <v>1060</v>
      </c>
      <c r="BD24" s="544"/>
      <c r="BF24" s="556"/>
      <c r="BG24" s="556"/>
      <c r="BH24" s="556"/>
      <c r="BI24" s="556"/>
      <c r="BJ24" s="556"/>
      <c r="BK24" s="556"/>
      <c r="BL24" s="556"/>
      <c r="BM24" s="556"/>
      <c r="BN24" s="556"/>
      <c r="BO24" s="556"/>
      <c r="BP24" s="556"/>
      <c r="BQ24" s="556"/>
      <c r="BR24" s="556"/>
      <c r="BS24" s="556"/>
      <c r="BT24" s="556"/>
      <c r="BU24" s="571" t="str" cm="1">
        <f t="array" ref="BU24">IFERROR(_xlfn.LET(_xlpm.i,ROWS($BU$2:BU24),_xlpm.cur,INDEX(tblLaminateStructures[Laminate],_xlpm.i),_xlpm.prev,IF(_xlpm.i=1,"",INDEX(tblLaminateStructures[Laminate],_xlpm.i-1)),IF(_xlpm.cur&lt;&gt;_xlpm.prev,_xlpm.cur,"")),"")</f>
        <v/>
      </c>
      <c r="BV24" s="572" t="str" cm="1">
        <f t="array" ref="BV24">IFERROR(_xlfn.LET(_xlpm.i,ROWS($BV$2:BV24),_xlpm.cur,INDEX(tblLaminateStructures[Total Thickness (µ)],_xlpm.i),_xlpm.prev,IF(_xlpm.i=1,"",INDEX(tblLaminateStructures[Total Thickness (µ)],_xlpm.i-1)),IF(OR(_xlpm.cur&lt;&gt;_xlpm.prev,BU24&lt;&gt;""),_xlpm.cur,"")),"")</f>
        <v/>
      </c>
      <c r="BW24" s="573" t="str" cm="1">
        <f t="array" ref="BW24">IFERROR(INDEX(tblLaminateStructures[Material / Layer],ROWS($BW$2:BW24)),"")</f>
        <v>TIPA 302FG</v>
      </c>
      <c r="BX24" s="572" cm="1">
        <f t="array" ref="BX24">IFERROR(INDEX(tblLaminateStructures[Layer Thickness (µ)],ROWS($BX$2:BX24)),"")</f>
        <v>60</v>
      </c>
      <c r="BY24" s="572" cm="1">
        <f t="array" ref="BY24">IFERROR(INDEX(tblLaminateStructures[Structure Check],ROWS($BY$2:BY24)),"")</f>
        <v>86</v>
      </c>
      <c r="BZ24" s="573" cm="1">
        <f t="array" ref="BZ24">IFERROR(INDEX(tblLaminateStructures[Laminate],ROWS($BZ$2:BZ24)),"")</f>
        <v>618</v>
      </c>
      <c r="CA24" s="573"/>
      <c r="CB24" s="573"/>
      <c r="CC24" s="572" cm="1">
        <f t="array" ref="CC24">IFERROR(INDEX(tblLaminateStructures[Total Thickness (µ)],ROWS($CC$2:CC24)),"")</f>
        <v>86</v>
      </c>
      <c r="CD24" s="572"/>
      <c r="CE24" s="572"/>
      <c r="CF24" s="572"/>
      <c r="CG24" s="573"/>
      <c r="CH24" s="574"/>
    </row>
    <row r="25" spans="1:103">
      <c r="A25" s="979" t="s">
        <v>2346</v>
      </c>
      <c r="B25" s="979" t="s">
        <v>2347</v>
      </c>
      <c r="C25" s="979" t="s">
        <v>2346</v>
      </c>
      <c r="D25" s="979" t="s">
        <v>2348</v>
      </c>
      <c r="E25" s="980">
        <v>5.2</v>
      </c>
      <c r="AV25" s="544">
        <v>618</v>
      </c>
      <c r="AW25" s="545">
        <v>86</v>
      </c>
      <c r="AX25" s="544" t="s">
        <v>177</v>
      </c>
      <c r="AY25" s="545">
        <v>3</v>
      </c>
      <c r="AZ2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5" s="544"/>
      <c r="BB25" s="544"/>
      <c r="BC25" s="544" t="s">
        <v>1060</v>
      </c>
      <c r="BD25" s="544"/>
      <c r="BF25" s="556"/>
      <c r="BG25" s="556"/>
      <c r="BH25" s="556"/>
      <c r="BI25" s="556"/>
      <c r="BJ25" s="556"/>
      <c r="BK25" s="556"/>
      <c r="BL25" s="556"/>
      <c r="BM25" s="556"/>
      <c r="BN25" s="556"/>
      <c r="BO25" s="556"/>
      <c r="BP25" s="556"/>
      <c r="BQ25" s="556"/>
      <c r="BR25" s="556"/>
      <c r="BS25" s="556"/>
      <c r="BT25" s="556"/>
      <c r="BU25" s="571" t="str" cm="1">
        <f t="array" ref="BU25">IFERROR(_xlfn.LET(_xlpm.i,ROWS($BU$2:BU25),_xlpm.cur,INDEX(tblLaminateStructures[Laminate],_xlpm.i),_xlpm.prev,IF(_xlpm.i=1,"",INDEX(tblLaminateStructures[Laminate],_xlpm.i-1)),IF(_xlpm.cur&lt;&gt;_xlpm.prev,_xlpm.cur,"")),"")</f>
        <v/>
      </c>
      <c r="BV25" s="572" t="str" cm="1">
        <f t="array" ref="BV25">IFERROR(_xlfn.LET(_xlpm.i,ROWS($BV$2:BV25),_xlpm.cur,INDEX(tblLaminateStructures[Total Thickness (µ)],_xlpm.i),_xlpm.prev,IF(_xlpm.i=1,"",INDEX(tblLaminateStructures[Total Thickness (µ)],_xlpm.i-1)),IF(OR(_xlpm.cur&lt;&gt;_xlpm.prev,BU25&lt;&gt;""),_xlpm.cur,"")),"")</f>
        <v/>
      </c>
      <c r="BW25" s="573" t="str" cm="1">
        <f t="array" ref="BW25">IFERROR(INDEX(tblLaminateStructures[Material / Layer],ROWS($BW$2:BW25)),"")</f>
        <v>RM G Epotal ECO 3675</v>
      </c>
      <c r="BX25" s="572" cm="1">
        <f t="array" ref="BX25">IFERROR(INDEX(tblLaminateStructures[Layer Thickness (µ)],ROWS($BX$2:BX25)),"")</f>
        <v>3</v>
      </c>
      <c r="BY25" s="572" cm="1">
        <f t="array" ref="BY25">IFERROR(INDEX(tblLaminateStructures[Structure Check],ROWS($BY$2:BY25)),"")</f>
        <v>86</v>
      </c>
      <c r="BZ25" s="573" cm="1">
        <f t="array" ref="BZ25">IFERROR(INDEX(tblLaminateStructures[Laminate],ROWS($BZ$2:BZ25)),"")</f>
        <v>618</v>
      </c>
      <c r="CA25" s="573"/>
      <c r="CB25" s="573"/>
      <c r="CC25" s="572" cm="1">
        <f t="array" ref="CC25">IFERROR(INDEX(tblLaminateStructures[Total Thickness (µ)],ROWS($CC$2:CC25)),"")</f>
        <v>86</v>
      </c>
      <c r="CD25" s="572"/>
      <c r="CE25" s="572"/>
      <c r="CF25" s="572"/>
      <c r="CG25" s="573"/>
      <c r="CH25" s="574"/>
    </row>
    <row r="26" spans="1:103">
      <c r="A26" s="981" t="s">
        <v>2349</v>
      </c>
      <c r="B26" s="981" t="s">
        <v>2349</v>
      </c>
      <c r="C26" s="981" t="s">
        <v>2349</v>
      </c>
      <c r="D26" s="981" t="s">
        <v>2350</v>
      </c>
      <c r="E26" s="982">
        <v>7.95</v>
      </c>
      <c r="AV26" s="544">
        <v>618</v>
      </c>
      <c r="AW26" s="545">
        <v>100</v>
      </c>
      <c r="AX26" s="544" t="s">
        <v>168</v>
      </c>
      <c r="AY26" s="545">
        <v>23</v>
      </c>
      <c r="AZ2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6" s="544"/>
      <c r="BB26" s="544"/>
      <c r="BC26" s="544" t="s">
        <v>1060</v>
      </c>
      <c r="BD26" s="544"/>
      <c r="BF26" s="556"/>
      <c r="BG26" s="556"/>
      <c r="BH26" s="556"/>
      <c r="BI26" s="556"/>
      <c r="BJ26" s="556"/>
      <c r="BK26" s="556"/>
      <c r="BL26" s="556"/>
      <c r="BM26" s="556"/>
      <c r="BN26" s="556"/>
      <c r="BO26" s="556"/>
      <c r="BP26" s="556"/>
      <c r="BQ26" s="556"/>
      <c r="BR26" s="556"/>
      <c r="BS26" s="556"/>
      <c r="BT26" s="556"/>
      <c r="BU26" s="571" t="str" cm="1">
        <f t="array" ref="BU26">IFERROR(_xlfn.LET(_xlpm.i,ROWS($BU$2:BU26),_xlpm.cur,INDEX(tblLaminateStructures[Laminate],_xlpm.i),_xlpm.prev,IF(_xlpm.i=1,"",INDEX(tblLaminateStructures[Laminate],_xlpm.i-1)),IF(_xlpm.cur&lt;&gt;_xlpm.prev,_xlpm.cur,"")),"")</f>
        <v/>
      </c>
      <c r="BV26" s="572" cm="1">
        <f t="array" ref="BV26">IFERROR(_xlfn.LET(_xlpm.i,ROWS($BV$2:BV26),_xlpm.cur,INDEX(tblLaminateStructures[Total Thickness (µ)],_xlpm.i),_xlpm.prev,IF(_xlpm.i=1,"",INDEX(tblLaminateStructures[Total Thickness (µ)],_xlpm.i-1)),IF(OR(_xlpm.cur&lt;&gt;_xlpm.prev,BU26&lt;&gt;""),_xlpm.cur,"")),"")</f>
        <v>100</v>
      </c>
      <c r="BW26" s="573" t="str" cm="1">
        <f t="array" ref="BW26">IFERROR(INDEX(tblLaminateStructures[Material / Layer],ROWS($BW$2:BW26)),"")</f>
        <v>NK</v>
      </c>
      <c r="BX26" s="572" cm="1">
        <f t="array" ref="BX26">IFERROR(INDEX(tblLaminateStructures[Layer Thickness (µ)],ROWS($BX$2:BX26)),"")</f>
        <v>23</v>
      </c>
      <c r="BY26" s="572" cm="1">
        <f t="array" ref="BY26">IFERROR(INDEX(tblLaminateStructures[Structure Check],ROWS($BY$2:BY26)),"")</f>
        <v>100</v>
      </c>
      <c r="BZ26" s="573" cm="1">
        <f t="array" ref="BZ26">IFERROR(INDEX(tblLaminateStructures[Laminate],ROWS($BZ$2:BZ26)),"")</f>
        <v>618</v>
      </c>
      <c r="CA26" s="573"/>
      <c r="CB26" s="573"/>
      <c r="CC26" s="572" cm="1">
        <f t="array" ref="CC26">IFERROR(INDEX(tblLaminateStructures[Total Thickness (µ)],ROWS($CC$2:CC26)),"")</f>
        <v>100</v>
      </c>
      <c r="CD26" s="572"/>
      <c r="CE26" s="572"/>
      <c r="CF26" s="572"/>
      <c r="CG26" s="573"/>
      <c r="CH26" s="574"/>
    </row>
    <row r="27" spans="1:103">
      <c r="A27" s="979" t="s">
        <v>2351</v>
      </c>
      <c r="B27" s="979" t="s">
        <v>2352</v>
      </c>
      <c r="C27" s="979" t="s">
        <v>2351</v>
      </c>
      <c r="D27" s="979" t="s">
        <v>2353</v>
      </c>
      <c r="E27" s="980">
        <v>6.07</v>
      </c>
      <c r="AV27" s="544">
        <v>618</v>
      </c>
      <c r="AW27" s="545">
        <v>100</v>
      </c>
      <c r="AX27" s="544" t="s">
        <v>0</v>
      </c>
      <c r="AY27" s="545">
        <v>73</v>
      </c>
      <c r="AZ2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7" s="544"/>
      <c r="BB27" s="544"/>
      <c r="BC27" s="544" t="s">
        <v>1060</v>
      </c>
      <c r="BD27" s="544"/>
      <c r="BF27" s="556"/>
      <c r="BG27" s="556"/>
      <c r="BH27" s="556"/>
      <c r="BI27" s="556"/>
      <c r="BJ27" s="556"/>
      <c r="BK27" s="556"/>
      <c r="BL27" s="556"/>
      <c r="BM27" s="556"/>
      <c r="BN27" s="556"/>
      <c r="BO27" s="556"/>
      <c r="BP27" s="556"/>
      <c r="BQ27" s="556"/>
      <c r="BR27" s="556"/>
      <c r="BS27" s="556"/>
      <c r="BT27" s="556"/>
      <c r="BU27" s="571" t="str" cm="1">
        <f t="array" ref="BU27">IFERROR(_xlfn.LET(_xlpm.i,ROWS($BU$2:BU27),_xlpm.cur,INDEX(tblLaminateStructures[Laminate],_xlpm.i),_xlpm.prev,IF(_xlpm.i=1,"",INDEX(tblLaminateStructures[Laminate],_xlpm.i-1)),IF(_xlpm.cur&lt;&gt;_xlpm.prev,_xlpm.cur,"")),"")</f>
        <v/>
      </c>
      <c r="BV27" s="572" t="str" cm="1">
        <f t="array" ref="BV27">IFERROR(_xlfn.LET(_xlpm.i,ROWS($BV$2:BV27),_xlpm.cur,INDEX(tblLaminateStructures[Total Thickness (µ)],_xlpm.i),_xlpm.prev,IF(_xlpm.i=1,"",INDEX(tblLaminateStructures[Total Thickness (µ)],_xlpm.i-1)),IF(OR(_xlpm.cur&lt;&gt;_xlpm.prev,BU27&lt;&gt;""),_xlpm.cur,"")),"")</f>
        <v/>
      </c>
      <c r="BW27" s="573" t="str" cm="1">
        <f t="array" ref="BW27">IFERROR(INDEX(tblLaminateStructures[Material / Layer],ROWS($BW$2:BW27)),"")</f>
        <v>TIPA 302FG</v>
      </c>
      <c r="BX27" s="572" cm="1">
        <f t="array" ref="BX27">IFERROR(INDEX(tblLaminateStructures[Layer Thickness (µ)],ROWS($BX$2:BX27)),"")</f>
        <v>73</v>
      </c>
      <c r="BY27" s="572" cm="1">
        <f t="array" ref="BY27">IFERROR(INDEX(tblLaminateStructures[Structure Check],ROWS($BY$2:BY27)),"")</f>
        <v>100</v>
      </c>
      <c r="BZ27" s="573" cm="1">
        <f t="array" ref="BZ27">IFERROR(INDEX(tblLaminateStructures[Laminate],ROWS($BZ$2:BZ27)),"")</f>
        <v>618</v>
      </c>
      <c r="CA27" s="573"/>
      <c r="CB27" s="573"/>
      <c r="CC27" s="572" cm="1">
        <f t="array" ref="CC27">IFERROR(INDEX(tblLaminateStructures[Total Thickness (µ)],ROWS($CC$2:CC27)),"")</f>
        <v>100</v>
      </c>
      <c r="CD27" s="572"/>
      <c r="CE27" s="572"/>
      <c r="CF27" s="572"/>
      <c r="CG27" s="573"/>
      <c r="CH27" s="574"/>
    </row>
    <row r="28" spans="1:103">
      <c r="A28" s="19"/>
      <c r="B28" s="19"/>
      <c r="C28" s="19"/>
      <c r="D28" s="19"/>
      <c r="E28" s="19"/>
      <c r="AV28" s="544">
        <v>618</v>
      </c>
      <c r="AW28" s="545">
        <v>100</v>
      </c>
      <c r="AX28" s="544" t="s">
        <v>177</v>
      </c>
      <c r="AY28" s="545">
        <v>4</v>
      </c>
      <c r="AZ2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8" s="544"/>
      <c r="BB28" s="544"/>
      <c r="BC28" s="544" t="s">
        <v>1060</v>
      </c>
      <c r="BD28" s="544"/>
      <c r="BF28" s="556"/>
      <c r="BG28" s="556"/>
      <c r="BH28" s="556"/>
      <c r="BI28" s="556"/>
      <c r="BJ28" s="556"/>
      <c r="BK28" s="556"/>
      <c r="BL28" s="556"/>
      <c r="BM28" s="556"/>
      <c r="BN28" s="556"/>
      <c r="BO28" s="556"/>
      <c r="BP28" s="556"/>
      <c r="BQ28" s="556"/>
      <c r="BR28" s="556"/>
      <c r="BS28" s="556"/>
      <c r="BT28" s="556"/>
      <c r="BU28" s="571" t="str" cm="1">
        <f t="array" ref="BU28">IFERROR(_xlfn.LET(_xlpm.i,ROWS($BU$2:BU28),_xlpm.cur,INDEX(tblLaminateStructures[Laminate],_xlpm.i),_xlpm.prev,IF(_xlpm.i=1,"",INDEX(tblLaminateStructures[Laminate],_xlpm.i-1)),IF(_xlpm.cur&lt;&gt;_xlpm.prev,_xlpm.cur,"")),"")</f>
        <v/>
      </c>
      <c r="BV28" s="572" t="str" cm="1">
        <f t="array" ref="BV28">IFERROR(_xlfn.LET(_xlpm.i,ROWS($BV$2:BV28),_xlpm.cur,INDEX(tblLaminateStructures[Total Thickness (µ)],_xlpm.i),_xlpm.prev,IF(_xlpm.i=1,"",INDEX(tblLaminateStructures[Total Thickness (µ)],_xlpm.i-1)),IF(OR(_xlpm.cur&lt;&gt;_xlpm.prev,BU28&lt;&gt;""),_xlpm.cur,"")),"")</f>
        <v/>
      </c>
      <c r="BW28" s="573" t="str" cm="1">
        <f t="array" ref="BW28">IFERROR(INDEX(tblLaminateStructures[Material / Layer],ROWS($BW$2:BW28)),"")</f>
        <v>RM G Epotal ECO 3675</v>
      </c>
      <c r="BX28" s="572" cm="1">
        <f t="array" ref="BX28">IFERROR(INDEX(tblLaminateStructures[Layer Thickness (µ)],ROWS($BX$2:BX28)),"")</f>
        <v>4</v>
      </c>
      <c r="BY28" s="572" cm="1">
        <f t="array" ref="BY28">IFERROR(INDEX(tblLaminateStructures[Structure Check],ROWS($BY$2:BY28)),"")</f>
        <v>100</v>
      </c>
      <c r="BZ28" s="573" cm="1">
        <f t="array" ref="BZ28">IFERROR(INDEX(tblLaminateStructures[Laminate],ROWS($BZ$2:BZ28)),"")</f>
        <v>618</v>
      </c>
      <c r="CA28" s="573"/>
      <c r="CB28" s="573"/>
      <c r="CC28" s="572" cm="1">
        <f t="array" ref="CC28">IFERROR(INDEX(tblLaminateStructures[Total Thickness (µ)],ROWS($CC$2:CC28)),"")</f>
        <v>100</v>
      </c>
      <c r="CD28" s="572"/>
      <c r="CE28" s="572"/>
      <c r="CF28" s="572"/>
      <c r="CG28" s="573"/>
      <c r="CH28" s="574"/>
    </row>
    <row r="29" spans="1:103">
      <c r="A29" s="20"/>
      <c r="B29" s="20"/>
      <c r="C29" s="20"/>
      <c r="D29" s="20"/>
      <c r="E29" s="20"/>
      <c r="AV29" s="544" t="s">
        <v>566</v>
      </c>
      <c r="AW29" s="545">
        <v>51</v>
      </c>
      <c r="AX29" s="544" t="s">
        <v>168</v>
      </c>
      <c r="AY29" s="545">
        <v>23</v>
      </c>
      <c r="AZ2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29" s="544"/>
      <c r="BB29" s="544"/>
      <c r="BC29" s="544" t="s">
        <v>1060</v>
      </c>
      <c r="BD29" s="544"/>
      <c r="BF29" s="556"/>
      <c r="BG29" s="556"/>
      <c r="BH29" s="556"/>
      <c r="BI29" s="556"/>
      <c r="BJ29" s="556"/>
      <c r="BK29" s="556"/>
      <c r="BL29" s="556"/>
      <c r="BM29" s="556"/>
      <c r="BN29" s="556"/>
      <c r="BO29" s="556"/>
      <c r="BP29" s="556"/>
      <c r="BQ29" s="556"/>
      <c r="BR29" s="556"/>
      <c r="BS29" s="556"/>
      <c r="BT29" s="556"/>
      <c r="BU29" s="571" t="str" cm="1">
        <f t="array" ref="BU29">IFERROR(_xlfn.LET(_xlpm.i,ROWS($BU$2:BU29),_xlpm.cur,INDEX(tblLaminateStructures[Laminate],_xlpm.i),_xlpm.prev,IF(_xlpm.i=1,"",INDEX(tblLaminateStructures[Laminate],_xlpm.i-1)),IF(_xlpm.cur&lt;&gt;_xlpm.prev,_xlpm.cur,"")),"")</f>
        <v>618 W</v>
      </c>
      <c r="BV29" s="572" cm="1">
        <f t="array" ref="BV29">IFERROR(_xlfn.LET(_xlpm.i,ROWS($BV$2:BV29),_xlpm.cur,INDEX(tblLaminateStructures[Total Thickness (µ)],_xlpm.i),_xlpm.prev,IF(_xlpm.i=1,"",INDEX(tblLaminateStructures[Total Thickness (µ)],_xlpm.i-1)),IF(OR(_xlpm.cur&lt;&gt;_xlpm.prev,BU29&lt;&gt;""),_xlpm.cur,"")),"")</f>
        <v>51</v>
      </c>
      <c r="BW29" s="573" t="str" cm="1">
        <f t="array" ref="BW29">IFERROR(INDEX(tblLaminateStructures[Material / Layer],ROWS($BW$2:BW29)),"")</f>
        <v>NK</v>
      </c>
      <c r="BX29" s="572" cm="1">
        <f t="array" ref="BX29">IFERROR(INDEX(tblLaminateStructures[Layer Thickness (µ)],ROWS($BX$2:BX29)),"")</f>
        <v>23</v>
      </c>
      <c r="BY29" s="572" cm="1">
        <f t="array" ref="BY29">IFERROR(INDEX(tblLaminateStructures[Structure Check],ROWS($BY$2:BY29)),"")</f>
        <v>51</v>
      </c>
      <c r="BZ29" s="573" t="str" cm="1">
        <f t="array" ref="BZ29">IFERROR(INDEX(tblLaminateStructures[Laminate],ROWS($BZ$2:BZ29)),"")</f>
        <v>618 W</v>
      </c>
      <c r="CA29" s="573"/>
      <c r="CB29" s="573"/>
      <c r="CC29" s="572" cm="1">
        <f t="array" ref="CC29">IFERROR(INDEX(tblLaminateStructures[Total Thickness (µ)],ROWS($CC$2:CC29)),"")</f>
        <v>51</v>
      </c>
      <c r="CD29" s="572"/>
      <c r="CE29" s="572"/>
      <c r="CF29" s="572"/>
      <c r="CG29" s="573"/>
      <c r="CH29" s="574"/>
    </row>
    <row r="30" spans="1:103">
      <c r="A30" s="19"/>
      <c r="B30" s="19"/>
      <c r="C30" s="19"/>
      <c r="D30" s="19"/>
      <c r="E30" s="19"/>
      <c r="AV30" s="544" t="s">
        <v>566</v>
      </c>
      <c r="AW30" s="545">
        <v>51</v>
      </c>
      <c r="AX30" s="544" t="s">
        <v>43</v>
      </c>
      <c r="AY30" s="545">
        <v>25</v>
      </c>
      <c r="AZ3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30" s="544"/>
      <c r="BB30" s="544"/>
      <c r="BC30" s="544" t="s">
        <v>1060</v>
      </c>
      <c r="BD30" s="544"/>
      <c r="BF30" s="556"/>
      <c r="BG30" s="556"/>
      <c r="BH30" s="556"/>
      <c r="BI30" s="556"/>
      <c r="BJ30" s="556"/>
      <c r="BK30" s="556"/>
      <c r="BL30" s="556"/>
      <c r="BM30" s="556"/>
      <c r="BN30" s="556"/>
      <c r="BO30" s="556"/>
      <c r="BP30" s="556"/>
      <c r="BQ30" s="556"/>
      <c r="BR30" s="556"/>
      <c r="BS30" s="556"/>
      <c r="BT30" s="556"/>
      <c r="BU30" s="571" t="str" cm="1">
        <f t="array" ref="BU30">IFERROR(_xlfn.LET(_xlpm.i,ROWS($BU$2:BU30),_xlpm.cur,INDEX(tblLaminateStructures[Laminate],_xlpm.i),_xlpm.prev,IF(_xlpm.i=1,"",INDEX(tblLaminateStructures[Laminate],_xlpm.i-1)),IF(_xlpm.cur&lt;&gt;_xlpm.prev,_xlpm.cur,"")),"")</f>
        <v/>
      </c>
      <c r="BV30" s="572" t="str" cm="1">
        <f t="array" ref="BV30">IFERROR(_xlfn.LET(_xlpm.i,ROWS($BV$2:BV30),_xlpm.cur,INDEX(tblLaminateStructures[Total Thickness (µ)],_xlpm.i),_xlpm.prev,IF(_xlpm.i=1,"",INDEX(tblLaminateStructures[Total Thickness (µ)],_xlpm.i-1)),IF(OR(_xlpm.cur&lt;&gt;_xlpm.prev,BU30&lt;&gt;""),_xlpm.cur,"")),"")</f>
        <v/>
      </c>
      <c r="BW30" s="573" t="str" cm="1">
        <f t="array" ref="BW30">IFERROR(INDEX(tblLaminateStructures[Material / Layer],ROWS($BW$2:BW30)),"")</f>
        <v>TIPA 302FG W</v>
      </c>
      <c r="BX30" s="572" cm="1">
        <f t="array" ref="BX30">IFERROR(INDEX(tblLaminateStructures[Layer Thickness (µ)],ROWS($BX$2:BX30)),"")</f>
        <v>25</v>
      </c>
      <c r="BY30" s="572" cm="1">
        <f t="array" ref="BY30">IFERROR(INDEX(tblLaminateStructures[Structure Check],ROWS($BY$2:BY30)),"")</f>
        <v>51</v>
      </c>
      <c r="BZ30" s="573" t="str" cm="1">
        <f t="array" ref="BZ30">IFERROR(INDEX(tblLaminateStructures[Laminate],ROWS($BZ$2:BZ30)),"")</f>
        <v>618 W</v>
      </c>
      <c r="CA30" s="573"/>
      <c r="CB30" s="573"/>
      <c r="CC30" s="572" cm="1">
        <f t="array" ref="CC30">IFERROR(INDEX(tblLaminateStructures[Total Thickness (µ)],ROWS($CC$2:CC30)),"")</f>
        <v>51</v>
      </c>
      <c r="CD30" s="572"/>
      <c r="CE30" s="572"/>
      <c r="CF30" s="572"/>
      <c r="CG30" s="573"/>
      <c r="CH30" s="574"/>
    </row>
    <row r="31" spans="1:103">
      <c r="A31" s="20"/>
      <c r="B31" s="20"/>
      <c r="C31" s="20"/>
      <c r="D31" s="20"/>
      <c r="E31" s="20"/>
      <c r="AV31" s="544" t="s">
        <v>566</v>
      </c>
      <c r="AW31" s="545">
        <v>51</v>
      </c>
      <c r="AX31" s="544" t="s">
        <v>177</v>
      </c>
      <c r="AY31" s="545">
        <v>3</v>
      </c>
      <c r="AZ3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31" s="544"/>
      <c r="BB31" s="544"/>
      <c r="BC31" s="544" t="s">
        <v>1060</v>
      </c>
      <c r="BD31" s="544"/>
      <c r="BF31" s="556"/>
      <c r="BG31" s="556"/>
      <c r="BH31" s="556"/>
      <c r="BI31" s="556"/>
      <c r="BJ31" s="556"/>
      <c r="BK31" s="556"/>
      <c r="BL31" s="556"/>
      <c r="BM31" s="556"/>
      <c r="BN31" s="556"/>
      <c r="BO31" s="556"/>
      <c r="BP31" s="556"/>
      <c r="BQ31" s="556"/>
      <c r="BR31" s="556"/>
      <c r="BS31" s="556"/>
      <c r="BT31" s="556"/>
      <c r="BU31" s="571" t="str" cm="1">
        <f t="array" ref="BU31">IFERROR(_xlfn.LET(_xlpm.i,ROWS($BU$2:BU31),_xlpm.cur,INDEX(tblLaminateStructures[Laminate],_xlpm.i),_xlpm.prev,IF(_xlpm.i=1,"",INDEX(tblLaminateStructures[Laminate],_xlpm.i-1)),IF(_xlpm.cur&lt;&gt;_xlpm.prev,_xlpm.cur,"")),"")</f>
        <v/>
      </c>
      <c r="BV31" s="572" t="str" cm="1">
        <f t="array" ref="BV31">IFERROR(_xlfn.LET(_xlpm.i,ROWS($BV$2:BV31),_xlpm.cur,INDEX(tblLaminateStructures[Total Thickness (µ)],_xlpm.i),_xlpm.prev,IF(_xlpm.i=1,"",INDEX(tblLaminateStructures[Total Thickness (µ)],_xlpm.i-1)),IF(OR(_xlpm.cur&lt;&gt;_xlpm.prev,BU31&lt;&gt;""),_xlpm.cur,"")),"")</f>
        <v/>
      </c>
      <c r="BW31" s="573" t="str" cm="1">
        <f t="array" ref="BW31">IFERROR(INDEX(tblLaminateStructures[Material / Layer],ROWS($BW$2:BW31)),"")</f>
        <v>RM G Epotal ECO 3675</v>
      </c>
      <c r="BX31" s="572" cm="1">
        <f t="array" ref="BX31">IFERROR(INDEX(tblLaminateStructures[Layer Thickness (µ)],ROWS($BX$2:BX31)),"")</f>
        <v>3</v>
      </c>
      <c r="BY31" s="572" cm="1">
        <f t="array" ref="BY31">IFERROR(INDEX(tblLaminateStructures[Structure Check],ROWS($BY$2:BY31)),"")</f>
        <v>51</v>
      </c>
      <c r="BZ31" s="573" t="str" cm="1">
        <f t="array" ref="BZ31">IFERROR(INDEX(tblLaminateStructures[Laminate],ROWS($BZ$2:BZ31)),"")</f>
        <v>618 W</v>
      </c>
      <c r="CA31" s="573"/>
      <c r="CB31" s="573"/>
      <c r="CC31" s="572" cm="1">
        <f t="array" ref="CC31">IFERROR(INDEX(tblLaminateStructures[Total Thickness (µ)],ROWS($CC$2:CC31)),"")</f>
        <v>51</v>
      </c>
      <c r="CD31" s="572"/>
      <c r="CE31" s="572"/>
      <c r="CF31" s="572"/>
      <c r="CG31" s="573"/>
      <c r="CH31" s="574"/>
    </row>
    <row r="32" spans="1:103">
      <c r="A32" s="19"/>
      <c r="B32" s="19"/>
      <c r="C32" s="19"/>
      <c r="D32" s="19"/>
      <c r="E32" s="19"/>
      <c r="AV32" s="544" t="s">
        <v>566</v>
      </c>
      <c r="AW32" s="545">
        <v>56</v>
      </c>
      <c r="AX32" s="544" t="s">
        <v>168</v>
      </c>
      <c r="AY32" s="545">
        <v>23</v>
      </c>
      <c r="AZ3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2" s="544"/>
      <c r="BB32" s="544"/>
      <c r="BC32" s="544" t="s">
        <v>1060</v>
      </c>
      <c r="BD32" s="544"/>
      <c r="BF32" s="556"/>
      <c r="BG32" s="556"/>
      <c r="BH32" s="556"/>
      <c r="BI32" s="556"/>
      <c r="BJ32" s="556"/>
      <c r="BK32" s="556"/>
      <c r="BL32" s="556"/>
      <c r="BM32" s="556"/>
      <c r="BN32" s="556"/>
      <c r="BO32" s="556"/>
      <c r="BP32" s="556"/>
      <c r="BQ32" s="556"/>
      <c r="BR32" s="556"/>
      <c r="BS32" s="556"/>
      <c r="BT32" s="556"/>
      <c r="BU32" s="571" t="str" cm="1">
        <f t="array" ref="BU32">IFERROR(_xlfn.LET(_xlpm.i,ROWS($BU$2:BU32),_xlpm.cur,INDEX(tblLaminateStructures[Laminate],_xlpm.i),_xlpm.prev,IF(_xlpm.i=1,"",INDEX(tblLaminateStructures[Laminate],_xlpm.i-1)),IF(_xlpm.cur&lt;&gt;_xlpm.prev,_xlpm.cur,"")),"")</f>
        <v/>
      </c>
      <c r="BV32" s="572" cm="1">
        <f t="array" ref="BV32">IFERROR(_xlfn.LET(_xlpm.i,ROWS($BV$2:BV32),_xlpm.cur,INDEX(tblLaminateStructures[Total Thickness (µ)],_xlpm.i),_xlpm.prev,IF(_xlpm.i=1,"",INDEX(tblLaminateStructures[Total Thickness (µ)],_xlpm.i-1)),IF(OR(_xlpm.cur&lt;&gt;_xlpm.prev,BU32&lt;&gt;""),_xlpm.cur,"")),"")</f>
        <v>56</v>
      </c>
      <c r="BW32" s="573" t="str" cm="1">
        <f t="array" ref="BW32">IFERROR(INDEX(tblLaminateStructures[Material / Layer],ROWS($BW$2:BW32)),"")</f>
        <v>NK</v>
      </c>
      <c r="BX32" s="572" cm="1">
        <f t="array" ref="BX32">IFERROR(INDEX(tblLaminateStructures[Layer Thickness (µ)],ROWS($BX$2:BX32)),"")</f>
        <v>23</v>
      </c>
      <c r="BY32" s="572" cm="1">
        <f t="array" ref="BY32">IFERROR(INDEX(tblLaminateStructures[Structure Check],ROWS($BY$2:BY32)),"")</f>
        <v>56</v>
      </c>
      <c r="BZ32" s="573" t="str" cm="1">
        <f t="array" ref="BZ32">IFERROR(INDEX(tblLaminateStructures[Laminate],ROWS($BZ$2:BZ32)),"")</f>
        <v>618 W</v>
      </c>
      <c r="CA32" s="573"/>
      <c r="CB32" s="573"/>
      <c r="CC32" s="572" cm="1">
        <f t="array" ref="CC32">IFERROR(INDEX(tblLaminateStructures[Total Thickness (µ)],ROWS($CC$2:CC32)),"")</f>
        <v>56</v>
      </c>
      <c r="CD32" s="572"/>
      <c r="CE32" s="572"/>
      <c r="CF32" s="572"/>
      <c r="CG32" s="573"/>
      <c r="CH32" s="574"/>
    </row>
    <row r="33" spans="46:86">
      <c r="AV33" s="544" t="s">
        <v>566</v>
      </c>
      <c r="AW33" s="545">
        <v>56</v>
      </c>
      <c r="AX33" s="544" t="s">
        <v>43</v>
      </c>
      <c r="AY33" s="545">
        <v>30</v>
      </c>
      <c r="AZ3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3" s="544"/>
      <c r="BB33" s="544"/>
      <c r="BC33" s="544" t="s">
        <v>1060</v>
      </c>
      <c r="BD33" s="544"/>
      <c r="BF33" s="556"/>
      <c r="BG33" s="556"/>
      <c r="BH33" s="556"/>
      <c r="BI33" s="556"/>
      <c r="BJ33" s="556"/>
      <c r="BK33" s="556"/>
      <c r="BL33" s="556"/>
      <c r="BM33" s="556"/>
      <c r="BN33" s="556"/>
      <c r="BO33" s="556"/>
      <c r="BP33" s="556"/>
      <c r="BQ33" s="556"/>
      <c r="BR33" s="556"/>
      <c r="BS33" s="556"/>
      <c r="BT33" s="556"/>
      <c r="BU33" s="571" t="str" cm="1">
        <f t="array" ref="BU33">IFERROR(_xlfn.LET(_xlpm.i,ROWS($BU$2:BU33),_xlpm.cur,INDEX(tblLaminateStructures[Laminate],_xlpm.i),_xlpm.prev,IF(_xlpm.i=1,"",INDEX(tblLaminateStructures[Laminate],_xlpm.i-1)),IF(_xlpm.cur&lt;&gt;_xlpm.prev,_xlpm.cur,"")),"")</f>
        <v/>
      </c>
      <c r="BV33" s="572" t="str" cm="1">
        <f t="array" ref="BV33">IFERROR(_xlfn.LET(_xlpm.i,ROWS($BV$2:BV33),_xlpm.cur,INDEX(tblLaminateStructures[Total Thickness (µ)],_xlpm.i),_xlpm.prev,IF(_xlpm.i=1,"",INDEX(tblLaminateStructures[Total Thickness (µ)],_xlpm.i-1)),IF(OR(_xlpm.cur&lt;&gt;_xlpm.prev,BU33&lt;&gt;""),_xlpm.cur,"")),"")</f>
        <v/>
      </c>
      <c r="BW33" s="573" t="str" cm="1">
        <f t="array" ref="BW33">IFERROR(INDEX(tblLaminateStructures[Material / Layer],ROWS($BW$2:BW33)),"")</f>
        <v>TIPA 302FG W</v>
      </c>
      <c r="BX33" s="572" cm="1">
        <f t="array" ref="BX33">IFERROR(INDEX(tblLaminateStructures[Layer Thickness (µ)],ROWS($BX$2:BX33)),"")</f>
        <v>30</v>
      </c>
      <c r="BY33" s="572" cm="1">
        <f t="array" ref="BY33">IFERROR(INDEX(tblLaminateStructures[Structure Check],ROWS($BY$2:BY33)),"")</f>
        <v>56</v>
      </c>
      <c r="BZ33" s="573" t="str" cm="1">
        <f t="array" ref="BZ33">IFERROR(INDEX(tblLaminateStructures[Laminate],ROWS($BZ$2:BZ33)),"")</f>
        <v>618 W</v>
      </c>
      <c r="CA33" s="573"/>
      <c r="CB33" s="573"/>
      <c r="CC33" s="572" cm="1">
        <f t="array" ref="CC33">IFERROR(INDEX(tblLaminateStructures[Total Thickness (µ)],ROWS($CC$2:CC33)),"")</f>
        <v>56</v>
      </c>
      <c r="CD33" s="572"/>
      <c r="CE33" s="572"/>
      <c r="CF33" s="572"/>
      <c r="CG33" s="573"/>
      <c r="CH33" s="574"/>
    </row>
    <row r="34" spans="46:86">
      <c r="AV34" s="544" t="s">
        <v>566</v>
      </c>
      <c r="AW34" s="545">
        <v>56</v>
      </c>
      <c r="AX34" s="544" t="s">
        <v>177</v>
      </c>
      <c r="AY34" s="545">
        <v>3</v>
      </c>
      <c r="AZ3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4" s="544"/>
      <c r="BB34" s="544"/>
      <c r="BC34" s="544" t="s">
        <v>1060</v>
      </c>
      <c r="BD34" s="544"/>
      <c r="BF34" s="556"/>
      <c r="BG34" s="556"/>
      <c r="BH34" s="556"/>
      <c r="BI34" s="556"/>
      <c r="BJ34" s="556"/>
      <c r="BK34" s="556"/>
      <c r="BL34" s="556"/>
      <c r="BM34" s="556"/>
      <c r="BN34" s="556"/>
      <c r="BO34" s="556"/>
      <c r="BP34" s="556"/>
      <c r="BQ34" s="556"/>
      <c r="BR34" s="556"/>
      <c r="BS34" s="556"/>
      <c r="BT34" s="556"/>
      <c r="BU34" s="571" t="str" cm="1">
        <f t="array" ref="BU34">IFERROR(_xlfn.LET(_xlpm.i,ROWS($BU$2:BU34),_xlpm.cur,INDEX(tblLaminateStructures[Laminate],_xlpm.i),_xlpm.prev,IF(_xlpm.i=1,"",INDEX(tblLaminateStructures[Laminate],_xlpm.i-1)),IF(_xlpm.cur&lt;&gt;_xlpm.prev,_xlpm.cur,"")),"")</f>
        <v/>
      </c>
      <c r="BV34" s="572" t="str" cm="1">
        <f t="array" ref="BV34">IFERROR(_xlfn.LET(_xlpm.i,ROWS($BV$2:BV34),_xlpm.cur,INDEX(tblLaminateStructures[Total Thickness (µ)],_xlpm.i),_xlpm.prev,IF(_xlpm.i=1,"",INDEX(tblLaminateStructures[Total Thickness (µ)],_xlpm.i-1)),IF(OR(_xlpm.cur&lt;&gt;_xlpm.prev,BU34&lt;&gt;""),_xlpm.cur,"")),"")</f>
        <v/>
      </c>
      <c r="BW34" s="573" t="str" cm="1">
        <f t="array" ref="BW34">IFERROR(INDEX(tblLaminateStructures[Material / Layer],ROWS($BW$2:BW34)),"")</f>
        <v>RM G Epotal ECO 3675</v>
      </c>
      <c r="BX34" s="572" cm="1">
        <f t="array" ref="BX34">IFERROR(INDEX(tblLaminateStructures[Layer Thickness (µ)],ROWS($BX$2:BX34)),"")</f>
        <v>3</v>
      </c>
      <c r="BY34" s="572" cm="1">
        <f t="array" ref="BY34">IFERROR(INDEX(tblLaminateStructures[Structure Check],ROWS($BY$2:BY34)),"")</f>
        <v>56</v>
      </c>
      <c r="BZ34" s="573" t="str" cm="1">
        <f t="array" ref="BZ34">IFERROR(INDEX(tblLaminateStructures[Laminate],ROWS($BZ$2:BZ34)),"")</f>
        <v>618 W</v>
      </c>
      <c r="CA34" s="573"/>
      <c r="CB34" s="573"/>
      <c r="CC34" s="572" cm="1">
        <f t="array" ref="CC34">IFERROR(INDEX(tblLaminateStructures[Total Thickness (µ)],ROWS($CC$2:CC34)),"")</f>
        <v>56</v>
      </c>
      <c r="CD34" s="572"/>
      <c r="CE34" s="572"/>
      <c r="CF34" s="572"/>
      <c r="CG34" s="573"/>
      <c r="CH34" s="574"/>
    </row>
    <row r="35" spans="46:86">
      <c r="AV35" s="544" t="s">
        <v>566</v>
      </c>
      <c r="AW35" s="545">
        <v>61</v>
      </c>
      <c r="AX35" s="544" t="s">
        <v>168</v>
      </c>
      <c r="AY35" s="545">
        <v>23</v>
      </c>
      <c r="AZ3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5" s="544"/>
      <c r="BB35" s="544"/>
      <c r="BC35" s="544" t="s">
        <v>1060</v>
      </c>
      <c r="BD35" s="544"/>
      <c r="BF35" s="556"/>
      <c r="BG35" s="556"/>
      <c r="BH35" s="556"/>
      <c r="BI35" s="556"/>
      <c r="BJ35" s="556"/>
      <c r="BK35" s="556"/>
      <c r="BL35" s="556"/>
      <c r="BM35" s="556"/>
      <c r="BN35" s="556"/>
      <c r="BO35" s="556"/>
      <c r="BP35" s="556"/>
      <c r="BQ35" s="556"/>
      <c r="BR35" s="556"/>
      <c r="BS35" s="556"/>
      <c r="BT35" s="556"/>
      <c r="BU35" s="571" t="str" cm="1">
        <f t="array" ref="BU35">IFERROR(_xlfn.LET(_xlpm.i,ROWS($BU$2:BU35),_xlpm.cur,INDEX(tblLaminateStructures[Laminate],_xlpm.i),_xlpm.prev,IF(_xlpm.i=1,"",INDEX(tblLaminateStructures[Laminate],_xlpm.i-1)),IF(_xlpm.cur&lt;&gt;_xlpm.prev,_xlpm.cur,"")),"")</f>
        <v/>
      </c>
      <c r="BV35" s="572" cm="1">
        <f t="array" ref="BV35">IFERROR(_xlfn.LET(_xlpm.i,ROWS($BV$2:BV35),_xlpm.cur,INDEX(tblLaminateStructures[Total Thickness (µ)],_xlpm.i),_xlpm.prev,IF(_xlpm.i=1,"",INDEX(tblLaminateStructures[Total Thickness (µ)],_xlpm.i-1)),IF(OR(_xlpm.cur&lt;&gt;_xlpm.prev,BU35&lt;&gt;""),_xlpm.cur,"")),"")</f>
        <v>61</v>
      </c>
      <c r="BW35" s="573" t="str" cm="1">
        <f t="array" ref="BW35">IFERROR(INDEX(tblLaminateStructures[Material / Layer],ROWS($BW$2:BW35)),"")</f>
        <v>NK</v>
      </c>
      <c r="BX35" s="572" cm="1">
        <f t="array" ref="BX35">IFERROR(INDEX(tblLaminateStructures[Layer Thickness (µ)],ROWS($BX$2:BX35)),"")</f>
        <v>23</v>
      </c>
      <c r="BY35" s="572" cm="1">
        <f t="array" ref="BY35">IFERROR(INDEX(tblLaminateStructures[Structure Check],ROWS($BY$2:BY35)),"")</f>
        <v>61</v>
      </c>
      <c r="BZ35" s="573" t="str" cm="1">
        <f t="array" ref="BZ35">IFERROR(INDEX(tblLaminateStructures[Laminate],ROWS($BZ$2:BZ35)),"")</f>
        <v>618 W</v>
      </c>
      <c r="CA35" s="573"/>
      <c r="CB35" s="573"/>
      <c r="CC35" s="572" cm="1">
        <f t="array" ref="CC35">IFERROR(INDEX(tblLaminateStructures[Total Thickness (µ)],ROWS($CC$2:CC35)),"")</f>
        <v>61</v>
      </c>
      <c r="CD35" s="572"/>
      <c r="CE35" s="572"/>
      <c r="CF35" s="572"/>
      <c r="CG35" s="573"/>
      <c r="CH35" s="574"/>
    </row>
    <row r="36" spans="46:86">
      <c r="AT36" s="10"/>
      <c r="AV36" s="544" t="s">
        <v>566</v>
      </c>
      <c r="AW36" s="545">
        <v>61</v>
      </c>
      <c r="AX36" s="544" t="s">
        <v>43</v>
      </c>
      <c r="AY36" s="545">
        <v>35</v>
      </c>
      <c r="AZ3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6" s="544"/>
      <c r="BB36" s="544"/>
      <c r="BC36" s="544" t="s">
        <v>1060</v>
      </c>
      <c r="BD36" s="544"/>
      <c r="BF36" s="556"/>
      <c r="BG36" s="556"/>
      <c r="BH36" s="556"/>
      <c r="BI36" s="556"/>
      <c r="BJ36" s="556"/>
      <c r="BK36" s="556"/>
      <c r="BL36" s="556"/>
      <c r="BM36" s="556"/>
      <c r="BN36" s="556"/>
      <c r="BO36" s="556"/>
      <c r="BP36" s="556"/>
      <c r="BQ36" s="556"/>
      <c r="BR36" s="556"/>
      <c r="BS36" s="556"/>
      <c r="BT36" s="556"/>
      <c r="BU36" s="571" t="str" cm="1">
        <f t="array" ref="BU36">IFERROR(_xlfn.LET(_xlpm.i,ROWS($BU$2:BU36),_xlpm.cur,INDEX(tblLaminateStructures[Laminate],_xlpm.i),_xlpm.prev,IF(_xlpm.i=1,"",INDEX(tblLaminateStructures[Laminate],_xlpm.i-1)),IF(_xlpm.cur&lt;&gt;_xlpm.prev,_xlpm.cur,"")),"")</f>
        <v/>
      </c>
      <c r="BV36" s="572" t="str" cm="1">
        <f t="array" ref="BV36">IFERROR(_xlfn.LET(_xlpm.i,ROWS($BV$2:BV36),_xlpm.cur,INDEX(tblLaminateStructures[Total Thickness (µ)],_xlpm.i),_xlpm.prev,IF(_xlpm.i=1,"",INDEX(tblLaminateStructures[Total Thickness (µ)],_xlpm.i-1)),IF(OR(_xlpm.cur&lt;&gt;_xlpm.prev,BU36&lt;&gt;""),_xlpm.cur,"")),"")</f>
        <v/>
      </c>
      <c r="BW36" s="573" t="str" cm="1">
        <f t="array" ref="BW36">IFERROR(INDEX(tblLaminateStructures[Material / Layer],ROWS($BW$2:BW36)),"")</f>
        <v>TIPA 302FG W</v>
      </c>
      <c r="BX36" s="572" cm="1">
        <f t="array" ref="BX36">IFERROR(INDEX(tblLaminateStructures[Layer Thickness (µ)],ROWS($BX$2:BX36)),"")</f>
        <v>35</v>
      </c>
      <c r="BY36" s="572" cm="1">
        <f t="array" ref="BY36">IFERROR(INDEX(tblLaminateStructures[Structure Check],ROWS($BY$2:BY36)),"")</f>
        <v>61</v>
      </c>
      <c r="BZ36" s="573" t="str" cm="1">
        <f t="array" ref="BZ36">IFERROR(INDEX(tblLaminateStructures[Laminate],ROWS($BZ$2:BZ36)),"")</f>
        <v>618 W</v>
      </c>
      <c r="CA36" s="573"/>
      <c r="CB36" s="573"/>
      <c r="CC36" s="572" cm="1">
        <f t="array" ref="CC36">IFERROR(INDEX(tblLaminateStructures[Total Thickness (µ)],ROWS($CC$2:CC36)),"")</f>
        <v>61</v>
      </c>
      <c r="CD36" s="572"/>
      <c r="CE36" s="572"/>
      <c r="CF36" s="572"/>
      <c r="CG36" s="573"/>
      <c r="CH36" s="574"/>
    </row>
    <row r="37" spans="46:86">
      <c r="AT37" s="10"/>
      <c r="AV37" s="544" t="s">
        <v>566</v>
      </c>
      <c r="AW37" s="545">
        <v>61</v>
      </c>
      <c r="AX37" s="544" t="s">
        <v>177</v>
      </c>
      <c r="AY37" s="545">
        <v>3</v>
      </c>
      <c r="AZ3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7" s="544"/>
      <c r="BB37" s="544"/>
      <c r="BC37" s="544" t="s">
        <v>1060</v>
      </c>
      <c r="BD37" s="544"/>
      <c r="BF37" s="556"/>
      <c r="BG37" s="556"/>
      <c r="BH37" s="556"/>
      <c r="BI37" s="556"/>
      <c r="BJ37" s="556"/>
      <c r="BK37" s="556"/>
      <c r="BL37" s="556"/>
      <c r="BM37" s="556"/>
      <c r="BN37" s="556"/>
      <c r="BO37" s="556"/>
      <c r="BP37" s="556"/>
      <c r="BQ37" s="556"/>
      <c r="BR37" s="556"/>
      <c r="BS37" s="556"/>
      <c r="BT37" s="556"/>
      <c r="BU37" s="571" t="str" cm="1">
        <f t="array" ref="BU37">IFERROR(_xlfn.LET(_xlpm.i,ROWS($BU$2:BU37),_xlpm.cur,INDEX(tblLaminateStructures[Laminate],_xlpm.i),_xlpm.prev,IF(_xlpm.i=1,"",INDEX(tblLaminateStructures[Laminate],_xlpm.i-1)),IF(_xlpm.cur&lt;&gt;_xlpm.prev,_xlpm.cur,"")),"")</f>
        <v/>
      </c>
      <c r="BV37" s="572" t="str" cm="1">
        <f t="array" ref="BV37">IFERROR(_xlfn.LET(_xlpm.i,ROWS($BV$2:BV37),_xlpm.cur,INDEX(tblLaminateStructures[Total Thickness (µ)],_xlpm.i),_xlpm.prev,IF(_xlpm.i=1,"",INDEX(tblLaminateStructures[Total Thickness (µ)],_xlpm.i-1)),IF(OR(_xlpm.cur&lt;&gt;_xlpm.prev,BU37&lt;&gt;""),_xlpm.cur,"")),"")</f>
        <v/>
      </c>
      <c r="BW37" s="573" t="str" cm="1">
        <f t="array" ref="BW37">IFERROR(INDEX(tblLaminateStructures[Material / Layer],ROWS($BW$2:BW37)),"")</f>
        <v>RM G Epotal ECO 3675</v>
      </c>
      <c r="BX37" s="572" cm="1">
        <f t="array" ref="BX37">IFERROR(INDEX(tblLaminateStructures[Layer Thickness (µ)],ROWS($BX$2:BX37)),"")</f>
        <v>3</v>
      </c>
      <c r="BY37" s="572" cm="1">
        <f t="array" ref="BY37">IFERROR(INDEX(tblLaminateStructures[Structure Check],ROWS($BY$2:BY37)),"")</f>
        <v>61</v>
      </c>
      <c r="BZ37" s="573" t="str" cm="1">
        <f t="array" ref="BZ37">IFERROR(INDEX(tblLaminateStructures[Laminate],ROWS($BZ$2:BZ37)),"")</f>
        <v>618 W</v>
      </c>
      <c r="CA37" s="573"/>
      <c r="CB37" s="573"/>
      <c r="CC37" s="572" cm="1">
        <f t="array" ref="CC37">IFERROR(INDEX(tblLaminateStructures[Total Thickness (µ)],ROWS($CC$2:CC37)),"")</f>
        <v>61</v>
      </c>
      <c r="CD37" s="572"/>
      <c r="CE37" s="572"/>
      <c r="CF37" s="572"/>
      <c r="CG37" s="573"/>
      <c r="CH37" s="574"/>
    </row>
    <row r="38" spans="46:86">
      <c r="AT38" s="10"/>
      <c r="AV38" s="544" t="s">
        <v>566</v>
      </c>
      <c r="AW38" s="545">
        <v>66</v>
      </c>
      <c r="AX38" s="544" t="s">
        <v>168</v>
      </c>
      <c r="AY38" s="545">
        <v>23</v>
      </c>
      <c r="AZ3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38" s="544"/>
      <c r="BB38" s="544"/>
      <c r="BC38" s="544" t="s">
        <v>1060</v>
      </c>
      <c r="BD38" s="544"/>
      <c r="BF38" s="556"/>
      <c r="BG38" s="556"/>
      <c r="BH38" s="556"/>
      <c r="BI38" s="556"/>
      <c r="BJ38" s="556"/>
      <c r="BK38" s="556"/>
      <c r="BL38" s="556"/>
      <c r="BM38" s="556"/>
      <c r="BN38" s="556"/>
      <c r="BO38" s="556"/>
      <c r="BP38" s="556"/>
      <c r="BQ38" s="556"/>
      <c r="BR38" s="556"/>
      <c r="BS38" s="556"/>
      <c r="BT38" s="556"/>
      <c r="BU38" s="571" t="str" cm="1">
        <f t="array" ref="BU38">IFERROR(_xlfn.LET(_xlpm.i,ROWS($BU$2:BU38),_xlpm.cur,INDEX(tblLaminateStructures[Laminate],_xlpm.i),_xlpm.prev,IF(_xlpm.i=1,"",INDEX(tblLaminateStructures[Laminate],_xlpm.i-1)),IF(_xlpm.cur&lt;&gt;_xlpm.prev,_xlpm.cur,"")),"")</f>
        <v/>
      </c>
      <c r="BV38" s="572" cm="1">
        <f t="array" ref="BV38">IFERROR(_xlfn.LET(_xlpm.i,ROWS($BV$2:BV38),_xlpm.cur,INDEX(tblLaminateStructures[Total Thickness (µ)],_xlpm.i),_xlpm.prev,IF(_xlpm.i=1,"",INDEX(tblLaminateStructures[Total Thickness (µ)],_xlpm.i-1)),IF(OR(_xlpm.cur&lt;&gt;_xlpm.prev,BU38&lt;&gt;""),_xlpm.cur,"")),"")</f>
        <v>66</v>
      </c>
      <c r="BW38" s="573" t="str" cm="1">
        <f t="array" ref="BW38">IFERROR(INDEX(tblLaminateStructures[Material / Layer],ROWS($BW$2:BW38)),"")</f>
        <v>NK</v>
      </c>
      <c r="BX38" s="572" cm="1">
        <f t="array" ref="BX38">IFERROR(INDEX(tblLaminateStructures[Layer Thickness (µ)],ROWS($BX$2:BX38)),"")</f>
        <v>23</v>
      </c>
      <c r="BY38" s="572" cm="1">
        <f t="array" ref="BY38">IFERROR(INDEX(tblLaminateStructures[Structure Check],ROWS($BY$2:BY38)),"")</f>
        <v>66</v>
      </c>
      <c r="BZ38" s="573" t="str" cm="1">
        <f t="array" ref="BZ38">IFERROR(INDEX(tblLaminateStructures[Laminate],ROWS($BZ$2:BZ38)),"")</f>
        <v>618 W</v>
      </c>
      <c r="CA38" s="573"/>
      <c r="CB38" s="573"/>
      <c r="CC38" s="572" cm="1">
        <f t="array" ref="CC38">IFERROR(INDEX(tblLaminateStructures[Total Thickness (µ)],ROWS($CC$2:CC38)),"")</f>
        <v>66</v>
      </c>
      <c r="CD38" s="572"/>
      <c r="CE38" s="572"/>
      <c r="CF38" s="572"/>
      <c r="CG38" s="573"/>
      <c r="CH38" s="574"/>
    </row>
    <row r="39" spans="46:86">
      <c r="AT39" s="10"/>
      <c r="AV39" s="544" t="s">
        <v>566</v>
      </c>
      <c r="AW39" s="545">
        <v>66</v>
      </c>
      <c r="AX39" s="544" t="s">
        <v>43</v>
      </c>
      <c r="AY39" s="545">
        <v>40</v>
      </c>
      <c r="AZ3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39" s="544"/>
      <c r="BB39" s="544"/>
      <c r="BC39" s="544" t="s">
        <v>1060</v>
      </c>
      <c r="BD39" s="544"/>
      <c r="BF39" s="556"/>
      <c r="BG39" s="556"/>
      <c r="BH39" s="556"/>
      <c r="BI39" s="556"/>
      <c r="BJ39" s="556"/>
      <c r="BK39" s="556"/>
      <c r="BL39" s="556"/>
      <c r="BM39" s="556"/>
      <c r="BN39" s="556"/>
      <c r="BO39" s="556"/>
      <c r="BP39" s="556"/>
      <c r="BQ39" s="556"/>
      <c r="BR39" s="556"/>
      <c r="BS39" s="556"/>
      <c r="BT39" s="556"/>
      <c r="BU39" s="571" t="str" cm="1">
        <f t="array" ref="BU39">IFERROR(_xlfn.LET(_xlpm.i,ROWS($BU$2:BU39),_xlpm.cur,INDEX(tblLaminateStructures[Laminate],_xlpm.i),_xlpm.prev,IF(_xlpm.i=1,"",INDEX(tblLaminateStructures[Laminate],_xlpm.i-1)),IF(_xlpm.cur&lt;&gt;_xlpm.prev,_xlpm.cur,"")),"")</f>
        <v/>
      </c>
      <c r="BV39" s="572" t="str" cm="1">
        <f t="array" ref="BV39">IFERROR(_xlfn.LET(_xlpm.i,ROWS($BV$2:BV39),_xlpm.cur,INDEX(tblLaminateStructures[Total Thickness (µ)],_xlpm.i),_xlpm.prev,IF(_xlpm.i=1,"",INDEX(tblLaminateStructures[Total Thickness (µ)],_xlpm.i-1)),IF(OR(_xlpm.cur&lt;&gt;_xlpm.prev,BU39&lt;&gt;""),_xlpm.cur,"")),"")</f>
        <v/>
      </c>
      <c r="BW39" s="573" t="str" cm="1">
        <f t="array" ref="BW39">IFERROR(INDEX(tblLaminateStructures[Material / Layer],ROWS($BW$2:BW39)),"")</f>
        <v>TIPA 302FG W</v>
      </c>
      <c r="BX39" s="572" cm="1">
        <f t="array" ref="BX39">IFERROR(INDEX(tblLaminateStructures[Layer Thickness (µ)],ROWS($BX$2:BX39)),"")</f>
        <v>40</v>
      </c>
      <c r="BY39" s="572" cm="1">
        <f t="array" ref="BY39">IFERROR(INDEX(tblLaminateStructures[Structure Check],ROWS($BY$2:BY39)),"")</f>
        <v>66</v>
      </c>
      <c r="BZ39" s="573" t="str" cm="1">
        <f t="array" ref="BZ39">IFERROR(INDEX(tblLaminateStructures[Laminate],ROWS($BZ$2:BZ39)),"")</f>
        <v>618 W</v>
      </c>
      <c r="CA39" s="573"/>
      <c r="CB39" s="573"/>
      <c r="CC39" s="572" cm="1">
        <f t="array" ref="CC39">IFERROR(INDEX(tblLaminateStructures[Total Thickness (µ)],ROWS($CC$2:CC39)),"")</f>
        <v>66</v>
      </c>
      <c r="CD39" s="572"/>
      <c r="CE39" s="572"/>
      <c r="CF39" s="572"/>
      <c r="CG39" s="573"/>
      <c r="CH39" s="574"/>
    </row>
    <row r="40" spans="46:86">
      <c r="AV40" s="544" t="s">
        <v>566</v>
      </c>
      <c r="AW40" s="545">
        <v>66</v>
      </c>
      <c r="AX40" s="544" t="s">
        <v>177</v>
      </c>
      <c r="AY40" s="545">
        <v>3</v>
      </c>
      <c r="AZ4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40" s="544"/>
      <c r="BB40" s="544"/>
      <c r="BC40" s="544" t="s">
        <v>1060</v>
      </c>
      <c r="BD40" s="544"/>
      <c r="BF40" s="556"/>
      <c r="BG40" s="556"/>
      <c r="BH40" s="556"/>
      <c r="BI40" s="556"/>
      <c r="BJ40" s="556"/>
      <c r="BK40" s="556"/>
      <c r="BL40" s="556"/>
      <c r="BM40" s="556"/>
      <c r="BN40" s="556"/>
      <c r="BO40" s="556"/>
      <c r="BP40" s="556"/>
      <c r="BQ40" s="556"/>
      <c r="BR40" s="556"/>
      <c r="BS40" s="556"/>
      <c r="BT40" s="556"/>
      <c r="BU40" s="571" t="str" cm="1">
        <f t="array" ref="BU40">IFERROR(_xlfn.LET(_xlpm.i,ROWS($BU$2:BU40),_xlpm.cur,INDEX(tblLaminateStructures[Laminate],_xlpm.i),_xlpm.prev,IF(_xlpm.i=1,"",INDEX(tblLaminateStructures[Laminate],_xlpm.i-1)),IF(_xlpm.cur&lt;&gt;_xlpm.prev,_xlpm.cur,"")),"")</f>
        <v/>
      </c>
      <c r="BV40" s="572" t="str" cm="1">
        <f t="array" ref="BV40">IFERROR(_xlfn.LET(_xlpm.i,ROWS($BV$2:BV40),_xlpm.cur,INDEX(tblLaminateStructures[Total Thickness (µ)],_xlpm.i),_xlpm.prev,IF(_xlpm.i=1,"",INDEX(tblLaminateStructures[Total Thickness (µ)],_xlpm.i-1)),IF(OR(_xlpm.cur&lt;&gt;_xlpm.prev,BU40&lt;&gt;""),_xlpm.cur,"")),"")</f>
        <v/>
      </c>
      <c r="BW40" s="573" t="str" cm="1">
        <f t="array" ref="BW40">IFERROR(INDEX(tblLaminateStructures[Material / Layer],ROWS($BW$2:BW40)),"")</f>
        <v>RM G Epotal ECO 3675</v>
      </c>
      <c r="BX40" s="572" cm="1">
        <f t="array" ref="BX40">IFERROR(INDEX(tblLaminateStructures[Layer Thickness (µ)],ROWS($BX$2:BX40)),"")</f>
        <v>3</v>
      </c>
      <c r="BY40" s="572" cm="1">
        <f t="array" ref="BY40">IFERROR(INDEX(tblLaminateStructures[Structure Check],ROWS($BY$2:BY40)),"")</f>
        <v>66</v>
      </c>
      <c r="BZ40" s="573" t="str" cm="1">
        <f t="array" ref="BZ40">IFERROR(INDEX(tblLaminateStructures[Laminate],ROWS($BZ$2:BZ40)),"")</f>
        <v>618 W</v>
      </c>
      <c r="CA40" s="573"/>
      <c r="CB40" s="573"/>
      <c r="CC40" s="572" cm="1">
        <f t="array" ref="CC40">IFERROR(INDEX(tblLaminateStructures[Total Thickness (µ)],ROWS($CC$2:CC40)),"")</f>
        <v>66</v>
      </c>
      <c r="CD40" s="572"/>
      <c r="CE40" s="572"/>
      <c r="CF40" s="572"/>
      <c r="CG40" s="573"/>
      <c r="CH40" s="574"/>
    </row>
    <row r="41" spans="46:86">
      <c r="AV41" s="544" t="s">
        <v>566</v>
      </c>
      <c r="AW41" s="545">
        <v>78</v>
      </c>
      <c r="AX41" s="544" t="s">
        <v>168</v>
      </c>
      <c r="AY41" s="545">
        <v>23</v>
      </c>
      <c r="AZ4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1" s="544"/>
      <c r="BB41" s="544"/>
      <c r="BC41" s="544" t="s">
        <v>1060</v>
      </c>
      <c r="BD41" s="544"/>
      <c r="BF41" s="556"/>
      <c r="BG41" s="556"/>
      <c r="BH41" s="556"/>
      <c r="BI41" s="556"/>
      <c r="BJ41" s="556"/>
      <c r="BK41" s="556"/>
      <c r="BL41" s="556"/>
      <c r="BM41" s="556"/>
      <c r="BN41" s="556"/>
      <c r="BO41" s="556"/>
      <c r="BP41" s="556"/>
      <c r="BQ41" s="556"/>
      <c r="BR41" s="556"/>
      <c r="BS41" s="556"/>
      <c r="BT41" s="556"/>
      <c r="BU41" s="571" t="str" cm="1">
        <f t="array" ref="BU41">IFERROR(_xlfn.LET(_xlpm.i,ROWS($BU$2:BU41),_xlpm.cur,INDEX(tblLaminateStructures[Laminate],_xlpm.i),_xlpm.prev,IF(_xlpm.i=1,"",INDEX(tblLaminateStructures[Laminate],_xlpm.i-1)),IF(_xlpm.cur&lt;&gt;_xlpm.prev,_xlpm.cur,"")),"")</f>
        <v/>
      </c>
      <c r="BV41" s="572" cm="1">
        <f t="array" ref="BV41">IFERROR(_xlfn.LET(_xlpm.i,ROWS($BV$2:BV41),_xlpm.cur,INDEX(tblLaminateStructures[Total Thickness (µ)],_xlpm.i),_xlpm.prev,IF(_xlpm.i=1,"",INDEX(tblLaminateStructures[Total Thickness (µ)],_xlpm.i-1)),IF(OR(_xlpm.cur&lt;&gt;_xlpm.prev,BU41&lt;&gt;""),_xlpm.cur,"")),"")</f>
        <v>78</v>
      </c>
      <c r="BW41" s="573" t="str" cm="1">
        <f t="array" ref="BW41">IFERROR(INDEX(tblLaminateStructures[Material / Layer],ROWS($BW$2:BW41)),"")</f>
        <v>NK</v>
      </c>
      <c r="BX41" s="572" cm="1">
        <f t="array" ref="BX41">IFERROR(INDEX(tblLaminateStructures[Layer Thickness (µ)],ROWS($BX$2:BX41)),"")</f>
        <v>23</v>
      </c>
      <c r="BY41" s="572" cm="1">
        <f t="array" ref="BY41">IFERROR(INDEX(tblLaminateStructures[Structure Check],ROWS($BY$2:BY41)),"")</f>
        <v>78</v>
      </c>
      <c r="BZ41" s="573" t="str" cm="1">
        <f t="array" ref="BZ41">IFERROR(INDEX(tblLaminateStructures[Laminate],ROWS($BZ$2:BZ41)),"")</f>
        <v>618 W</v>
      </c>
      <c r="CA41" s="573"/>
      <c r="CB41" s="573"/>
      <c r="CC41" s="572" cm="1">
        <f t="array" ref="CC41">IFERROR(INDEX(tblLaminateStructures[Total Thickness (µ)],ROWS($CC$2:CC41)),"")</f>
        <v>78</v>
      </c>
      <c r="CD41" s="572"/>
      <c r="CE41" s="572"/>
      <c r="CF41" s="572"/>
      <c r="CG41" s="573"/>
      <c r="CH41" s="574"/>
    </row>
    <row r="42" spans="46:86">
      <c r="AV42" s="544" t="s">
        <v>566</v>
      </c>
      <c r="AW42" s="545">
        <v>78</v>
      </c>
      <c r="AX42" s="544" t="s">
        <v>43</v>
      </c>
      <c r="AY42" s="545">
        <v>52</v>
      </c>
      <c r="AZ4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2" s="544"/>
      <c r="BB42" s="544"/>
      <c r="BC42" s="544" t="s">
        <v>1060</v>
      </c>
      <c r="BD42" s="544"/>
      <c r="BF42" s="556"/>
      <c r="BG42" s="556"/>
      <c r="BH42" s="556"/>
      <c r="BI42" s="556"/>
      <c r="BJ42" s="556"/>
      <c r="BK42" s="556"/>
      <c r="BL42" s="556"/>
      <c r="BM42" s="556"/>
      <c r="BN42" s="556"/>
      <c r="BO42" s="556"/>
      <c r="BP42" s="556"/>
      <c r="BQ42" s="556"/>
      <c r="BR42" s="556"/>
      <c r="BS42" s="556"/>
      <c r="BT42" s="556"/>
      <c r="BU42" s="571" t="str" cm="1">
        <f t="array" ref="BU42">IFERROR(_xlfn.LET(_xlpm.i,ROWS($BU$2:BU42),_xlpm.cur,INDEX(tblLaminateStructures[Laminate],_xlpm.i),_xlpm.prev,IF(_xlpm.i=1,"",INDEX(tblLaminateStructures[Laminate],_xlpm.i-1)),IF(_xlpm.cur&lt;&gt;_xlpm.prev,_xlpm.cur,"")),"")</f>
        <v/>
      </c>
      <c r="BV42" s="572" t="str" cm="1">
        <f t="array" ref="BV42">IFERROR(_xlfn.LET(_xlpm.i,ROWS($BV$2:BV42),_xlpm.cur,INDEX(tblLaminateStructures[Total Thickness (µ)],_xlpm.i),_xlpm.prev,IF(_xlpm.i=1,"",INDEX(tblLaminateStructures[Total Thickness (µ)],_xlpm.i-1)),IF(OR(_xlpm.cur&lt;&gt;_xlpm.prev,BU42&lt;&gt;""),_xlpm.cur,"")),"")</f>
        <v/>
      </c>
      <c r="BW42" s="573" t="str" cm="1">
        <f t="array" ref="BW42">IFERROR(INDEX(tblLaminateStructures[Material / Layer],ROWS($BW$2:BW42)),"")</f>
        <v>TIPA 302FG W</v>
      </c>
      <c r="BX42" s="572" cm="1">
        <f t="array" ref="BX42">IFERROR(INDEX(tblLaminateStructures[Layer Thickness (µ)],ROWS($BX$2:BX42)),"")</f>
        <v>52</v>
      </c>
      <c r="BY42" s="572" cm="1">
        <f t="array" ref="BY42">IFERROR(INDEX(tblLaminateStructures[Structure Check],ROWS($BY$2:BY42)),"")</f>
        <v>78</v>
      </c>
      <c r="BZ42" s="573" t="str" cm="1">
        <f t="array" ref="BZ42">IFERROR(INDEX(tblLaminateStructures[Laminate],ROWS($BZ$2:BZ42)),"")</f>
        <v>618 W</v>
      </c>
      <c r="CA42" s="573"/>
      <c r="CB42" s="573"/>
      <c r="CC42" s="572" cm="1">
        <f t="array" ref="CC42">IFERROR(INDEX(tblLaminateStructures[Total Thickness (µ)],ROWS($CC$2:CC42)),"")</f>
        <v>78</v>
      </c>
      <c r="CD42" s="572"/>
      <c r="CE42" s="572"/>
      <c r="CF42" s="572"/>
      <c r="CG42" s="573"/>
      <c r="CH42" s="574"/>
    </row>
    <row r="43" spans="46:86">
      <c r="AV43" s="544" t="s">
        <v>566</v>
      </c>
      <c r="AW43" s="545">
        <v>78</v>
      </c>
      <c r="AX43" s="544" t="s">
        <v>177</v>
      </c>
      <c r="AY43" s="545">
        <v>3</v>
      </c>
      <c r="AZ4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3" s="544"/>
      <c r="BB43" s="544"/>
      <c r="BC43" s="544" t="s">
        <v>1060</v>
      </c>
      <c r="BD43" s="544"/>
      <c r="BF43" s="556"/>
      <c r="BG43" s="556"/>
      <c r="BH43" s="556"/>
      <c r="BI43" s="556"/>
      <c r="BJ43" s="556"/>
      <c r="BK43" s="556"/>
      <c r="BL43" s="556"/>
      <c r="BM43" s="556"/>
      <c r="BN43" s="556"/>
      <c r="BO43" s="556"/>
      <c r="BP43" s="556"/>
      <c r="BQ43" s="556"/>
      <c r="BR43" s="556"/>
      <c r="BS43" s="556"/>
      <c r="BT43" s="556"/>
      <c r="BU43" s="571" t="str" cm="1">
        <f t="array" ref="BU43">IFERROR(_xlfn.LET(_xlpm.i,ROWS($BU$2:BU43),_xlpm.cur,INDEX(tblLaminateStructures[Laminate],_xlpm.i),_xlpm.prev,IF(_xlpm.i=1,"",INDEX(tblLaminateStructures[Laminate],_xlpm.i-1)),IF(_xlpm.cur&lt;&gt;_xlpm.prev,_xlpm.cur,"")),"")</f>
        <v/>
      </c>
      <c r="BV43" s="572" t="str" cm="1">
        <f t="array" ref="BV43">IFERROR(_xlfn.LET(_xlpm.i,ROWS($BV$2:BV43),_xlpm.cur,INDEX(tblLaminateStructures[Total Thickness (µ)],_xlpm.i),_xlpm.prev,IF(_xlpm.i=1,"",INDEX(tblLaminateStructures[Total Thickness (µ)],_xlpm.i-1)),IF(OR(_xlpm.cur&lt;&gt;_xlpm.prev,BU43&lt;&gt;""),_xlpm.cur,"")),"")</f>
        <v/>
      </c>
      <c r="BW43" s="573" t="str" cm="1">
        <f t="array" ref="BW43">IFERROR(INDEX(tblLaminateStructures[Material / Layer],ROWS($BW$2:BW43)),"")</f>
        <v>RM G Epotal ECO 3675</v>
      </c>
      <c r="BX43" s="572" cm="1">
        <f t="array" ref="BX43">IFERROR(INDEX(tblLaminateStructures[Layer Thickness (µ)],ROWS($BX$2:BX43)),"")</f>
        <v>3</v>
      </c>
      <c r="BY43" s="572" cm="1">
        <f t="array" ref="BY43">IFERROR(INDEX(tblLaminateStructures[Structure Check],ROWS($BY$2:BY43)),"")</f>
        <v>78</v>
      </c>
      <c r="BZ43" s="573" t="str" cm="1">
        <f t="array" ref="BZ43">IFERROR(INDEX(tblLaminateStructures[Laminate],ROWS($BZ$2:BZ43)),"")</f>
        <v>618 W</v>
      </c>
      <c r="CA43" s="573"/>
      <c r="CB43" s="573"/>
      <c r="CC43" s="572" cm="1">
        <f t="array" ref="CC43">IFERROR(INDEX(tblLaminateStructures[Total Thickness (µ)],ROWS($CC$2:CC43)),"")</f>
        <v>78</v>
      </c>
      <c r="CD43" s="572"/>
      <c r="CE43" s="572"/>
      <c r="CF43" s="572"/>
      <c r="CG43" s="573"/>
      <c r="CH43" s="574"/>
    </row>
    <row r="44" spans="46:86">
      <c r="AV44" s="544" t="s">
        <v>566</v>
      </c>
      <c r="AW44" s="545">
        <v>86</v>
      </c>
      <c r="AX44" s="544" t="s">
        <v>168</v>
      </c>
      <c r="AY44" s="612">
        <v>23</v>
      </c>
      <c r="AZ4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4" s="544"/>
      <c r="BB44" s="544"/>
      <c r="BC44" s="544" t="s">
        <v>1060</v>
      </c>
      <c r="BD44" s="544"/>
      <c r="BF44" s="556"/>
      <c r="BG44" s="556"/>
      <c r="BH44" s="556"/>
      <c r="BI44" s="556"/>
      <c r="BJ44" s="556"/>
      <c r="BK44" s="556"/>
      <c r="BL44" s="556"/>
      <c r="BM44" s="556"/>
      <c r="BN44" s="556"/>
      <c r="BO44" s="556"/>
      <c r="BP44" s="556"/>
      <c r="BQ44" s="556"/>
      <c r="BR44" s="556"/>
      <c r="BS44" s="556"/>
      <c r="BT44" s="556"/>
      <c r="BU44" s="571" t="str" cm="1">
        <f t="array" ref="BU44">IFERROR(_xlfn.LET(_xlpm.i,ROWS($BU$2:BU44),_xlpm.cur,INDEX(tblLaminateStructures[Laminate],_xlpm.i),_xlpm.prev,IF(_xlpm.i=1,"",INDEX(tblLaminateStructures[Laminate],_xlpm.i-1)),IF(_xlpm.cur&lt;&gt;_xlpm.prev,_xlpm.cur,"")),"")</f>
        <v/>
      </c>
      <c r="BV44" s="572" cm="1">
        <f t="array" ref="BV44">IFERROR(_xlfn.LET(_xlpm.i,ROWS($BV$2:BV44),_xlpm.cur,INDEX(tblLaminateStructures[Total Thickness (µ)],_xlpm.i),_xlpm.prev,IF(_xlpm.i=1,"",INDEX(tblLaminateStructures[Total Thickness (µ)],_xlpm.i-1)),IF(OR(_xlpm.cur&lt;&gt;_xlpm.prev,BU44&lt;&gt;""),_xlpm.cur,"")),"")</f>
        <v>86</v>
      </c>
      <c r="BW44" s="573" t="str" cm="1">
        <f t="array" ref="BW44">IFERROR(INDEX(tblLaminateStructures[Material / Layer],ROWS($BW$2:BW44)),"")</f>
        <v>NK</v>
      </c>
      <c r="BX44" s="572" cm="1">
        <f t="array" ref="BX44">IFERROR(INDEX(tblLaminateStructures[Layer Thickness (µ)],ROWS($BX$2:BX44)),"")</f>
        <v>23</v>
      </c>
      <c r="BY44" s="572" cm="1">
        <f t="array" ref="BY44">IFERROR(INDEX(tblLaminateStructures[Structure Check],ROWS($BY$2:BY44)),"")</f>
        <v>86</v>
      </c>
      <c r="BZ44" s="573" t="str" cm="1">
        <f t="array" ref="BZ44">IFERROR(INDEX(tblLaminateStructures[Laminate],ROWS($BZ$2:BZ44)),"")</f>
        <v>618 W</v>
      </c>
      <c r="CA44" s="573"/>
      <c r="CB44" s="573"/>
      <c r="CC44" s="572" cm="1">
        <f t="array" ref="CC44">IFERROR(INDEX(tblLaminateStructures[Total Thickness (µ)],ROWS($CC$2:CC44)),"")</f>
        <v>86</v>
      </c>
      <c r="CD44" s="572"/>
      <c r="CE44" s="572"/>
      <c r="CF44" s="572"/>
      <c r="CG44" s="573"/>
      <c r="CH44" s="574"/>
    </row>
    <row r="45" spans="46:86">
      <c r="AV45" s="607" t="s">
        <v>566</v>
      </c>
      <c r="AW45" s="608">
        <v>86</v>
      </c>
      <c r="AX45" s="544" t="s">
        <v>43</v>
      </c>
      <c r="AY45" s="608">
        <v>60</v>
      </c>
      <c r="AZ45" s="60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5" s="607"/>
      <c r="BB45" s="607"/>
      <c r="BC45" s="607" t="s">
        <v>1060</v>
      </c>
      <c r="BD45" s="607"/>
      <c r="BF45" s="556"/>
      <c r="BG45" s="556"/>
      <c r="BH45" s="556"/>
      <c r="BI45" s="556"/>
      <c r="BJ45" s="556"/>
      <c r="BK45" s="556"/>
      <c r="BL45" s="556"/>
      <c r="BM45" s="556"/>
      <c r="BN45" s="556"/>
      <c r="BO45" s="556"/>
      <c r="BP45" s="556"/>
      <c r="BQ45" s="556"/>
      <c r="BR45" s="556"/>
      <c r="BS45" s="556"/>
      <c r="BT45" s="556"/>
      <c r="BU45" s="571"/>
      <c r="BV45" s="572"/>
      <c r="BW45" s="573" t="str" cm="1">
        <f t="array" ref="BW45">IFERROR(INDEX(tblLaminateStructures[Material / Layer],ROWS($BW$2:BW45)),"")</f>
        <v>TIPA 302FG W</v>
      </c>
      <c r="BX45" s="572" cm="1">
        <f t="array" ref="BX45">IFERROR(INDEX(tblLaminateStructures[Layer Thickness (µ)],ROWS($BX$2:BX45)),"")</f>
        <v>60</v>
      </c>
      <c r="BY45" s="572" cm="1">
        <f t="array" ref="BY45">IFERROR(INDEX(tblLaminateStructures[Structure Check],ROWS($BY$2:BY45)),"")</f>
        <v>86</v>
      </c>
      <c r="BZ45" s="573" t="str" cm="1">
        <f t="array" ref="BZ45">IFERROR(INDEX(tblLaminateStructures[Laminate],ROWS($BZ$2:BZ45)),"")</f>
        <v>618 W</v>
      </c>
      <c r="CA45" s="573"/>
      <c r="CB45" s="573"/>
      <c r="CC45" s="572" cm="1">
        <f t="array" ref="CC45">IFERROR(INDEX(tblLaminateStructures[Total Thickness (µ)],ROWS($CC$2:CC45)),"")</f>
        <v>86</v>
      </c>
      <c r="CD45" s="572"/>
      <c r="CE45" s="572"/>
      <c r="CF45" s="572"/>
      <c r="CG45" s="573"/>
      <c r="CH45" s="574"/>
    </row>
    <row r="46" spans="46:86">
      <c r="AV46" s="607" t="s">
        <v>566</v>
      </c>
      <c r="AW46" s="608">
        <v>86</v>
      </c>
      <c r="AX46" s="544" t="s">
        <v>177</v>
      </c>
      <c r="AY46" s="608">
        <v>3</v>
      </c>
      <c r="AZ46" s="60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6" s="607"/>
      <c r="BB46" s="607"/>
      <c r="BC46" s="607" t="s">
        <v>1060</v>
      </c>
      <c r="BD46" s="607"/>
      <c r="BF46" s="556"/>
      <c r="BG46" s="556"/>
      <c r="BH46" s="556"/>
      <c r="BI46" s="556"/>
      <c r="BJ46" s="556"/>
      <c r="BK46" s="556"/>
      <c r="BL46" s="556"/>
      <c r="BM46" s="556"/>
      <c r="BN46" s="556"/>
      <c r="BO46" s="556"/>
      <c r="BP46" s="556"/>
      <c r="BQ46" s="556"/>
      <c r="BR46" s="556"/>
      <c r="BS46" s="556"/>
      <c r="BT46" s="556"/>
      <c r="BU46" s="571"/>
      <c r="BV46" s="572"/>
      <c r="BW46" s="573" t="str" cm="1">
        <f t="array" ref="BW46">IFERROR(INDEX(tblLaminateStructures[Material / Layer],ROWS($BW$2:BW46)),"")</f>
        <v>RM G Epotal ECO 3675</v>
      </c>
      <c r="BX46" s="572" cm="1">
        <f t="array" ref="BX46">IFERROR(INDEX(tblLaminateStructures[Layer Thickness (µ)],ROWS($BX$2:BX46)),"")</f>
        <v>3</v>
      </c>
      <c r="BY46" s="572" cm="1">
        <f t="array" ref="BY46">IFERROR(INDEX(tblLaminateStructures[Structure Check],ROWS($BY$2:BY46)),"")</f>
        <v>86</v>
      </c>
      <c r="BZ46" s="573" t="str" cm="1">
        <f t="array" ref="BZ46">IFERROR(INDEX(tblLaminateStructures[Laminate],ROWS($BZ$2:BZ46)),"")</f>
        <v>618 W</v>
      </c>
      <c r="CA46" s="573"/>
      <c r="CB46" s="573"/>
      <c r="CC46" s="572" cm="1">
        <f t="array" ref="CC46">IFERROR(INDEX(tblLaminateStructures[Total Thickness (µ)],ROWS($CC$2:CC46)),"")</f>
        <v>86</v>
      </c>
      <c r="CD46" s="572"/>
      <c r="CE46" s="572"/>
      <c r="CF46" s="572"/>
      <c r="CG46" s="573"/>
      <c r="CH46" s="574"/>
    </row>
    <row r="47" spans="46:86">
      <c r="AV47" s="607" t="s">
        <v>566</v>
      </c>
      <c r="AW47" s="608">
        <v>106</v>
      </c>
      <c r="AX47" s="544" t="s">
        <v>168</v>
      </c>
      <c r="AY47" s="545">
        <v>23</v>
      </c>
      <c r="AZ47" s="60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7" s="607"/>
      <c r="BB47" s="607"/>
      <c r="BC47" s="607" t="s">
        <v>1060</v>
      </c>
      <c r="BD47" s="607"/>
      <c r="BF47" s="556"/>
      <c r="BG47" s="556"/>
      <c r="BH47" s="556"/>
      <c r="BI47" s="556"/>
      <c r="BJ47" s="556"/>
      <c r="BK47" s="556"/>
      <c r="BL47" s="556"/>
      <c r="BM47" s="556"/>
      <c r="BN47" s="556"/>
      <c r="BO47" s="556"/>
      <c r="BP47" s="556"/>
      <c r="BQ47" s="556"/>
      <c r="BR47" s="556"/>
      <c r="BS47" s="556"/>
      <c r="BT47" s="556"/>
      <c r="BU47" s="571"/>
      <c r="BV47" s="572"/>
      <c r="BW47" s="573" t="str" cm="1">
        <f t="array" ref="BW47">IFERROR(INDEX(tblLaminateStructures[Material / Layer],ROWS($BW$2:BW47)),"")</f>
        <v>NK</v>
      </c>
      <c r="BX47" s="572" cm="1">
        <f t="array" ref="BX47">IFERROR(INDEX(tblLaminateStructures[Layer Thickness (µ)],ROWS($BX$2:BX47)),"")</f>
        <v>23</v>
      </c>
      <c r="BY47" s="572" cm="1">
        <f t="array" ref="BY47">IFERROR(INDEX(tblLaminateStructures[Structure Check],ROWS($BY$2:BY47)),"")</f>
        <v>106</v>
      </c>
      <c r="BZ47" s="573" t="str" cm="1">
        <f t="array" ref="BZ47">IFERROR(INDEX(tblLaminateStructures[Laminate],ROWS($BZ$2:BZ47)),"")</f>
        <v>618 W</v>
      </c>
      <c r="CA47" s="573"/>
      <c r="CB47" s="573"/>
      <c r="CC47" s="572" cm="1">
        <f t="array" ref="CC47">IFERROR(INDEX(tblLaminateStructures[Total Thickness (µ)],ROWS($CC$2:CC47)),"")</f>
        <v>106</v>
      </c>
      <c r="CD47" s="572"/>
      <c r="CE47" s="572"/>
      <c r="CF47" s="572"/>
      <c r="CG47" s="573"/>
      <c r="CH47" s="574"/>
    </row>
    <row r="48" spans="46:86">
      <c r="AV48" s="607" t="s">
        <v>566</v>
      </c>
      <c r="AW48" s="608">
        <v>106</v>
      </c>
      <c r="AX48" s="544" t="s">
        <v>43</v>
      </c>
      <c r="AY48" s="612">
        <v>80</v>
      </c>
      <c r="AZ48" s="60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8" s="607"/>
      <c r="BB48" s="607"/>
      <c r="BC48" s="607" t="s">
        <v>1060</v>
      </c>
      <c r="BD48" s="607"/>
      <c r="BF48" s="556"/>
      <c r="BG48" s="556"/>
      <c r="BH48" s="556"/>
      <c r="BI48" s="556"/>
      <c r="BJ48" s="556"/>
      <c r="BK48" s="556"/>
      <c r="BL48" s="556"/>
      <c r="BM48" s="556"/>
      <c r="BN48" s="556"/>
      <c r="BO48" s="556"/>
      <c r="BP48" s="556"/>
      <c r="BQ48" s="556"/>
      <c r="BR48" s="556"/>
      <c r="BS48" s="556"/>
      <c r="BT48" s="556"/>
      <c r="BU48" s="571"/>
      <c r="BV48" s="572"/>
      <c r="BW48" s="573" t="str" cm="1">
        <f t="array" ref="BW48">IFERROR(INDEX(tblLaminateStructures[Material / Layer],ROWS($BW$2:BW48)),"")</f>
        <v>TIPA 302FG W</v>
      </c>
      <c r="BX48" s="572" cm="1">
        <f t="array" ref="BX48">IFERROR(INDEX(tblLaminateStructures[Layer Thickness (µ)],ROWS($BX$2:BX48)),"")</f>
        <v>80</v>
      </c>
      <c r="BY48" s="572" cm="1">
        <f t="array" ref="BY48">IFERROR(INDEX(tblLaminateStructures[Structure Check],ROWS($BY$2:BY48)),"")</f>
        <v>106</v>
      </c>
      <c r="BZ48" s="573" t="str" cm="1">
        <f t="array" ref="BZ48">IFERROR(INDEX(tblLaminateStructures[Laminate],ROWS($BZ$2:BZ48)),"")</f>
        <v>618 W</v>
      </c>
      <c r="CA48" s="573"/>
      <c r="CB48" s="573"/>
      <c r="CC48" s="572" cm="1">
        <f t="array" ref="CC48">IFERROR(INDEX(tblLaminateStructures[Total Thickness (µ)],ROWS($CC$2:CC48)),"")</f>
        <v>106</v>
      </c>
      <c r="CD48" s="572"/>
      <c r="CE48" s="572"/>
      <c r="CF48" s="572"/>
      <c r="CG48" s="573"/>
      <c r="CH48" s="574"/>
    </row>
    <row r="49" spans="48:86">
      <c r="AV49" s="544" t="s">
        <v>566</v>
      </c>
      <c r="AW49" s="545">
        <v>106</v>
      </c>
      <c r="AX49" s="544" t="s">
        <v>177</v>
      </c>
      <c r="AY49" s="545">
        <v>3</v>
      </c>
      <c r="AZ4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9" s="544"/>
      <c r="BB49" s="544"/>
      <c r="BC49" s="544" t="s">
        <v>1060</v>
      </c>
      <c r="BD49" s="544"/>
      <c r="BF49" s="556"/>
      <c r="BG49" s="556"/>
      <c r="BH49" s="556"/>
      <c r="BI49" s="556"/>
      <c r="BJ49" s="556"/>
      <c r="BK49" s="556"/>
      <c r="BL49" s="556"/>
      <c r="BM49" s="556"/>
      <c r="BN49" s="556"/>
      <c r="BO49" s="556"/>
      <c r="BP49" s="556"/>
      <c r="BQ49" s="556"/>
      <c r="BR49" s="556"/>
      <c r="BS49" s="556"/>
      <c r="BT49" s="556"/>
      <c r="BU49" s="571" t="str" cm="1">
        <f t="array" ref="BU49">IFERROR(_xlfn.LET(_xlpm.i,ROWS($BU$2:BU49),_xlpm.cur,INDEX(tblLaminateStructures[Laminate],_xlpm.i),_xlpm.prev,IF(_xlpm.i=1,"",INDEX(tblLaminateStructures[Laminate],_xlpm.i-1)),IF(_xlpm.cur&lt;&gt;_xlpm.prev,_xlpm.cur,"")),"")</f>
        <v/>
      </c>
      <c r="BV49" s="572" t="str" cm="1">
        <f t="array" ref="BV49">IFERROR(_xlfn.LET(_xlpm.i,ROWS($BV$2:BV49),_xlpm.cur,INDEX(tblLaminateStructures[Total Thickness (µ)],_xlpm.i),_xlpm.prev,IF(_xlpm.i=1,"",INDEX(tblLaminateStructures[Total Thickness (µ)],_xlpm.i-1)),IF(OR(_xlpm.cur&lt;&gt;_xlpm.prev,BU49&lt;&gt;""),_xlpm.cur,"")),"")</f>
        <v/>
      </c>
      <c r="BW49" s="573" t="str" cm="1">
        <f t="array" ref="BW49">IFERROR(INDEX(tblLaminateStructures[Material / Layer],ROWS($BW$2:BW49)),"")</f>
        <v>RM G Epotal ECO 3675</v>
      </c>
      <c r="BX49" s="572" cm="1">
        <f t="array" ref="BX49">IFERROR(INDEX(tblLaminateStructures[Layer Thickness (µ)],ROWS($BX$2:BX49)),"")</f>
        <v>3</v>
      </c>
      <c r="BY49" s="572" cm="1">
        <f t="array" ref="BY49">IFERROR(INDEX(tblLaminateStructures[Structure Check],ROWS($BY$2:BY49)),"")</f>
        <v>106</v>
      </c>
      <c r="BZ49" s="573" t="str" cm="1">
        <f t="array" ref="BZ49">IFERROR(INDEX(tblLaminateStructures[Laminate],ROWS($BZ$2:BZ49)),"")</f>
        <v>618 W</v>
      </c>
      <c r="CA49" s="573"/>
      <c r="CB49" s="573"/>
      <c r="CC49" s="572" cm="1">
        <f t="array" ref="CC49">IFERROR(INDEX(tblLaminateStructures[Total Thickness (µ)],ROWS($CC$2:CC49)),"")</f>
        <v>106</v>
      </c>
      <c r="CD49" s="572"/>
      <c r="CE49" s="572"/>
      <c r="CF49" s="572"/>
      <c r="CG49" s="573"/>
      <c r="CH49" s="574"/>
    </row>
    <row r="50" spans="48:86">
      <c r="AV50" s="544">
        <v>418</v>
      </c>
      <c r="AW50" s="545">
        <v>51</v>
      </c>
      <c r="AX50" s="544" t="s">
        <v>168</v>
      </c>
      <c r="AY50" s="545">
        <v>23</v>
      </c>
      <c r="AZ5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0" s="544"/>
      <c r="BB50" s="544"/>
      <c r="BC50" s="544" t="s">
        <v>1060</v>
      </c>
      <c r="BD50" s="544"/>
      <c r="BF50" s="556"/>
      <c r="BG50" s="556"/>
      <c r="BH50" s="556"/>
      <c r="BI50" s="556"/>
      <c r="BJ50" s="556"/>
      <c r="BK50" s="556"/>
      <c r="BL50" s="556"/>
      <c r="BM50" s="556"/>
      <c r="BN50" s="556"/>
      <c r="BO50" s="556"/>
      <c r="BP50" s="556"/>
      <c r="BQ50" s="556"/>
      <c r="BR50" s="556"/>
      <c r="BS50" s="556"/>
      <c r="BT50" s="556"/>
      <c r="BU50" s="571" cm="1">
        <f t="array" ref="BU50">IFERROR(_xlfn.LET(_xlpm.i,ROWS($BU$2:BU50),_xlpm.cur,INDEX(tblLaminateStructures[Laminate],_xlpm.i),_xlpm.prev,IF(_xlpm.i=1,"",INDEX(tblLaminateStructures[Laminate],_xlpm.i-1)),IF(_xlpm.cur&lt;&gt;_xlpm.prev,_xlpm.cur,"")),"")</f>
        <v>418</v>
      </c>
      <c r="BV50" s="572" cm="1">
        <f t="array" ref="BV50">IFERROR(_xlfn.LET(_xlpm.i,ROWS($BV$2:BV50),_xlpm.cur,INDEX(tblLaminateStructures[Total Thickness (µ)],_xlpm.i),_xlpm.prev,IF(_xlpm.i=1,"",INDEX(tblLaminateStructures[Total Thickness (µ)],_xlpm.i-1)),IF(OR(_xlpm.cur&lt;&gt;_xlpm.prev,BU50&lt;&gt;""),_xlpm.cur,"")),"")</f>
        <v>51</v>
      </c>
      <c r="BW50" s="573" t="str" cm="1">
        <f t="array" ref="BW50">IFERROR(INDEX(tblLaminateStructures[Material / Layer],ROWS($BW$2:BW50)),"")</f>
        <v>NK</v>
      </c>
      <c r="BX50" s="572" cm="1">
        <f t="array" ref="BX50">IFERROR(INDEX(tblLaminateStructures[Layer Thickness (µ)],ROWS($BX$2:BX50)),"")</f>
        <v>23</v>
      </c>
      <c r="BY50" s="572" cm="1">
        <f t="array" ref="BY50">IFERROR(INDEX(tblLaminateStructures[Structure Check],ROWS($BY$2:BY50)),"")</f>
        <v>51</v>
      </c>
      <c r="BZ50" s="573" cm="1">
        <f t="array" ref="BZ50">IFERROR(INDEX(tblLaminateStructures[Laminate],ROWS($BZ$2:BZ50)),"")</f>
        <v>418</v>
      </c>
      <c r="CA50" s="573"/>
      <c r="CB50" s="573"/>
      <c r="CC50" s="572" cm="1">
        <f t="array" ref="CC50">IFERROR(INDEX(tblLaminateStructures[Total Thickness (µ)],ROWS($CC$2:CC50)),"")</f>
        <v>51</v>
      </c>
      <c r="CD50" s="572"/>
      <c r="CE50" s="572"/>
      <c r="CF50" s="572"/>
      <c r="CG50" s="573"/>
      <c r="CH50" s="574"/>
    </row>
    <row r="51" spans="48:86">
      <c r="AV51" s="607">
        <v>418</v>
      </c>
      <c r="AW51" s="608">
        <v>51</v>
      </c>
      <c r="AX51" s="544" t="s">
        <v>180</v>
      </c>
      <c r="AY51" s="608">
        <v>25</v>
      </c>
      <c r="AZ51" s="60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1" s="607"/>
      <c r="BB51" s="607"/>
      <c r="BC51" s="544" t="s">
        <v>1060</v>
      </c>
      <c r="BD51" s="607"/>
      <c r="BF51" s="556"/>
      <c r="BG51" s="556"/>
      <c r="BH51" s="556"/>
      <c r="BI51" s="556"/>
      <c r="BJ51" s="556"/>
      <c r="BK51" s="556"/>
      <c r="BL51" s="556"/>
      <c r="BM51" s="556"/>
      <c r="BN51" s="556"/>
      <c r="BO51" s="556"/>
      <c r="BP51" s="556"/>
      <c r="BQ51" s="556"/>
      <c r="BR51" s="556"/>
      <c r="BS51" s="556"/>
      <c r="BT51" s="556"/>
      <c r="BU51" s="571"/>
      <c r="BV51" s="572"/>
      <c r="BW51" s="573" t="str" cm="1">
        <f t="array" ref="BW51">IFERROR(INDEX(tblLaminateStructures[Material / Layer],ROWS($BW$2:BW51)),"")</f>
        <v>TIPA 312 MET</v>
      </c>
      <c r="BX51" s="572" cm="1">
        <f t="array" ref="BX51">IFERROR(INDEX(tblLaminateStructures[Layer Thickness (µ)],ROWS($BX$2:BX51)),"")</f>
        <v>25</v>
      </c>
      <c r="BY51" s="572" cm="1">
        <f t="array" ref="BY51">IFERROR(INDEX(tblLaminateStructures[Total Thickness (µ)],ROWS($BY$2:BY51)),"")</f>
        <v>51</v>
      </c>
      <c r="BZ51" s="573" cm="1">
        <f t="array" ref="BZ51">IFERROR(INDEX(tblLaminateStructures[Laminate],ROWS($BZ$2:BZ51)),"")</f>
        <v>418</v>
      </c>
      <c r="CA51" s="573"/>
      <c r="CB51" s="573"/>
      <c r="CC51" s="572" cm="1">
        <f t="array" ref="CC51">IFERROR(INDEX(tblLaminateStructures[Structure Check],ROWS($CC$2:CC51)),"")</f>
        <v>51</v>
      </c>
      <c r="CD51" s="572"/>
      <c r="CE51" s="572"/>
      <c r="CF51" s="572"/>
      <c r="CG51" s="573"/>
      <c r="CH51" s="574"/>
    </row>
    <row r="52" spans="48:86">
      <c r="AV52" s="544">
        <v>418</v>
      </c>
      <c r="AW52" s="545">
        <v>51</v>
      </c>
      <c r="AX52" s="544" t="s">
        <v>177</v>
      </c>
      <c r="AY52" s="545">
        <v>3</v>
      </c>
      <c r="AZ5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2" s="544"/>
      <c r="BB52" s="544"/>
      <c r="BC52" s="544" t="s">
        <v>1060</v>
      </c>
      <c r="BD52" s="544"/>
      <c r="BF52" s="556"/>
      <c r="BG52" s="556"/>
      <c r="BH52" s="556"/>
      <c r="BI52" s="556"/>
      <c r="BJ52" s="556"/>
      <c r="BK52" s="556"/>
      <c r="BL52" s="556"/>
      <c r="BM52" s="556"/>
      <c r="BN52" s="556"/>
      <c r="BO52" s="556"/>
      <c r="BP52" s="556"/>
      <c r="BQ52" s="556"/>
      <c r="BR52" s="556"/>
      <c r="BS52" s="556"/>
      <c r="BT52" s="556"/>
      <c r="BU52" s="571" t="str" cm="1">
        <f t="array" ref="BU52">IFERROR(_xlfn.LET(_xlpm.i,ROWS($BU$2:BU52),_xlpm.cur,INDEX(tblLaminateStructures[Laminate],_xlpm.i),_xlpm.prev,IF(_xlpm.i=1,"",INDEX(tblLaminateStructures[Laminate],_xlpm.i-1)),IF(_xlpm.cur&lt;&gt;_xlpm.prev,_xlpm.cur,"")),"")</f>
        <v/>
      </c>
      <c r="BV52" s="572" t="str" cm="1">
        <f t="array" ref="BV52">IFERROR(_xlfn.LET(_xlpm.i,ROWS($BV$2:BV52),_xlpm.cur,INDEX(tblLaminateStructures[Total Thickness (µ)],_xlpm.i),_xlpm.prev,IF(_xlpm.i=1,"",INDEX(tblLaminateStructures[Total Thickness (µ)],_xlpm.i-1)),IF(OR(_xlpm.cur&lt;&gt;_xlpm.prev,BU52&lt;&gt;""),_xlpm.cur,"")),"")</f>
        <v/>
      </c>
      <c r="BW52" s="573" t="str" cm="1">
        <f t="array" ref="BW52">IFERROR(INDEX(tblLaminateStructures[Material / Layer],ROWS($BW$2:BW52)),"")</f>
        <v>RM G Epotal ECO 3675</v>
      </c>
      <c r="BX52" s="572" cm="1">
        <f t="array" ref="BX52">IFERROR(INDEX(tblLaminateStructures[Layer Thickness (µ)],ROWS($BX$2:BX52)),"")</f>
        <v>3</v>
      </c>
      <c r="BY52" s="572" cm="1">
        <f t="array" ref="BY52">IFERROR(INDEX(tblLaminateStructures[Structure Check],ROWS($BY$2:BY52)),"")</f>
        <v>51</v>
      </c>
      <c r="BZ52" s="573" cm="1">
        <f t="array" ref="BZ52">IFERROR(INDEX(tblLaminateStructures[Laminate],ROWS($BZ$2:BZ52)),"")</f>
        <v>418</v>
      </c>
      <c r="CA52" s="573"/>
      <c r="CB52" s="573"/>
      <c r="CC52" s="572" cm="1">
        <f t="array" ref="CC52">IFERROR(INDEX(tblLaminateStructures[Total Thickness (µ)],ROWS($CC$2:CC52)),"")</f>
        <v>51</v>
      </c>
      <c r="CD52" s="572"/>
      <c r="CE52" s="572"/>
      <c r="CF52" s="572"/>
      <c r="CG52" s="573"/>
      <c r="CH52" s="574"/>
    </row>
    <row r="53" spans="48:86">
      <c r="AV53" s="544">
        <v>648</v>
      </c>
      <c r="AW53" s="545">
        <v>100</v>
      </c>
      <c r="AX53" s="544" t="s">
        <v>168</v>
      </c>
      <c r="AY53" s="545">
        <v>23</v>
      </c>
      <c r="AZ5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3" s="544"/>
      <c r="BB53" s="544"/>
      <c r="BC53" s="544" t="s">
        <v>1060</v>
      </c>
      <c r="BD53" s="544"/>
      <c r="BF53" s="556"/>
      <c r="BG53" s="556"/>
      <c r="BH53" s="556"/>
      <c r="BI53" s="556"/>
      <c r="BJ53" s="556"/>
      <c r="BK53" s="556"/>
      <c r="BL53" s="556"/>
      <c r="BM53" s="556"/>
      <c r="BN53" s="556"/>
      <c r="BO53" s="556"/>
      <c r="BP53" s="556"/>
      <c r="BQ53" s="556"/>
      <c r="BR53" s="556"/>
      <c r="BS53" s="556"/>
      <c r="BT53" s="556"/>
      <c r="BU53" s="571" cm="1">
        <f t="array" ref="BU53">IFERROR(_xlfn.LET(_xlpm.i,ROWS($BU$2:BU53),_xlpm.cur,INDEX(tblLaminateStructures[Laminate],_xlpm.i),_xlpm.prev,IF(_xlpm.i=1,"",INDEX(tblLaminateStructures[Laminate],_xlpm.i-1)),IF(_xlpm.cur&lt;&gt;_xlpm.prev,_xlpm.cur,"")),"")</f>
        <v>648</v>
      </c>
      <c r="BV53" s="572" cm="1">
        <f t="array" ref="BV53">IFERROR(_xlfn.LET(_xlpm.i,ROWS($BV$2:BV53),_xlpm.cur,INDEX(tblLaminateStructures[Total Thickness (µ)],_xlpm.i),_xlpm.prev,IF(_xlpm.i=1,"",INDEX(tblLaminateStructures[Total Thickness (µ)],_xlpm.i-1)),IF(OR(_xlpm.cur&lt;&gt;_xlpm.prev,BU53&lt;&gt;""),_xlpm.cur,"")),"")</f>
        <v>100</v>
      </c>
      <c r="BW53" s="573" t="str" cm="1">
        <f t="array" ref="BW53">IFERROR(INDEX(tblLaminateStructures[Material / Layer],ROWS($BW$2:BW53)),"")</f>
        <v>NK</v>
      </c>
      <c r="BX53" s="572" cm="1">
        <f t="array" ref="BX53">IFERROR(INDEX(tblLaminateStructures[Layer Thickness (µ)],ROWS($BX$2:BX53)),"")</f>
        <v>23</v>
      </c>
      <c r="BY53" s="572" cm="1">
        <f t="array" ref="BY53">IFERROR(INDEX(tblLaminateStructures[Structure Check],ROWS($BY$2:BY53)),"")</f>
        <v>100.09</v>
      </c>
      <c r="BZ53" s="573" cm="1">
        <f t="array" ref="BZ53">IFERROR(INDEX(tblLaminateStructures[Laminate],ROWS($BZ$2:BZ53)),"")</f>
        <v>648</v>
      </c>
      <c r="CA53" s="573"/>
      <c r="CB53" s="573"/>
      <c r="CC53" s="572" cm="1">
        <f t="array" ref="CC53">IFERROR(INDEX(tblLaminateStructures[Total Thickness (µ)],ROWS($CC$2:CC53)),"")</f>
        <v>100</v>
      </c>
      <c r="CD53" s="572"/>
      <c r="CE53" s="572"/>
      <c r="CF53" s="572"/>
      <c r="CG53" s="573"/>
      <c r="CH53" s="574"/>
    </row>
    <row r="54" spans="48:86">
      <c r="AV54" s="544">
        <v>648</v>
      </c>
      <c r="AW54" s="545">
        <v>100</v>
      </c>
      <c r="AX54" s="544" t="s">
        <v>0</v>
      </c>
      <c r="AY54" s="545">
        <v>73</v>
      </c>
      <c r="AZ5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4" s="544"/>
      <c r="BB54" s="544"/>
      <c r="BC54" s="544" t="s">
        <v>1060</v>
      </c>
      <c r="BD54" s="544"/>
      <c r="BF54" s="556"/>
      <c r="BG54" s="556"/>
      <c r="BH54" s="556"/>
      <c r="BI54" s="556"/>
      <c r="BJ54" s="556"/>
      <c r="BK54" s="556"/>
      <c r="BL54" s="556"/>
      <c r="BM54" s="556"/>
      <c r="BN54" s="556"/>
      <c r="BO54" s="556"/>
      <c r="BP54" s="556"/>
      <c r="BQ54" s="556"/>
      <c r="BR54" s="556"/>
      <c r="BS54" s="556"/>
      <c r="BT54" s="556"/>
      <c r="BU54" s="571" t="str" cm="1">
        <f t="array" ref="BU54">IFERROR(_xlfn.LET(_xlpm.i,ROWS($BU$2:BU54),_xlpm.cur,INDEX(tblLaminateStructures[Laminate],_xlpm.i),_xlpm.prev,IF(_xlpm.i=1,"",INDEX(tblLaminateStructures[Laminate],_xlpm.i-1)),IF(_xlpm.cur&lt;&gt;_xlpm.prev,_xlpm.cur,"")),"")</f>
        <v/>
      </c>
      <c r="BV54" s="572" t="str" cm="1">
        <f t="array" ref="BV54">IFERROR(_xlfn.LET(_xlpm.i,ROWS($BV$2:BV54),_xlpm.cur,INDEX(tblLaminateStructures[Total Thickness (µ)],_xlpm.i),_xlpm.prev,IF(_xlpm.i=1,"",INDEX(tblLaminateStructures[Total Thickness (µ)],_xlpm.i-1)),IF(OR(_xlpm.cur&lt;&gt;_xlpm.prev,BU54&lt;&gt;""),_xlpm.cur,"")),"")</f>
        <v/>
      </c>
      <c r="BW54" s="573" t="str" cm="1">
        <f t="array" ref="BW54">IFERROR(INDEX(tblLaminateStructures[Material / Layer],ROWS($BW$2:BW54)),"")</f>
        <v>TIPA 302FG</v>
      </c>
      <c r="BX54" s="572" cm="1">
        <f t="array" ref="BX54">IFERROR(INDEX(tblLaminateStructures[Layer Thickness (µ)],ROWS($BX$2:BX54)),"")</f>
        <v>73</v>
      </c>
      <c r="BY54" s="572" cm="1">
        <f t="array" ref="BY54">IFERROR(INDEX(tblLaminateStructures[Structure Check],ROWS($BY$2:BY54)),"")</f>
        <v>100.09</v>
      </c>
      <c r="BZ54" s="573" cm="1">
        <f t="array" ref="BZ54">IFERROR(INDEX(tblLaminateStructures[Laminate],ROWS($BZ$2:BZ54)),"")</f>
        <v>648</v>
      </c>
      <c r="CA54" s="573"/>
      <c r="CB54" s="573"/>
      <c r="CC54" s="572" cm="1">
        <f t="array" ref="CC54">IFERROR(INDEX(tblLaminateStructures[Total Thickness (µ)],ROWS($CC$2:CC54)),"")</f>
        <v>100</v>
      </c>
      <c r="CD54" s="572"/>
      <c r="CE54" s="572"/>
      <c r="CF54" s="572"/>
      <c r="CG54" s="573"/>
      <c r="CH54" s="574"/>
    </row>
    <row r="55" spans="48:86">
      <c r="AV55" s="544">
        <v>648</v>
      </c>
      <c r="AW55" s="545">
        <v>100</v>
      </c>
      <c r="AX55" s="544" t="s">
        <v>173</v>
      </c>
      <c r="AY55" s="545">
        <v>4</v>
      </c>
      <c r="AZ5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5" s="544"/>
      <c r="BB55" s="544"/>
      <c r="BC55" s="544" t="s">
        <v>1060</v>
      </c>
      <c r="BD55" s="544"/>
      <c r="BF55" s="556"/>
      <c r="BG55" s="556"/>
      <c r="BH55" s="556"/>
      <c r="BI55" s="556"/>
      <c r="BJ55" s="556"/>
      <c r="BK55" s="556"/>
      <c r="BL55" s="556"/>
      <c r="BM55" s="556"/>
      <c r="BN55" s="556"/>
      <c r="BO55" s="556"/>
      <c r="BP55" s="556"/>
      <c r="BQ55" s="556"/>
      <c r="BR55" s="583"/>
      <c r="BS55" s="556"/>
      <c r="BT55" s="556"/>
      <c r="BU55" s="571" t="str" cm="1">
        <f t="array" ref="BU55">IFERROR(_xlfn.LET(_xlpm.i,ROWS($BU$2:BU55),_xlpm.cur,INDEX(tblLaminateStructures[Laminate],_xlpm.i),_xlpm.prev,IF(_xlpm.i=1,"",INDEX(tblLaminateStructures[Laminate],_xlpm.i-1)),IF(_xlpm.cur&lt;&gt;_xlpm.prev,_xlpm.cur,"")),"")</f>
        <v/>
      </c>
      <c r="BV55" s="572" t="str" cm="1">
        <f t="array" ref="BV55">IFERROR(_xlfn.LET(_xlpm.i,ROWS($BV$2:BV55),_xlpm.cur,INDEX(tblLaminateStructures[Total Thickness (µ)],_xlpm.i),_xlpm.prev,IF(_xlpm.i=1,"",INDEX(tblLaminateStructures[Total Thickness (µ)],_xlpm.i-1)),IF(OR(_xlpm.cur&lt;&gt;_xlpm.prev,BU55&lt;&gt;""),_xlpm.cur,"")),"")</f>
        <v/>
      </c>
      <c r="BW55" s="573" t="str" cm="1">
        <f t="array" ref="BW55">IFERROR(INDEX(tblLaminateStructures[Material / Layer],ROWS($BW$2:BW55)),"")</f>
        <v>RM G Epotal Eco 3702</v>
      </c>
      <c r="BX55" s="572" cm="1">
        <f t="array" ref="BX55">IFERROR(INDEX(tblLaminateStructures[Layer Thickness (µ)],ROWS($BX$2:BX55)),"")</f>
        <v>4</v>
      </c>
      <c r="BY55" s="572" cm="1">
        <f t="array" ref="BY55">IFERROR(INDEX(tblLaminateStructures[Structure Check],ROWS($BY$2:BY55)),"")</f>
        <v>100.09</v>
      </c>
      <c r="BZ55" s="573" cm="1">
        <f t="array" ref="BZ55">IFERROR(INDEX(tblLaminateStructures[Laminate],ROWS($BZ$2:BZ55)),"")</f>
        <v>648</v>
      </c>
      <c r="CA55" s="573"/>
      <c r="CB55" s="573"/>
      <c r="CC55" s="572" cm="1">
        <f t="array" ref="CC55">IFERROR(INDEX(tblLaminateStructures[Total Thickness (µ)],ROWS($CC$2:CC55)),"")</f>
        <v>100</v>
      </c>
      <c r="CD55" s="572"/>
      <c r="CE55" s="572"/>
      <c r="CF55" s="572"/>
      <c r="CG55" s="573"/>
      <c r="CH55" s="574"/>
    </row>
    <row r="56" spans="48:86">
      <c r="AV56" s="544">
        <v>648</v>
      </c>
      <c r="AW56" s="545">
        <v>100</v>
      </c>
      <c r="AX56" s="544" t="s">
        <v>174</v>
      </c>
      <c r="AY56" s="545">
        <v>8.99999999999999E-2</v>
      </c>
      <c r="AZ5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6" s="544"/>
      <c r="BB56" s="544"/>
      <c r="BC56" s="544" t="s">
        <v>1060</v>
      </c>
      <c r="BD56" s="544"/>
      <c r="BF56" s="556"/>
      <c r="BG56" s="556"/>
      <c r="BH56" s="556"/>
      <c r="BI56" s="556"/>
      <c r="BJ56" s="556"/>
      <c r="BK56" s="556"/>
      <c r="BL56" s="556"/>
      <c r="BM56" s="556"/>
      <c r="BN56" s="556"/>
      <c r="BO56" s="556"/>
      <c r="BP56" s="556"/>
      <c r="BQ56" s="556"/>
      <c r="BR56" s="556"/>
      <c r="BS56" s="556"/>
      <c r="BT56" s="556"/>
      <c r="BU56" s="571" t="str" cm="1">
        <f t="array" ref="BU56">IFERROR(_xlfn.LET(_xlpm.i,ROWS($BU$2:BU56),_xlpm.cur,INDEX(tblLaminateStructures[Laminate],_xlpm.i),_xlpm.prev,IF(_xlpm.i=1,"",INDEX(tblLaminateStructures[Laminate],_xlpm.i-1)),IF(_xlpm.cur&lt;&gt;_xlpm.prev,_xlpm.cur,"")),"")</f>
        <v/>
      </c>
      <c r="BV56" s="572" t="str" cm="1">
        <f t="array" ref="BV56">IFERROR(_xlfn.LET(_xlpm.i,ROWS($BV$2:BV56),_xlpm.cur,INDEX(tblLaminateStructures[Total Thickness (µ)],_xlpm.i),_xlpm.prev,IF(_xlpm.i=1,"",INDEX(tblLaminateStructures[Total Thickness (µ)],_xlpm.i-1)),IF(OR(_xlpm.cur&lt;&gt;_xlpm.prev,BU56&lt;&gt;""),_xlpm.cur,"")),"")</f>
        <v/>
      </c>
      <c r="BW56" s="573" t="str" cm="1">
        <f t="array" ref="BW56">IFERROR(INDEX(tblLaminateStructures[Material / Layer],ROWS($BW$2:BW56)),"")</f>
        <v>RM G Basonat HW 2270</v>
      </c>
      <c r="BX56" s="572" cm="1">
        <f t="array" ref="BX56">IFERROR(INDEX(tblLaminateStructures[Layer Thickness (µ)],ROWS($BX$2:BX56)),"")</f>
        <v>8.99999999999999E-2</v>
      </c>
      <c r="BY56" s="572" cm="1">
        <f t="array" ref="BY56">IFERROR(INDEX(tblLaminateStructures[Structure Check],ROWS($BY$2:BY56)),"")</f>
        <v>100.09</v>
      </c>
      <c r="BZ56" s="573" cm="1">
        <f t="array" ref="BZ56">IFERROR(INDEX(tblLaminateStructures[Laminate],ROWS($BZ$2:BZ56)),"")</f>
        <v>648</v>
      </c>
      <c r="CA56" s="573"/>
      <c r="CB56" s="573"/>
      <c r="CC56" s="572" cm="1">
        <f t="array" ref="CC56">IFERROR(INDEX(tblLaminateStructures[Total Thickness (µ)],ROWS($CC$2:CC56)),"")</f>
        <v>100</v>
      </c>
      <c r="CD56" s="572"/>
      <c r="CE56" s="572"/>
      <c r="CF56" s="572"/>
      <c r="CG56" s="573"/>
      <c r="CH56" s="574"/>
    </row>
    <row r="57" spans="48:86">
      <c r="AV57" s="544">
        <v>648</v>
      </c>
      <c r="AW57" s="545">
        <v>63</v>
      </c>
      <c r="AX57" s="544" t="s">
        <v>168</v>
      </c>
      <c r="AY57" s="545">
        <v>23</v>
      </c>
      <c r="AZ5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7" s="544"/>
      <c r="BB57" s="544"/>
      <c r="BC57" s="544" t="s">
        <v>1060</v>
      </c>
      <c r="BD57" s="544"/>
      <c r="BF57" s="556"/>
      <c r="BG57" s="556"/>
      <c r="BH57" s="556"/>
      <c r="BI57" s="556"/>
      <c r="BJ57" s="556"/>
      <c r="BK57" s="556"/>
      <c r="BL57" s="556"/>
      <c r="BM57" s="556"/>
      <c r="BN57" s="556"/>
      <c r="BO57" s="556"/>
      <c r="BP57" s="556"/>
      <c r="BQ57" s="556"/>
      <c r="BR57" s="556"/>
      <c r="BS57" s="556"/>
      <c r="BT57" s="556"/>
      <c r="BU57" s="571" t="str" cm="1">
        <f t="array" ref="BU57">IFERROR(_xlfn.LET(_xlpm.i,ROWS($BU$2:BU57),_xlpm.cur,INDEX(tblLaminateStructures[Laminate],_xlpm.i),_xlpm.prev,IF(_xlpm.i=1,"",INDEX(tblLaminateStructures[Laminate],_xlpm.i-1)),IF(_xlpm.cur&lt;&gt;_xlpm.prev,_xlpm.cur,"")),"")</f>
        <v/>
      </c>
      <c r="BV57" s="572" cm="1">
        <f t="array" ref="BV57">IFERROR(_xlfn.LET(_xlpm.i,ROWS($BV$2:BV57),_xlpm.cur,INDEX(tblLaminateStructures[Total Thickness (µ)],_xlpm.i),_xlpm.prev,IF(_xlpm.i=1,"",INDEX(tblLaminateStructures[Total Thickness (µ)],_xlpm.i-1)),IF(OR(_xlpm.cur&lt;&gt;_xlpm.prev,BU57&lt;&gt;""),_xlpm.cur,"")),"")</f>
        <v>63</v>
      </c>
      <c r="BW57" s="573" t="str" cm="1">
        <f t="array" ref="BW57">IFERROR(INDEX(tblLaminateStructures[Material / Layer],ROWS($BW$2:BW57)),"")</f>
        <v>NK</v>
      </c>
      <c r="BX57" s="572" cm="1">
        <f t="array" ref="BX57">IFERROR(INDEX(tblLaminateStructures[Layer Thickness (µ)],ROWS($BX$2:BX57)),"")</f>
        <v>23</v>
      </c>
      <c r="BY57" s="572" cm="1">
        <f t="array" ref="BY57">IFERROR(INDEX(tblLaminateStructures[Structure Check],ROWS($BY$2:BY57)),"")</f>
        <v>63.09</v>
      </c>
      <c r="BZ57" s="573" cm="1">
        <f t="array" ref="BZ57">IFERROR(INDEX(tblLaminateStructures[Laminate],ROWS($BZ$2:BZ57)),"")</f>
        <v>648</v>
      </c>
      <c r="CA57" s="573"/>
      <c r="CB57" s="573"/>
      <c r="CC57" s="572" cm="1">
        <f t="array" ref="CC57">IFERROR(INDEX(tblLaminateStructures[Total Thickness (µ)],ROWS($CC$2:CC57)),"")</f>
        <v>63</v>
      </c>
      <c r="CD57" s="572"/>
      <c r="CE57" s="572"/>
      <c r="CF57" s="572"/>
      <c r="CG57" s="573"/>
      <c r="CH57" s="574"/>
    </row>
    <row r="58" spans="48:86">
      <c r="AV58" s="544">
        <v>648</v>
      </c>
      <c r="AW58" s="545">
        <v>63</v>
      </c>
      <c r="AX58" s="544" t="s">
        <v>0</v>
      </c>
      <c r="AY58" s="545">
        <v>35</v>
      </c>
      <c r="AZ5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8" s="544"/>
      <c r="BB58" s="544"/>
      <c r="BC58" s="544" t="s">
        <v>1060</v>
      </c>
      <c r="BD58" s="544"/>
      <c r="BF58" s="556"/>
      <c r="BG58" s="556"/>
      <c r="BH58" s="556"/>
      <c r="BI58" s="556"/>
      <c r="BJ58" s="556"/>
      <c r="BK58" s="556"/>
      <c r="BL58" s="556"/>
      <c r="BM58" s="556"/>
      <c r="BN58" s="556"/>
      <c r="BO58" s="556"/>
      <c r="BP58" s="556"/>
      <c r="BQ58" s="556"/>
      <c r="BR58" s="556"/>
      <c r="BS58" s="556"/>
      <c r="BT58" s="556"/>
      <c r="BU58" s="571" t="str" cm="1">
        <f t="array" ref="BU58">IFERROR(_xlfn.LET(_xlpm.i,ROWS($BU$2:BU58),_xlpm.cur,INDEX(tblLaminateStructures[Laminate],_xlpm.i),_xlpm.prev,IF(_xlpm.i=1,"",INDEX(tblLaminateStructures[Laminate],_xlpm.i-1)),IF(_xlpm.cur&lt;&gt;_xlpm.prev,_xlpm.cur,"")),"")</f>
        <v/>
      </c>
      <c r="BV58" s="572" t="str" cm="1">
        <f t="array" ref="BV58">IFERROR(_xlfn.LET(_xlpm.i,ROWS($BV$2:BV58),_xlpm.cur,INDEX(tblLaminateStructures[Total Thickness (µ)],_xlpm.i),_xlpm.prev,IF(_xlpm.i=1,"",INDEX(tblLaminateStructures[Total Thickness (µ)],_xlpm.i-1)),IF(OR(_xlpm.cur&lt;&gt;_xlpm.prev,BU58&lt;&gt;""),_xlpm.cur,"")),"")</f>
        <v/>
      </c>
      <c r="BW58" s="573" t="str" cm="1">
        <f t="array" ref="BW58">IFERROR(INDEX(tblLaminateStructures[Material / Layer],ROWS($BW$2:BW58)),"")</f>
        <v>TIPA 302FG</v>
      </c>
      <c r="BX58" s="572" cm="1">
        <f t="array" ref="BX58">IFERROR(INDEX(tblLaminateStructures[Layer Thickness (µ)],ROWS($BX$2:BX58)),"")</f>
        <v>35</v>
      </c>
      <c r="BY58" s="572" cm="1">
        <f t="array" ref="BY58">IFERROR(INDEX(tblLaminateStructures[Structure Check],ROWS($BY$2:BY58)),"")</f>
        <v>63.09</v>
      </c>
      <c r="BZ58" s="573" cm="1">
        <f t="array" ref="BZ58">IFERROR(INDEX(tblLaminateStructures[Laminate],ROWS($BZ$2:BZ58)),"")</f>
        <v>648</v>
      </c>
      <c r="CA58" s="573"/>
      <c r="CB58" s="573"/>
      <c r="CC58" s="572" cm="1">
        <f t="array" ref="CC58">IFERROR(INDEX(tblLaminateStructures[Total Thickness (µ)],ROWS($CC$2:CC58)),"")</f>
        <v>63</v>
      </c>
      <c r="CD58" s="572"/>
      <c r="CE58" s="572"/>
      <c r="CF58" s="572"/>
      <c r="CG58" s="573"/>
      <c r="CH58" s="574"/>
    </row>
    <row r="59" spans="48:86">
      <c r="AV59" s="544">
        <v>648</v>
      </c>
      <c r="AW59" s="545">
        <v>63</v>
      </c>
      <c r="AX59" s="544" t="s">
        <v>173</v>
      </c>
      <c r="AY59" s="545">
        <v>5</v>
      </c>
      <c r="AZ5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9" s="544"/>
      <c r="BB59" s="544"/>
      <c r="BC59" s="544" t="s">
        <v>1060</v>
      </c>
      <c r="BD59" s="544"/>
      <c r="BF59" s="556"/>
      <c r="BG59" s="556"/>
      <c r="BH59" s="556"/>
      <c r="BI59" s="556"/>
      <c r="BJ59" s="556"/>
      <c r="BK59" s="556"/>
      <c r="BL59" s="556"/>
      <c r="BM59" s="556"/>
      <c r="BN59" s="556"/>
      <c r="BO59" s="556"/>
      <c r="BP59" s="556"/>
      <c r="BQ59" s="556"/>
      <c r="BR59" s="556"/>
      <c r="BS59" s="556"/>
      <c r="BT59" s="556"/>
      <c r="BU59" s="571" t="str" cm="1">
        <f t="array" ref="BU59">IFERROR(_xlfn.LET(_xlpm.i,ROWS($BU$2:BU59),_xlpm.cur,INDEX(tblLaminateStructures[Laminate],_xlpm.i),_xlpm.prev,IF(_xlpm.i=1,"",INDEX(tblLaminateStructures[Laminate],_xlpm.i-1)),IF(_xlpm.cur&lt;&gt;_xlpm.prev,_xlpm.cur,"")),"")</f>
        <v/>
      </c>
      <c r="BV59" s="572" t="str" cm="1">
        <f t="array" ref="BV59">IFERROR(_xlfn.LET(_xlpm.i,ROWS($BV$2:BV59),_xlpm.cur,INDEX(tblLaminateStructures[Total Thickness (µ)],_xlpm.i),_xlpm.prev,IF(_xlpm.i=1,"",INDEX(tblLaminateStructures[Total Thickness (µ)],_xlpm.i-1)),IF(OR(_xlpm.cur&lt;&gt;_xlpm.prev,BU59&lt;&gt;""),_xlpm.cur,"")),"")</f>
        <v/>
      </c>
      <c r="BW59" s="573" t="str" cm="1">
        <f t="array" ref="BW59">IFERROR(INDEX(tblLaminateStructures[Material / Layer],ROWS($BW$2:BW59)),"")</f>
        <v>RM G Epotal Eco 3702</v>
      </c>
      <c r="BX59" s="572" cm="1">
        <f t="array" ref="BX59">IFERROR(INDEX(tblLaminateStructures[Layer Thickness (µ)],ROWS($BX$2:BX59)),"")</f>
        <v>5</v>
      </c>
      <c r="BY59" s="572" cm="1">
        <f t="array" ref="BY59">IFERROR(INDEX(tblLaminateStructures[Structure Check],ROWS($BY$2:BY59)),"")</f>
        <v>63.09</v>
      </c>
      <c r="BZ59" s="573" cm="1">
        <f t="array" ref="BZ59">IFERROR(INDEX(tblLaminateStructures[Laminate],ROWS($BZ$2:BZ59)),"")</f>
        <v>648</v>
      </c>
      <c r="CA59" s="573"/>
      <c r="CB59" s="573"/>
      <c r="CC59" s="572" cm="1">
        <f t="array" ref="CC59">IFERROR(INDEX(tblLaminateStructures[Total Thickness (µ)],ROWS($CC$2:CC59)),"")</f>
        <v>63</v>
      </c>
      <c r="CD59" s="572"/>
      <c r="CE59" s="572"/>
      <c r="CF59" s="572"/>
      <c r="CG59" s="573"/>
      <c r="CH59" s="574"/>
    </row>
    <row r="60" spans="48:86">
      <c r="AV60" s="544">
        <v>648</v>
      </c>
      <c r="AW60" s="545">
        <v>63</v>
      </c>
      <c r="AX60" s="544" t="s">
        <v>174</v>
      </c>
      <c r="AY60" s="545">
        <v>8.99999999999999E-2</v>
      </c>
      <c r="AZ6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60" s="544"/>
      <c r="BB60" s="544"/>
      <c r="BC60" s="544" t="s">
        <v>1060</v>
      </c>
      <c r="BD60" s="544"/>
      <c r="BF60" s="556"/>
      <c r="BG60" s="556"/>
      <c r="BH60" s="556"/>
      <c r="BI60" s="556"/>
      <c r="BJ60" s="556"/>
      <c r="BK60" s="556"/>
      <c r="BL60" s="556"/>
      <c r="BM60" s="556"/>
      <c r="BN60" s="556"/>
      <c r="BO60" s="556"/>
      <c r="BP60" s="556"/>
      <c r="BQ60" s="556"/>
      <c r="BR60" s="556"/>
      <c r="BS60" s="556"/>
      <c r="BT60" s="556"/>
      <c r="BU60" s="571" t="str" cm="1">
        <f t="array" ref="BU60">IFERROR(_xlfn.LET(_xlpm.i,ROWS($BU$2:BU60),_xlpm.cur,INDEX(tblLaminateStructures[Laminate],_xlpm.i),_xlpm.prev,IF(_xlpm.i=1,"",INDEX(tblLaminateStructures[Laminate],_xlpm.i-1)),IF(_xlpm.cur&lt;&gt;_xlpm.prev,_xlpm.cur,"")),"")</f>
        <v/>
      </c>
      <c r="BV60" s="572" t="str" cm="1">
        <f t="array" ref="BV60">IFERROR(_xlfn.LET(_xlpm.i,ROWS($BV$2:BV60),_xlpm.cur,INDEX(tblLaminateStructures[Total Thickness (µ)],_xlpm.i),_xlpm.prev,IF(_xlpm.i=1,"",INDEX(tblLaminateStructures[Total Thickness (µ)],_xlpm.i-1)),IF(OR(_xlpm.cur&lt;&gt;_xlpm.prev,BU60&lt;&gt;""),_xlpm.cur,"")),"")</f>
        <v/>
      </c>
      <c r="BW60" s="573" t="str" cm="1">
        <f t="array" ref="BW60">IFERROR(INDEX(tblLaminateStructures[Material / Layer],ROWS($BW$2:BW60)),"")</f>
        <v>RM G Basonat HW 2270</v>
      </c>
      <c r="BX60" s="572" cm="1">
        <f t="array" ref="BX60">IFERROR(INDEX(tblLaminateStructures[Layer Thickness (µ)],ROWS($BX$2:BX60)),"")</f>
        <v>8.99999999999999E-2</v>
      </c>
      <c r="BY60" s="572" cm="1">
        <f t="array" ref="BY60">IFERROR(INDEX(tblLaminateStructures[Structure Check],ROWS($BY$2:BY60)),"")</f>
        <v>63.09</v>
      </c>
      <c r="BZ60" s="573" cm="1">
        <f t="array" ref="BZ60">IFERROR(INDEX(tblLaminateStructures[Laminate],ROWS($BZ$2:BZ60)),"")</f>
        <v>648</v>
      </c>
      <c r="CA60" s="573"/>
      <c r="CB60" s="573"/>
      <c r="CC60" s="572" cm="1">
        <f t="array" ref="CC60">IFERROR(INDEX(tblLaminateStructures[Total Thickness (µ)],ROWS($CC$2:CC60)),"")</f>
        <v>63</v>
      </c>
      <c r="CD60" s="572"/>
      <c r="CE60" s="572"/>
      <c r="CF60" s="572"/>
      <c r="CG60" s="573"/>
      <c r="CH60" s="574"/>
    </row>
    <row r="61" spans="48:86">
      <c r="AV61" s="544">
        <v>428</v>
      </c>
      <c r="AW61" s="545">
        <v>80</v>
      </c>
      <c r="AX61" s="544" t="s">
        <v>168</v>
      </c>
      <c r="AY61" s="545">
        <v>23</v>
      </c>
      <c r="AZ6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80</v>
      </c>
      <c r="BA61" s="544"/>
      <c r="BB61" s="544"/>
      <c r="BC61" s="544" t="s">
        <v>1060</v>
      </c>
      <c r="BD61" s="544"/>
      <c r="BF61" s="556"/>
      <c r="BG61" s="556"/>
      <c r="BH61" s="556"/>
      <c r="BI61" s="556"/>
      <c r="BJ61" s="556"/>
      <c r="BK61" s="556"/>
      <c r="BL61" s="556"/>
      <c r="BM61" s="556"/>
      <c r="BN61" s="556"/>
      <c r="BO61" s="556"/>
      <c r="BP61" s="556"/>
      <c r="BQ61" s="556"/>
      <c r="BR61" s="556"/>
      <c r="BS61" s="556"/>
      <c r="BT61" s="556"/>
      <c r="BU61" s="571" cm="1">
        <f t="array" ref="BU61">IFERROR(_xlfn.LET(_xlpm.i,ROWS($BU$2:BU61),_xlpm.cur,INDEX(tblLaminateStructures[Laminate],_xlpm.i),_xlpm.prev,IF(_xlpm.i=1,"",INDEX(tblLaminateStructures[Laminate],_xlpm.i-1)),IF(_xlpm.cur&lt;&gt;_xlpm.prev,_xlpm.cur,"")),"")</f>
        <v>428</v>
      </c>
      <c r="BV61" s="572" cm="1">
        <f t="array" ref="BV61">IFERROR(_xlfn.LET(_xlpm.i,ROWS($BV$2:BV61),_xlpm.cur,INDEX(tblLaminateStructures[Total Thickness (µ)],_xlpm.i),_xlpm.prev,IF(_xlpm.i=1,"",INDEX(tblLaminateStructures[Total Thickness (µ)],_xlpm.i-1)),IF(OR(_xlpm.cur&lt;&gt;_xlpm.prev,BU61&lt;&gt;""),_xlpm.cur,"")),"")</f>
        <v>80</v>
      </c>
      <c r="BW61" s="573" t="str" cm="1">
        <f t="array" ref="BW61">IFERROR(INDEX(tblLaminateStructures[Material / Layer],ROWS($BW$2:BW61)),"")</f>
        <v>NK</v>
      </c>
      <c r="BX61" s="572" cm="1">
        <f t="array" ref="BX61">IFERROR(INDEX(tblLaminateStructures[Layer Thickness (µ)],ROWS($BX$2:BX61)),"")</f>
        <v>23</v>
      </c>
      <c r="BY61" s="572" cm="1">
        <f t="array" ref="BY61">IFERROR(INDEX(tblLaminateStructures[Structure Check],ROWS($BY$2:BY61)),"")</f>
        <v>80</v>
      </c>
      <c r="BZ61" s="573" cm="1">
        <f t="array" ref="BZ61">IFERROR(INDEX(tblLaminateStructures[Laminate],ROWS($BZ$2:BZ61)),"")</f>
        <v>428</v>
      </c>
      <c r="CA61" s="573"/>
      <c r="CB61" s="573"/>
      <c r="CC61" s="572" cm="1">
        <f t="array" ref="CC61">IFERROR(INDEX(tblLaminateStructures[Total Thickness (µ)],ROWS($CC$2:CC61)),"")</f>
        <v>80</v>
      </c>
      <c r="CD61" s="572"/>
      <c r="CE61" s="572"/>
      <c r="CF61" s="572"/>
      <c r="CG61" s="573"/>
      <c r="CH61" s="574"/>
    </row>
    <row r="62" spans="48:86">
      <c r="AV62" s="544">
        <v>428</v>
      </c>
      <c r="AW62" s="545">
        <v>80</v>
      </c>
      <c r="AX62" s="544" t="s">
        <v>180</v>
      </c>
      <c r="AY62" s="545">
        <v>25</v>
      </c>
      <c r="AZ6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80</v>
      </c>
      <c r="BA62" s="544"/>
      <c r="BB62" s="544"/>
      <c r="BC62" s="544" t="s">
        <v>1060</v>
      </c>
      <c r="BD62" s="544"/>
      <c r="BF62" s="556"/>
      <c r="BG62" s="556"/>
      <c r="BH62" s="556"/>
      <c r="BI62" s="556"/>
      <c r="BJ62" s="556"/>
      <c r="BK62" s="556"/>
      <c r="BL62" s="556"/>
      <c r="BM62" s="556"/>
      <c r="BN62" s="556"/>
      <c r="BO62" s="556"/>
      <c r="BP62" s="556"/>
      <c r="BQ62" s="556"/>
      <c r="BR62" s="556"/>
      <c r="BS62" s="556"/>
      <c r="BT62" s="556"/>
      <c r="BU62" s="571" t="str" cm="1">
        <f t="array" ref="BU62">IFERROR(_xlfn.LET(_xlpm.i,ROWS($BU$2:BU62),_xlpm.cur,INDEX(tblLaminateStructures[Laminate],_xlpm.i),_xlpm.prev,IF(_xlpm.i=1,"",INDEX(tblLaminateStructures[Laminate],_xlpm.i-1)),IF(_xlpm.cur&lt;&gt;_xlpm.prev,_xlpm.cur,"")),"")</f>
        <v/>
      </c>
      <c r="BV62" s="572" t="str" cm="1">
        <f t="array" ref="BV62">IFERROR(_xlfn.LET(_xlpm.i,ROWS($BV$2:BV62),_xlpm.cur,INDEX(tblLaminateStructures[Total Thickness (µ)],_xlpm.i),_xlpm.prev,IF(_xlpm.i=1,"",INDEX(tblLaminateStructures[Total Thickness (µ)],_xlpm.i-1)),IF(OR(_xlpm.cur&lt;&gt;_xlpm.prev,BU62&lt;&gt;""),_xlpm.cur,"")),"")</f>
        <v/>
      </c>
      <c r="BW62" s="573" t="str" cm="1">
        <f t="array" ref="BW62">IFERROR(INDEX(tblLaminateStructures[Material / Layer],ROWS($BW$2:BW62)),"")</f>
        <v>TIPA 312 MET</v>
      </c>
      <c r="BX62" s="572" cm="1">
        <f t="array" ref="BX62">IFERROR(INDEX(tblLaminateStructures[Layer Thickness (µ)],ROWS($BX$2:BX62)),"")</f>
        <v>25</v>
      </c>
      <c r="BY62" s="572" cm="1">
        <f t="array" ref="BY62">IFERROR(INDEX(tblLaminateStructures[Structure Check],ROWS($BY$2:BY62)),"")</f>
        <v>80</v>
      </c>
      <c r="BZ62" s="573" cm="1">
        <f t="array" ref="BZ62">IFERROR(INDEX(tblLaminateStructures[Laminate],ROWS($BZ$2:BZ62)),"")</f>
        <v>428</v>
      </c>
      <c r="CA62" s="573"/>
      <c r="CB62" s="573"/>
      <c r="CC62" s="572" cm="1">
        <f t="array" ref="CC62">IFERROR(INDEX(tblLaminateStructures[Total Thickness (µ)],ROWS($CC$2:CC62)),"")</f>
        <v>80</v>
      </c>
      <c r="CD62" s="572"/>
      <c r="CE62" s="572"/>
      <c r="CF62" s="572"/>
      <c r="CG62" s="573"/>
      <c r="CH62" s="574"/>
    </row>
    <row r="63" spans="48:86">
      <c r="AV63" s="544">
        <v>428</v>
      </c>
      <c r="AW63" s="545">
        <v>80</v>
      </c>
      <c r="AX63" s="544" t="s">
        <v>180</v>
      </c>
      <c r="AY63" s="545">
        <v>25</v>
      </c>
      <c r="AZ6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80</v>
      </c>
      <c r="BA63" s="544"/>
      <c r="BB63" s="544"/>
      <c r="BC63" s="544" t="s">
        <v>1060</v>
      </c>
      <c r="BD63" s="544"/>
      <c r="BF63" s="556"/>
      <c r="BG63" s="556"/>
      <c r="BH63" s="556"/>
      <c r="BI63" s="556"/>
      <c r="BJ63" s="556"/>
      <c r="BK63" s="556"/>
      <c r="BL63" s="556"/>
      <c r="BM63" s="556"/>
      <c r="BN63" s="556"/>
      <c r="BO63" s="556"/>
      <c r="BP63" s="556"/>
      <c r="BQ63" s="556"/>
      <c r="BR63" s="556"/>
      <c r="BS63" s="556"/>
      <c r="BT63" s="556"/>
      <c r="BU63" s="571" t="str" cm="1">
        <f t="array" ref="BU63">IFERROR(_xlfn.LET(_xlpm.i,ROWS($BU$2:BU63),_xlpm.cur,INDEX(tblLaminateStructures[Laminate],_xlpm.i),_xlpm.prev,IF(_xlpm.i=1,"",INDEX(tblLaminateStructures[Laminate],_xlpm.i-1)),IF(_xlpm.cur&lt;&gt;_xlpm.prev,_xlpm.cur,"")),"")</f>
        <v/>
      </c>
      <c r="BV63" s="572" t="str" cm="1">
        <f t="array" ref="BV63">IFERROR(_xlfn.LET(_xlpm.i,ROWS($BV$2:BV63),_xlpm.cur,INDEX(tblLaminateStructures[Total Thickness (µ)],_xlpm.i),_xlpm.prev,IF(_xlpm.i=1,"",INDEX(tblLaminateStructures[Total Thickness (µ)],_xlpm.i-1)),IF(OR(_xlpm.cur&lt;&gt;_xlpm.prev,BU63&lt;&gt;""),_xlpm.cur,"")),"")</f>
        <v/>
      </c>
      <c r="BW63" s="573" t="str" cm="1">
        <f t="array" ref="BW63">IFERROR(INDEX(tblLaminateStructures[Material / Layer],ROWS($BW$2:BW63)),"")</f>
        <v>TIPA 312 MET</v>
      </c>
      <c r="BX63" s="572" cm="1">
        <f t="array" ref="BX63">IFERROR(INDEX(tblLaminateStructures[Layer Thickness (µ)],ROWS($BX$2:BX63)),"")</f>
        <v>25</v>
      </c>
      <c r="BY63" s="572" cm="1">
        <f t="array" ref="BY63">IFERROR(INDEX(tblLaminateStructures[Structure Check],ROWS($BY$2:BY63)),"")</f>
        <v>80</v>
      </c>
      <c r="BZ63" s="573" cm="1">
        <f t="array" ref="BZ63">IFERROR(INDEX(tblLaminateStructures[Laminate],ROWS($BZ$2:BZ63)),"")</f>
        <v>428</v>
      </c>
      <c r="CA63" s="573"/>
      <c r="CB63" s="573"/>
      <c r="CC63" s="572" cm="1">
        <f t="array" ref="CC63">IFERROR(INDEX(tblLaminateStructures[Total Thickness (µ)],ROWS($CC$2:CC63)),"")</f>
        <v>80</v>
      </c>
      <c r="CD63" s="572"/>
      <c r="CE63" s="572"/>
      <c r="CF63" s="572"/>
      <c r="CG63" s="573"/>
      <c r="CH63" s="574"/>
    </row>
    <row r="64" spans="48:86">
      <c r="AV64" s="544">
        <v>428</v>
      </c>
      <c r="AW64" s="545">
        <v>80</v>
      </c>
      <c r="AX64" s="544" t="s">
        <v>177</v>
      </c>
      <c r="AY64" s="545">
        <v>7</v>
      </c>
      <c r="AZ6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80</v>
      </c>
      <c r="BA64" s="544"/>
      <c r="BB64" s="544"/>
      <c r="BC64" s="544" t="s">
        <v>1060</v>
      </c>
      <c r="BD64" s="544"/>
      <c r="BF64" s="556"/>
      <c r="BG64" s="556"/>
      <c r="BH64" s="556"/>
      <c r="BI64" s="556"/>
      <c r="BJ64" s="556"/>
      <c r="BK64" s="556"/>
      <c r="BL64" s="556"/>
      <c r="BM64" s="556"/>
      <c r="BN64" s="556"/>
      <c r="BO64" s="556"/>
      <c r="BP64" s="556"/>
      <c r="BQ64" s="556"/>
      <c r="BR64" s="556"/>
      <c r="BS64" s="556"/>
      <c r="BT64" s="556"/>
      <c r="BU64" s="571" t="str" cm="1">
        <f t="array" ref="BU64">IFERROR(_xlfn.LET(_xlpm.i,ROWS($BU$2:BU64),_xlpm.cur,INDEX(tblLaminateStructures[Laminate],_xlpm.i),_xlpm.prev,IF(_xlpm.i=1,"",INDEX(tblLaminateStructures[Laminate],_xlpm.i-1)),IF(_xlpm.cur&lt;&gt;_xlpm.prev,_xlpm.cur,"")),"")</f>
        <v/>
      </c>
      <c r="BV64" s="572" t="str" cm="1">
        <f t="array" ref="BV64">IFERROR(_xlfn.LET(_xlpm.i,ROWS($BV$2:BV64),_xlpm.cur,INDEX(tblLaminateStructures[Total Thickness (µ)],_xlpm.i),_xlpm.prev,IF(_xlpm.i=1,"",INDEX(tblLaminateStructures[Total Thickness (µ)],_xlpm.i-1)),IF(OR(_xlpm.cur&lt;&gt;_xlpm.prev,BU64&lt;&gt;""),_xlpm.cur,"")),"")</f>
        <v/>
      </c>
      <c r="BW64" s="573" t="str" cm="1">
        <f t="array" ref="BW64">IFERROR(INDEX(tblLaminateStructures[Material / Layer],ROWS($BW$2:BW64)),"")</f>
        <v>RM G Epotal ECO 3675</v>
      </c>
      <c r="BX64" s="572" cm="1">
        <f t="array" ref="BX64">IFERROR(INDEX(tblLaminateStructures[Layer Thickness (µ)],ROWS($BX$2:BX64)),"")</f>
        <v>7</v>
      </c>
      <c r="BY64" s="572" cm="1">
        <f t="array" ref="BY64">IFERROR(INDEX(tblLaminateStructures[Structure Check],ROWS($BY$2:BY64)),"")</f>
        <v>80</v>
      </c>
      <c r="BZ64" s="573" cm="1">
        <f t="array" ref="BZ64">IFERROR(INDEX(tblLaminateStructures[Laminate],ROWS($BZ$2:BZ64)),"")</f>
        <v>428</v>
      </c>
      <c r="CA64" s="573"/>
      <c r="CB64" s="573"/>
      <c r="CC64" s="572" cm="1">
        <f t="array" ref="CC64">IFERROR(INDEX(tblLaminateStructures[Total Thickness (µ)],ROWS($CC$2:CC64)),"")</f>
        <v>80</v>
      </c>
      <c r="CD64" s="572"/>
      <c r="CE64" s="572"/>
      <c r="CF64" s="572"/>
      <c r="CG64" s="573"/>
      <c r="CH64" s="574"/>
    </row>
    <row r="65" spans="48:86">
      <c r="AV65" s="544">
        <v>918</v>
      </c>
      <c r="AW65" s="545">
        <v>51</v>
      </c>
      <c r="AX65" s="544" t="s">
        <v>168</v>
      </c>
      <c r="AY65" s="545">
        <v>23</v>
      </c>
      <c r="AZ6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5" s="544"/>
      <c r="BB65" s="544"/>
      <c r="BC65" s="544" t="s">
        <v>1060</v>
      </c>
      <c r="BD65" s="544"/>
      <c r="BF65" s="556"/>
      <c r="BG65" s="556"/>
      <c r="BH65" s="556"/>
      <c r="BI65" s="556"/>
      <c r="BJ65" s="556"/>
      <c r="BK65" s="556"/>
      <c r="BL65" s="556"/>
      <c r="BM65" s="556"/>
      <c r="BN65" s="556"/>
      <c r="BO65" s="556"/>
      <c r="BP65" s="556"/>
      <c r="BQ65" s="556"/>
      <c r="BR65" s="556"/>
      <c r="BS65" s="556"/>
      <c r="BT65" s="556"/>
      <c r="BU65" s="571" cm="1">
        <f t="array" ref="BU65">IFERROR(_xlfn.LET(_xlpm.i,ROWS($BU$2:BU65),_xlpm.cur,INDEX(tblLaminateStructures[Laminate],_xlpm.i),_xlpm.prev,IF(_xlpm.i=1,"",INDEX(tblLaminateStructures[Laminate],_xlpm.i-1)),IF(_xlpm.cur&lt;&gt;_xlpm.prev,_xlpm.cur,"")),"")</f>
        <v>918</v>
      </c>
      <c r="BV65" s="572" cm="1">
        <f t="array" ref="BV65">IFERROR(_xlfn.LET(_xlpm.i,ROWS($BV$2:BV65),_xlpm.cur,INDEX(tblLaminateStructures[Total Thickness (µ)],_xlpm.i),_xlpm.prev,IF(_xlpm.i=1,"",INDEX(tblLaminateStructures[Total Thickness (µ)],_xlpm.i-1)),IF(OR(_xlpm.cur&lt;&gt;_xlpm.prev,BU65&lt;&gt;""),_xlpm.cur,"")),"")</f>
        <v>51</v>
      </c>
      <c r="BW65" s="573" t="str" cm="1">
        <f t="array" ref="BW65">IFERROR(INDEX(tblLaminateStructures[Material / Layer],ROWS($BW$2:BW65)),"")</f>
        <v>NK</v>
      </c>
      <c r="BX65" s="572" cm="1">
        <f t="array" ref="BX65">IFERROR(INDEX(tblLaminateStructures[Layer Thickness (µ)],ROWS($BX$2:BX65)),"")</f>
        <v>23</v>
      </c>
      <c r="BY65" s="572" cm="1">
        <f t="array" ref="BY65">IFERROR(INDEX(tblLaminateStructures[Structure Check],ROWS($BY$2:BY65)),"")</f>
        <v>51</v>
      </c>
      <c r="BZ65" s="573" cm="1">
        <f t="array" ref="BZ65">IFERROR(INDEX(tblLaminateStructures[Laminate],ROWS($BZ$2:BZ65)),"")</f>
        <v>918</v>
      </c>
      <c r="CA65" s="573"/>
      <c r="CB65" s="573"/>
      <c r="CC65" s="572" cm="1">
        <f t="array" ref="CC65">IFERROR(INDEX(tblLaminateStructures[Total Thickness (µ)],ROWS($CC$2:CC65)),"")</f>
        <v>51</v>
      </c>
      <c r="CD65" s="572"/>
      <c r="CE65" s="572"/>
      <c r="CF65" s="572"/>
      <c r="CG65" s="573"/>
      <c r="CH65" s="574"/>
    </row>
    <row r="66" spans="48:86">
      <c r="AV66" s="544">
        <v>918</v>
      </c>
      <c r="AW66" s="545">
        <v>51</v>
      </c>
      <c r="AX66" s="544" t="s">
        <v>180</v>
      </c>
      <c r="AY66" s="545">
        <v>25</v>
      </c>
      <c r="AZ6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6" s="544"/>
      <c r="BB66" s="544"/>
      <c r="BC66" s="544" t="s">
        <v>1060</v>
      </c>
      <c r="BD66" s="544"/>
      <c r="BF66" s="556"/>
      <c r="BG66" s="556"/>
      <c r="BH66" s="556"/>
      <c r="BI66" s="556"/>
      <c r="BJ66" s="556"/>
      <c r="BK66" s="556"/>
      <c r="BL66" s="556"/>
      <c r="BM66" s="556"/>
      <c r="BN66" s="556"/>
      <c r="BO66" s="556"/>
      <c r="BP66" s="556"/>
      <c r="BQ66" s="556"/>
      <c r="BR66" s="556"/>
      <c r="BS66" s="556"/>
      <c r="BT66" s="556"/>
      <c r="BU66" s="571" t="str" cm="1">
        <f t="array" ref="BU66">IFERROR(_xlfn.LET(_xlpm.i,ROWS($BU$2:BU66),_xlpm.cur,INDEX(tblLaminateStructures[Laminate],_xlpm.i),_xlpm.prev,IF(_xlpm.i=1,"",INDEX(tblLaminateStructures[Laminate],_xlpm.i-1)),IF(_xlpm.cur&lt;&gt;_xlpm.prev,_xlpm.cur,"")),"")</f>
        <v/>
      </c>
      <c r="BV66" s="572" t="str" cm="1">
        <f t="array" ref="BV66">IFERROR(_xlfn.LET(_xlpm.i,ROWS($BV$2:BV66),_xlpm.cur,INDEX(tblLaminateStructures[Total Thickness (µ)],_xlpm.i),_xlpm.prev,IF(_xlpm.i=1,"",INDEX(tblLaminateStructures[Total Thickness (µ)],_xlpm.i-1)),IF(OR(_xlpm.cur&lt;&gt;_xlpm.prev,BU66&lt;&gt;""),_xlpm.cur,"")),"")</f>
        <v/>
      </c>
      <c r="BW66" s="573" t="str" cm="1">
        <f t="array" ref="BW66">IFERROR(INDEX(tblLaminateStructures[Material / Layer],ROWS($BW$2:BW66)),"")</f>
        <v>TIPA 312 MET</v>
      </c>
      <c r="BX66" s="572" cm="1">
        <f t="array" ref="BX66">IFERROR(INDEX(tblLaminateStructures[Layer Thickness (µ)],ROWS($BX$2:BX66)),"")</f>
        <v>25</v>
      </c>
      <c r="BY66" s="572" cm="1">
        <f t="array" ref="BY66">IFERROR(INDEX(tblLaminateStructures[Structure Check],ROWS($BY$2:BY66)),"")</f>
        <v>51</v>
      </c>
      <c r="BZ66" s="573" cm="1">
        <f t="array" ref="BZ66">IFERROR(INDEX(tblLaminateStructures[Laminate],ROWS($BZ$2:BZ66)),"")</f>
        <v>918</v>
      </c>
      <c r="CA66" s="573"/>
      <c r="CB66" s="573"/>
      <c r="CC66" s="572" cm="1">
        <f t="array" ref="CC66">IFERROR(INDEX(tblLaminateStructures[Total Thickness (µ)],ROWS($CC$2:CC66)),"")</f>
        <v>51</v>
      </c>
      <c r="CD66" s="572"/>
      <c r="CE66" s="572"/>
      <c r="CF66" s="572"/>
      <c r="CG66" s="573"/>
      <c r="CH66" s="574"/>
    </row>
    <row r="67" spans="48:86">
      <c r="AV67" s="544">
        <v>918</v>
      </c>
      <c r="AW67" s="545">
        <v>51</v>
      </c>
      <c r="AX67" s="544" t="s">
        <v>173</v>
      </c>
      <c r="AY67" s="545">
        <v>2.91</v>
      </c>
      <c r="AZ6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7" s="544"/>
      <c r="BB67" s="544"/>
      <c r="BC67" s="544" t="s">
        <v>1060</v>
      </c>
      <c r="BD67" s="544"/>
      <c r="BF67" s="556"/>
      <c r="BG67" s="556"/>
      <c r="BH67" s="556"/>
      <c r="BI67" s="556"/>
      <c r="BJ67" s="556"/>
      <c r="BK67" s="556"/>
      <c r="BL67" s="556"/>
      <c r="BM67" s="556"/>
      <c r="BN67" s="556"/>
      <c r="BO67" s="556"/>
      <c r="BP67" s="556"/>
      <c r="BQ67" s="556"/>
      <c r="BR67" s="556"/>
      <c r="BS67" s="556"/>
      <c r="BT67" s="556"/>
      <c r="BU67" s="571" t="str" cm="1">
        <f t="array" ref="BU67">IFERROR(_xlfn.LET(_xlpm.i,ROWS($BU$2:BU67),_xlpm.cur,INDEX(tblLaminateStructures[Laminate],_xlpm.i),_xlpm.prev,IF(_xlpm.i=1,"",INDEX(tblLaminateStructures[Laminate],_xlpm.i-1)),IF(_xlpm.cur&lt;&gt;_xlpm.prev,_xlpm.cur,"")),"")</f>
        <v/>
      </c>
      <c r="BV67" s="572" t="str" cm="1">
        <f t="array" ref="BV67">IFERROR(_xlfn.LET(_xlpm.i,ROWS($BV$2:BV67),_xlpm.cur,INDEX(tblLaminateStructures[Total Thickness (µ)],_xlpm.i),_xlpm.prev,IF(_xlpm.i=1,"",INDEX(tblLaminateStructures[Total Thickness (µ)],_xlpm.i-1)),IF(OR(_xlpm.cur&lt;&gt;_xlpm.prev,BU67&lt;&gt;""),_xlpm.cur,"")),"")</f>
        <v/>
      </c>
      <c r="BW67" s="573" t="str" cm="1">
        <f t="array" ref="BW67">IFERROR(INDEX(tblLaminateStructures[Material / Layer],ROWS($BW$2:BW67)),"")</f>
        <v>RM G Epotal Eco 3702</v>
      </c>
      <c r="BX67" s="572" cm="1">
        <f t="array" ref="BX67">IFERROR(INDEX(tblLaminateStructures[Layer Thickness (µ)],ROWS($BX$2:BX67)),"")</f>
        <v>2.91</v>
      </c>
      <c r="BY67" s="572" cm="1">
        <f t="array" ref="BY67">IFERROR(INDEX(tblLaminateStructures[Structure Check],ROWS($BY$2:BY67)),"")</f>
        <v>51</v>
      </c>
      <c r="BZ67" s="573" cm="1">
        <f t="array" ref="BZ67">IFERROR(INDEX(tblLaminateStructures[Laminate],ROWS($BZ$2:BZ67)),"")</f>
        <v>918</v>
      </c>
      <c r="CA67" s="573"/>
      <c r="CB67" s="573"/>
      <c r="CC67" s="572" cm="1">
        <f t="array" ref="CC67">IFERROR(INDEX(tblLaminateStructures[Total Thickness (µ)],ROWS($CC$2:CC67)),"")</f>
        <v>51</v>
      </c>
      <c r="CD67" s="572"/>
      <c r="CE67" s="572"/>
      <c r="CF67" s="572"/>
      <c r="CG67" s="573"/>
      <c r="CH67" s="574"/>
    </row>
    <row r="68" spans="48:86">
      <c r="AV68" s="544">
        <v>918</v>
      </c>
      <c r="AW68" s="545">
        <v>51</v>
      </c>
      <c r="AX68" s="544" t="s">
        <v>174</v>
      </c>
      <c r="AY68" s="545">
        <v>0.09</v>
      </c>
      <c r="AZ6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8" s="544"/>
      <c r="BB68" s="544"/>
      <c r="BC68" s="544" t="s">
        <v>1060</v>
      </c>
      <c r="BD68" s="544"/>
      <c r="BF68" s="556"/>
      <c r="BG68" s="556"/>
      <c r="BH68" s="556"/>
      <c r="BI68" s="556"/>
      <c r="BJ68" s="556"/>
      <c r="BK68" s="556"/>
      <c r="BL68" s="556"/>
      <c r="BM68" s="556"/>
      <c r="BN68" s="556"/>
      <c r="BO68" s="556"/>
      <c r="BP68" s="556"/>
      <c r="BQ68" s="556"/>
      <c r="BR68" s="556"/>
      <c r="BS68" s="556"/>
      <c r="BT68" s="556"/>
      <c r="BU68" s="571" t="str" cm="1">
        <f t="array" ref="BU68">IFERROR(_xlfn.LET(_xlpm.i,ROWS($BU$2:BU68),_xlpm.cur,INDEX(tblLaminateStructures[Laminate],_xlpm.i),_xlpm.prev,IF(_xlpm.i=1,"",INDEX(tblLaminateStructures[Laminate],_xlpm.i-1)),IF(_xlpm.cur&lt;&gt;_xlpm.prev,_xlpm.cur,"")),"")</f>
        <v/>
      </c>
      <c r="BV68" s="572" t="str" cm="1">
        <f t="array" ref="BV68">IFERROR(_xlfn.LET(_xlpm.i,ROWS($BV$2:BV68),_xlpm.cur,INDEX(tblLaminateStructures[Total Thickness (µ)],_xlpm.i),_xlpm.prev,IF(_xlpm.i=1,"",INDEX(tblLaminateStructures[Total Thickness (µ)],_xlpm.i-1)),IF(OR(_xlpm.cur&lt;&gt;_xlpm.prev,BU68&lt;&gt;""),_xlpm.cur,"")),"")</f>
        <v/>
      </c>
      <c r="BW68" s="573" t="str" cm="1">
        <f t="array" ref="BW68">IFERROR(INDEX(tblLaminateStructures[Material / Layer],ROWS($BW$2:BW68)),"")</f>
        <v>RM G Basonat HW 2270</v>
      </c>
      <c r="BX68" s="572" cm="1">
        <f t="array" ref="BX68">IFERROR(INDEX(tblLaminateStructures[Layer Thickness (µ)],ROWS($BX$2:BX68)),"")</f>
        <v>0.09</v>
      </c>
      <c r="BY68" s="572" cm="1">
        <f t="array" ref="BY68">IFERROR(INDEX(tblLaminateStructures[Structure Check],ROWS($BY$2:BY68)),"")</f>
        <v>51</v>
      </c>
      <c r="BZ68" s="573" cm="1">
        <f t="array" ref="BZ68">IFERROR(INDEX(tblLaminateStructures[Laminate],ROWS($BZ$2:BZ68)),"")</f>
        <v>918</v>
      </c>
      <c r="CA68" s="573"/>
      <c r="CB68" s="573"/>
      <c r="CC68" s="572" cm="1">
        <f t="array" ref="CC68">IFERROR(INDEX(tblLaminateStructures[Total Thickness (µ)],ROWS($CC$2:CC68)),"")</f>
        <v>51</v>
      </c>
      <c r="CD68" s="572"/>
      <c r="CE68" s="572"/>
      <c r="CF68" s="572"/>
      <c r="CG68" s="573"/>
      <c r="CH68" s="574"/>
    </row>
    <row r="69" spans="48:86">
      <c r="AV69" s="544">
        <v>928</v>
      </c>
      <c r="AW69" s="545">
        <v>79</v>
      </c>
      <c r="AX69" s="544" t="s">
        <v>168</v>
      </c>
      <c r="AY69" s="545">
        <v>23</v>
      </c>
      <c r="AZ6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69" s="544"/>
      <c r="BB69" s="544"/>
      <c r="BC69" s="544" t="s">
        <v>1060</v>
      </c>
      <c r="BD69" s="544"/>
      <c r="BF69" s="556"/>
      <c r="BG69" s="556"/>
      <c r="BH69" s="556"/>
      <c r="BI69" s="556"/>
      <c r="BJ69" s="556"/>
      <c r="BK69" s="556"/>
      <c r="BL69" s="556"/>
      <c r="BM69" s="556"/>
      <c r="BN69" s="556"/>
      <c r="BO69" s="556"/>
      <c r="BP69" s="556"/>
      <c r="BQ69" s="556"/>
      <c r="BR69" s="556"/>
      <c r="BS69" s="556"/>
      <c r="BT69" s="556"/>
      <c r="BU69" s="571" cm="1">
        <f t="array" ref="BU69">IFERROR(_xlfn.LET(_xlpm.i,ROWS($BU$2:BU69),_xlpm.cur,INDEX(tblLaminateStructures[Laminate],_xlpm.i),_xlpm.prev,IF(_xlpm.i=1,"",INDEX(tblLaminateStructures[Laminate],_xlpm.i-1)),IF(_xlpm.cur&lt;&gt;_xlpm.prev,_xlpm.cur,"")),"")</f>
        <v>928</v>
      </c>
      <c r="BV69" s="572" cm="1">
        <f t="array" ref="BV69">IFERROR(_xlfn.LET(_xlpm.i,ROWS($BV$2:BV69),_xlpm.cur,INDEX(tblLaminateStructures[Total Thickness (µ)],_xlpm.i),_xlpm.prev,IF(_xlpm.i=1,"",INDEX(tblLaminateStructures[Total Thickness (µ)],_xlpm.i-1)),IF(OR(_xlpm.cur&lt;&gt;_xlpm.prev,BU69&lt;&gt;""),_xlpm.cur,"")),"")</f>
        <v>79</v>
      </c>
      <c r="BW69" s="573" t="str" cm="1">
        <f t="array" ref="BW69">IFERROR(INDEX(tblLaminateStructures[Material / Layer],ROWS($BW$2:BW69)),"")</f>
        <v>NK</v>
      </c>
      <c r="BX69" s="572" cm="1">
        <f t="array" ref="BX69">IFERROR(INDEX(tblLaminateStructures[Layer Thickness (µ)],ROWS($BX$2:BX69)),"")</f>
        <v>23</v>
      </c>
      <c r="BY69" s="572" cm="1">
        <f t="array" ref="BY69">IFERROR(INDEX(tblLaminateStructures[Structure Check],ROWS($BY$2:BY69)),"")</f>
        <v>54</v>
      </c>
      <c r="BZ69" s="573" cm="1">
        <f t="array" ref="BZ69">IFERROR(INDEX(tblLaminateStructures[Laminate],ROWS($BZ$2:BZ69)),"")</f>
        <v>928</v>
      </c>
      <c r="CA69" s="573"/>
      <c r="CB69" s="573"/>
      <c r="CC69" s="572" cm="1">
        <f t="array" ref="CC69">IFERROR(INDEX(tblLaminateStructures[Total Thickness (µ)],ROWS($CC$2:CC69)),"")</f>
        <v>79</v>
      </c>
      <c r="CD69" s="572"/>
      <c r="CE69" s="572"/>
      <c r="CF69" s="572"/>
      <c r="CG69" s="573"/>
      <c r="CH69" s="574"/>
    </row>
    <row r="70" spans="48:86">
      <c r="AV70" s="544">
        <v>928</v>
      </c>
      <c r="AW70" s="545">
        <v>79</v>
      </c>
      <c r="AX70" s="544" t="s">
        <v>180</v>
      </c>
      <c r="AY70" s="545">
        <v>25</v>
      </c>
      <c r="AZ7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0" s="544"/>
      <c r="BB70" s="544"/>
      <c r="BC70" s="544" t="s">
        <v>1060</v>
      </c>
      <c r="BD70" s="544"/>
      <c r="BF70" s="556"/>
      <c r="BG70" s="556"/>
      <c r="BH70" s="556"/>
      <c r="BI70" s="556"/>
      <c r="BJ70" s="556"/>
      <c r="BK70" s="556"/>
      <c r="BL70" s="556"/>
      <c r="BM70" s="556"/>
      <c r="BN70" s="556"/>
      <c r="BO70" s="556"/>
      <c r="BP70" s="556"/>
      <c r="BQ70" s="556"/>
      <c r="BR70" s="556"/>
      <c r="BS70" s="556"/>
      <c r="BT70" s="556"/>
      <c r="BU70" s="571" t="str" cm="1">
        <f t="array" ref="BU70">IFERROR(_xlfn.LET(_xlpm.i,ROWS($BU$2:BU70),_xlpm.cur,INDEX(tblLaminateStructures[Laminate],_xlpm.i),_xlpm.prev,IF(_xlpm.i=1,"",INDEX(tblLaminateStructures[Laminate],_xlpm.i-1)),IF(_xlpm.cur&lt;&gt;_xlpm.prev,_xlpm.cur,"")),"")</f>
        <v/>
      </c>
      <c r="BV70" s="572" t="str" cm="1">
        <f t="array" ref="BV70">IFERROR(_xlfn.LET(_xlpm.i,ROWS($BV$2:BV70),_xlpm.cur,INDEX(tblLaminateStructures[Total Thickness (µ)],_xlpm.i),_xlpm.prev,IF(_xlpm.i=1,"",INDEX(tblLaminateStructures[Total Thickness (µ)],_xlpm.i-1)),IF(OR(_xlpm.cur&lt;&gt;_xlpm.prev,BU70&lt;&gt;""),_xlpm.cur,"")),"")</f>
        <v/>
      </c>
      <c r="BW70" s="573" t="str" cm="1">
        <f t="array" ref="BW70">IFERROR(INDEX(tblLaminateStructures[Material / Layer],ROWS($BW$2:BW70)),"")</f>
        <v>TIPA 312 MET</v>
      </c>
      <c r="BX70" s="572" cm="1">
        <f t="array" ref="BX70">IFERROR(INDEX(tblLaminateStructures[Layer Thickness (µ)],ROWS($BX$2:BX70)),"")</f>
        <v>25</v>
      </c>
      <c r="BY70" s="572" cm="1">
        <f t="array" ref="BY70">IFERROR(INDEX(tblLaminateStructures[Structure Check],ROWS($BY$2:BY70)),"")</f>
        <v>54</v>
      </c>
      <c r="BZ70" s="573" cm="1">
        <f t="array" ref="BZ70">IFERROR(INDEX(tblLaminateStructures[Laminate],ROWS($BZ$2:BZ70)),"")</f>
        <v>928</v>
      </c>
      <c r="CA70" s="573"/>
      <c r="CB70" s="573"/>
      <c r="CC70" s="572" cm="1">
        <f t="array" ref="CC70">IFERROR(INDEX(tblLaminateStructures[Total Thickness (µ)],ROWS($CC$2:CC70)),"")</f>
        <v>79</v>
      </c>
      <c r="CD70" s="572"/>
      <c r="CE70" s="572"/>
      <c r="CF70" s="572"/>
      <c r="CG70" s="573"/>
      <c r="CH70" s="574"/>
    </row>
    <row r="71" spans="48:86">
      <c r="AV71" s="544">
        <v>928</v>
      </c>
      <c r="AW71" s="545">
        <v>79</v>
      </c>
      <c r="AX71" s="544" t="s">
        <v>173</v>
      </c>
      <c r="AY71" s="545">
        <v>5.82</v>
      </c>
      <c r="AZ7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1" s="544"/>
      <c r="BB71" s="544"/>
      <c r="BC71" s="544" t="s">
        <v>1060</v>
      </c>
      <c r="BD71" s="544"/>
      <c r="BF71" s="556"/>
      <c r="BG71" s="556"/>
      <c r="BH71" s="556"/>
      <c r="BI71" s="556"/>
      <c r="BJ71" s="556"/>
      <c r="BK71" s="556"/>
      <c r="BL71" s="556"/>
      <c r="BM71" s="556"/>
      <c r="BN71" s="556"/>
      <c r="BO71" s="556"/>
      <c r="BP71" s="556"/>
      <c r="BQ71" s="556"/>
      <c r="BR71" s="556"/>
      <c r="BS71" s="556"/>
      <c r="BT71" s="556"/>
      <c r="BU71" s="571" t="str" cm="1">
        <f t="array" ref="BU71">IFERROR(_xlfn.LET(_xlpm.i,ROWS($BU$2:BU71),_xlpm.cur,INDEX(tblLaminateStructures[Laminate],_xlpm.i),_xlpm.prev,IF(_xlpm.i=1,"",INDEX(tblLaminateStructures[Laminate],_xlpm.i-1)),IF(_xlpm.cur&lt;&gt;_xlpm.prev,_xlpm.cur,"")),"")</f>
        <v/>
      </c>
      <c r="BV71" s="572" t="str" cm="1">
        <f t="array" ref="BV71">IFERROR(_xlfn.LET(_xlpm.i,ROWS($BV$2:BV71),_xlpm.cur,INDEX(tblLaminateStructures[Total Thickness (µ)],_xlpm.i),_xlpm.prev,IF(_xlpm.i=1,"",INDEX(tblLaminateStructures[Total Thickness (µ)],_xlpm.i-1)),IF(OR(_xlpm.cur&lt;&gt;_xlpm.prev,BU71&lt;&gt;""),_xlpm.cur,"")),"")</f>
        <v/>
      </c>
      <c r="BW71" s="573" t="str" cm="1">
        <f t="array" ref="BW71">IFERROR(INDEX(tblLaminateStructures[Material / Layer],ROWS($BW$2:BW71)),"")</f>
        <v>RM G Epotal Eco 3702</v>
      </c>
      <c r="BX71" s="572" cm="1">
        <f t="array" ref="BX71">IFERROR(INDEX(tblLaminateStructures[Layer Thickness (µ)],ROWS($BX$2:BX71)),"")</f>
        <v>5.82</v>
      </c>
      <c r="BY71" s="572" cm="1">
        <f t="array" ref="BY71">IFERROR(INDEX(tblLaminateStructures[Structure Check],ROWS($BY$2:BY71)),"")</f>
        <v>54</v>
      </c>
      <c r="BZ71" s="573" cm="1">
        <f t="array" ref="BZ71">IFERROR(INDEX(tblLaminateStructures[Laminate],ROWS($BZ$2:BZ71)),"")</f>
        <v>928</v>
      </c>
      <c r="CA71" s="573"/>
      <c r="CB71" s="573"/>
      <c r="CC71" s="572" cm="1">
        <f t="array" ref="CC71">IFERROR(INDEX(tblLaminateStructures[Total Thickness (µ)],ROWS($CC$2:CC71)),"")</f>
        <v>79</v>
      </c>
      <c r="CD71" s="572"/>
      <c r="CE71" s="572"/>
      <c r="CF71" s="572"/>
      <c r="CG71" s="573"/>
      <c r="CH71" s="574"/>
    </row>
    <row r="72" spans="48:86">
      <c r="AV72" s="544">
        <v>928</v>
      </c>
      <c r="AW72" s="545">
        <v>79</v>
      </c>
      <c r="AX72" s="544" t="s">
        <v>174</v>
      </c>
      <c r="AY72" s="545">
        <v>0.18</v>
      </c>
      <c r="AZ7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2" s="544"/>
      <c r="BB72" s="544"/>
      <c r="BC72" s="544" t="s">
        <v>1060</v>
      </c>
      <c r="BD72" s="544"/>
      <c r="BF72" s="556"/>
      <c r="BG72" s="556"/>
      <c r="BH72" s="556"/>
      <c r="BI72" s="556"/>
      <c r="BJ72" s="556"/>
      <c r="BK72" s="556"/>
      <c r="BL72" s="556"/>
      <c r="BM72" s="556"/>
      <c r="BN72" s="556"/>
      <c r="BO72" s="556"/>
      <c r="BP72" s="556"/>
      <c r="BQ72" s="556"/>
      <c r="BR72" s="556"/>
      <c r="BS72" s="556"/>
      <c r="BT72" s="556"/>
      <c r="BU72" s="571" t="str" cm="1">
        <f t="array" ref="BU72">IFERROR(_xlfn.LET(_xlpm.i,ROWS($BU$2:BU72),_xlpm.cur,INDEX(tblLaminateStructures[Laminate],_xlpm.i),_xlpm.prev,IF(_xlpm.i=1,"",INDEX(tblLaminateStructures[Laminate],_xlpm.i-1)),IF(_xlpm.cur&lt;&gt;_xlpm.prev,_xlpm.cur,"")),"")</f>
        <v/>
      </c>
      <c r="BV72" s="572" t="str" cm="1">
        <f t="array" ref="BV72">IFERROR(_xlfn.LET(_xlpm.i,ROWS($BV$2:BV72),_xlpm.cur,INDEX(tblLaminateStructures[Total Thickness (µ)],_xlpm.i),_xlpm.prev,IF(_xlpm.i=1,"",INDEX(tblLaminateStructures[Total Thickness (µ)],_xlpm.i-1)),IF(OR(_xlpm.cur&lt;&gt;_xlpm.prev,BU72&lt;&gt;""),_xlpm.cur,"")),"")</f>
        <v/>
      </c>
      <c r="BW72" s="573" t="str" cm="1">
        <f t="array" ref="BW72">IFERROR(INDEX(tblLaminateStructures[Material / Layer],ROWS($BW$2:BW72)),"")</f>
        <v>RM G Basonat HW 2270</v>
      </c>
      <c r="BX72" s="572" cm="1">
        <f t="array" ref="BX72">IFERROR(INDEX(tblLaminateStructures[Layer Thickness (µ)],ROWS($BX$2:BX72)),"")</f>
        <v>0.18</v>
      </c>
      <c r="BY72" s="572" cm="1">
        <f t="array" ref="BY72">IFERROR(INDEX(tblLaminateStructures[Structure Check],ROWS($BY$2:BY72)),"")</f>
        <v>54</v>
      </c>
      <c r="BZ72" s="573" cm="1">
        <f t="array" ref="BZ72">IFERROR(INDEX(tblLaminateStructures[Laminate],ROWS($BZ$2:BZ72)),"")</f>
        <v>928</v>
      </c>
      <c r="CA72" s="573"/>
      <c r="CB72" s="573"/>
      <c r="CC72" s="572" cm="1">
        <f t="array" ref="CC72">IFERROR(INDEX(tblLaminateStructures[Total Thickness (µ)],ROWS($CC$2:CC72)),"")</f>
        <v>79</v>
      </c>
      <c r="CD72" s="572"/>
      <c r="CE72" s="572"/>
      <c r="CF72" s="572"/>
      <c r="CG72" s="573"/>
      <c r="CH72" s="574"/>
    </row>
    <row r="73" spans="48:86">
      <c r="AV73" s="544">
        <v>819</v>
      </c>
      <c r="AW73" s="545">
        <v>121</v>
      </c>
      <c r="AX73" s="544" t="s">
        <v>168</v>
      </c>
      <c r="AY73" s="545">
        <v>23</v>
      </c>
      <c r="AZ7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3" s="544"/>
      <c r="BB73" s="544"/>
      <c r="BC73" s="544" t="s">
        <v>1060</v>
      </c>
      <c r="BD73" s="544"/>
      <c r="BF73" s="556"/>
      <c r="BG73" s="556"/>
      <c r="BH73" s="556"/>
      <c r="BI73" s="556"/>
      <c r="BJ73" s="556"/>
      <c r="BK73" s="556"/>
      <c r="BL73" s="556"/>
      <c r="BM73" s="556"/>
      <c r="BN73" s="556"/>
      <c r="BO73" s="556"/>
      <c r="BP73" s="556"/>
      <c r="BQ73" s="556"/>
      <c r="BR73" s="556"/>
      <c r="BS73" s="556"/>
      <c r="BT73" s="556"/>
      <c r="BU73" s="571" cm="1">
        <f t="array" ref="BU73">IFERROR(_xlfn.LET(_xlpm.i,ROWS($BU$2:BU73),_xlpm.cur,INDEX(tblLaminateStructures[Laminate],_xlpm.i),_xlpm.prev,IF(_xlpm.i=1,"",INDEX(tblLaminateStructures[Laminate],_xlpm.i-1)),IF(_xlpm.cur&lt;&gt;_xlpm.prev,_xlpm.cur,"")),"")</f>
        <v>819</v>
      </c>
      <c r="BV73" s="572" cm="1">
        <f t="array" ref="BV73">IFERROR(_xlfn.LET(_xlpm.i,ROWS($BV$2:BV73),_xlpm.cur,INDEX(tblLaminateStructures[Total Thickness (µ)],_xlpm.i),_xlpm.prev,IF(_xlpm.i=1,"",INDEX(tblLaminateStructures[Total Thickness (µ)],_xlpm.i-1)),IF(OR(_xlpm.cur&lt;&gt;_xlpm.prev,BU73&lt;&gt;""),_xlpm.cur,"")),"")</f>
        <v>121</v>
      </c>
      <c r="BW73" s="573" t="str" cm="1">
        <f t="array" ref="BW73">IFERROR(INDEX(tblLaminateStructures[Material / Layer],ROWS($BW$2:BW73)),"")</f>
        <v>NK</v>
      </c>
      <c r="BX73" s="572" cm="1">
        <f t="array" ref="BX73">IFERROR(INDEX(tblLaminateStructures[Layer Thickness (µ)],ROWS($BX$2:BX73)),"")</f>
        <v>23</v>
      </c>
      <c r="BY73" s="572" cm="1">
        <f t="array" ref="BY73">IFERROR(INDEX(tblLaminateStructures[Structure Check],ROWS($BY$2:BY73)),"")</f>
        <v>121</v>
      </c>
      <c r="BZ73" s="573" cm="1">
        <f t="array" ref="BZ73">IFERROR(INDEX(tblLaminateStructures[Laminate],ROWS($BZ$2:BZ73)),"")</f>
        <v>819</v>
      </c>
      <c r="CA73" s="573"/>
      <c r="CB73" s="573"/>
      <c r="CC73" s="572" cm="1">
        <f t="array" ref="CC73">IFERROR(INDEX(tblLaminateStructures[Total Thickness (µ)],ROWS($CC$2:CC73)),"")</f>
        <v>121</v>
      </c>
      <c r="CD73" s="572"/>
      <c r="CE73" s="572"/>
      <c r="CF73" s="572"/>
      <c r="CG73" s="573"/>
      <c r="CH73" s="574"/>
    </row>
    <row r="74" spans="48:86">
      <c r="AV74" s="544">
        <v>819</v>
      </c>
      <c r="AW74" s="545">
        <v>121</v>
      </c>
      <c r="AX74" s="544" t="s">
        <v>0</v>
      </c>
      <c r="AY74" s="545">
        <v>25</v>
      </c>
      <c r="AZ7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4" s="544"/>
      <c r="BB74" s="544"/>
      <c r="BC74" s="544" t="s">
        <v>1060</v>
      </c>
      <c r="BD74" s="544"/>
      <c r="BF74" s="556"/>
      <c r="BG74" s="556"/>
      <c r="BH74" s="556"/>
      <c r="BI74" s="556"/>
      <c r="BJ74" s="556"/>
      <c r="BK74" s="556"/>
      <c r="BL74" s="556"/>
      <c r="BM74" s="556"/>
      <c r="BN74" s="556"/>
      <c r="BO74" s="556"/>
      <c r="BP74" s="556"/>
      <c r="BQ74" s="556"/>
      <c r="BR74" s="556"/>
      <c r="BS74" s="556"/>
      <c r="BT74" s="556"/>
      <c r="BU74" s="571" t="str" cm="1">
        <f t="array" ref="BU74">IFERROR(_xlfn.LET(_xlpm.i,ROWS($BU$2:BU74),_xlpm.cur,INDEX(tblLaminateStructures[Laminate],_xlpm.i),_xlpm.prev,IF(_xlpm.i=1,"",INDEX(tblLaminateStructures[Laminate],_xlpm.i-1)),IF(_xlpm.cur&lt;&gt;_xlpm.prev,_xlpm.cur,"")),"")</f>
        <v/>
      </c>
      <c r="BV74" s="572" t="str" cm="1">
        <f t="array" ref="BV74">IFERROR(_xlfn.LET(_xlpm.i,ROWS($BV$2:BV74),_xlpm.cur,INDEX(tblLaminateStructures[Total Thickness (µ)],_xlpm.i),_xlpm.prev,IF(_xlpm.i=1,"",INDEX(tblLaminateStructures[Total Thickness (µ)],_xlpm.i-1)),IF(OR(_xlpm.cur&lt;&gt;_xlpm.prev,BU74&lt;&gt;""),_xlpm.cur,"")),"")</f>
        <v/>
      </c>
      <c r="BW74" s="573" t="str" cm="1">
        <f t="array" ref="BW74">IFERROR(INDEX(tblLaminateStructures[Material / Layer],ROWS($BW$2:BW74)),"")</f>
        <v>TIPA 302FG</v>
      </c>
      <c r="BX74" s="572" cm="1">
        <f t="array" ref="BX74">IFERROR(INDEX(tblLaminateStructures[Layer Thickness (µ)],ROWS($BX$2:BX74)),"")</f>
        <v>25</v>
      </c>
      <c r="BY74" s="572" cm="1">
        <f t="array" ref="BY74">IFERROR(INDEX(tblLaminateStructures[Structure Check],ROWS($BY$2:BY74)),"")</f>
        <v>121</v>
      </c>
      <c r="BZ74" s="573" cm="1">
        <f t="array" ref="BZ74">IFERROR(INDEX(tblLaminateStructures[Laminate],ROWS($BZ$2:BZ74)),"")</f>
        <v>819</v>
      </c>
      <c r="CA74" s="573"/>
      <c r="CB74" s="573"/>
      <c r="CC74" s="572" cm="1">
        <f t="array" ref="CC74">IFERROR(INDEX(tblLaminateStructures[Total Thickness (µ)],ROWS($CC$2:CC74)),"")</f>
        <v>121</v>
      </c>
      <c r="CD74" s="572"/>
      <c r="CE74" s="572"/>
      <c r="CF74" s="572"/>
      <c r="CG74" s="573"/>
      <c r="CH74" s="574"/>
    </row>
    <row r="75" spans="48:86">
      <c r="AV75" s="544">
        <v>819</v>
      </c>
      <c r="AW75" s="545">
        <v>121</v>
      </c>
      <c r="AX75" s="544" t="s">
        <v>181</v>
      </c>
      <c r="AY75" s="545">
        <v>67</v>
      </c>
      <c r="AZ7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5" s="544"/>
      <c r="BB75" s="544"/>
      <c r="BC75" s="544" t="s">
        <v>1060</v>
      </c>
      <c r="BD75" s="544"/>
      <c r="BF75" s="556"/>
      <c r="BG75" s="556"/>
      <c r="BH75" s="556"/>
      <c r="BI75" s="556"/>
      <c r="BJ75" s="556"/>
      <c r="BK75" s="556"/>
      <c r="BL75" s="556"/>
      <c r="BM75" s="556"/>
      <c r="BN75" s="556"/>
      <c r="BO75" s="556"/>
      <c r="BP75" s="556"/>
      <c r="BQ75" s="556"/>
      <c r="BR75" s="556"/>
      <c r="BS75" s="556"/>
      <c r="BT75" s="556"/>
      <c r="BU75" s="571" t="str" cm="1">
        <f t="array" ref="BU75">IFERROR(_xlfn.LET(_xlpm.i,ROWS($BU$2:BU75),_xlpm.cur,INDEX(tblLaminateStructures[Laminate],_xlpm.i),_xlpm.prev,IF(_xlpm.i=1,"",INDEX(tblLaminateStructures[Laminate],_xlpm.i-1)),IF(_xlpm.cur&lt;&gt;_xlpm.prev,_xlpm.cur,"")),"")</f>
        <v/>
      </c>
      <c r="BV75" s="572" t="str" cm="1">
        <f t="array" ref="BV75">IFERROR(_xlfn.LET(_xlpm.i,ROWS($BV$2:BV75),_xlpm.cur,INDEX(tblLaminateStructures[Total Thickness (µ)],_xlpm.i),_xlpm.prev,IF(_xlpm.i=1,"",INDEX(tblLaminateStructures[Total Thickness (µ)],_xlpm.i-1)),IF(OR(_xlpm.cur&lt;&gt;_xlpm.prev,BU75&lt;&gt;""),_xlpm.cur,"")),"")</f>
        <v/>
      </c>
      <c r="BW75" s="573" t="str" cm="1">
        <f t="array" ref="BW75">IFERROR(INDEX(tblLaminateStructures[Material / Layer],ROWS($BW$2:BW75)),"")</f>
        <v>Billerud Kraft White Paper</v>
      </c>
      <c r="BX75" s="572" cm="1">
        <f t="array" ref="BX75">IFERROR(INDEX(tblLaminateStructures[Layer Thickness (µ)],ROWS($BX$2:BX75)),"")</f>
        <v>67</v>
      </c>
      <c r="BY75" s="572" cm="1">
        <f t="array" ref="BY75">IFERROR(INDEX(tblLaminateStructures[Structure Check],ROWS($BY$2:BY75)),"")</f>
        <v>121</v>
      </c>
      <c r="BZ75" s="573" cm="1">
        <f t="array" ref="BZ75">IFERROR(INDEX(tblLaminateStructures[Laminate],ROWS($BZ$2:BZ75)),"")</f>
        <v>819</v>
      </c>
      <c r="CA75" s="573"/>
      <c r="CB75" s="573"/>
      <c r="CC75" s="572" cm="1">
        <f t="array" ref="CC75">IFERROR(INDEX(tblLaminateStructures[Total Thickness (µ)],ROWS($CC$2:CC75)),"")</f>
        <v>121</v>
      </c>
      <c r="CD75" s="572"/>
      <c r="CE75" s="572"/>
      <c r="CF75" s="572"/>
      <c r="CG75" s="573"/>
      <c r="CH75" s="574"/>
    </row>
    <row r="76" spans="48:86">
      <c r="AV76" s="544">
        <v>819</v>
      </c>
      <c r="AW76" s="545">
        <v>121</v>
      </c>
      <c r="AX76" s="544" t="s">
        <v>177</v>
      </c>
      <c r="AY76" s="545">
        <v>6</v>
      </c>
      <c r="AZ7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6" s="544"/>
      <c r="BB76" s="544"/>
      <c r="BC76" s="544" t="s">
        <v>1060</v>
      </c>
      <c r="BD76" s="544"/>
      <c r="BF76" s="556"/>
      <c r="BG76" s="556"/>
      <c r="BH76" s="556"/>
      <c r="BI76" s="556"/>
      <c r="BJ76" s="556"/>
      <c r="BK76" s="556"/>
      <c r="BL76" s="556"/>
      <c r="BM76" s="556"/>
      <c r="BN76" s="556"/>
      <c r="BO76" s="556"/>
      <c r="BP76" s="556"/>
      <c r="BQ76" s="556"/>
      <c r="BR76" s="556"/>
      <c r="BS76" s="556"/>
      <c r="BT76" s="556"/>
      <c r="BU76" s="571" t="str" cm="1">
        <f t="array" ref="BU76">IFERROR(_xlfn.LET(_xlpm.i,ROWS($BU$2:BU76),_xlpm.cur,INDEX(tblLaminateStructures[Laminate],_xlpm.i),_xlpm.prev,IF(_xlpm.i=1,"",INDEX(tblLaminateStructures[Laminate],_xlpm.i-1)),IF(_xlpm.cur&lt;&gt;_xlpm.prev,_xlpm.cur,"")),"")</f>
        <v/>
      </c>
      <c r="BV76" s="572" t="str" cm="1">
        <f t="array" ref="BV76">IFERROR(_xlfn.LET(_xlpm.i,ROWS($BV$2:BV76),_xlpm.cur,INDEX(tblLaminateStructures[Total Thickness (µ)],_xlpm.i),_xlpm.prev,IF(_xlpm.i=1,"",INDEX(tblLaminateStructures[Total Thickness (µ)],_xlpm.i-1)),IF(OR(_xlpm.cur&lt;&gt;_xlpm.prev,BU76&lt;&gt;""),_xlpm.cur,"")),"")</f>
        <v/>
      </c>
      <c r="BW76" s="573" t="str" cm="1">
        <f t="array" ref="BW76">IFERROR(INDEX(tblLaminateStructures[Material / Layer],ROWS($BW$2:BW76)),"")</f>
        <v>RM G Epotal ECO 3675</v>
      </c>
      <c r="BX76" s="572" cm="1">
        <f t="array" ref="BX76">IFERROR(INDEX(tblLaminateStructures[Layer Thickness (µ)],ROWS($BX$2:BX76)),"")</f>
        <v>6</v>
      </c>
      <c r="BY76" s="572" cm="1">
        <f t="array" ref="BY76">IFERROR(INDEX(tblLaminateStructures[Structure Check],ROWS($BY$2:BY76)),"")</f>
        <v>121</v>
      </c>
      <c r="BZ76" s="573" cm="1">
        <f t="array" ref="BZ76">IFERROR(INDEX(tblLaminateStructures[Laminate],ROWS($BZ$2:BZ76)),"")</f>
        <v>819</v>
      </c>
      <c r="CA76" s="573"/>
      <c r="CB76" s="573"/>
      <c r="CC76" s="572" cm="1">
        <f t="array" ref="CC76">IFERROR(INDEX(tblLaminateStructures[Total Thickness (µ)],ROWS($CC$2:CC76)),"")</f>
        <v>121</v>
      </c>
      <c r="CD76" s="572"/>
      <c r="CE76" s="572"/>
      <c r="CF76" s="572"/>
      <c r="CG76" s="573"/>
      <c r="CH76" s="574"/>
    </row>
    <row r="77" spans="48:86">
      <c r="AV77" s="544">
        <v>919</v>
      </c>
      <c r="AW77" s="545">
        <v>121</v>
      </c>
      <c r="AX77" s="544" t="s">
        <v>168</v>
      </c>
      <c r="AY77" s="545">
        <v>23</v>
      </c>
      <c r="AZ7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7" s="544"/>
      <c r="BB77" s="544"/>
      <c r="BC77" s="544" t="s">
        <v>1060</v>
      </c>
      <c r="BD77" s="544"/>
      <c r="BF77" s="556"/>
      <c r="BG77" s="556"/>
      <c r="BH77" s="556"/>
      <c r="BI77" s="556"/>
      <c r="BJ77" s="556"/>
      <c r="BK77" s="556"/>
      <c r="BL77" s="556"/>
      <c r="BM77" s="556"/>
      <c r="BN77" s="556"/>
      <c r="BO77" s="556"/>
      <c r="BP77" s="556"/>
      <c r="BQ77" s="556"/>
      <c r="BR77" s="556"/>
      <c r="BS77" s="556"/>
      <c r="BT77" s="556"/>
      <c r="BU77" s="571" cm="1">
        <f t="array" ref="BU77">IFERROR(_xlfn.LET(_xlpm.i,ROWS($BU$2:BU77),_xlpm.cur,INDEX(tblLaminateStructures[Laminate],_xlpm.i),_xlpm.prev,IF(_xlpm.i=1,"",INDEX(tblLaminateStructures[Laminate],_xlpm.i-1)),IF(_xlpm.cur&lt;&gt;_xlpm.prev,_xlpm.cur,"")),"")</f>
        <v>919</v>
      </c>
      <c r="BV77" s="572" cm="1">
        <f t="array" ref="BV77">IFERROR(_xlfn.LET(_xlpm.i,ROWS($BV$2:BV77),_xlpm.cur,INDEX(tblLaminateStructures[Total Thickness (µ)],_xlpm.i),_xlpm.prev,IF(_xlpm.i=1,"",INDEX(tblLaminateStructures[Total Thickness (µ)],_xlpm.i-1)),IF(OR(_xlpm.cur&lt;&gt;_xlpm.prev,BU77&lt;&gt;""),_xlpm.cur,"")),"")</f>
        <v>121</v>
      </c>
      <c r="BW77" s="573" t="str" cm="1">
        <f t="array" ref="BW77">IFERROR(INDEX(tblLaminateStructures[Material / Layer],ROWS($BW$2:BW77)),"")</f>
        <v>NK</v>
      </c>
      <c r="BX77" s="572" cm="1">
        <f t="array" ref="BX77">IFERROR(INDEX(tblLaminateStructures[Layer Thickness (µ)],ROWS($BX$2:BX77)),"")</f>
        <v>23</v>
      </c>
      <c r="BY77" s="572" cm="1">
        <f t="array" ref="BY77">IFERROR(INDEX(tblLaminateStructures[Structure Check],ROWS($BY$2:BY77)),"")</f>
        <v>121</v>
      </c>
      <c r="BZ77" s="573" cm="1">
        <f t="array" ref="BZ77">IFERROR(INDEX(tblLaminateStructures[Laminate],ROWS($BZ$2:BZ77)),"")</f>
        <v>919</v>
      </c>
      <c r="CA77" s="573"/>
      <c r="CB77" s="573"/>
      <c r="CC77" s="572" cm="1">
        <f t="array" ref="CC77">IFERROR(INDEX(tblLaminateStructures[Total Thickness (µ)],ROWS($CC$2:CC77)),"")</f>
        <v>121</v>
      </c>
      <c r="CD77" s="572"/>
      <c r="CE77" s="572"/>
      <c r="CF77" s="572"/>
      <c r="CG77" s="573"/>
      <c r="CH77" s="574"/>
    </row>
    <row r="78" spans="48:86">
      <c r="AV78" s="544">
        <v>919</v>
      </c>
      <c r="AW78" s="545">
        <v>121</v>
      </c>
      <c r="AX78" s="544" t="s">
        <v>0</v>
      </c>
      <c r="AY78" s="545">
        <v>25</v>
      </c>
      <c r="AZ7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8" s="544"/>
      <c r="BB78" s="544"/>
      <c r="BC78" s="544" t="s">
        <v>1060</v>
      </c>
      <c r="BD78" s="544"/>
      <c r="BF78" s="556"/>
      <c r="BG78" s="556"/>
      <c r="BH78" s="556"/>
      <c r="BI78" s="556"/>
      <c r="BJ78" s="556"/>
      <c r="BK78" s="556"/>
      <c r="BL78" s="556"/>
      <c r="BM78" s="556"/>
      <c r="BN78" s="556"/>
      <c r="BO78" s="556"/>
      <c r="BP78" s="556"/>
      <c r="BQ78" s="556"/>
      <c r="BR78" s="556"/>
      <c r="BS78" s="556"/>
      <c r="BT78" s="556"/>
      <c r="BU78" s="571" t="str" cm="1">
        <f t="array" ref="BU78">IFERROR(_xlfn.LET(_xlpm.i,ROWS($BU$2:BU78),_xlpm.cur,INDEX(tblLaminateStructures[Laminate],_xlpm.i),_xlpm.prev,IF(_xlpm.i=1,"",INDEX(tblLaminateStructures[Laminate],_xlpm.i-1)),IF(_xlpm.cur&lt;&gt;_xlpm.prev,_xlpm.cur,"")),"")</f>
        <v/>
      </c>
      <c r="BV78" s="572" t="str" cm="1">
        <f t="array" ref="BV78">IFERROR(_xlfn.LET(_xlpm.i,ROWS($BV$2:BV78),_xlpm.cur,INDEX(tblLaminateStructures[Total Thickness (µ)],_xlpm.i),_xlpm.prev,IF(_xlpm.i=1,"",INDEX(tblLaminateStructures[Total Thickness (µ)],_xlpm.i-1)),IF(OR(_xlpm.cur&lt;&gt;_xlpm.prev,BU78&lt;&gt;""),_xlpm.cur,"")),"")</f>
        <v/>
      </c>
      <c r="BW78" s="573" t="str" cm="1">
        <f t="array" ref="BW78">IFERROR(INDEX(tblLaminateStructures[Material / Layer],ROWS($BW$2:BW78)),"")</f>
        <v>TIPA 302FG</v>
      </c>
      <c r="BX78" s="572" cm="1">
        <f t="array" ref="BX78">IFERROR(INDEX(tblLaminateStructures[Layer Thickness (µ)],ROWS($BX$2:BX78)),"")</f>
        <v>25</v>
      </c>
      <c r="BY78" s="572" cm="1">
        <f t="array" ref="BY78">IFERROR(INDEX(tblLaminateStructures[Structure Check],ROWS($BY$2:BY78)),"")</f>
        <v>121</v>
      </c>
      <c r="BZ78" s="573" cm="1">
        <f t="array" ref="BZ78">IFERROR(INDEX(tblLaminateStructures[Laminate],ROWS($BZ$2:BZ78)),"")</f>
        <v>919</v>
      </c>
      <c r="CA78" s="573"/>
      <c r="CB78" s="573"/>
      <c r="CC78" s="572" cm="1">
        <f t="array" ref="CC78">IFERROR(INDEX(tblLaminateStructures[Total Thickness (µ)],ROWS($CC$2:CC78)),"")</f>
        <v>121</v>
      </c>
      <c r="CD78" s="572"/>
      <c r="CE78" s="572"/>
      <c r="CF78" s="572"/>
      <c r="CG78" s="573"/>
      <c r="CH78" s="574"/>
    </row>
    <row r="79" spans="48:86">
      <c r="AV79" s="544">
        <v>919</v>
      </c>
      <c r="AW79" s="545">
        <v>121</v>
      </c>
      <c r="AX79" s="544" t="s">
        <v>181</v>
      </c>
      <c r="AY79" s="545">
        <v>67</v>
      </c>
      <c r="AZ7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9" s="544"/>
      <c r="BB79" s="544"/>
      <c r="BC79" s="544" t="s">
        <v>1060</v>
      </c>
      <c r="BD79" s="544"/>
      <c r="BF79" s="556"/>
      <c r="BG79" s="556"/>
      <c r="BH79" s="556"/>
      <c r="BI79" s="556"/>
      <c r="BJ79" s="556"/>
      <c r="BK79" s="556"/>
      <c r="BL79" s="556"/>
      <c r="BM79" s="556"/>
      <c r="BN79" s="556"/>
      <c r="BO79" s="556"/>
      <c r="BP79" s="556"/>
      <c r="BQ79" s="556"/>
      <c r="BR79" s="556"/>
      <c r="BS79" s="556"/>
      <c r="BT79" s="556"/>
      <c r="BU79" s="571" t="str" cm="1">
        <f t="array" ref="BU79">IFERROR(_xlfn.LET(_xlpm.i,ROWS($BU$2:BU79),_xlpm.cur,INDEX(tblLaminateStructures[Laminate],_xlpm.i),_xlpm.prev,IF(_xlpm.i=1,"",INDEX(tblLaminateStructures[Laminate],_xlpm.i-1)),IF(_xlpm.cur&lt;&gt;_xlpm.prev,_xlpm.cur,"")),"")</f>
        <v/>
      </c>
      <c r="BV79" s="572" t="str" cm="1">
        <f t="array" ref="BV79">IFERROR(_xlfn.LET(_xlpm.i,ROWS($BV$2:BV79),_xlpm.cur,INDEX(tblLaminateStructures[Total Thickness (µ)],_xlpm.i),_xlpm.prev,IF(_xlpm.i=1,"",INDEX(tblLaminateStructures[Total Thickness (µ)],_xlpm.i-1)),IF(OR(_xlpm.cur&lt;&gt;_xlpm.prev,BU79&lt;&gt;""),_xlpm.cur,"")),"")</f>
        <v/>
      </c>
      <c r="BW79" s="573" t="str" cm="1">
        <f t="array" ref="BW79">IFERROR(INDEX(tblLaminateStructures[Material / Layer],ROWS($BW$2:BW79)),"")</f>
        <v>Billerud Kraft White Paper</v>
      </c>
      <c r="BX79" s="572" cm="1">
        <f t="array" ref="BX79">IFERROR(INDEX(tblLaminateStructures[Layer Thickness (µ)],ROWS($BX$2:BX79)),"")</f>
        <v>67</v>
      </c>
      <c r="BY79" s="572" cm="1">
        <f t="array" ref="BY79">IFERROR(INDEX(tblLaminateStructures[Structure Check],ROWS($BY$2:BY79)),"")</f>
        <v>121</v>
      </c>
      <c r="BZ79" s="573" cm="1">
        <f t="array" ref="BZ79">IFERROR(INDEX(tblLaminateStructures[Laminate],ROWS($BZ$2:BZ79)),"")</f>
        <v>919</v>
      </c>
      <c r="CA79" s="573"/>
      <c r="CB79" s="573"/>
      <c r="CC79" s="572" cm="1">
        <f t="array" ref="CC79">IFERROR(INDEX(tblLaminateStructures[Total Thickness (µ)],ROWS($CC$2:CC79)),"")</f>
        <v>121</v>
      </c>
      <c r="CD79" s="572"/>
      <c r="CE79" s="572"/>
      <c r="CF79" s="572"/>
      <c r="CG79" s="573"/>
      <c r="CH79" s="574"/>
    </row>
    <row r="80" spans="48:86">
      <c r="AV80" s="544">
        <v>919</v>
      </c>
      <c r="AW80" s="545">
        <v>121</v>
      </c>
      <c r="AX80" s="544" t="s">
        <v>173</v>
      </c>
      <c r="AY80" s="545">
        <v>5.82</v>
      </c>
      <c r="AZ8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0" s="544"/>
      <c r="BB80" s="544"/>
      <c r="BC80" s="544" t="s">
        <v>1060</v>
      </c>
      <c r="BD80" s="544"/>
      <c r="BF80" s="556"/>
      <c r="BG80" s="556"/>
      <c r="BH80" s="556"/>
      <c r="BI80" s="556"/>
      <c r="BJ80" s="556"/>
      <c r="BK80" s="556"/>
      <c r="BL80" s="556"/>
      <c r="BM80" s="556"/>
      <c r="BN80" s="556"/>
      <c r="BO80" s="556"/>
      <c r="BP80" s="556"/>
      <c r="BQ80" s="556"/>
      <c r="BR80" s="556"/>
      <c r="BS80" s="556"/>
      <c r="BT80" s="556"/>
      <c r="BU80" s="571" t="str" cm="1">
        <f t="array" ref="BU80">IFERROR(_xlfn.LET(_xlpm.i,ROWS($BU$2:BU80),_xlpm.cur,INDEX(tblLaminateStructures[Laminate],_xlpm.i),_xlpm.prev,IF(_xlpm.i=1,"",INDEX(tblLaminateStructures[Laminate],_xlpm.i-1)),IF(_xlpm.cur&lt;&gt;_xlpm.prev,_xlpm.cur,"")),"")</f>
        <v/>
      </c>
      <c r="BV80" s="572" t="str" cm="1">
        <f t="array" ref="BV80">IFERROR(_xlfn.LET(_xlpm.i,ROWS($BV$2:BV80),_xlpm.cur,INDEX(tblLaminateStructures[Total Thickness (µ)],_xlpm.i),_xlpm.prev,IF(_xlpm.i=1,"",INDEX(tblLaminateStructures[Total Thickness (µ)],_xlpm.i-1)),IF(OR(_xlpm.cur&lt;&gt;_xlpm.prev,BU80&lt;&gt;""),_xlpm.cur,"")),"")</f>
        <v/>
      </c>
      <c r="BW80" s="573" t="str" cm="1">
        <f t="array" ref="BW80">IFERROR(INDEX(tblLaminateStructures[Material / Layer],ROWS($BW$2:BW80)),"")</f>
        <v>RM G Epotal Eco 3702</v>
      </c>
      <c r="BX80" s="572" cm="1">
        <f t="array" ref="BX80">IFERROR(INDEX(tblLaminateStructures[Layer Thickness (µ)],ROWS($BX$2:BX80)),"")</f>
        <v>5.82</v>
      </c>
      <c r="BY80" s="572" cm="1">
        <f t="array" ref="BY80">IFERROR(INDEX(tblLaminateStructures[Structure Check],ROWS($BY$2:BY80)),"")</f>
        <v>121</v>
      </c>
      <c r="BZ80" s="573" cm="1">
        <f t="array" ref="BZ80">IFERROR(INDEX(tblLaminateStructures[Laminate],ROWS($BZ$2:BZ80)),"")</f>
        <v>919</v>
      </c>
      <c r="CA80" s="573"/>
      <c r="CB80" s="573"/>
      <c r="CC80" s="572" cm="1">
        <f t="array" ref="CC80">IFERROR(INDEX(tblLaminateStructures[Total Thickness (µ)],ROWS($CC$2:CC80)),"")</f>
        <v>121</v>
      </c>
      <c r="CD80" s="572"/>
      <c r="CE80" s="572"/>
      <c r="CF80" s="572"/>
      <c r="CG80" s="573"/>
      <c r="CH80" s="574"/>
    </row>
    <row r="81" spans="48:86">
      <c r="AV81" s="544">
        <v>919</v>
      </c>
      <c r="AW81" s="545">
        <v>121</v>
      </c>
      <c r="AX81" s="544" t="s">
        <v>174</v>
      </c>
      <c r="AY81" s="545">
        <v>0.18</v>
      </c>
      <c r="AZ8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1" s="544"/>
      <c r="BB81" s="544"/>
      <c r="BC81" s="544" t="s">
        <v>1060</v>
      </c>
      <c r="BD81" s="544"/>
      <c r="BF81" s="556"/>
      <c r="BG81" s="556"/>
      <c r="BH81" s="556"/>
      <c r="BI81" s="556"/>
      <c r="BJ81" s="556"/>
      <c r="BK81" s="556"/>
      <c r="BL81" s="556"/>
      <c r="BM81" s="556"/>
      <c r="BN81" s="556"/>
      <c r="BO81" s="556"/>
      <c r="BP81" s="556"/>
      <c r="BQ81" s="556"/>
      <c r="BR81" s="556"/>
      <c r="BS81" s="556"/>
      <c r="BT81" s="556"/>
      <c r="BU81" s="571" t="str" cm="1">
        <f t="array" ref="BU81">IFERROR(_xlfn.LET(_xlpm.i,ROWS($BU$2:BU81),_xlpm.cur,INDEX(tblLaminateStructures[Laminate],_xlpm.i),_xlpm.prev,IF(_xlpm.i=1,"",INDEX(tblLaminateStructures[Laminate],_xlpm.i-1)),IF(_xlpm.cur&lt;&gt;_xlpm.prev,_xlpm.cur,"")),"")</f>
        <v/>
      </c>
      <c r="BV81" s="572" t="str" cm="1">
        <f t="array" ref="BV81">IFERROR(_xlfn.LET(_xlpm.i,ROWS($BV$2:BV81),_xlpm.cur,INDEX(tblLaminateStructures[Total Thickness (µ)],_xlpm.i),_xlpm.prev,IF(_xlpm.i=1,"",INDEX(tblLaminateStructures[Total Thickness (µ)],_xlpm.i-1)),IF(OR(_xlpm.cur&lt;&gt;_xlpm.prev,BU81&lt;&gt;""),_xlpm.cur,"")),"")</f>
        <v/>
      </c>
      <c r="BW81" s="573" t="str" cm="1">
        <f t="array" ref="BW81">IFERROR(INDEX(tblLaminateStructures[Material / Layer],ROWS($BW$2:BW81)),"")</f>
        <v>RM G Basonat HW 2270</v>
      </c>
      <c r="BX81" s="572" cm="1">
        <f t="array" ref="BX81">IFERROR(INDEX(tblLaminateStructures[Layer Thickness (µ)],ROWS($BX$2:BX81)),"")</f>
        <v>0.18</v>
      </c>
      <c r="BY81" s="572" cm="1">
        <f t="array" ref="BY81">IFERROR(INDEX(tblLaminateStructures[Structure Check],ROWS($BY$2:BY81)),"")</f>
        <v>121</v>
      </c>
      <c r="BZ81" s="573" cm="1">
        <f t="array" ref="BZ81">IFERROR(INDEX(tblLaminateStructures[Laminate],ROWS($BZ$2:BZ81)),"")</f>
        <v>919</v>
      </c>
      <c r="CA81" s="573"/>
      <c r="CB81" s="573"/>
      <c r="CC81" s="572" cm="1">
        <f t="array" ref="CC81">IFERROR(INDEX(tblLaminateStructures[Total Thickness (µ)],ROWS($CC$2:CC81)),"")</f>
        <v>121</v>
      </c>
      <c r="CD81" s="572"/>
      <c r="CE81" s="572"/>
      <c r="CF81" s="572"/>
      <c r="CG81" s="573"/>
      <c r="CH81" s="574"/>
    </row>
    <row r="82" spans="48:86">
      <c r="AV82" s="544">
        <v>823</v>
      </c>
      <c r="AW82" s="545">
        <v>121</v>
      </c>
      <c r="AX82" s="544" t="s">
        <v>168</v>
      </c>
      <c r="AY82" s="545">
        <v>23</v>
      </c>
      <c r="AZ8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2" s="544"/>
      <c r="BB82" s="544"/>
      <c r="BC82" s="544" t="s">
        <v>1060</v>
      </c>
      <c r="BD82" s="544"/>
      <c r="BF82" s="556"/>
      <c r="BG82" s="556"/>
      <c r="BH82" s="556"/>
      <c r="BI82" s="556"/>
      <c r="BJ82" s="556"/>
      <c r="BK82" s="556"/>
      <c r="BL82" s="556"/>
      <c r="BM82" s="556"/>
      <c r="BN82" s="556"/>
      <c r="BO82" s="556"/>
      <c r="BP82" s="556"/>
      <c r="BQ82" s="556"/>
      <c r="BR82" s="556"/>
      <c r="BS82" s="556"/>
      <c r="BT82" s="556"/>
      <c r="BU82" s="571" cm="1">
        <f t="array" ref="BU82">IFERROR(_xlfn.LET(_xlpm.i,ROWS($BU$2:BU82),_xlpm.cur,INDEX(tblLaminateStructures[Laminate],_xlpm.i),_xlpm.prev,IF(_xlpm.i=1,"",INDEX(tblLaminateStructures[Laminate],_xlpm.i-1)),IF(_xlpm.cur&lt;&gt;_xlpm.prev,_xlpm.cur,"")),"")</f>
        <v>823</v>
      </c>
      <c r="BV82" s="572" cm="1">
        <f t="array" ref="BV82">IFERROR(_xlfn.LET(_xlpm.i,ROWS($BV$2:BV82),_xlpm.cur,INDEX(tblLaminateStructures[Total Thickness (µ)],_xlpm.i),_xlpm.prev,IF(_xlpm.i=1,"",INDEX(tblLaminateStructures[Total Thickness (µ)],_xlpm.i-1)),IF(OR(_xlpm.cur&lt;&gt;_xlpm.prev,BU82&lt;&gt;""),_xlpm.cur,"")),"")</f>
        <v>121</v>
      </c>
      <c r="BW82" s="573" t="str" cm="1">
        <f t="array" ref="BW82">IFERROR(INDEX(tblLaminateStructures[Material / Layer],ROWS($BW$2:BW82)),"")</f>
        <v>NK</v>
      </c>
      <c r="BX82" s="572" cm="1">
        <f t="array" ref="BX82">IFERROR(INDEX(tblLaminateStructures[Layer Thickness (µ)],ROWS($BX$2:BX82)),"")</f>
        <v>23</v>
      </c>
      <c r="BY82" s="572" cm="1">
        <f t="array" ref="BY82">IFERROR(INDEX(tblLaminateStructures[Structure Check],ROWS($BY$2:BY82)),"")</f>
        <v>121</v>
      </c>
      <c r="BZ82" s="573" cm="1">
        <f t="array" ref="BZ82">IFERROR(INDEX(tblLaminateStructures[Laminate],ROWS($BZ$2:BZ82)),"")</f>
        <v>823</v>
      </c>
      <c r="CA82" s="573"/>
      <c r="CB82" s="573"/>
      <c r="CC82" s="572" cm="1">
        <f t="array" ref="CC82">IFERROR(INDEX(tblLaminateStructures[Total Thickness (µ)],ROWS($CC$2:CC82)),"")</f>
        <v>121</v>
      </c>
      <c r="CD82" s="572"/>
      <c r="CE82" s="572"/>
      <c r="CF82" s="572"/>
      <c r="CG82" s="573"/>
      <c r="CH82" s="574"/>
    </row>
    <row r="83" spans="48:86">
      <c r="AV83" s="550">
        <v>823</v>
      </c>
      <c r="AW83" s="551">
        <v>121</v>
      </c>
      <c r="AX83" s="544" t="s">
        <v>180</v>
      </c>
      <c r="AY83" s="551">
        <v>25</v>
      </c>
      <c r="AZ8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3" s="550"/>
      <c r="BB83" s="544"/>
      <c r="BC83" s="544" t="s">
        <v>1060</v>
      </c>
      <c r="BD83" s="550"/>
      <c r="BF83" s="556"/>
      <c r="BG83" s="556"/>
      <c r="BH83" s="556"/>
      <c r="BI83" s="556"/>
      <c r="BJ83" s="556"/>
      <c r="BK83" s="556"/>
      <c r="BL83" s="556"/>
      <c r="BM83" s="556"/>
      <c r="BN83" s="556"/>
      <c r="BO83" s="556"/>
      <c r="BP83" s="556"/>
      <c r="BQ83" s="556"/>
      <c r="BR83" s="556"/>
      <c r="BS83" s="556"/>
      <c r="BT83" s="556"/>
      <c r="BU83" s="571" t="str" cm="1">
        <f t="array" ref="BU83">IFERROR(_xlfn.LET(_xlpm.i,ROWS($BU$2:BU83),_xlpm.cur,INDEX(tblLaminateStructures[Laminate],_xlpm.i),_xlpm.prev,IF(_xlpm.i=1,"",INDEX(tblLaminateStructures[Laminate],_xlpm.i-1)),IF(_xlpm.cur&lt;&gt;_xlpm.prev,_xlpm.cur,"")),"")</f>
        <v/>
      </c>
      <c r="BV83" s="572" t="str" cm="1">
        <f t="array" ref="BV83">IFERROR(_xlfn.LET(_xlpm.i,ROWS($BV$2:BV83),_xlpm.cur,INDEX(tblLaminateStructures[Total Thickness (µ)],_xlpm.i),_xlpm.prev,IF(_xlpm.i=1,"",INDEX(tblLaminateStructures[Total Thickness (µ)],_xlpm.i-1)),IF(OR(_xlpm.cur&lt;&gt;_xlpm.prev,BU83&lt;&gt;""),_xlpm.cur,"")),"")</f>
        <v/>
      </c>
      <c r="BW83" s="573" t="str" cm="1">
        <f t="array" ref="BW83">IFERROR(INDEX(tblLaminateStructures[Material / Layer],ROWS($BW$2:BW83)),"")</f>
        <v>TIPA 312 MET</v>
      </c>
      <c r="BX83" s="572" cm="1">
        <f t="array" ref="BX83">IFERROR(INDEX(tblLaminateStructures[Layer Thickness (µ)],ROWS($BX$2:BX83)),"")</f>
        <v>25</v>
      </c>
      <c r="BY83" s="572" cm="1">
        <f t="array" ref="BY83">IFERROR(INDEX(tblLaminateStructures[Structure Check],ROWS($BY$2:BY83)),"")</f>
        <v>121</v>
      </c>
      <c r="BZ83" s="573" cm="1">
        <f t="array" ref="BZ83">IFERROR(INDEX(tblLaminateStructures[Laminate],ROWS($BZ$2:BZ83)),"")</f>
        <v>823</v>
      </c>
      <c r="CA83" s="573"/>
      <c r="CB83" s="573"/>
      <c r="CC83" s="572" cm="1">
        <f t="array" ref="CC83">IFERROR(INDEX(tblLaminateStructures[Total Thickness (µ)],ROWS($CC$2:CC83)),"")</f>
        <v>121</v>
      </c>
      <c r="CD83" s="572"/>
      <c r="CE83" s="572"/>
      <c r="CF83" s="572"/>
      <c r="CG83" s="573"/>
      <c r="CH83" s="574"/>
    </row>
    <row r="84" spans="48:86">
      <c r="AV84" s="550">
        <v>823</v>
      </c>
      <c r="AW84" s="551">
        <v>121</v>
      </c>
      <c r="AX84" s="544" t="s">
        <v>181</v>
      </c>
      <c r="AY84" s="551">
        <v>67</v>
      </c>
      <c r="AZ8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4" s="550"/>
      <c r="BB84" s="544"/>
      <c r="BC84" s="544" t="s">
        <v>1060</v>
      </c>
      <c r="BD84" s="550"/>
      <c r="BF84" s="556"/>
      <c r="BG84" s="556"/>
      <c r="BH84" s="556"/>
      <c r="BI84" s="556"/>
      <c r="BJ84" s="556"/>
      <c r="BK84" s="556"/>
      <c r="BL84" s="556"/>
      <c r="BM84" s="556"/>
      <c r="BN84" s="556"/>
      <c r="BO84" s="556"/>
      <c r="BP84" s="556"/>
      <c r="BQ84" s="556"/>
      <c r="BR84" s="556"/>
      <c r="BS84" s="556"/>
      <c r="BT84" s="556"/>
      <c r="BU84" s="571" t="str" cm="1">
        <f t="array" ref="BU84">IFERROR(_xlfn.LET(_xlpm.i,ROWS($BU$2:BU84),_xlpm.cur,INDEX(tblLaminateStructures[Laminate],_xlpm.i),_xlpm.prev,IF(_xlpm.i=1,"",INDEX(tblLaminateStructures[Laminate],_xlpm.i-1)),IF(_xlpm.cur&lt;&gt;_xlpm.prev,_xlpm.cur,"")),"")</f>
        <v/>
      </c>
      <c r="BV84" s="572" t="str" cm="1">
        <f t="array" ref="BV84">IFERROR(_xlfn.LET(_xlpm.i,ROWS($BV$2:BV84),_xlpm.cur,INDEX(tblLaminateStructures[Total Thickness (µ)],_xlpm.i),_xlpm.prev,IF(_xlpm.i=1,"",INDEX(tblLaminateStructures[Total Thickness (µ)],_xlpm.i-1)),IF(OR(_xlpm.cur&lt;&gt;_xlpm.prev,BU84&lt;&gt;""),_xlpm.cur,"")),"")</f>
        <v/>
      </c>
      <c r="BW84" s="573" t="str" cm="1">
        <f t="array" ref="BW84">IFERROR(INDEX(tblLaminateStructures[Material / Layer],ROWS($BW$2:BW84)),"")</f>
        <v>Billerud Kraft White Paper</v>
      </c>
      <c r="BX84" s="572" cm="1">
        <f t="array" ref="BX84">IFERROR(INDEX(tblLaminateStructures[Layer Thickness (µ)],ROWS($BX$2:BX84)),"")</f>
        <v>67</v>
      </c>
      <c r="BY84" s="572" cm="1">
        <f t="array" ref="BY84">IFERROR(INDEX(tblLaminateStructures[Structure Check],ROWS($BY$2:BY84)),"")</f>
        <v>121</v>
      </c>
      <c r="BZ84" s="573" cm="1">
        <f t="array" ref="BZ84">IFERROR(INDEX(tblLaminateStructures[Laminate],ROWS($BZ$2:BZ84)),"")</f>
        <v>823</v>
      </c>
      <c r="CA84" s="573"/>
      <c r="CB84" s="573"/>
      <c r="CC84" s="572" cm="1">
        <f t="array" ref="CC84">IFERROR(INDEX(tblLaminateStructures[Total Thickness (µ)],ROWS($CC$2:CC84)),"")</f>
        <v>121</v>
      </c>
      <c r="CD84" s="572"/>
      <c r="CE84" s="572"/>
      <c r="CF84" s="572"/>
      <c r="CG84" s="573"/>
      <c r="CH84" s="574"/>
    </row>
    <row r="85" spans="48:86">
      <c r="AV85" s="550">
        <v>823</v>
      </c>
      <c r="AW85" s="551">
        <v>121</v>
      </c>
      <c r="AX85" s="544" t="s">
        <v>177</v>
      </c>
      <c r="AY85" s="551">
        <v>6</v>
      </c>
      <c r="AZ8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5" s="550"/>
      <c r="BB85" s="544"/>
      <c r="BC85" s="544" t="s">
        <v>1060</v>
      </c>
      <c r="BD85" s="550"/>
      <c r="BF85" s="556"/>
      <c r="BG85" s="556"/>
      <c r="BH85" s="556"/>
      <c r="BI85" s="556"/>
      <c r="BJ85" s="556"/>
      <c r="BK85" s="556"/>
      <c r="BL85" s="556"/>
      <c r="BM85" s="556"/>
      <c r="BN85" s="556"/>
      <c r="BO85" s="556"/>
      <c r="BP85" s="556"/>
      <c r="BQ85" s="556"/>
      <c r="BR85" s="556"/>
      <c r="BS85" s="556"/>
      <c r="BT85" s="556"/>
      <c r="BU85" s="571" t="str" cm="1">
        <f t="array" ref="BU85">IFERROR(_xlfn.LET(_xlpm.i,ROWS($BU$2:BU85),_xlpm.cur,INDEX(tblLaminateStructures[Laminate],_xlpm.i),_xlpm.prev,IF(_xlpm.i=1,"",INDEX(tblLaminateStructures[Laminate],_xlpm.i-1)),IF(_xlpm.cur&lt;&gt;_xlpm.prev,_xlpm.cur,"")),"")</f>
        <v/>
      </c>
      <c r="BV85" s="572" t="str" cm="1">
        <f t="array" ref="BV85">IFERROR(_xlfn.LET(_xlpm.i,ROWS($BV$2:BV85),_xlpm.cur,INDEX(tblLaminateStructures[Total Thickness (µ)],_xlpm.i),_xlpm.prev,IF(_xlpm.i=1,"",INDEX(tblLaminateStructures[Total Thickness (µ)],_xlpm.i-1)),IF(OR(_xlpm.cur&lt;&gt;_xlpm.prev,BU85&lt;&gt;""),_xlpm.cur,"")),"")</f>
        <v/>
      </c>
      <c r="BW85" s="573" t="str" cm="1">
        <f t="array" ref="BW85">IFERROR(INDEX(tblLaminateStructures[Material / Layer],ROWS($BW$2:BW85)),"")</f>
        <v>RM G Epotal ECO 3675</v>
      </c>
      <c r="BX85" s="572" cm="1">
        <f t="array" ref="BX85">IFERROR(INDEX(tblLaminateStructures[Layer Thickness (µ)],ROWS($BX$2:BX85)),"")</f>
        <v>6</v>
      </c>
      <c r="BY85" s="572" cm="1">
        <f t="array" ref="BY85">IFERROR(INDEX(tblLaminateStructures[Structure Check],ROWS($BY$2:BY85)),"")</f>
        <v>121</v>
      </c>
      <c r="BZ85" s="573" cm="1">
        <f t="array" ref="BZ85">IFERROR(INDEX(tblLaminateStructures[Laminate],ROWS($BZ$2:BZ85)),"")</f>
        <v>823</v>
      </c>
      <c r="CA85" s="573"/>
      <c r="CB85" s="573"/>
      <c r="CC85" s="572" cm="1">
        <f t="array" ref="CC85">IFERROR(INDEX(tblLaminateStructures[Total Thickness (µ)],ROWS($CC$2:CC85)),"")</f>
        <v>121</v>
      </c>
      <c r="CD85" s="572"/>
      <c r="CE85" s="572"/>
      <c r="CF85" s="572"/>
      <c r="CG85" s="573"/>
      <c r="CH85" s="574"/>
    </row>
    <row r="86" spans="48:86">
      <c r="AV86" s="550">
        <v>923</v>
      </c>
      <c r="AW86" s="551">
        <v>121</v>
      </c>
      <c r="AX86" s="544" t="s">
        <v>168</v>
      </c>
      <c r="AY86" s="551">
        <v>23</v>
      </c>
      <c r="AZ8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6" s="550"/>
      <c r="BB86" s="544"/>
      <c r="BC86" s="544" t="s">
        <v>1060</v>
      </c>
      <c r="BD86" s="550"/>
      <c r="BF86" s="556"/>
      <c r="BG86" s="556"/>
      <c r="BH86" s="556"/>
      <c r="BI86" s="556"/>
      <c r="BJ86" s="556"/>
      <c r="BK86" s="556"/>
      <c r="BL86" s="556"/>
      <c r="BM86" s="556"/>
      <c r="BN86" s="556"/>
      <c r="BO86" s="556"/>
      <c r="BP86" s="556"/>
      <c r="BQ86" s="556"/>
      <c r="BR86" s="556"/>
      <c r="BS86" s="556"/>
      <c r="BT86" s="556"/>
      <c r="BU86" s="571" cm="1">
        <f t="array" ref="BU86">IFERROR(_xlfn.LET(_xlpm.i,ROWS($BU$2:BU86),_xlpm.cur,INDEX(tblLaminateStructures[Laminate],_xlpm.i),_xlpm.prev,IF(_xlpm.i=1,"",INDEX(tblLaminateStructures[Laminate],_xlpm.i-1)),IF(_xlpm.cur&lt;&gt;_xlpm.prev,_xlpm.cur,"")),"")</f>
        <v>923</v>
      </c>
      <c r="BV86" s="572" cm="1">
        <f t="array" ref="BV86">IFERROR(_xlfn.LET(_xlpm.i,ROWS($BV$2:BV86),_xlpm.cur,INDEX(tblLaminateStructures[Total Thickness (µ)],_xlpm.i),_xlpm.prev,IF(_xlpm.i=1,"",INDEX(tblLaminateStructures[Total Thickness (µ)],_xlpm.i-1)),IF(OR(_xlpm.cur&lt;&gt;_xlpm.prev,BU86&lt;&gt;""),_xlpm.cur,"")),"")</f>
        <v>121</v>
      </c>
      <c r="BW86" s="573" t="str" cm="1">
        <f t="array" ref="BW86">IFERROR(INDEX(tblLaminateStructures[Material / Layer],ROWS($BW$2:BW86)),"")</f>
        <v>NK</v>
      </c>
      <c r="BX86" s="572" cm="1">
        <f t="array" ref="BX86">IFERROR(INDEX(tblLaminateStructures[Layer Thickness (µ)],ROWS($BX$2:BX86)),"")</f>
        <v>23</v>
      </c>
      <c r="BY86" s="572" cm="1">
        <f t="array" ref="BY86">IFERROR(INDEX(tblLaminateStructures[Structure Check],ROWS($BY$2:BY86)),"")</f>
        <v>121</v>
      </c>
      <c r="BZ86" s="573" cm="1">
        <f t="array" ref="BZ86">IFERROR(INDEX(tblLaminateStructures[Laminate],ROWS($BZ$2:BZ86)),"")</f>
        <v>923</v>
      </c>
      <c r="CA86" s="573"/>
      <c r="CB86" s="573"/>
      <c r="CC86" s="572" cm="1">
        <f t="array" ref="CC86">IFERROR(INDEX(tblLaminateStructures[Total Thickness (µ)],ROWS($CC$2:CC86)),"")</f>
        <v>121</v>
      </c>
      <c r="CD86" s="572"/>
      <c r="CE86" s="572"/>
      <c r="CF86" s="572"/>
      <c r="CG86" s="573"/>
      <c r="CH86" s="574"/>
    </row>
    <row r="87" spans="48:86">
      <c r="AV87" s="550">
        <v>923</v>
      </c>
      <c r="AW87" s="551">
        <v>121</v>
      </c>
      <c r="AX87" s="550" t="s">
        <v>180</v>
      </c>
      <c r="AY87" s="551">
        <v>25</v>
      </c>
      <c r="AZ8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7" s="550"/>
      <c r="BB87" s="550"/>
      <c r="BC87" s="550" t="s">
        <v>1060</v>
      </c>
      <c r="BD87" s="550"/>
      <c r="BF87" s="556"/>
      <c r="BG87" s="556"/>
      <c r="BH87" s="556"/>
      <c r="BI87" s="556"/>
      <c r="BJ87" s="556"/>
      <c r="BK87" s="556"/>
      <c r="BL87" s="556"/>
      <c r="BM87" s="556"/>
      <c r="BN87" s="556"/>
      <c r="BO87" s="556"/>
      <c r="BP87" s="556"/>
      <c r="BQ87" s="556"/>
      <c r="BR87" s="556"/>
      <c r="BS87" s="556"/>
      <c r="BT87" s="556"/>
      <c r="BU87" s="571" t="str" cm="1">
        <f t="array" ref="BU87">IFERROR(_xlfn.LET(_xlpm.i,ROWS($BU$2:BU87),_xlpm.cur,INDEX(tblLaminateStructures[Laminate],_xlpm.i),_xlpm.prev,IF(_xlpm.i=1,"",INDEX(tblLaminateStructures[Laminate],_xlpm.i-1)),IF(_xlpm.cur&lt;&gt;_xlpm.prev,_xlpm.cur,"")),"")</f>
        <v/>
      </c>
      <c r="BV87" s="572" t="str" cm="1">
        <f t="array" ref="BV87">IFERROR(_xlfn.LET(_xlpm.i,ROWS($BV$2:BV87),_xlpm.cur,INDEX(tblLaminateStructures[Total Thickness (µ)],_xlpm.i),_xlpm.prev,IF(_xlpm.i=1,"",INDEX(tblLaminateStructures[Total Thickness (µ)],_xlpm.i-1)),IF(OR(_xlpm.cur&lt;&gt;_xlpm.prev,BU87&lt;&gt;""),_xlpm.cur,"")),"")</f>
        <v/>
      </c>
      <c r="BW87" s="573" t="str" cm="1">
        <f t="array" ref="BW87">IFERROR(INDEX(tblLaminateStructures[Material / Layer],ROWS($BW$2:BW87)),"")</f>
        <v>TIPA 312 MET</v>
      </c>
      <c r="BX87" s="572" cm="1">
        <f t="array" ref="BX87">IFERROR(INDEX(tblLaminateStructures[Layer Thickness (µ)],ROWS($BX$2:BX87)),"")</f>
        <v>25</v>
      </c>
      <c r="BY87" s="572" cm="1">
        <f t="array" ref="BY87">IFERROR(INDEX(tblLaminateStructures[Structure Check],ROWS($BY$2:BY87)),"")</f>
        <v>121</v>
      </c>
      <c r="BZ87" s="573" cm="1">
        <f t="array" ref="BZ87">IFERROR(INDEX(tblLaminateStructures[Laminate],ROWS($BZ$2:BZ87)),"")</f>
        <v>923</v>
      </c>
      <c r="CA87" s="573"/>
      <c r="CB87" s="573"/>
      <c r="CC87" s="572" cm="1">
        <f t="array" ref="CC87">IFERROR(INDEX(tblLaminateStructures[Total Thickness (µ)],ROWS($CC$2:CC87)),"")</f>
        <v>121</v>
      </c>
      <c r="CD87" s="572"/>
      <c r="CE87" s="572"/>
      <c r="CF87" s="572"/>
      <c r="CG87" s="573"/>
      <c r="CH87" s="574"/>
    </row>
    <row r="88" spans="48:86">
      <c r="AV88" s="550">
        <v>923</v>
      </c>
      <c r="AW88" s="551">
        <v>121</v>
      </c>
      <c r="AX88" s="550" t="s">
        <v>181</v>
      </c>
      <c r="AY88" s="551">
        <v>67</v>
      </c>
      <c r="AZ8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8" s="550"/>
      <c r="BB88" s="550"/>
      <c r="BC88" s="550" t="s">
        <v>1060</v>
      </c>
      <c r="BD88" s="550"/>
      <c r="BF88" s="556"/>
      <c r="BG88" s="556"/>
      <c r="BH88" s="556"/>
      <c r="BI88" s="556"/>
      <c r="BJ88" s="556"/>
      <c r="BK88" s="556"/>
      <c r="BL88" s="556"/>
      <c r="BM88" s="556"/>
      <c r="BN88" s="556"/>
      <c r="BO88" s="556"/>
      <c r="BP88" s="556"/>
      <c r="BQ88" s="556"/>
      <c r="BR88" s="556"/>
      <c r="BS88" s="556"/>
      <c r="BT88" s="556"/>
      <c r="BU88" s="571" t="str" cm="1">
        <f t="array" ref="BU88">IFERROR(_xlfn.LET(_xlpm.i,ROWS($BU$2:BU88),_xlpm.cur,INDEX(tblLaminateStructures[Laminate],_xlpm.i),_xlpm.prev,IF(_xlpm.i=1,"",INDEX(tblLaminateStructures[Laminate],_xlpm.i-1)),IF(_xlpm.cur&lt;&gt;_xlpm.prev,_xlpm.cur,"")),"")</f>
        <v/>
      </c>
      <c r="BV88" s="572" t="str" cm="1">
        <f t="array" ref="BV88">IFERROR(_xlfn.LET(_xlpm.i,ROWS($BV$2:BV88),_xlpm.cur,INDEX(tblLaminateStructures[Total Thickness (µ)],_xlpm.i),_xlpm.prev,IF(_xlpm.i=1,"",INDEX(tblLaminateStructures[Total Thickness (µ)],_xlpm.i-1)),IF(OR(_xlpm.cur&lt;&gt;_xlpm.prev,BU88&lt;&gt;""),_xlpm.cur,"")),"")</f>
        <v/>
      </c>
      <c r="BW88" s="573" t="str" cm="1">
        <f t="array" ref="BW88">IFERROR(INDEX(tblLaminateStructures[Material / Layer],ROWS($BW$2:BW88)),"")</f>
        <v>Billerud Kraft White Paper</v>
      </c>
      <c r="BX88" s="572" cm="1">
        <f t="array" ref="BX88">IFERROR(INDEX(tblLaminateStructures[Layer Thickness (µ)],ROWS($BX$2:BX88)),"")</f>
        <v>67</v>
      </c>
      <c r="BY88" s="572" cm="1">
        <f t="array" ref="BY88">IFERROR(INDEX(tblLaminateStructures[Structure Check],ROWS($BY$2:BY88)),"")</f>
        <v>121</v>
      </c>
      <c r="BZ88" s="573" cm="1">
        <f t="array" ref="BZ88">IFERROR(INDEX(tblLaminateStructures[Laminate],ROWS($BZ$2:BZ88)),"")</f>
        <v>923</v>
      </c>
      <c r="CA88" s="573"/>
      <c r="CB88" s="573"/>
      <c r="CC88" s="572" cm="1">
        <f t="array" ref="CC88">IFERROR(INDEX(tblLaminateStructures[Total Thickness (µ)],ROWS($CC$2:CC88)),"")</f>
        <v>121</v>
      </c>
      <c r="CD88" s="572"/>
      <c r="CE88" s="572"/>
      <c r="CF88" s="572"/>
      <c r="CG88" s="573"/>
      <c r="CH88" s="574"/>
    </row>
    <row r="89" spans="48:86">
      <c r="AV89" s="550">
        <v>923</v>
      </c>
      <c r="AW89" s="551">
        <v>121</v>
      </c>
      <c r="AX89" s="550" t="s">
        <v>173</v>
      </c>
      <c r="AY89" s="551">
        <v>5.82</v>
      </c>
      <c r="AZ8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9" s="550"/>
      <c r="BB89" s="550"/>
      <c r="BC89" s="550" t="s">
        <v>1060</v>
      </c>
      <c r="BD89" s="550"/>
      <c r="BF89" s="556"/>
      <c r="BG89" s="556"/>
      <c r="BH89" s="556"/>
      <c r="BI89" s="556"/>
      <c r="BJ89" s="556"/>
      <c r="BK89" s="556"/>
      <c r="BL89" s="556"/>
      <c r="BM89" s="556"/>
      <c r="BN89" s="556"/>
      <c r="BO89" s="556"/>
      <c r="BP89" s="556"/>
      <c r="BQ89" s="556"/>
      <c r="BR89" s="556"/>
      <c r="BS89" s="556"/>
      <c r="BT89" s="556"/>
      <c r="BU89" s="571" t="str" cm="1">
        <f t="array" ref="BU89">IFERROR(_xlfn.LET(_xlpm.i,ROWS($BU$2:BU89),_xlpm.cur,INDEX(tblLaminateStructures[Laminate],_xlpm.i),_xlpm.prev,IF(_xlpm.i=1,"",INDEX(tblLaminateStructures[Laminate],_xlpm.i-1)),IF(_xlpm.cur&lt;&gt;_xlpm.prev,_xlpm.cur,"")),"")</f>
        <v/>
      </c>
      <c r="BV89" s="572" t="str" cm="1">
        <f t="array" ref="BV89">IFERROR(_xlfn.LET(_xlpm.i,ROWS($BV$2:BV89),_xlpm.cur,INDEX(tblLaminateStructures[Total Thickness (µ)],_xlpm.i),_xlpm.prev,IF(_xlpm.i=1,"",INDEX(tblLaminateStructures[Total Thickness (µ)],_xlpm.i-1)),IF(OR(_xlpm.cur&lt;&gt;_xlpm.prev,BU89&lt;&gt;""),_xlpm.cur,"")),"")</f>
        <v/>
      </c>
      <c r="BW89" s="573" t="str" cm="1">
        <f t="array" ref="BW89">IFERROR(INDEX(tblLaminateStructures[Material / Layer],ROWS($BW$2:BW89)),"")</f>
        <v>RM G Epotal Eco 3702</v>
      </c>
      <c r="BX89" s="572" cm="1">
        <f t="array" ref="BX89">IFERROR(INDEX(tblLaminateStructures[Layer Thickness (µ)],ROWS($BX$2:BX89)),"")</f>
        <v>5.82</v>
      </c>
      <c r="BY89" s="572" cm="1">
        <f t="array" ref="BY89">IFERROR(INDEX(tblLaminateStructures[Structure Check],ROWS($BY$2:BY89)),"")</f>
        <v>121</v>
      </c>
      <c r="BZ89" s="573" cm="1">
        <f t="array" ref="BZ89">IFERROR(INDEX(tblLaminateStructures[Laminate],ROWS($BZ$2:BZ89)),"")</f>
        <v>923</v>
      </c>
      <c r="CA89" s="573"/>
      <c r="CB89" s="573"/>
      <c r="CC89" s="572" cm="1">
        <f t="array" ref="CC89">IFERROR(INDEX(tblLaminateStructures[Total Thickness (µ)],ROWS($CC$2:CC89)),"")</f>
        <v>121</v>
      </c>
      <c r="CD89" s="572"/>
      <c r="CE89" s="572"/>
      <c r="CF89" s="572"/>
      <c r="CG89" s="573"/>
      <c r="CH89" s="574"/>
    </row>
    <row r="90" spans="48:86">
      <c r="AV90" s="550">
        <v>923</v>
      </c>
      <c r="AW90" s="551">
        <v>121</v>
      </c>
      <c r="AX90" s="550" t="s">
        <v>174</v>
      </c>
      <c r="AY90" s="551">
        <v>0.18</v>
      </c>
      <c r="AZ9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90" s="550"/>
      <c r="BB90" s="550"/>
      <c r="BC90" s="550" t="s">
        <v>1060</v>
      </c>
      <c r="BD90" s="550"/>
      <c r="BF90" s="556"/>
      <c r="BG90" s="556"/>
      <c r="BH90" s="556"/>
      <c r="BI90" s="556"/>
      <c r="BJ90" s="556"/>
      <c r="BK90" s="556"/>
      <c r="BL90" s="556"/>
      <c r="BM90" s="556"/>
      <c r="BN90" s="556"/>
      <c r="BO90" s="556"/>
      <c r="BP90" s="556"/>
      <c r="BQ90" s="556"/>
      <c r="BR90" s="556"/>
      <c r="BS90" s="556"/>
      <c r="BT90" s="556"/>
      <c r="BU90" s="571" t="str" cm="1">
        <f t="array" ref="BU90">IFERROR(_xlfn.LET(_xlpm.i,ROWS($BU$2:BU90),_xlpm.cur,INDEX(tblLaminateStructures[Laminate],_xlpm.i),_xlpm.prev,IF(_xlpm.i=1,"",INDEX(tblLaminateStructures[Laminate],_xlpm.i-1)),IF(_xlpm.cur&lt;&gt;_xlpm.prev,_xlpm.cur,"")),"")</f>
        <v/>
      </c>
      <c r="BV90" s="572" t="str" cm="1">
        <f t="array" ref="BV90">IFERROR(_xlfn.LET(_xlpm.i,ROWS($BV$2:BV90),_xlpm.cur,INDEX(tblLaminateStructures[Total Thickness (µ)],_xlpm.i),_xlpm.prev,IF(_xlpm.i=1,"",INDEX(tblLaminateStructures[Total Thickness (µ)],_xlpm.i-1)),IF(OR(_xlpm.cur&lt;&gt;_xlpm.prev,BU90&lt;&gt;""),_xlpm.cur,"")),"")</f>
        <v/>
      </c>
      <c r="BW90" s="573" t="str" cm="1">
        <f t="array" ref="BW90">IFERROR(INDEX(tblLaminateStructures[Material / Layer],ROWS($BW$2:BW90)),"")</f>
        <v>RM G Basonat HW 2270</v>
      </c>
      <c r="BX90" s="572" cm="1">
        <f t="array" ref="BX90">IFERROR(INDEX(tblLaminateStructures[Layer Thickness (µ)],ROWS($BX$2:BX90)),"")</f>
        <v>0.18</v>
      </c>
      <c r="BY90" s="572" cm="1">
        <f t="array" ref="BY90">IFERROR(INDEX(tblLaminateStructures[Structure Check],ROWS($BY$2:BY90)),"")</f>
        <v>121</v>
      </c>
      <c r="BZ90" s="573" cm="1">
        <f t="array" ref="BZ90">IFERROR(INDEX(tblLaminateStructures[Laminate],ROWS($BZ$2:BZ90)),"")</f>
        <v>923</v>
      </c>
      <c r="CA90" s="573"/>
      <c r="CB90" s="573"/>
      <c r="CC90" s="572" cm="1">
        <f t="array" ref="CC90">IFERROR(INDEX(tblLaminateStructures[Total Thickness (µ)],ROWS($CC$2:CC90)),"")</f>
        <v>121</v>
      </c>
      <c r="CD90" s="572"/>
      <c r="CE90" s="572"/>
      <c r="CF90" s="572"/>
      <c r="CG90" s="573"/>
      <c r="CH90" s="574"/>
    </row>
    <row r="91" spans="48:86">
      <c r="AV91" s="550" t="s">
        <v>1053</v>
      </c>
      <c r="AW91" s="551">
        <v>79</v>
      </c>
      <c r="AX91" s="550" t="s">
        <v>0</v>
      </c>
      <c r="AY91" s="551">
        <v>25</v>
      </c>
      <c r="AZ9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1" s="550"/>
      <c r="BB91" s="550" t="s">
        <v>1068</v>
      </c>
      <c r="BC91" s="550" t="s">
        <v>1060</v>
      </c>
      <c r="BD91" s="550"/>
      <c r="BF91" s="556"/>
      <c r="BG91" s="556"/>
      <c r="BH91" s="556"/>
      <c r="BI91" s="556"/>
      <c r="BJ91" s="556"/>
      <c r="BK91" s="556"/>
      <c r="BL91" s="556"/>
      <c r="BM91" s="556"/>
      <c r="BN91" s="556"/>
      <c r="BO91" s="556"/>
      <c r="BP91" s="556"/>
      <c r="BQ91" s="556"/>
      <c r="BR91" s="556"/>
      <c r="BS91" s="556"/>
      <c r="BT91" s="556"/>
      <c r="BU91" s="571" t="str" cm="1">
        <f t="array" ref="BU91">IFERROR(_xlfn.LET(_xlpm.i,ROWS($BU$2:BU91),_xlpm.cur,INDEX(tblLaminateStructures[Laminate],_xlpm.i),_xlpm.prev,IF(_xlpm.i=1,"",INDEX(tblLaminateStructures[Laminate],_xlpm.i-1)),IF(_xlpm.cur&lt;&gt;_xlpm.prev,_xlpm.cur,"")),"")</f>
        <v>821M</v>
      </c>
      <c r="BV91" s="572" cm="1">
        <f t="array" ref="BV91">IFERROR(_xlfn.LET(_xlpm.i,ROWS($BV$2:BV91),_xlpm.cur,INDEX(tblLaminateStructures[Total Thickness (µ)],_xlpm.i),_xlpm.prev,IF(_xlpm.i=1,"",INDEX(tblLaminateStructures[Total Thickness (µ)],_xlpm.i-1)),IF(OR(_xlpm.cur&lt;&gt;_xlpm.prev,BU91&lt;&gt;""),_xlpm.cur,"")),"")</f>
        <v>79</v>
      </c>
      <c r="BW91" s="573" t="str" cm="1">
        <f t="array" ref="BW91">IFERROR(INDEX(tblLaminateStructures[Material / Layer],ROWS($BW$2:BW91)),"")</f>
        <v>TIPA 302FG</v>
      </c>
      <c r="BX91" s="572" cm="1">
        <f t="array" ref="BX91">IFERROR(INDEX(tblLaminateStructures[Layer Thickness (µ)],ROWS($BX$2:BX91)),"")</f>
        <v>25</v>
      </c>
      <c r="BY91" s="572" cm="1">
        <f t="array" ref="BY91">IFERROR(INDEX(tblLaminateStructures[Structure Check],ROWS($BY$2:BY91)),"")</f>
        <v>78</v>
      </c>
      <c r="BZ91" s="573" t="str" cm="1">
        <f t="array" ref="BZ91">IFERROR(INDEX(tblLaminateStructures[Laminate],ROWS($BZ$2:BZ91)),"")</f>
        <v>821M</v>
      </c>
      <c r="CA91" s="573"/>
      <c r="CB91" s="573"/>
      <c r="CC91" s="572" cm="1">
        <f t="array" ref="CC91">IFERROR(INDEX(tblLaminateStructures[Total Thickness (µ)],ROWS($CC$2:CC91)),"")</f>
        <v>79</v>
      </c>
      <c r="CD91" s="572"/>
      <c r="CE91" s="572"/>
      <c r="CF91" s="572"/>
      <c r="CG91" s="573"/>
      <c r="CH91" s="574"/>
    </row>
    <row r="92" spans="48:86">
      <c r="AV92" s="550" t="s">
        <v>1053</v>
      </c>
      <c r="AW92" s="551">
        <v>79</v>
      </c>
      <c r="AX92" s="550" t="s">
        <v>1069</v>
      </c>
      <c r="AY92" s="551">
        <v>22</v>
      </c>
      <c r="AZ9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2" s="550"/>
      <c r="BB92" s="550" t="s">
        <v>1068</v>
      </c>
      <c r="BC92" s="550" t="s">
        <v>1060</v>
      </c>
      <c r="BD92" s="550"/>
      <c r="BF92" s="556"/>
      <c r="BG92" s="556"/>
      <c r="BH92" s="556"/>
      <c r="BI92" s="556"/>
      <c r="BJ92" s="556"/>
      <c r="BK92" s="556"/>
      <c r="BL92" s="556"/>
      <c r="BM92" s="556"/>
      <c r="BN92" s="556"/>
      <c r="BO92" s="556"/>
      <c r="BP92" s="556"/>
      <c r="BQ92" s="556"/>
      <c r="BR92" s="556"/>
      <c r="BS92" s="556"/>
      <c r="BT92" s="556"/>
      <c r="BU92" s="571" t="str" cm="1">
        <f t="array" ref="BU92">IFERROR(_xlfn.LET(_xlpm.i,ROWS($BU$2:BU92),_xlpm.cur,INDEX(tblLaminateStructures[Laminate],_xlpm.i),_xlpm.prev,IF(_xlpm.i=1,"",INDEX(tblLaminateStructures[Laminate],_xlpm.i-1)),IF(_xlpm.cur&lt;&gt;_xlpm.prev,_xlpm.cur,"")),"")</f>
        <v/>
      </c>
      <c r="BV92" s="572" t="str" cm="1">
        <f t="array" ref="BV92">IFERROR(_xlfn.LET(_xlpm.i,ROWS($BV$2:BV92),_xlpm.cur,INDEX(tblLaminateStructures[Total Thickness (µ)],_xlpm.i),_xlpm.prev,IF(_xlpm.i=1,"",INDEX(tblLaminateStructures[Total Thickness (µ)],_xlpm.i-1)),IF(OR(_xlpm.cur&lt;&gt;_xlpm.prev,BU92&lt;&gt;""),_xlpm.cur,"")),"")</f>
        <v/>
      </c>
      <c r="BW92" s="573" t="str" cm="1">
        <f t="array" ref="BW92">IFERROR(INDEX(tblLaminateStructures[Material / Layer],ROWS($BW$2:BW92)),"")</f>
        <v>NK White</v>
      </c>
      <c r="BX92" s="572" cm="1">
        <f t="array" ref="BX92">IFERROR(INDEX(tblLaminateStructures[Layer Thickness (µ)],ROWS($BX$2:BX92)),"")</f>
        <v>22</v>
      </c>
      <c r="BY92" s="572" cm="1">
        <f t="array" ref="BY92">IFERROR(INDEX(tblLaminateStructures[Structure Check],ROWS($BY$2:BY92)),"")</f>
        <v>78</v>
      </c>
      <c r="BZ92" s="573" t="str" cm="1">
        <f t="array" ref="BZ92">IFERROR(INDEX(tblLaminateStructures[Laminate],ROWS($BZ$2:BZ92)),"")</f>
        <v>821M</v>
      </c>
      <c r="CA92" s="573"/>
      <c r="CB92" s="573"/>
      <c r="CC92" s="572" cm="1">
        <f t="array" ref="CC92">IFERROR(INDEX(tblLaminateStructures[Total Thickness (µ)],ROWS($CC$2:CC92)),"")</f>
        <v>79</v>
      </c>
      <c r="CD92" s="572"/>
      <c r="CE92" s="572"/>
      <c r="CF92" s="572"/>
      <c r="CG92" s="573"/>
      <c r="CH92" s="574"/>
    </row>
    <row r="93" spans="48:86">
      <c r="AV93" s="550" t="s">
        <v>1053</v>
      </c>
      <c r="AW93" s="551">
        <v>79</v>
      </c>
      <c r="AX93" s="550" t="s">
        <v>1121</v>
      </c>
      <c r="AY93" s="551">
        <v>25</v>
      </c>
      <c r="AZ9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3" s="550"/>
      <c r="BB93" s="550" t="s">
        <v>1068</v>
      </c>
      <c r="BC93" s="550" t="s">
        <v>1060</v>
      </c>
      <c r="BD93" s="550"/>
      <c r="BF93" s="556"/>
      <c r="BG93" s="556"/>
      <c r="BH93" s="556"/>
      <c r="BI93" s="556"/>
      <c r="BJ93" s="556"/>
      <c r="BK93" s="556"/>
      <c r="BL93" s="556"/>
      <c r="BM93" s="556"/>
      <c r="BN93" s="556"/>
      <c r="BO93" s="556"/>
      <c r="BP93" s="556"/>
      <c r="BQ93" s="556"/>
      <c r="BR93" s="556"/>
      <c r="BS93" s="556"/>
      <c r="BT93" s="556"/>
      <c r="BU93" s="571" t="str" cm="1">
        <f t="array" ref="BU93">IFERROR(_xlfn.LET(_xlpm.i,ROWS($BU$2:BU93),_xlpm.cur,INDEX(tblLaminateStructures[Laminate],_xlpm.i),_xlpm.prev,IF(_xlpm.i=1,"",INDEX(tblLaminateStructures[Laminate],_xlpm.i-1)),IF(_xlpm.cur&lt;&gt;_xlpm.prev,_xlpm.cur,"")),"")</f>
        <v/>
      </c>
      <c r="BV93" s="572" t="str" cm="1">
        <f t="array" ref="BV93">IFERROR(_xlfn.LET(_xlpm.i,ROWS($BV$2:BV93),_xlpm.cur,INDEX(tblLaminateStructures[Total Thickness (µ)],_xlpm.i),_xlpm.prev,IF(_xlpm.i=1,"",INDEX(tblLaminateStructures[Total Thickness (µ)],_xlpm.i-1)),IF(OR(_xlpm.cur&lt;&gt;_xlpm.prev,BU93&lt;&gt;""),_xlpm.cur,"")),"")</f>
        <v/>
      </c>
      <c r="BW93" s="573" t="str" cm="1">
        <f t="array" ref="BW93">IFERROR(INDEX(tblLaminateStructures[Material / Layer],ROWS($BW$2:BW93)),"")</f>
        <v> NK MATT</v>
      </c>
      <c r="BX93" s="572" cm="1">
        <f t="array" ref="BX93">IFERROR(INDEX(tblLaminateStructures[Layer Thickness (µ)],ROWS($BX$2:BX93)),"")</f>
        <v>25</v>
      </c>
      <c r="BY93" s="572" cm="1">
        <f t="array" ref="BY93">IFERROR(INDEX(tblLaminateStructures[Structure Check],ROWS($BY$2:BY93)),"")</f>
        <v>78</v>
      </c>
      <c r="BZ93" s="573" t="str" cm="1">
        <f t="array" ref="BZ93">IFERROR(INDEX(tblLaminateStructures[Laminate],ROWS($BZ$2:BZ93)),"")</f>
        <v>821M</v>
      </c>
      <c r="CA93" s="573"/>
      <c r="CB93" s="573"/>
      <c r="CC93" s="572" cm="1">
        <f t="array" ref="CC93">IFERROR(INDEX(tblLaminateStructures[Total Thickness (µ)],ROWS($CC$2:CC93)),"")</f>
        <v>79</v>
      </c>
      <c r="CD93" s="572"/>
      <c r="CE93" s="572"/>
      <c r="CF93" s="572"/>
      <c r="CG93" s="573"/>
      <c r="CH93" s="574"/>
    </row>
    <row r="94" spans="48:86">
      <c r="AV94" s="550" t="s">
        <v>1053</v>
      </c>
      <c r="AW94" s="551">
        <v>79</v>
      </c>
      <c r="AX94" s="550" t="s">
        <v>177</v>
      </c>
      <c r="AY94" s="551">
        <v>6</v>
      </c>
      <c r="AZ9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4" s="550"/>
      <c r="BB94" s="550" t="s">
        <v>1068</v>
      </c>
      <c r="BC94" s="550" t="s">
        <v>1060</v>
      </c>
      <c r="BD94" s="550"/>
      <c r="BF94" s="556"/>
      <c r="BG94" s="556"/>
      <c r="BH94" s="556"/>
      <c r="BI94" s="556"/>
      <c r="BJ94" s="556"/>
      <c r="BK94" s="556"/>
      <c r="BL94" s="556"/>
      <c r="BM94" s="556"/>
      <c r="BN94" s="556"/>
      <c r="BO94" s="556"/>
      <c r="BP94" s="556"/>
      <c r="BQ94" s="556"/>
      <c r="BR94" s="556"/>
      <c r="BS94" s="556"/>
      <c r="BT94" s="556"/>
      <c r="BU94" s="571" t="str" cm="1">
        <f t="array" ref="BU94">IFERROR(_xlfn.LET(_xlpm.i,ROWS($BU$2:BU94),_xlpm.cur,INDEX(tblLaminateStructures[Laminate],_xlpm.i),_xlpm.prev,IF(_xlpm.i=1,"",INDEX(tblLaminateStructures[Laminate],_xlpm.i-1)),IF(_xlpm.cur&lt;&gt;_xlpm.prev,_xlpm.cur,"")),"")</f>
        <v/>
      </c>
      <c r="BV94" s="572" t="str" cm="1">
        <f t="array" ref="BV94">IFERROR(_xlfn.LET(_xlpm.i,ROWS($BV$2:BV94),_xlpm.cur,INDEX(tblLaminateStructures[Total Thickness (µ)],_xlpm.i),_xlpm.prev,IF(_xlpm.i=1,"",INDEX(tblLaminateStructures[Total Thickness (µ)],_xlpm.i-1)),IF(OR(_xlpm.cur&lt;&gt;_xlpm.prev,BU94&lt;&gt;""),_xlpm.cur,"")),"")</f>
        <v/>
      </c>
      <c r="BW94" s="573" t="str" cm="1">
        <f t="array" ref="BW94">IFERROR(INDEX(tblLaminateStructures[Material / Layer],ROWS($BW$2:BW94)),"")</f>
        <v>RM G Epotal ECO 3675</v>
      </c>
      <c r="BX94" s="572" cm="1">
        <f t="array" ref="BX94">IFERROR(INDEX(tblLaminateStructures[Layer Thickness (µ)],ROWS($BX$2:BX94)),"")</f>
        <v>6</v>
      </c>
      <c r="BY94" s="572" cm="1">
        <f t="array" ref="BY94">IFERROR(INDEX(tblLaminateStructures[Structure Check],ROWS($BY$2:BY94)),"")</f>
        <v>78</v>
      </c>
      <c r="BZ94" s="573" t="str" cm="1">
        <f t="array" ref="BZ94">IFERROR(INDEX(tblLaminateStructures[Laminate],ROWS($BZ$2:BZ94)),"")</f>
        <v>821M</v>
      </c>
      <c r="CA94" s="573"/>
      <c r="CB94" s="573"/>
      <c r="CC94" s="572" cm="1">
        <f t="array" ref="CC94">IFERROR(INDEX(tblLaminateStructures[Total Thickness (µ)],ROWS($CC$2:CC94)),"")</f>
        <v>79</v>
      </c>
      <c r="CD94" s="572"/>
      <c r="CE94" s="572"/>
      <c r="CF94" s="572"/>
      <c r="CG94" s="573"/>
      <c r="CH94" s="574"/>
    </row>
    <row r="95" spans="48:86">
      <c r="AV95" s="550">
        <v>120</v>
      </c>
      <c r="AW95" s="551">
        <v>98</v>
      </c>
      <c r="AX95" s="550" t="s">
        <v>0</v>
      </c>
      <c r="AY95" s="551">
        <v>25</v>
      </c>
      <c r="AZ9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5" s="550"/>
      <c r="BB95" s="550" t="s">
        <v>1068</v>
      </c>
      <c r="BC95" s="550" t="s">
        <v>1060</v>
      </c>
      <c r="BD95" s="550"/>
      <c r="BF95" s="556"/>
      <c r="BG95" s="556"/>
      <c r="BH95" s="556"/>
      <c r="BI95" s="556"/>
      <c r="BJ95" s="556"/>
      <c r="BK95" s="556"/>
      <c r="BL95" s="556"/>
      <c r="BM95" s="556"/>
      <c r="BN95" s="556"/>
      <c r="BO95" s="556"/>
      <c r="BP95" s="556"/>
      <c r="BQ95" s="556"/>
      <c r="BR95" s="556"/>
      <c r="BS95" s="556"/>
      <c r="BT95" s="556"/>
      <c r="BU95" s="571" cm="1">
        <f t="array" ref="BU95">IFERROR(_xlfn.LET(_xlpm.i,ROWS($BU$2:BU95),_xlpm.cur,INDEX(tblLaminateStructures[Laminate],_xlpm.i),_xlpm.prev,IF(_xlpm.i=1,"",INDEX(tblLaminateStructures[Laminate],_xlpm.i-1)),IF(_xlpm.cur&lt;&gt;_xlpm.prev,_xlpm.cur,"")),"")</f>
        <v>120</v>
      </c>
      <c r="BV95" s="572" cm="1">
        <f t="array" ref="BV95">IFERROR(_xlfn.LET(_xlpm.i,ROWS($BV$2:BV95),_xlpm.cur,INDEX(tblLaminateStructures[Total Thickness (µ)],_xlpm.i),_xlpm.prev,IF(_xlpm.i=1,"",INDEX(tblLaminateStructures[Total Thickness (µ)],_xlpm.i-1)),IF(OR(_xlpm.cur&lt;&gt;_xlpm.prev,BU95&lt;&gt;""),_xlpm.cur,"")),"")</f>
        <v>98</v>
      </c>
      <c r="BW95" s="573" t="str" cm="1">
        <f t="array" ref="BW95">IFERROR(INDEX(tblLaminateStructures[Material / Layer],ROWS($BW$2:BW95)),"")</f>
        <v>TIPA 302FG</v>
      </c>
      <c r="BX95" s="572" cm="1">
        <f t="array" ref="BX95">IFERROR(INDEX(tblLaminateStructures[Layer Thickness (µ)],ROWS($BX$2:BX95)),"")</f>
        <v>25</v>
      </c>
      <c r="BY95" s="572" cm="1">
        <f t="array" ref="BY95">IFERROR(INDEX(tblLaminateStructures[Structure Check],ROWS($BY$2:BY95)),"")</f>
        <v>98</v>
      </c>
      <c r="BZ95" s="573" cm="1">
        <f t="array" ref="BZ95">IFERROR(INDEX(tblLaminateStructures[Laminate],ROWS($BZ$2:BZ95)),"")</f>
        <v>120</v>
      </c>
      <c r="CA95" s="573"/>
      <c r="CB95" s="573"/>
      <c r="CC95" s="572" cm="1">
        <f t="array" ref="CC95">IFERROR(INDEX(tblLaminateStructures[Total Thickness (µ)],ROWS($CC$2:CC95)),"")</f>
        <v>98</v>
      </c>
      <c r="CD95" s="572"/>
      <c r="CE95" s="572"/>
      <c r="CF95" s="572"/>
      <c r="CG95" s="573"/>
      <c r="CH95" s="574"/>
    </row>
    <row r="96" spans="48:86">
      <c r="AV96" s="550">
        <v>120</v>
      </c>
      <c r="AW96" s="551">
        <v>98</v>
      </c>
      <c r="AX96" s="550" t="s">
        <v>1075</v>
      </c>
      <c r="AY96" s="551">
        <v>7</v>
      </c>
      <c r="AZ9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6" s="550"/>
      <c r="BB96" s="550" t="s">
        <v>1068</v>
      </c>
      <c r="BC96" s="550" t="s">
        <v>1060</v>
      </c>
      <c r="BD96" s="550"/>
      <c r="BF96" s="556"/>
      <c r="BG96" s="556"/>
      <c r="BH96" s="556"/>
      <c r="BI96" s="556"/>
      <c r="BJ96" s="556"/>
      <c r="BK96" s="556"/>
      <c r="BL96" s="556"/>
      <c r="BM96" s="556"/>
      <c r="BN96" s="556"/>
      <c r="BO96" s="556"/>
      <c r="BP96" s="556"/>
      <c r="BQ96" s="556"/>
      <c r="BR96" s="556"/>
      <c r="BS96" s="556"/>
      <c r="BT96" s="556"/>
      <c r="BU96" s="571" t="str" cm="1">
        <f t="array" ref="BU96">IFERROR(_xlfn.LET(_xlpm.i,ROWS($BU$2:BU96),_xlpm.cur,INDEX(tblLaminateStructures[Laminate],_xlpm.i),_xlpm.prev,IF(_xlpm.i=1,"",INDEX(tblLaminateStructures[Laminate],_xlpm.i-1)),IF(_xlpm.cur&lt;&gt;_xlpm.prev,_xlpm.cur,"")),"")</f>
        <v/>
      </c>
      <c r="BV96" s="572" t="str" cm="1">
        <f t="array" ref="BV96">IFERROR(_xlfn.LET(_xlpm.i,ROWS($BV$2:BV96),_xlpm.cur,INDEX(tblLaminateStructures[Total Thickness (µ)],_xlpm.i),_xlpm.prev,IF(_xlpm.i=1,"",INDEX(tblLaminateStructures[Total Thickness (µ)],_xlpm.i-1)),IF(OR(_xlpm.cur&lt;&gt;_xlpm.prev,BU96&lt;&gt;""),_xlpm.cur,"")),"")</f>
        <v/>
      </c>
      <c r="BW96" s="573" t="str" cm="1">
        <f t="array" ref="BW96">IFERROR(INDEX(tblLaminateStructures[Material / Layer],ROWS($BW$2:BW96)),"")</f>
        <v>ALU</v>
      </c>
      <c r="BX96" s="572" cm="1">
        <f t="array" ref="BX96">IFERROR(INDEX(tblLaminateStructures[Layer Thickness (µ)],ROWS($BX$2:BX96)),"")</f>
        <v>7</v>
      </c>
      <c r="BY96" s="572" cm="1">
        <f t="array" ref="BY96">IFERROR(INDEX(tblLaminateStructures[Structure Check],ROWS($BY$2:BY96)),"")</f>
        <v>98</v>
      </c>
      <c r="BZ96" s="573" cm="1">
        <f t="array" ref="BZ96">IFERROR(INDEX(tblLaminateStructures[Laminate],ROWS($BZ$2:BZ96)),"")</f>
        <v>120</v>
      </c>
      <c r="CA96" s="573"/>
      <c r="CB96" s="573"/>
      <c r="CC96" s="572" cm="1">
        <f t="array" ref="CC96">IFERROR(INDEX(tblLaminateStructures[Total Thickness (µ)],ROWS($CC$2:CC96)),"")</f>
        <v>98</v>
      </c>
      <c r="CD96" s="572"/>
      <c r="CE96" s="572"/>
      <c r="CF96" s="572"/>
      <c r="CG96" s="573"/>
      <c r="CH96" s="574"/>
    </row>
    <row r="97" spans="48:86">
      <c r="AV97" s="550">
        <v>120</v>
      </c>
      <c r="AW97" s="551">
        <v>98</v>
      </c>
      <c r="AX97" s="550" t="s">
        <v>181</v>
      </c>
      <c r="AY97" s="551">
        <v>60</v>
      </c>
      <c r="AZ97"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7" s="550"/>
      <c r="BB97" s="550" t="s">
        <v>1068</v>
      </c>
      <c r="BC97" s="550" t="s">
        <v>1060</v>
      </c>
      <c r="BD97" s="550"/>
      <c r="BF97" s="556"/>
      <c r="BG97" s="556"/>
      <c r="BH97" s="556"/>
      <c r="BI97" s="556"/>
      <c r="BJ97" s="556"/>
      <c r="BK97" s="556"/>
      <c r="BL97" s="556"/>
      <c r="BM97" s="556"/>
      <c r="BN97" s="556"/>
      <c r="BO97" s="556"/>
      <c r="BP97" s="556"/>
      <c r="BQ97" s="556"/>
      <c r="BR97" s="556"/>
      <c r="BS97" s="556"/>
      <c r="BT97" s="556"/>
      <c r="BU97" s="571" t="str" cm="1">
        <f t="array" ref="BU97">IFERROR(_xlfn.LET(_xlpm.i,ROWS($BU$2:BU97),_xlpm.cur,INDEX(tblLaminateStructures[Laminate],_xlpm.i),_xlpm.prev,IF(_xlpm.i=1,"",INDEX(tblLaminateStructures[Laminate],_xlpm.i-1)),IF(_xlpm.cur&lt;&gt;_xlpm.prev,_xlpm.cur,"")),"")</f>
        <v/>
      </c>
      <c r="BV97" s="572" t="str" cm="1">
        <f t="array" ref="BV97">IFERROR(_xlfn.LET(_xlpm.i,ROWS($BV$2:BV97),_xlpm.cur,INDEX(tblLaminateStructures[Total Thickness (µ)],_xlpm.i),_xlpm.prev,IF(_xlpm.i=1,"",INDEX(tblLaminateStructures[Total Thickness (µ)],_xlpm.i-1)),IF(OR(_xlpm.cur&lt;&gt;_xlpm.prev,BU97&lt;&gt;""),_xlpm.cur,"")),"")</f>
        <v/>
      </c>
      <c r="BW97" s="573" t="str" cm="1">
        <f t="array" ref="BW97">IFERROR(INDEX(tblLaminateStructures[Material / Layer],ROWS($BW$2:BW97)),"")</f>
        <v>Billerud Kraft White Paper</v>
      </c>
      <c r="BX97" s="572" cm="1">
        <f t="array" ref="BX97">IFERROR(INDEX(tblLaminateStructures[Layer Thickness (µ)],ROWS($BX$2:BX97)),"")</f>
        <v>60</v>
      </c>
      <c r="BY97" s="572" cm="1">
        <f t="array" ref="BY97">IFERROR(INDEX(tblLaminateStructures[Structure Check],ROWS($BY$2:BY97)),"")</f>
        <v>98</v>
      </c>
      <c r="BZ97" s="573" cm="1">
        <f t="array" ref="BZ97">IFERROR(INDEX(tblLaminateStructures[Laminate],ROWS($BZ$2:BZ97)),"")</f>
        <v>120</v>
      </c>
      <c r="CA97" s="573"/>
      <c r="CB97" s="573"/>
      <c r="CC97" s="572" cm="1">
        <f t="array" ref="CC97">IFERROR(INDEX(tblLaminateStructures[Total Thickness (µ)],ROWS($CC$2:CC97)),"")</f>
        <v>98</v>
      </c>
      <c r="CD97" s="572"/>
      <c r="CE97" s="572"/>
      <c r="CF97" s="572"/>
      <c r="CG97" s="573"/>
      <c r="CH97" s="574"/>
    </row>
    <row r="98" spans="48:86">
      <c r="AV98" s="550">
        <v>120</v>
      </c>
      <c r="AW98" s="551">
        <v>98</v>
      </c>
      <c r="AX98" s="550" t="s">
        <v>177</v>
      </c>
      <c r="AY98" s="551">
        <v>6</v>
      </c>
      <c r="AZ9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8" s="550"/>
      <c r="BB98" s="550" t="s">
        <v>1068</v>
      </c>
      <c r="BC98" s="550" t="s">
        <v>1060</v>
      </c>
      <c r="BD98" s="550"/>
      <c r="BF98" s="556"/>
      <c r="BG98" s="556"/>
      <c r="BH98" s="556"/>
      <c r="BI98" s="556"/>
      <c r="BJ98" s="556"/>
      <c r="BK98" s="556"/>
      <c r="BL98" s="556"/>
      <c r="BM98" s="556"/>
      <c r="BN98" s="556"/>
      <c r="BO98" s="556"/>
      <c r="BP98" s="556"/>
      <c r="BQ98" s="556"/>
      <c r="BR98" s="556"/>
      <c r="BS98" s="556"/>
      <c r="BT98" s="556"/>
      <c r="BU98" s="571" t="str" cm="1">
        <f t="array" ref="BU98">IFERROR(_xlfn.LET(_xlpm.i,ROWS($BU$2:BU98),_xlpm.cur,INDEX(tblLaminateStructures[Laminate],_xlpm.i),_xlpm.prev,IF(_xlpm.i=1,"",INDEX(tblLaminateStructures[Laminate],_xlpm.i-1)),IF(_xlpm.cur&lt;&gt;_xlpm.prev,_xlpm.cur,"")),"")</f>
        <v/>
      </c>
      <c r="BV98" s="572" t="str" cm="1">
        <f t="array" ref="BV98">IFERROR(_xlfn.LET(_xlpm.i,ROWS($BV$2:BV98),_xlpm.cur,INDEX(tblLaminateStructures[Total Thickness (µ)],_xlpm.i),_xlpm.prev,IF(_xlpm.i=1,"",INDEX(tblLaminateStructures[Total Thickness (µ)],_xlpm.i-1)),IF(OR(_xlpm.cur&lt;&gt;_xlpm.prev,BU98&lt;&gt;""),_xlpm.cur,"")),"")</f>
        <v/>
      </c>
      <c r="BW98" s="573" t="str" cm="1">
        <f t="array" ref="BW98">IFERROR(INDEX(tblLaminateStructures[Material / Layer],ROWS($BW$2:BW98)),"")</f>
        <v>RM G Epotal ECO 3675</v>
      </c>
      <c r="BX98" s="572" cm="1">
        <f t="array" ref="BX98">IFERROR(INDEX(tblLaminateStructures[Layer Thickness (µ)],ROWS($BX$2:BX98)),"")</f>
        <v>6</v>
      </c>
      <c r="BY98" s="572" cm="1">
        <f t="array" ref="BY98">IFERROR(INDEX(tblLaminateStructures[Structure Check],ROWS($BY$2:BY98)),"")</f>
        <v>98</v>
      </c>
      <c r="BZ98" s="573" cm="1">
        <f t="array" ref="BZ98">IFERROR(INDEX(tblLaminateStructures[Laminate],ROWS($BZ$2:BZ98)),"")</f>
        <v>120</v>
      </c>
      <c r="CA98" s="573"/>
      <c r="CB98" s="573"/>
      <c r="CC98" s="572" cm="1">
        <f t="array" ref="CC98">IFERROR(INDEX(tblLaminateStructures[Total Thickness (µ)],ROWS($CC$2:CC98)),"")</f>
        <v>98</v>
      </c>
      <c r="CD98" s="572"/>
      <c r="CE98" s="572"/>
      <c r="CF98" s="572"/>
      <c r="CG98" s="573"/>
      <c r="CH98" s="574"/>
    </row>
    <row r="99" spans="48:86">
      <c r="AV99" s="550">
        <v>748</v>
      </c>
      <c r="AW99" s="551">
        <v>55</v>
      </c>
      <c r="AX99" s="550" t="s">
        <v>44</v>
      </c>
      <c r="AY99" s="551">
        <v>20</v>
      </c>
      <c r="AZ9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99" s="550"/>
      <c r="BB99" s="550"/>
      <c r="BC99" s="550" t="s">
        <v>1060</v>
      </c>
      <c r="BD99" s="550"/>
      <c r="BF99" s="556"/>
      <c r="BG99" s="556"/>
      <c r="BH99" s="556"/>
      <c r="BI99" s="556"/>
      <c r="BJ99" s="556"/>
      <c r="BK99" s="556"/>
      <c r="BL99" s="556"/>
      <c r="BM99" s="556"/>
      <c r="BN99" s="556"/>
      <c r="BO99" s="556"/>
      <c r="BP99" s="556"/>
      <c r="BQ99" s="556"/>
      <c r="BR99" s="556"/>
      <c r="BS99" s="556"/>
      <c r="BT99" s="556"/>
      <c r="BU99" s="571" cm="1">
        <f t="array" ref="BU99">IFERROR(_xlfn.LET(_xlpm.i,ROWS($BU$2:BU99),_xlpm.cur,INDEX(tblLaminateStructures[Laminate],_xlpm.i),_xlpm.prev,IF(_xlpm.i=1,"",INDEX(tblLaminateStructures[Laminate],_xlpm.i-1)),IF(_xlpm.cur&lt;&gt;_xlpm.prev,_xlpm.cur,"")),"")</f>
        <v>748</v>
      </c>
      <c r="BV99" s="572" cm="1">
        <f t="array" ref="BV99">IFERROR(_xlfn.LET(_xlpm.i,ROWS($BV$2:BV99),_xlpm.cur,INDEX(tblLaminateStructures[Total Thickness (µ)],_xlpm.i),_xlpm.prev,IF(_xlpm.i=1,"",INDEX(tblLaminateStructures[Total Thickness (µ)],_xlpm.i-1)),IF(OR(_xlpm.cur&lt;&gt;_xlpm.prev,BU99&lt;&gt;""),_xlpm.cur,"")),"")</f>
        <v>55</v>
      </c>
      <c r="BW99" s="573" t="str" cm="1">
        <f t="array" ref="BW99">IFERROR(INDEX(tblLaminateStructures[Material / Layer],ROWS($BW$2:BW99)),"")</f>
        <v>TIPA 306M</v>
      </c>
      <c r="BX99" s="572" cm="1">
        <f t="array" ref="BX99">IFERROR(INDEX(tblLaminateStructures[Layer Thickness (µ)],ROWS($BX$2:BX99)),"")</f>
        <v>20</v>
      </c>
      <c r="BY99" s="572" cm="1">
        <f t="array" ref="BY99">IFERROR(INDEX(tblLaminateStructures[Structure Check],ROWS($BY$2:BY99)),"")</f>
        <v>55.18</v>
      </c>
      <c r="BZ99" s="573" cm="1">
        <f t="array" ref="BZ99">IFERROR(INDEX(tblLaminateStructures[Laminate],ROWS($BZ$2:BZ99)),"")</f>
        <v>748</v>
      </c>
      <c r="CA99" s="573"/>
      <c r="CB99" s="573"/>
      <c r="CC99" s="572" cm="1">
        <f t="array" ref="CC99">IFERROR(INDEX(tblLaminateStructures[Total Thickness (µ)],ROWS($CC$2:CC99)),"")</f>
        <v>55</v>
      </c>
      <c r="CD99" s="572"/>
      <c r="CE99" s="572"/>
      <c r="CF99" s="572"/>
      <c r="CG99" s="573"/>
      <c r="CH99" s="574"/>
    </row>
    <row r="100" spans="48:86">
      <c r="AV100" s="550">
        <v>748</v>
      </c>
      <c r="AW100" s="551">
        <v>55</v>
      </c>
      <c r="AX100" s="544" t="s">
        <v>2349</v>
      </c>
      <c r="AY100" s="551">
        <v>23</v>
      </c>
      <c r="AZ10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0" s="550"/>
      <c r="BB100" s="550"/>
      <c r="BC100" s="550" t="s">
        <v>1060</v>
      </c>
      <c r="BD100" s="550"/>
      <c r="BF100" s="556"/>
      <c r="BG100" s="556"/>
      <c r="BH100" s="556"/>
      <c r="BI100" s="556"/>
      <c r="BJ100" s="556"/>
      <c r="BK100" s="556"/>
      <c r="BL100" s="556"/>
      <c r="BM100" s="556"/>
      <c r="BN100" s="556"/>
      <c r="BO100" s="556"/>
      <c r="BP100" s="556"/>
      <c r="BQ100" s="556"/>
      <c r="BR100" s="556"/>
      <c r="BS100" s="556"/>
      <c r="BT100" s="556"/>
      <c r="BU100" s="571" t="str" cm="1">
        <f t="array" ref="BU100">IFERROR(_xlfn.LET(_xlpm.i,ROWS($BU$2:BU100),_xlpm.cur,INDEX(tblLaminateStructures[Laminate],_xlpm.i),_xlpm.prev,IF(_xlpm.i=1,"",INDEX(tblLaminateStructures[Laminate],_xlpm.i-1)),IF(_xlpm.cur&lt;&gt;_xlpm.prev,_xlpm.cur,"")),"")</f>
        <v/>
      </c>
      <c r="BV100" s="572" t="str" cm="1">
        <f t="array" ref="BV100">IFERROR(_xlfn.LET(_xlpm.i,ROWS($BV$2:BV100),_xlpm.cur,INDEX(tblLaminateStructures[Total Thickness (µ)],_xlpm.i),_xlpm.prev,IF(_xlpm.i=1,"",INDEX(tblLaminateStructures[Total Thickness (µ)],_xlpm.i-1)),IF(OR(_xlpm.cur&lt;&gt;_xlpm.prev,BU100&lt;&gt;""),_xlpm.cur,"")),"")</f>
        <v/>
      </c>
      <c r="BW100" s="573" t="str" cm="1">
        <f t="array" ref="BW100">IFERROR(INDEX(tblLaminateStructures[Material / Layer],ROWS($BW$2:BW100)),"")</f>
        <v>NVS</v>
      </c>
      <c r="BX100" s="572" cm="1">
        <f t="array" ref="BX100">IFERROR(INDEX(tblLaminateStructures[Layer Thickness (µ)],ROWS($BX$2:BX100)),"")</f>
        <v>23</v>
      </c>
      <c r="BY100" s="572" cm="1">
        <f t="array" ref="BY100">IFERROR(INDEX(tblLaminateStructures[Structure Check],ROWS($BY$2:BY100)),"")</f>
        <v>55.18</v>
      </c>
      <c r="BZ100" s="573" cm="1">
        <f t="array" ref="BZ100">IFERROR(INDEX(tblLaminateStructures[Laminate],ROWS($BZ$2:BZ100)),"")</f>
        <v>748</v>
      </c>
      <c r="CA100" s="573"/>
      <c r="CB100" s="573"/>
      <c r="CC100" s="572" cm="1">
        <f t="array" ref="CC100">IFERROR(INDEX(tblLaminateStructures[Total Thickness (µ)],ROWS($CC$2:CC100)),"")</f>
        <v>55</v>
      </c>
      <c r="CD100" s="572"/>
      <c r="CE100" s="572"/>
      <c r="CF100" s="572"/>
      <c r="CG100" s="573"/>
      <c r="CH100" s="574"/>
    </row>
    <row r="101" spans="48:86">
      <c r="AV101" s="550">
        <v>748</v>
      </c>
      <c r="AW101" s="551">
        <v>55</v>
      </c>
      <c r="AX101" s="550" t="s">
        <v>173</v>
      </c>
      <c r="AY101" s="551">
        <v>6</v>
      </c>
      <c r="AZ10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1" s="550"/>
      <c r="BB101" s="550"/>
      <c r="BC101" s="550" t="s">
        <v>1060</v>
      </c>
      <c r="BD101" s="550"/>
      <c r="BF101" s="556"/>
      <c r="BG101" s="556"/>
      <c r="BH101" s="556"/>
      <c r="BI101" s="556"/>
      <c r="BJ101" s="556"/>
      <c r="BK101" s="556"/>
      <c r="BL101" s="556"/>
      <c r="BM101" s="556"/>
      <c r="BN101" s="556"/>
      <c r="BO101" s="556"/>
      <c r="BP101" s="556"/>
      <c r="BQ101" s="556"/>
      <c r="BR101" s="556"/>
      <c r="BS101" s="556"/>
      <c r="BT101" s="556"/>
      <c r="BU101" s="571" t="str" cm="1">
        <f t="array" ref="BU101">IFERROR(_xlfn.LET(_xlpm.i,ROWS($BU$2:BU101),_xlpm.cur,INDEX(tblLaminateStructures[Laminate],_xlpm.i),_xlpm.prev,IF(_xlpm.i=1,"",INDEX(tblLaminateStructures[Laminate],_xlpm.i-1)),IF(_xlpm.cur&lt;&gt;_xlpm.prev,_xlpm.cur,"")),"")</f>
        <v/>
      </c>
      <c r="BV101" s="572" t="str" cm="1">
        <f t="array" ref="BV101">IFERROR(_xlfn.LET(_xlpm.i,ROWS($BV$2:BV101),_xlpm.cur,INDEX(tblLaminateStructures[Total Thickness (µ)],_xlpm.i),_xlpm.prev,IF(_xlpm.i=1,"",INDEX(tblLaminateStructures[Total Thickness (µ)],_xlpm.i-1)),IF(OR(_xlpm.cur&lt;&gt;_xlpm.prev,BU101&lt;&gt;""),_xlpm.cur,"")),"")</f>
        <v/>
      </c>
      <c r="BW101" s="573" t="str" cm="1">
        <f t="array" ref="BW101">IFERROR(INDEX(tblLaminateStructures[Material / Layer],ROWS($BW$2:BW101)),"")</f>
        <v>RM G Epotal Eco 3702</v>
      </c>
      <c r="BX101" s="572" cm="1">
        <f t="array" ref="BX101">IFERROR(INDEX(tblLaminateStructures[Layer Thickness (µ)],ROWS($BX$2:BX101)),"")</f>
        <v>6</v>
      </c>
      <c r="BY101" s="572" cm="1">
        <f t="array" ref="BY101">IFERROR(INDEX(tblLaminateStructures[Structure Check],ROWS($BY$2:BY101)),"")</f>
        <v>55.18</v>
      </c>
      <c r="BZ101" s="573" cm="1">
        <f t="array" ref="BZ101">IFERROR(INDEX(tblLaminateStructures[Laminate],ROWS($BZ$2:BZ101)),"")</f>
        <v>748</v>
      </c>
      <c r="CA101" s="573"/>
      <c r="CB101" s="573"/>
      <c r="CC101" s="572" cm="1">
        <f t="array" ref="CC101">IFERROR(INDEX(tblLaminateStructures[Total Thickness (µ)],ROWS($CC$2:CC101)),"")</f>
        <v>55</v>
      </c>
      <c r="CD101" s="572"/>
      <c r="CE101" s="572"/>
      <c r="CF101" s="572"/>
      <c r="CG101" s="573"/>
      <c r="CH101" s="574"/>
    </row>
    <row r="102" spans="48:86">
      <c r="AV102" s="550">
        <v>748</v>
      </c>
      <c r="AW102" s="551">
        <v>55</v>
      </c>
      <c r="AX102" s="544" t="s">
        <v>1075</v>
      </c>
      <c r="AY102" s="551">
        <v>6</v>
      </c>
      <c r="AZ10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2" s="550"/>
      <c r="BB102" s="550"/>
      <c r="BC102" s="550" t="s">
        <v>1060</v>
      </c>
      <c r="BD102" s="550"/>
      <c r="BF102" s="556"/>
      <c r="BG102" s="556"/>
      <c r="BH102" s="556"/>
      <c r="BI102" s="556"/>
      <c r="BJ102" s="556"/>
      <c r="BK102" s="556"/>
      <c r="BL102" s="556"/>
      <c r="BM102" s="556"/>
      <c r="BN102" s="556"/>
      <c r="BO102" s="556"/>
      <c r="BP102" s="556"/>
      <c r="BQ102" s="556"/>
      <c r="BR102" s="556"/>
      <c r="BS102" s="556"/>
      <c r="BT102" s="556"/>
      <c r="BU102" s="571" t="str" cm="1">
        <f t="array" ref="BU102">IFERROR(_xlfn.LET(_xlpm.i,ROWS($BU$2:BU102),_xlpm.cur,INDEX(tblLaminateStructures[Laminate],_xlpm.i),_xlpm.prev,IF(_xlpm.i=1,"",INDEX(tblLaminateStructures[Laminate],_xlpm.i-1)),IF(_xlpm.cur&lt;&gt;_xlpm.prev,_xlpm.cur,"")),"")</f>
        <v/>
      </c>
      <c r="BV102" s="572" t="str" cm="1">
        <f t="array" ref="BV102">IFERROR(_xlfn.LET(_xlpm.i,ROWS($BV$2:BV102),_xlpm.cur,INDEX(tblLaminateStructures[Total Thickness (µ)],_xlpm.i),_xlpm.prev,IF(_xlpm.i=1,"",INDEX(tblLaminateStructures[Total Thickness (µ)],_xlpm.i-1)),IF(OR(_xlpm.cur&lt;&gt;_xlpm.prev,BU102&lt;&gt;""),_xlpm.cur,"")),"")</f>
        <v/>
      </c>
      <c r="BW102" s="573" t="str" cm="1">
        <f t="array" ref="BW102">IFERROR(INDEX(tblLaminateStructures[Material / Layer],ROWS($BW$2:BW102)),"")</f>
        <v>ALU</v>
      </c>
      <c r="BX102" s="572" cm="1">
        <f t="array" ref="BX102">IFERROR(INDEX(tblLaminateStructures[Layer Thickness (µ)],ROWS($BX$2:BX102)),"")</f>
        <v>6</v>
      </c>
      <c r="BY102" s="572" cm="1">
        <f t="array" ref="BY102">IFERROR(INDEX(tblLaminateStructures[Structure Check],ROWS($BY$2:BY102)),"")</f>
        <v>55.18</v>
      </c>
      <c r="BZ102" s="573" cm="1">
        <f t="array" ref="BZ102">IFERROR(INDEX(tblLaminateStructures[Laminate],ROWS($BZ$2:BZ102)),"")</f>
        <v>748</v>
      </c>
      <c r="CA102" s="573"/>
      <c r="CB102" s="573"/>
      <c r="CC102" s="572" cm="1">
        <f t="array" ref="CC102">IFERROR(INDEX(tblLaminateStructures[Total Thickness (µ)],ROWS($CC$2:CC102)),"")</f>
        <v>55</v>
      </c>
      <c r="CD102" s="572"/>
      <c r="CE102" s="572"/>
      <c r="CF102" s="572"/>
      <c r="CG102" s="573"/>
      <c r="CH102" s="574"/>
    </row>
    <row r="103" spans="48:86">
      <c r="AV103" s="550">
        <v>748</v>
      </c>
      <c r="AW103" s="551">
        <v>55</v>
      </c>
      <c r="AX103" s="550" t="s">
        <v>174</v>
      </c>
      <c r="AY103" s="551">
        <v>0.18</v>
      </c>
      <c r="AZ103"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3" s="550"/>
      <c r="BB103" s="550"/>
      <c r="BC103" s="550" t="s">
        <v>1060</v>
      </c>
      <c r="BD103" s="550"/>
      <c r="BF103" s="556"/>
      <c r="BG103" s="556"/>
      <c r="BH103" s="556"/>
      <c r="BI103" s="556"/>
      <c r="BJ103" s="556"/>
      <c r="BK103" s="556"/>
      <c r="BL103" s="556"/>
      <c r="BM103" s="556"/>
      <c r="BN103" s="556"/>
      <c r="BO103" s="556"/>
      <c r="BP103" s="556"/>
      <c r="BQ103" s="556"/>
      <c r="BR103" s="556"/>
      <c r="BS103" s="556"/>
      <c r="BT103" s="556"/>
      <c r="BU103" s="571" t="str" cm="1">
        <f t="array" ref="BU103">IFERROR(_xlfn.LET(_xlpm.i,ROWS($BU$2:BU103),_xlpm.cur,INDEX(tblLaminateStructures[Laminate],_xlpm.i),_xlpm.prev,IF(_xlpm.i=1,"",INDEX(tblLaminateStructures[Laminate],_xlpm.i-1)),IF(_xlpm.cur&lt;&gt;_xlpm.prev,_xlpm.cur,"")),"")</f>
        <v/>
      </c>
      <c r="BV103" s="572" t="str" cm="1">
        <f t="array" ref="BV103">IFERROR(_xlfn.LET(_xlpm.i,ROWS($BV$2:BV103),_xlpm.cur,INDEX(tblLaminateStructures[Total Thickness (µ)],_xlpm.i),_xlpm.prev,IF(_xlpm.i=1,"",INDEX(tblLaminateStructures[Total Thickness (µ)],_xlpm.i-1)),IF(OR(_xlpm.cur&lt;&gt;_xlpm.prev,BU103&lt;&gt;""),_xlpm.cur,"")),"")</f>
        <v/>
      </c>
      <c r="BW103" s="573" t="str" cm="1">
        <f t="array" ref="BW103">IFERROR(INDEX(tblLaminateStructures[Material / Layer],ROWS($BW$2:BW103)),"")</f>
        <v>RM G Basonat HW 2270</v>
      </c>
      <c r="BX103" s="572" cm="1">
        <f t="array" ref="BX103">IFERROR(INDEX(tblLaminateStructures[Layer Thickness (µ)],ROWS($BX$2:BX103)),"")</f>
        <v>0.18</v>
      </c>
      <c r="BY103" s="572" cm="1">
        <f t="array" ref="BY103">IFERROR(INDEX(tblLaminateStructures[Structure Check],ROWS($BY$2:BY103)),"")</f>
        <v>55.18</v>
      </c>
      <c r="BZ103" s="573" cm="1">
        <f t="array" ref="BZ103">IFERROR(INDEX(tblLaminateStructures[Laminate],ROWS($BZ$2:BZ103)),"")</f>
        <v>748</v>
      </c>
      <c r="CA103" s="573"/>
      <c r="CB103" s="573"/>
      <c r="CC103" s="572" cm="1">
        <f t="array" ref="CC103">IFERROR(INDEX(tblLaminateStructures[Total Thickness (µ)],ROWS($CC$2:CC103)),"")</f>
        <v>55</v>
      </c>
      <c r="CD103" s="572"/>
      <c r="CE103" s="572"/>
      <c r="CF103" s="572"/>
      <c r="CG103" s="573"/>
      <c r="CH103" s="574"/>
    </row>
    <row r="104" spans="48:86">
      <c r="AV104" s="550">
        <v>648</v>
      </c>
      <c r="AW104" s="551">
        <v>77</v>
      </c>
      <c r="AX104" s="550" t="s">
        <v>168</v>
      </c>
      <c r="AY104" s="551">
        <v>23</v>
      </c>
      <c r="AZ104"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4" s="550"/>
      <c r="BB104" s="544" t="s">
        <v>1068</v>
      </c>
      <c r="BC104" s="544" t="s">
        <v>1060</v>
      </c>
      <c r="BD104" s="550"/>
      <c r="BF104" s="556"/>
      <c r="BG104" s="556"/>
      <c r="BH104" s="556"/>
      <c r="BI104" s="556"/>
      <c r="BJ104" s="556"/>
      <c r="BK104" s="556"/>
      <c r="BL104" s="556"/>
      <c r="BM104" s="556"/>
      <c r="BN104" s="556"/>
      <c r="BO104" s="556"/>
      <c r="BP104" s="556"/>
      <c r="BQ104" s="556"/>
      <c r="BR104" s="556"/>
      <c r="BS104" s="556"/>
      <c r="BT104" s="556"/>
      <c r="BU104" s="571" cm="1">
        <f t="array" ref="BU104">IFERROR(_xlfn.LET(_xlpm.i,ROWS($BU$2:BU104),_xlpm.cur,INDEX(tblLaminateStructures[Laminate],_xlpm.i),_xlpm.prev,IF(_xlpm.i=1,"",INDEX(tblLaminateStructures[Laminate],_xlpm.i-1)),IF(_xlpm.cur&lt;&gt;_xlpm.prev,_xlpm.cur,"")),"")</f>
        <v>648</v>
      </c>
      <c r="BV104" s="572" cm="1">
        <f t="array" ref="BV104">IFERROR(_xlfn.LET(_xlpm.i,ROWS($BV$2:BV104),_xlpm.cur,INDEX(tblLaminateStructures[Total Thickness (µ)],_xlpm.i),_xlpm.prev,IF(_xlpm.i=1,"",INDEX(tblLaminateStructures[Total Thickness (µ)],_xlpm.i-1)),IF(OR(_xlpm.cur&lt;&gt;_xlpm.prev,BU104&lt;&gt;""),_xlpm.cur,"")),"")</f>
        <v>77</v>
      </c>
      <c r="BW104" s="573" t="str" cm="1">
        <f t="array" ref="BW104">IFERROR(INDEX(tblLaminateStructures[Material / Layer],ROWS($BW$2:BW104)),"")</f>
        <v>NK</v>
      </c>
      <c r="BX104" s="572" cm="1">
        <f t="array" ref="BX104">IFERROR(INDEX(tblLaminateStructures[Layer Thickness (µ)],ROWS($BX$2:BX104)),"")</f>
        <v>23</v>
      </c>
      <c r="BY104" s="572" cm="1">
        <f t="array" ref="BY104">IFERROR(INDEX(tblLaminateStructures[Structure Check],ROWS($BY$2:BY104)),"")</f>
        <v>77.09</v>
      </c>
      <c r="BZ104" s="573" cm="1">
        <f t="array" ref="BZ104">IFERROR(INDEX(tblLaminateStructures[Laminate],ROWS($BZ$2:BZ104)),"")</f>
        <v>648</v>
      </c>
      <c r="CA104" s="573"/>
      <c r="CB104" s="573"/>
      <c r="CC104" s="572" cm="1">
        <f t="array" ref="CC104">IFERROR(INDEX(tblLaminateStructures[Total Thickness (µ)],ROWS($CC$2:CC104)),"")</f>
        <v>77</v>
      </c>
      <c r="CD104" s="572"/>
      <c r="CE104" s="572"/>
      <c r="CF104" s="572"/>
      <c r="CG104" s="573"/>
      <c r="CH104" s="574"/>
    </row>
    <row r="105" spans="48:86">
      <c r="AV105" s="550">
        <v>648</v>
      </c>
      <c r="AW105" s="551">
        <v>77</v>
      </c>
      <c r="AX105" s="550" t="s">
        <v>0</v>
      </c>
      <c r="AY105" s="551">
        <v>50</v>
      </c>
      <c r="AZ105"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5" s="550"/>
      <c r="BB105" s="544" t="s">
        <v>1068</v>
      </c>
      <c r="BC105" s="544" t="s">
        <v>1060</v>
      </c>
      <c r="BD105" s="550"/>
      <c r="BF105" s="556"/>
      <c r="BG105" s="556"/>
      <c r="BH105" s="556"/>
      <c r="BI105" s="556"/>
      <c r="BJ105" s="556"/>
      <c r="BK105" s="556"/>
      <c r="BL105" s="556"/>
      <c r="BM105" s="556"/>
      <c r="BN105" s="556"/>
      <c r="BO105" s="556"/>
      <c r="BP105" s="556"/>
      <c r="BQ105" s="556"/>
      <c r="BR105" s="556"/>
      <c r="BS105" s="556"/>
      <c r="BT105" s="556"/>
      <c r="BU105" s="571" t="str" cm="1">
        <f t="array" ref="BU105">IFERROR(_xlfn.LET(_xlpm.i,ROWS($BU$2:BU105),_xlpm.cur,INDEX(tblLaminateStructures[Laminate],_xlpm.i),_xlpm.prev,IF(_xlpm.i=1,"",INDEX(tblLaminateStructures[Laminate],_xlpm.i-1)),IF(_xlpm.cur&lt;&gt;_xlpm.prev,_xlpm.cur,"")),"")</f>
        <v/>
      </c>
      <c r="BV105" s="572" t="str" cm="1">
        <f t="array" ref="BV105">IFERROR(_xlfn.LET(_xlpm.i,ROWS($BV$2:BV105),_xlpm.cur,INDEX(tblLaminateStructures[Total Thickness (µ)],_xlpm.i),_xlpm.prev,IF(_xlpm.i=1,"",INDEX(tblLaminateStructures[Total Thickness (µ)],_xlpm.i-1)),IF(OR(_xlpm.cur&lt;&gt;_xlpm.prev,BU105&lt;&gt;""),_xlpm.cur,"")),"")</f>
        <v/>
      </c>
      <c r="BW105" s="573" t="str" cm="1">
        <f t="array" ref="BW105">IFERROR(INDEX(tblLaminateStructures[Material / Layer],ROWS($BW$2:BW105)),"")</f>
        <v>TIPA 302FG</v>
      </c>
      <c r="BX105" s="572" cm="1">
        <f t="array" ref="BX105">IFERROR(INDEX(tblLaminateStructures[Layer Thickness (µ)],ROWS($BX$2:BX105)),"")</f>
        <v>50</v>
      </c>
      <c r="BY105" s="572" cm="1">
        <f t="array" ref="BY105">IFERROR(INDEX(tblLaminateStructures[Structure Check],ROWS($BY$2:BY105)),"")</f>
        <v>77.09</v>
      </c>
      <c r="BZ105" s="573" cm="1">
        <f t="array" ref="BZ105">IFERROR(INDEX(tblLaminateStructures[Laminate],ROWS($BZ$2:BZ105)),"")</f>
        <v>648</v>
      </c>
      <c r="CA105" s="573"/>
      <c r="CB105" s="573"/>
      <c r="CC105" s="572" cm="1">
        <f t="array" ref="CC105">IFERROR(INDEX(tblLaminateStructures[Total Thickness (µ)],ROWS($CC$2:CC105)),"")</f>
        <v>77</v>
      </c>
      <c r="CD105" s="572"/>
      <c r="CE105" s="572"/>
      <c r="CF105" s="572"/>
      <c r="CG105" s="573"/>
      <c r="CH105" s="574"/>
    </row>
    <row r="106" spans="48:86">
      <c r="AV106" s="550">
        <v>648</v>
      </c>
      <c r="AW106" s="551">
        <v>77</v>
      </c>
      <c r="AX106" s="550" t="s">
        <v>173</v>
      </c>
      <c r="AY106" s="551">
        <v>4</v>
      </c>
      <c r="AZ106"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6" s="550"/>
      <c r="BB106" s="544" t="s">
        <v>1068</v>
      </c>
      <c r="BC106" s="544" t="s">
        <v>1060</v>
      </c>
      <c r="BD106" s="550"/>
      <c r="BF106" s="556"/>
      <c r="BG106" s="556"/>
      <c r="BH106" s="556"/>
      <c r="BI106" s="556"/>
      <c r="BJ106" s="556"/>
      <c r="BK106" s="556"/>
      <c r="BL106" s="556"/>
      <c r="BM106" s="556"/>
      <c r="BN106" s="556"/>
      <c r="BO106" s="556"/>
      <c r="BP106" s="556"/>
      <c r="BQ106" s="556"/>
      <c r="BR106" s="556"/>
      <c r="BS106" s="556"/>
      <c r="BT106" s="556"/>
      <c r="BU106" s="571" t="str" cm="1">
        <f t="array" ref="BU106">IFERROR(_xlfn.LET(_xlpm.i,ROWS($BU$2:BU106),_xlpm.cur,INDEX(tblLaminateStructures[Laminate],_xlpm.i),_xlpm.prev,IF(_xlpm.i=1,"",INDEX(tblLaminateStructures[Laminate],_xlpm.i-1)),IF(_xlpm.cur&lt;&gt;_xlpm.prev,_xlpm.cur,"")),"")</f>
        <v/>
      </c>
      <c r="BV106" s="572" t="str" cm="1">
        <f t="array" ref="BV106">IFERROR(_xlfn.LET(_xlpm.i,ROWS($BV$2:BV106),_xlpm.cur,INDEX(tblLaminateStructures[Total Thickness (µ)],_xlpm.i),_xlpm.prev,IF(_xlpm.i=1,"",INDEX(tblLaminateStructures[Total Thickness (µ)],_xlpm.i-1)),IF(OR(_xlpm.cur&lt;&gt;_xlpm.prev,BU106&lt;&gt;""),_xlpm.cur,"")),"")</f>
        <v/>
      </c>
      <c r="BW106" s="573" t="str" cm="1">
        <f t="array" ref="BW106">IFERROR(INDEX(tblLaminateStructures[Material / Layer],ROWS($BW$2:BW106)),"")</f>
        <v>RM G Epotal Eco 3702</v>
      </c>
      <c r="BX106" s="572" cm="1">
        <f t="array" ref="BX106">IFERROR(INDEX(tblLaminateStructures[Layer Thickness (µ)],ROWS($BX$2:BX106)),"")</f>
        <v>4</v>
      </c>
      <c r="BY106" s="572" cm="1">
        <f t="array" ref="BY106">IFERROR(INDEX(tblLaminateStructures[Structure Check],ROWS($BY$2:BY106)),"")</f>
        <v>77.09</v>
      </c>
      <c r="BZ106" s="573" cm="1">
        <f t="array" ref="BZ106">IFERROR(INDEX(tblLaminateStructures[Laminate],ROWS($BZ$2:BZ106)),"")</f>
        <v>648</v>
      </c>
      <c r="CA106" s="573"/>
      <c r="CB106" s="573"/>
      <c r="CC106" s="572" cm="1">
        <f t="array" ref="CC106">IFERROR(INDEX(tblLaminateStructures[Total Thickness (µ)],ROWS($CC$2:CC106)),"")</f>
        <v>77</v>
      </c>
      <c r="CD106" s="572"/>
      <c r="CE106" s="572"/>
      <c r="CF106" s="572"/>
      <c r="CG106" s="573"/>
      <c r="CH106" s="574"/>
    </row>
    <row r="107" spans="48:86">
      <c r="AV107" s="550">
        <v>648</v>
      </c>
      <c r="AW107" s="551">
        <v>77</v>
      </c>
      <c r="AX107" s="550" t="s">
        <v>174</v>
      </c>
      <c r="AY107" s="551">
        <v>0.09</v>
      </c>
      <c r="AZ107"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7" s="550"/>
      <c r="BB107" s="544" t="s">
        <v>1068</v>
      </c>
      <c r="BC107" s="544" t="s">
        <v>1060</v>
      </c>
      <c r="BD107" s="550"/>
      <c r="BF107" s="556"/>
      <c r="BG107" s="556"/>
      <c r="BH107" s="556"/>
      <c r="BI107" s="556"/>
      <c r="BJ107" s="556"/>
      <c r="BK107" s="556"/>
      <c r="BL107" s="556"/>
      <c r="BM107" s="556"/>
      <c r="BN107" s="556"/>
      <c r="BO107" s="556"/>
      <c r="BP107" s="556"/>
      <c r="BQ107" s="556"/>
      <c r="BR107" s="556"/>
      <c r="BS107" s="556"/>
      <c r="BT107" s="556"/>
      <c r="BU107" s="571" t="str" cm="1">
        <f t="array" ref="BU107">IFERROR(_xlfn.LET(_xlpm.i,ROWS($BU$2:BU107),_xlpm.cur,INDEX(tblLaminateStructures[Laminate],_xlpm.i),_xlpm.prev,IF(_xlpm.i=1,"",INDEX(tblLaminateStructures[Laminate],_xlpm.i-1)),IF(_xlpm.cur&lt;&gt;_xlpm.prev,_xlpm.cur,"")),"")</f>
        <v/>
      </c>
      <c r="BV107" s="572" t="str" cm="1">
        <f t="array" ref="BV107">IFERROR(_xlfn.LET(_xlpm.i,ROWS($BV$2:BV107),_xlpm.cur,INDEX(tblLaminateStructures[Total Thickness (µ)],_xlpm.i),_xlpm.prev,IF(_xlpm.i=1,"",INDEX(tblLaminateStructures[Total Thickness (µ)],_xlpm.i-1)),IF(OR(_xlpm.cur&lt;&gt;_xlpm.prev,BU107&lt;&gt;""),_xlpm.cur,"")),"")</f>
        <v/>
      </c>
      <c r="BW107" s="573" t="str" cm="1">
        <f t="array" ref="BW107">IFERROR(INDEX(tblLaminateStructures[Material / Layer],ROWS($BW$2:BW107)),"")</f>
        <v>RM G Basonat HW 2270</v>
      </c>
      <c r="BX107" s="572" cm="1">
        <f t="array" ref="BX107">IFERROR(INDEX(tblLaminateStructures[Layer Thickness (µ)],ROWS($BX$2:BX107)),"")</f>
        <v>0.09</v>
      </c>
      <c r="BY107" s="572" cm="1">
        <f t="array" ref="BY107">IFERROR(INDEX(tblLaminateStructures[Structure Check],ROWS($BY$2:BY107)),"")</f>
        <v>77.09</v>
      </c>
      <c r="BZ107" s="573" cm="1">
        <f t="array" ref="BZ107">IFERROR(INDEX(tblLaminateStructures[Laminate],ROWS($BZ$2:BZ107)),"")</f>
        <v>648</v>
      </c>
      <c r="CA107" s="573"/>
      <c r="CB107" s="573"/>
      <c r="CC107" s="572" cm="1">
        <f t="array" ref="CC107">IFERROR(INDEX(tblLaminateStructures[Total Thickness (µ)],ROWS($CC$2:CC107)),"")</f>
        <v>77</v>
      </c>
      <c r="CD107" s="572"/>
      <c r="CE107" s="572"/>
      <c r="CF107" s="572"/>
      <c r="CG107" s="573"/>
      <c r="CH107" s="574"/>
    </row>
    <row r="108" spans="48:86">
      <c r="AV108" s="550">
        <v>648</v>
      </c>
      <c r="AW108" s="551">
        <v>53</v>
      </c>
      <c r="AX108" s="544" t="s">
        <v>168</v>
      </c>
      <c r="AY108" s="545">
        <v>23</v>
      </c>
      <c r="AZ108"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08" s="550"/>
      <c r="BB108" s="550"/>
      <c r="BC108" s="544" t="s">
        <v>1060</v>
      </c>
      <c r="BD108" s="550"/>
      <c r="BF108" s="556"/>
      <c r="BG108" s="556"/>
      <c r="BH108" s="556"/>
      <c r="BI108" s="556"/>
      <c r="BJ108" s="556"/>
      <c r="BK108" s="556"/>
      <c r="BL108" s="556"/>
      <c r="BM108" s="556"/>
      <c r="BN108" s="556"/>
      <c r="BO108" s="556"/>
      <c r="BP108" s="556"/>
      <c r="BQ108" s="556"/>
      <c r="BR108" s="556"/>
      <c r="BS108" s="556"/>
      <c r="BT108" s="556"/>
      <c r="BU108" s="571" t="str" cm="1">
        <f t="array" ref="BU108">IFERROR(_xlfn.LET(_xlpm.i,ROWS($BU$2:BU108),_xlpm.cur,INDEX(tblLaminateStructures[Laminate],_xlpm.i),_xlpm.prev,IF(_xlpm.i=1,"",INDEX(tblLaminateStructures[Laminate],_xlpm.i-1)),IF(_xlpm.cur&lt;&gt;_xlpm.prev,_xlpm.cur,"")),"")</f>
        <v/>
      </c>
      <c r="BV108" s="572" cm="1">
        <f t="array" ref="BV108">IFERROR(_xlfn.LET(_xlpm.i,ROWS($BV$2:BV108),_xlpm.cur,INDEX(tblLaminateStructures[Total Thickness (µ)],_xlpm.i),_xlpm.prev,IF(_xlpm.i=1,"",INDEX(tblLaminateStructures[Total Thickness (µ)],_xlpm.i-1)),IF(OR(_xlpm.cur&lt;&gt;_xlpm.prev,BU108&lt;&gt;""),_xlpm.cur,"")),"")</f>
        <v>53</v>
      </c>
      <c r="BW108" s="573" t="str" cm="1">
        <f t="array" ref="BW108">IFERROR(INDEX(tblLaminateStructures[Material / Layer],ROWS($BW$2:BW108)),"")</f>
        <v>NK</v>
      </c>
      <c r="BX108" s="572" cm="1">
        <f t="array" ref="BX108">IFERROR(INDEX(tblLaminateStructures[Layer Thickness (µ)],ROWS($BX$2:BX108)),"")</f>
        <v>23</v>
      </c>
      <c r="BY108" s="572" cm="1">
        <f t="array" ref="BY108">IFERROR(INDEX(tblLaminateStructures[Structure Check],ROWS($BY$2:BY108)),"")</f>
        <v>53.09</v>
      </c>
      <c r="BZ108" s="573" cm="1">
        <f t="array" ref="BZ108">IFERROR(INDEX(tblLaminateStructures[Laminate],ROWS($BZ$2:BZ108)),"")</f>
        <v>648</v>
      </c>
      <c r="CA108" s="573"/>
      <c r="CB108" s="573"/>
      <c r="CC108" s="572" cm="1">
        <f t="array" ref="CC108">IFERROR(INDEX(tblLaminateStructures[Total Thickness (µ)],ROWS($CC$2:CC108)),"")</f>
        <v>53</v>
      </c>
      <c r="CD108" s="572"/>
      <c r="CE108" s="572"/>
      <c r="CF108" s="572"/>
      <c r="CG108" s="573"/>
      <c r="CH108" s="574"/>
    </row>
    <row r="109" spans="48:86">
      <c r="AV109" s="550">
        <v>648</v>
      </c>
      <c r="AW109" s="551">
        <v>53</v>
      </c>
      <c r="AX109" s="544" t="s">
        <v>0</v>
      </c>
      <c r="AY109" s="545">
        <v>27</v>
      </c>
      <c r="AZ10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09" s="550"/>
      <c r="BB109" s="550"/>
      <c r="BC109" s="544" t="s">
        <v>1060</v>
      </c>
      <c r="BD109" s="550"/>
      <c r="BF109" s="556"/>
      <c r="BG109" s="556"/>
      <c r="BH109" s="556"/>
      <c r="BI109" s="556"/>
      <c r="BJ109" s="556"/>
      <c r="BK109" s="556"/>
      <c r="BL109" s="556"/>
      <c r="BM109" s="556"/>
      <c r="BN109" s="556"/>
      <c r="BO109" s="556"/>
      <c r="BP109" s="556"/>
      <c r="BQ109" s="556"/>
      <c r="BR109" s="556"/>
      <c r="BS109" s="556"/>
      <c r="BT109" s="556"/>
      <c r="BU109" s="571" t="str" cm="1">
        <f t="array" ref="BU109">IFERROR(_xlfn.LET(_xlpm.i,ROWS($BU$2:BU109),_xlpm.cur,INDEX(tblLaminateStructures[Laminate],_xlpm.i),_xlpm.prev,IF(_xlpm.i=1,"",INDEX(tblLaminateStructures[Laminate],_xlpm.i-1)),IF(_xlpm.cur&lt;&gt;_xlpm.prev,_xlpm.cur,"")),"")</f>
        <v/>
      </c>
      <c r="BV109" s="572" t="str" cm="1">
        <f t="array" ref="BV109">IFERROR(_xlfn.LET(_xlpm.i,ROWS($BV$2:BV109),_xlpm.cur,INDEX(tblLaminateStructures[Total Thickness (µ)],_xlpm.i),_xlpm.prev,IF(_xlpm.i=1,"",INDEX(tblLaminateStructures[Total Thickness (µ)],_xlpm.i-1)),IF(OR(_xlpm.cur&lt;&gt;_xlpm.prev,BU109&lt;&gt;""),_xlpm.cur,"")),"")</f>
        <v/>
      </c>
      <c r="BW109" s="573" t="str" cm="1">
        <f t="array" ref="BW109">IFERROR(INDEX(tblLaminateStructures[Material / Layer],ROWS($BW$2:BW109)),"")</f>
        <v>TIPA 302FG</v>
      </c>
      <c r="BX109" s="572" cm="1">
        <f t="array" ref="BX109">IFERROR(INDEX(tblLaminateStructures[Layer Thickness (µ)],ROWS($BX$2:BX109)),"")</f>
        <v>27</v>
      </c>
      <c r="BY109" s="572" cm="1">
        <f t="array" ref="BY109">IFERROR(INDEX(tblLaminateStructures[Structure Check],ROWS($BY$2:BY109)),"")</f>
        <v>53.09</v>
      </c>
      <c r="BZ109" s="573" cm="1">
        <f t="array" ref="BZ109">IFERROR(INDEX(tblLaminateStructures[Laminate],ROWS($BZ$2:BZ109)),"")</f>
        <v>648</v>
      </c>
      <c r="CA109" s="573"/>
      <c r="CB109" s="573"/>
      <c r="CC109" s="572" cm="1">
        <f t="array" ref="CC109">IFERROR(INDEX(tblLaminateStructures[Total Thickness (µ)],ROWS($CC$2:CC109)),"")</f>
        <v>53</v>
      </c>
      <c r="CD109" s="572"/>
      <c r="CE109" s="572"/>
      <c r="CF109" s="572"/>
      <c r="CG109" s="573"/>
      <c r="CH109" s="574"/>
    </row>
    <row r="110" spans="48:86">
      <c r="AV110" s="550">
        <v>648</v>
      </c>
      <c r="AW110" s="551">
        <v>53</v>
      </c>
      <c r="AX110" s="544" t="s">
        <v>173</v>
      </c>
      <c r="AY110" s="545">
        <v>3</v>
      </c>
      <c r="AZ11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10" s="550"/>
      <c r="BB110" s="550"/>
      <c r="BC110" s="544" t="s">
        <v>1060</v>
      </c>
      <c r="BD110" s="550"/>
      <c r="BF110" s="556"/>
      <c r="BG110" s="556"/>
      <c r="BH110" s="556"/>
      <c r="BI110" s="556"/>
      <c r="BJ110" s="556"/>
      <c r="BK110" s="556"/>
      <c r="BL110" s="556"/>
      <c r="BM110" s="556"/>
      <c r="BN110" s="556"/>
      <c r="BO110" s="556"/>
      <c r="BP110" s="556"/>
      <c r="BQ110" s="556"/>
      <c r="BR110" s="556"/>
      <c r="BS110" s="556"/>
      <c r="BT110" s="556"/>
      <c r="BU110" s="571" t="str" cm="1">
        <f t="array" ref="BU110">IFERROR(_xlfn.LET(_xlpm.i,ROWS($BU$2:BU110),_xlpm.cur,INDEX(tblLaminateStructures[Laminate],_xlpm.i),_xlpm.prev,IF(_xlpm.i=1,"",INDEX(tblLaminateStructures[Laminate],_xlpm.i-1)),IF(_xlpm.cur&lt;&gt;_xlpm.prev,_xlpm.cur,"")),"")</f>
        <v/>
      </c>
      <c r="BV110" s="572" t="str" cm="1">
        <f t="array" ref="BV110">IFERROR(_xlfn.LET(_xlpm.i,ROWS($BV$2:BV110),_xlpm.cur,INDEX(tblLaminateStructures[Total Thickness (µ)],_xlpm.i),_xlpm.prev,IF(_xlpm.i=1,"",INDEX(tblLaminateStructures[Total Thickness (µ)],_xlpm.i-1)),IF(OR(_xlpm.cur&lt;&gt;_xlpm.prev,BU110&lt;&gt;""),_xlpm.cur,"")),"")</f>
        <v/>
      </c>
      <c r="BW110" s="573" t="str" cm="1">
        <f t="array" ref="BW110">IFERROR(INDEX(tblLaminateStructures[Material / Layer],ROWS($BW$2:BW110)),"")</f>
        <v>RM G Epotal Eco 3702</v>
      </c>
      <c r="BX110" s="572" cm="1">
        <f t="array" ref="BX110">IFERROR(INDEX(tblLaminateStructures[Layer Thickness (µ)],ROWS($BX$2:BX110)),"")</f>
        <v>3</v>
      </c>
      <c r="BY110" s="572" cm="1">
        <f t="array" ref="BY110">IFERROR(INDEX(tblLaminateStructures[Structure Check],ROWS($BY$2:BY110)),"")</f>
        <v>53.09</v>
      </c>
      <c r="BZ110" s="573" cm="1">
        <f t="array" ref="BZ110">IFERROR(INDEX(tblLaminateStructures[Laminate],ROWS($BZ$2:BZ110)),"")</f>
        <v>648</v>
      </c>
      <c r="CA110" s="573"/>
      <c r="CB110" s="573"/>
      <c r="CC110" s="572" cm="1">
        <f t="array" ref="CC110">IFERROR(INDEX(tblLaminateStructures[Total Thickness (µ)],ROWS($CC$2:CC110)),"")</f>
        <v>53</v>
      </c>
      <c r="CD110" s="572"/>
      <c r="CE110" s="572"/>
      <c r="CF110" s="572"/>
      <c r="CG110" s="573"/>
      <c r="CH110" s="574"/>
    </row>
    <row r="111" spans="48:86">
      <c r="AV111" s="550">
        <v>648</v>
      </c>
      <c r="AW111" s="551">
        <v>53</v>
      </c>
      <c r="AX111" s="544" t="s">
        <v>174</v>
      </c>
      <c r="AY111" s="545">
        <v>8.99999999999999E-2</v>
      </c>
      <c r="AZ11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11" s="550"/>
      <c r="BB111" s="550"/>
      <c r="BC111" s="544" t="s">
        <v>1060</v>
      </c>
      <c r="BD111" s="550"/>
      <c r="BF111" s="556"/>
      <c r="BG111" s="556"/>
      <c r="BH111" s="556"/>
      <c r="BI111" s="556"/>
      <c r="BJ111" s="556"/>
      <c r="BK111" s="556"/>
      <c r="BL111" s="556"/>
      <c r="BM111" s="556"/>
      <c r="BN111" s="556"/>
      <c r="BO111" s="556"/>
      <c r="BP111" s="556"/>
      <c r="BQ111" s="556"/>
      <c r="BR111" s="556"/>
      <c r="BS111" s="556"/>
      <c r="BT111" s="556"/>
      <c r="BU111" s="571" t="str" cm="1">
        <f t="array" ref="BU111">IFERROR(_xlfn.LET(_xlpm.i,ROWS($BU$2:BU111),_xlpm.cur,INDEX(tblLaminateStructures[Laminate],_xlpm.i),_xlpm.prev,IF(_xlpm.i=1,"",INDEX(tblLaminateStructures[Laminate],_xlpm.i-1)),IF(_xlpm.cur&lt;&gt;_xlpm.prev,_xlpm.cur,"")),"")</f>
        <v/>
      </c>
      <c r="BV111" s="572" t="str" cm="1">
        <f t="array" ref="BV111">IFERROR(_xlfn.LET(_xlpm.i,ROWS($BV$2:BV111),_xlpm.cur,INDEX(tblLaminateStructures[Total Thickness (µ)],_xlpm.i),_xlpm.prev,IF(_xlpm.i=1,"",INDEX(tblLaminateStructures[Total Thickness (µ)],_xlpm.i-1)),IF(OR(_xlpm.cur&lt;&gt;_xlpm.prev,BU111&lt;&gt;""),_xlpm.cur,"")),"")</f>
        <v/>
      </c>
      <c r="BW111" s="573" t="str" cm="1">
        <f t="array" ref="BW111">IFERROR(INDEX(tblLaminateStructures[Material / Layer],ROWS($BW$2:BW111)),"")</f>
        <v>RM G Basonat HW 2270</v>
      </c>
      <c r="BX111" s="572" cm="1">
        <f t="array" ref="BX111">IFERROR(INDEX(tblLaminateStructures[Layer Thickness (µ)],ROWS($BX$2:BX111)),"")</f>
        <v>8.99999999999999E-2</v>
      </c>
      <c r="BY111" s="572" cm="1">
        <f t="array" ref="BY111">IFERROR(INDEX(tblLaminateStructures[Structure Check],ROWS($BY$2:BY111)),"")</f>
        <v>53.09</v>
      </c>
      <c r="BZ111" s="573" cm="1">
        <f t="array" ref="BZ111">IFERROR(INDEX(tblLaminateStructures[Laminate],ROWS($BZ$2:BZ111)),"")</f>
        <v>648</v>
      </c>
      <c r="CA111" s="573"/>
      <c r="CB111" s="573"/>
      <c r="CC111" s="572" cm="1">
        <f t="array" ref="CC111">IFERROR(INDEX(tblLaminateStructures[Total Thickness (µ)],ROWS($CC$2:CC111)),"")</f>
        <v>53</v>
      </c>
      <c r="CD111" s="572"/>
      <c r="CE111" s="572"/>
      <c r="CF111" s="572"/>
      <c r="CG111" s="573"/>
      <c r="CH111" s="574"/>
    </row>
    <row r="112" spans="48:86">
      <c r="AV112" s="544" t="s">
        <v>1287</v>
      </c>
      <c r="AW112" s="551">
        <v>103</v>
      </c>
      <c r="AX112" s="544" t="s">
        <v>43</v>
      </c>
      <c r="AY112" s="551">
        <v>25</v>
      </c>
      <c r="AZ112"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2" s="550"/>
      <c r="BB112" s="544" t="s">
        <v>1068</v>
      </c>
      <c r="BC112" s="544" t="s">
        <v>1060</v>
      </c>
      <c r="BD112" s="550"/>
      <c r="BF112" s="556"/>
      <c r="BG112" s="556"/>
      <c r="BH112" s="556"/>
      <c r="BI112" s="556"/>
      <c r="BJ112" s="556"/>
      <c r="BK112" s="556"/>
      <c r="BL112" s="556"/>
      <c r="BM112" s="556"/>
      <c r="BN112" s="556"/>
      <c r="BO112" s="556"/>
      <c r="BP112" s="556"/>
      <c r="BQ112" s="556"/>
      <c r="BR112" s="556"/>
      <c r="BS112" s="556"/>
      <c r="BT112" s="556"/>
      <c r="BU112" s="571" t="str" cm="1">
        <f t="array" ref="BU112">IFERROR(_xlfn.LET(_xlpm.i,ROWS($BU$2:BU112),_xlpm.cur,INDEX(tblLaminateStructures[Laminate],_xlpm.i),_xlpm.prev,IF(_xlpm.i=1,"",INDEX(tblLaminateStructures[Laminate],_xlpm.i-1)),IF(_xlpm.cur&lt;&gt;_xlpm.prev,_xlpm.cur,"")),"")</f>
        <v>818W</v>
      </c>
      <c r="BV112" s="572" cm="1">
        <f t="array" ref="BV112">IFERROR(_xlfn.LET(_xlpm.i,ROWS($BV$2:BV112),_xlpm.cur,INDEX(tblLaminateStructures[Total Thickness (µ)],_xlpm.i),_xlpm.prev,IF(_xlpm.i=1,"",INDEX(tblLaminateStructures[Total Thickness (µ)],_xlpm.i-1)),IF(OR(_xlpm.cur&lt;&gt;_xlpm.prev,BU112&lt;&gt;""),_xlpm.cur,"")),"")</f>
        <v>103</v>
      </c>
      <c r="BW112" s="573" t="str" cm="1">
        <f t="array" ref="BW112">IFERROR(INDEX(tblLaminateStructures[Material / Layer],ROWS($BW$2:BW112)),"")</f>
        <v>TIPA 302FG W</v>
      </c>
      <c r="BX112" s="572" cm="1">
        <f t="array" ref="BX112">IFERROR(INDEX(tblLaminateStructures[Layer Thickness (µ)],ROWS($BX$2:BX112)),"")</f>
        <v>25</v>
      </c>
      <c r="BY112" s="572" cm="1">
        <f t="array" ref="BY112">IFERROR(INDEX(tblLaminateStructures[Structure Check],ROWS($BY$2:BY112)),"")</f>
        <v>103</v>
      </c>
      <c r="BZ112" s="573" t="str" cm="1">
        <f t="array" ref="BZ112">IFERROR(INDEX(tblLaminateStructures[Laminate],ROWS($BZ$2:BZ112)),"")</f>
        <v>818W</v>
      </c>
      <c r="CA112" s="573"/>
      <c r="CB112" s="573"/>
      <c r="CC112" s="572" cm="1">
        <f t="array" ref="CC112">IFERROR(INDEX(tblLaminateStructures[Total Thickness (µ)],ROWS($CC$2:CC112)),"")</f>
        <v>103</v>
      </c>
      <c r="CD112" s="572"/>
      <c r="CE112" s="572"/>
      <c r="CF112" s="572"/>
      <c r="CG112" s="573"/>
      <c r="CH112" s="574"/>
    </row>
    <row r="113" spans="48:86">
      <c r="AV113" s="544" t="s">
        <v>1287</v>
      </c>
      <c r="AW113" s="551">
        <v>103</v>
      </c>
      <c r="AX113" s="550" t="s">
        <v>1121</v>
      </c>
      <c r="AY113" s="551">
        <v>23</v>
      </c>
      <c r="AZ113"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3" s="550"/>
      <c r="BB113" s="544" t="s">
        <v>1068</v>
      </c>
      <c r="BC113" s="544" t="s">
        <v>1060</v>
      </c>
      <c r="BD113" s="550"/>
      <c r="BF113" s="556"/>
      <c r="BG113" s="556"/>
      <c r="BH113" s="556"/>
      <c r="BI113" s="556"/>
      <c r="BJ113" s="556"/>
      <c r="BK113" s="556"/>
      <c r="BL113" s="556"/>
      <c r="BM113" s="556"/>
      <c r="BN113" s="556"/>
      <c r="BO113" s="556"/>
      <c r="BP113" s="556"/>
      <c r="BQ113" s="556"/>
      <c r="BR113" s="556"/>
      <c r="BS113" s="556"/>
      <c r="BT113" s="556"/>
      <c r="BU113" s="571" t="str" cm="1">
        <f t="array" ref="BU113">IFERROR(_xlfn.LET(_xlpm.i,ROWS($BU$2:BU113),_xlpm.cur,INDEX(tblLaminateStructures[Laminate],_xlpm.i),_xlpm.prev,IF(_xlpm.i=1,"",INDEX(tblLaminateStructures[Laminate],_xlpm.i-1)),IF(_xlpm.cur&lt;&gt;_xlpm.prev,_xlpm.cur,"")),"")</f>
        <v/>
      </c>
      <c r="BV113" s="572" t="str" cm="1">
        <f t="array" ref="BV113">IFERROR(_xlfn.LET(_xlpm.i,ROWS($BV$2:BV113),_xlpm.cur,INDEX(tblLaminateStructures[Total Thickness (µ)],_xlpm.i),_xlpm.prev,IF(_xlpm.i=1,"",INDEX(tblLaminateStructures[Total Thickness (µ)],_xlpm.i-1)),IF(OR(_xlpm.cur&lt;&gt;_xlpm.prev,BU113&lt;&gt;""),_xlpm.cur,"")),"")</f>
        <v/>
      </c>
      <c r="BW113" s="573" t="str" cm="1">
        <f t="array" ref="BW113">IFERROR(INDEX(tblLaminateStructures[Material / Layer],ROWS($BW$2:BW113)),"")</f>
        <v> NK MATT</v>
      </c>
      <c r="BX113" s="572" cm="1">
        <f t="array" ref="BX113">IFERROR(INDEX(tblLaminateStructures[Layer Thickness (µ)],ROWS($BX$2:BX113)),"")</f>
        <v>23</v>
      </c>
      <c r="BY113" s="572" cm="1">
        <f t="array" ref="BY113">IFERROR(INDEX(tblLaminateStructures[Structure Check],ROWS($BY$2:BY113)),"")</f>
        <v>103</v>
      </c>
      <c r="BZ113" s="573" t="str" cm="1">
        <f t="array" ref="BZ113">IFERROR(INDEX(tblLaminateStructures[Laminate],ROWS($BZ$2:BZ113)),"")</f>
        <v>818W</v>
      </c>
      <c r="CA113" s="573"/>
      <c r="CB113" s="573"/>
      <c r="CC113" s="572" cm="1">
        <f t="array" ref="CC113">IFERROR(INDEX(tblLaminateStructures[Total Thickness (µ)],ROWS($CC$2:CC113)),"")</f>
        <v>103</v>
      </c>
      <c r="CD113" s="572"/>
      <c r="CE113" s="572"/>
      <c r="CF113" s="572"/>
      <c r="CG113" s="573"/>
      <c r="CH113" s="574"/>
    </row>
    <row r="114" spans="48:86">
      <c r="AV114" s="550" t="s">
        <v>1287</v>
      </c>
      <c r="AW114" s="551">
        <v>103</v>
      </c>
      <c r="AX114" s="544" t="s">
        <v>181</v>
      </c>
      <c r="AY114" s="545">
        <v>50</v>
      </c>
      <c r="AZ11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4" s="550"/>
      <c r="BB114" s="550" t="s">
        <v>1068</v>
      </c>
      <c r="BC114" s="544" t="s">
        <v>1060</v>
      </c>
      <c r="BD114" s="550"/>
      <c r="BF114" s="556"/>
      <c r="BG114" s="556"/>
      <c r="BH114" s="556"/>
      <c r="BI114" s="556"/>
      <c r="BJ114" s="556"/>
      <c r="BK114" s="556"/>
      <c r="BL114" s="556"/>
      <c r="BM114" s="556"/>
      <c r="BN114" s="556"/>
      <c r="BO114" s="556"/>
      <c r="BP114" s="556"/>
      <c r="BQ114" s="556"/>
      <c r="BR114" s="556"/>
      <c r="BS114" s="556"/>
      <c r="BT114" s="556"/>
      <c r="BU114" s="571" t="str" cm="1">
        <f t="array" ref="BU114">IFERROR(_xlfn.LET(_xlpm.i,ROWS($BU$2:BU114),_xlpm.cur,INDEX(tblLaminateStructures[Laminate],_xlpm.i),_xlpm.prev,IF(_xlpm.i=1,"",INDEX(tblLaminateStructures[Laminate],_xlpm.i-1)),IF(_xlpm.cur&lt;&gt;_xlpm.prev,_xlpm.cur,"")),"")</f>
        <v/>
      </c>
      <c r="BV114" s="572" t="str" cm="1">
        <f t="array" ref="BV114">IFERROR(_xlfn.LET(_xlpm.i,ROWS($BV$2:BV114),_xlpm.cur,INDEX(tblLaminateStructures[Total Thickness (µ)],_xlpm.i),_xlpm.prev,IF(_xlpm.i=1,"",INDEX(tblLaminateStructures[Total Thickness (µ)],_xlpm.i-1)),IF(OR(_xlpm.cur&lt;&gt;_xlpm.prev,BU114&lt;&gt;""),_xlpm.cur,"")),"")</f>
        <v/>
      </c>
      <c r="BW114" s="573" t="str" cm="1">
        <f t="array" ref="BW114">IFERROR(INDEX(tblLaminateStructures[Material / Layer],ROWS($BW$2:BW114)),"")</f>
        <v>Billerud Kraft White Paper</v>
      </c>
      <c r="BX114" s="572" cm="1">
        <f t="array" ref="BX114">IFERROR(INDEX(tblLaminateStructures[Layer Thickness (µ)],ROWS($BX$2:BX114)),"")</f>
        <v>50</v>
      </c>
      <c r="BY114" s="572" cm="1">
        <f t="array" ref="BY114">IFERROR(INDEX(tblLaminateStructures[Structure Check],ROWS($BY$2:BY114)),"")</f>
        <v>103</v>
      </c>
      <c r="BZ114" s="573" t="str" cm="1">
        <f t="array" ref="BZ114">IFERROR(INDEX(tblLaminateStructures[Laminate],ROWS($BZ$2:BZ114)),"")</f>
        <v>818W</v>
      </c>
      <c r="CA114" s="573"/>
      <c r="CB114" s="573"/>
      <c r="CC114" s="572" cm="1">
        <f t="array" ref="CC114">IFERROR(INDEX(tblLaminateStructures[Total Thickness (µ)],ROWS($CC$2:CC114)),"")</f>
        <v>103</v>
      </c>
      <c r="CD114" s="572"/>
      <c r="CE114" s="572"/>
      <c r="CF114" s="572"/>
      <c r="CG114" s="573"/>
      <c r="CH114" s="574"/>
    </row>
    <row r="115" spans="48:86">
      <c r="AV115" s="544" t="s">
        <v>1287</v>
      </c>
      <c r="AW115" s="551">
        <v>103</v>
      </c>
      <c r="AX115" s="550" t="s">
        <v>177</v>
      </c>
      <c r="AY115" s="551">
        <v>5</v>
      </c>
      <c r="AZ115"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5" s="550"/>
      <c r="BB115" s="544" t="s">
        <v>1068</v>
      </c>
      <c r="BC115" s="544" t="s">
        <v>1060</v>
      </c>
      <c r="BD115" s="550"/>
      <c r="BF115" s="556"/>
      <c r="BG115" s="556"/>
      <c r="BH115" s="556"/>
      <c r="BI115" s="556"/>
      <c r="BJ115" s="556"/>
      <c r="BK115" s="556"/>
      <c r="BL115" s="556"/>
      <c r="BM115" s="556"/>
      <c r="BN115" s="556"/>
      <c r="BO115" s="556"/>
      <c r="BP115" s="556"/>
      <c r="BQ115" s="556"/>
      <c r="BR115" s="556"/>
      <c r="BS115" s="556"/>
      <c r="BT115" s="556"/>
      <c r="BU115" s="571" t="str" cm="1">
        <f t="array" ref="BU115">IFERROR(_xlfn.LET(_xlpm.i,ROWS($BU$2:BU115),_xlpm.cur,INDEX(tblLaminateStructures[Laminate],_xlpm.i),_xlpm.prev,IF(_xlpm.i=1,"",INDEX(tblLaminateStructures[Laminate],_xlpm.i-1)),IF(_xlpm.cur&lt;&gt;_xlpm.prev,_xlpm.cur,"")),"")</f>
        <v/>
      </c>
      <c r="BV115" s="572" t="str" cm="1">
        <f t="array" ref="BV115">IFERROR(_xlfn.LET(_xlpm.i,ROWS($BV$2:BV115),_xlpm.cur,INDEX(tblLaminateStructures[Total Thickness (µ)],_xlpm.i),_xlpm.prev,IF(_xlpm.i=1,"",INDEX(tblLaminateStructures[Total Thickness (µ)],_xlpm.i-1)),IF(OR(_xlpm.cur&lt;&gt;_xlpm.prev,BU115&lt;&gt;""),_xlpm.cur,"")),"")</f>
        <v/>
      </c>
      <c r="BW115" s="573" t="str" cm="1">
        <f t="array" ref="BW115">IFERROR(INDEX(tblLaminateStructures[Material / Layer],ROWS($BW$2:BW115)),"")</f>
        <v>RM G Epotal ECO 3675</v>
      </c>
      <c r="BX115" s="572" cm="1">
        <f t="array" ref="BX115">IFERROR(INDEX(tblLaminateStructures[Layer Thickness (µ)],ROWS($BX$2:BX115)),"")</f>
        <v>5</v>
      </c>
      <c r="BY115" s="572" cm="1">
        <f t="array" ref="BY115">IFERROR(INDEX(tblLaminateStructures[Structure Check],ROWS($BY$2:BY115)),"")</f>
        <v>103</v>
      </c>
      <c r="BZ115" s="573" t="str" cm="1">
        <f t="array" ref="BZ115">IFERROR(INDEX(tblLaminateStructures[Laminate],ROWS($BZ$2:BZ115)),"")</f>
        <v>818W</v>
      </c>
      <c r="CA115" s="573"/>
      <c r="CB115" s="573"/>
      <c r="CC115" s="572" cm="1">
        <f t="array" ref="CC115">IFERROR(INDEX(tblLaminateStructures[Total Thickness (µ)],ROWS($CC$2:CC115)),"")</f>
        <v>103</v>
      </c>
      <c r="CD115" s="572"/>
      <c r="CE115" s="572"/>
      <c r="CF115" s="572"/>
      <c r="CG115" s="573"/>
      <c r="CH115" s="574"/>
    </row>
    <row r="116" spans="48:86" ht="30">
      <c r="AV116" s="984">
        <v>724</v>
      </c>
      <c r="AW116" s="987">
        <v>68.349999999999994</v>
      </c>
      <c r="AX116" s="984" t="s">
        <v>44</v>
      </c>
      <c r="AY116" s="987">
        <v>30</v>
      </c>
      <c r="AZ116" s="98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68.349999999999994</v>
      </c>
      <c r="BA116" s="984" t="s">
        <v>1</v>
      </c>
      <c r="BB116" s="984" t="s">
        <v>2356</v>
      </c>
      <c r="BC116" s="984" t="s">
        <v>1060</v>
      </c>
      <c r="BD116" s="984"/>
      <c r="BF116" s="556"/>
      <c r="BG116" s="556"/>
      <c r="BH116" s="556"/>
      <c r="BI116" s="556"/>
      <c r="BJ116" s="556"/>
      <c r="BK116" s="556"/>
      <c r="BL116" s="556"/>
      <c r="BM116" s="556"/>
      <c r="BN116" s="556"/>
      <c r="BO116" s="556"/>
      <c r="BP116" s="556"/>
      <c r="BQ116" s="556"/>
      <c r="BR116" s="556"/>
      <c r="BS116" s="556"/>
      <c r="BT116" s="556"/>
      <c r="BU116" s="571" cm="1">
        <f t="array" ref="BU116">IFERROR(_xlfn.LET(_xlpm.i,ROWS($BU$2:BU116),_xlpm.cur,INDEX(tblLaminateStructures[Laminate],_xlpm.i),_xlpm.prev,IF(_xlpm.i=1,"",INDEX(tblLaminateStructures[Laminate],_xlpm.i-1)),IF(_xlpm.cur&lt;&gt;_xlpm.prev,_xlpm.cur,"")),"")</f>
        <v>724</v>
      </c>
      <c r="BV116" s="572" cm="1">
        <f t="array" ref="BV116">IFERROR(_xlfn.LET(_xlpm.i,ROWS($BV$2:BV116),_xlpm.cur,INDEX(tblLaminateStructures[Total Thickness (µ)],_xlpm.i),_xlpm.prev,IF(_xlpm.i=1,"",INDEX(tblLaminateStructures[Total Thickness (µ)],_xlpm.i-1)),IF(OR(_xlpm.cur&lt;&gt;_xlpm.prev,BU116&lt;&gt;""),_xlpm.cur,"")),"")</f>
        <v>68.349999999999994</v>
      </c>
      <c r="BW116" s="573" t="str" cm="1">
        <f t="array" ref="BW116">IFERROR(INDEX(tblLaminateStructures[Material / Layer],ROWS($BW$2:BW116)),"")</f>
        <v>TIPA 306M</v>
      </c>
      <c r="BX116" s="572" cm="1">
        <f t="array" ref="BX116">IFERROR(INDEX(tblLaminateStructures[Layer Thickness (µ)],ROWS($BX$2:BX116)),"")</f>
        <v>30</v>
      </c>
      <c r="BY116" s="572" cm="1">
        <f t="array" ref="BY116">IFERROR(INDEX(tblLaminateStructures[Structure Check],ROWS($BY$2:BY116)),"")</f>
        <v>68.349999999999994</v>
      </c>
      <c r="BZ116" s="573" cm="1">
        <f t="array" ref="BZ116">IFERROR(INDEX(tblLaminateStructures[Laminate],ROWS($BZ$2:BZ116)),"")</f>
        <v>724</v>
      </c>
      <c r="CA116" s="573"/>
      <c r="CB116" s="573"/>
      <c r="CC116" s="572" cm="1">
        <f t="array" ref="CC116">IFERROR(INDEX(tblLaminateStructures[Total Thickness (µ)],ROWS($CC$2:CC116)),"")</f>
        <v>68.349999999999994</v>
      </c>
      <c r="CD116" s="572"/>
      <c r="CE116" s="572"/>
      <c r="CF116" s="572"/>
      <c r="CG116" s="573"/>
      <c r="CH116" s="574"/>
    </row>
    <row r="117" spans="48:86" ht="75">
      <c r="AV117" s="984">
        <v>724</v>
      </c>
      <c r="AW117" s="987">
        <v>68.349999999999994</v>
      </c>
      <c r="AX117" s="984" t="s">
        <v>2351</v>
      </c>
      <c r="AY117" s="987">
        <v>5</v>
      </c>
      <c r="AZ117" s="98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68.349999999999994</v>
      </c>
      <c r="BA117" s="984" t="s">
        <v>2357</v>
      </c>
      <c r="BB117" s="984" t="s">
        <v>2358</v>
      </c>
      <c r="BC117" s="984" t="s">
        <v>1060</v>
      </c>
      <c r="BD117" s="984"/>
      <c r="BF117" s="556"/>
      <c r="BG117" s="556"/>
      <c r="BH117" s="556"/>
      <c r="BI117" s="556"/>
      <c r="BJ117" s="556"/>
      <c r="BK117" s="556"/>
      <c r="BL117" s="556"/>
      <c r="BM117" s="556"/>
      <c r="BN117" s="556"/>
      <c r="BO117" s="556"/>
      <c r="BP117" s="556"/>
      <c r="BQ117" s="556"/>
      <c r="BR117" s="556"/>
      <c r="BS117" s="556"/>
      <c r="BT117" s="556"/>
      <c r="BU117" s="571" t="str" cm="1">
        <f t="array" ref="BU117">IFERROR(_xlfn.LET(_xlpm.i,ROWS($BU$2:BU117),_xlpm.cur,INDEX(tblLaminateStructures[Laminate],_xlpm.i),_xlpm.prev,IF(_xlpm.i=1,"",INDEX(tblLaminateStructures[Laminate],_xlpm.i-1)),IF(_xlpm.cur&lt;&gt;_xlpm.prev,_xlpm.cur,"")),"")</f>
        <v/>
      </c>
      <c r="BV117" s="572" t="str" cm="1">
        <f t="array" ref="BV117">IFERROR(_xlfn.LET(_xlpm.i,ROWS($BV$2:BV117),_xlpm.cur,INDEX(tblLaminateStructures[Total Thickness (µ)],_xlpm.i),_xlpm.prev,IF(_xlpm.i=1,"",INDEX(tblLaminateStructures[Total Thickness (µ)],_xlpm.i-1)),IF(OR(_xlpm.cur&lt;&gt;_xlpm.prev,BU117&lt;&gt;""),_xlpm.cur,"")),"")</f>
        <v/>
      </c>
      <c r="BW117" s="573" t="str" cm="1">
        <f t="array" ref="BW117">IFERROR(INDEX(tblLaminateStructures[Material / Layer],ROWS($BW$2:BW117)),"")</f>
        <v>Samtack adhesive</v>
      </c>
      <c r="BX117" s="572" cm="1">
        <f t="array" ref="BX117">IFERROR(INDEX(tblLaminateStructures[Layer Thickness (µ)],ROWS($BX$2:BX117)),"")</f>
        <v>5</v>
      </c>
      <c r="BY117" s="572" cm="1">
        <f t="array" ref="BY117">IFERROR(INDEX(tblLaminateStructures[Structure Check],ROWS($BY$2:BY117)),"")</f>
        <v>68.349999999999994</v>
      </c>
      <c r="BZ117" s="573" cm="1">
        <f t="array" ref="BZ117">IFERROR(INDEX(tblLaminateStructures[Laminate],ROWS($BZ$2:BZ117)),"")</f>
        <v>724</v>
      </c>
      <c r="CA117" s="573"/>
      <c r="CB117" s="573"/>
      <c r="CC117" s="572" cm="1">
        <f t="array" ref="CC117">IFERROR(INDEX(tblLaminateStructures[Total Thickness (µ)],ROWS($CC$2:CC117)),"")</f>
        <v>68.349999999999994</v>
      </c>
      <c r="CD117" s="572"/>
      <c r="CE117" s="572"/>
      <c r="CF117" s="572"/>
      <c r="CG117" s="573"/>
      <c r="CH117" s="574"/>
    </row>
    <row r="118" spans="48:86" ht="60">
      <c r="AV118" s="984">
        <v>724</v>
      </c>
      <c r="AW118" s="987">
        <v>68.349999999999994</v>
      </c>
      <c r="AX118" s="984" t="s">
        <v>1075</v>
      </c>
      <c r="AY118" s="987">
        <v>6.35</v>
      </c>
      <c r="AZ118" s="98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68.349999999999994</v>
      </c>
      <c r="BA118" s="984" t="s">
        <v>2354</v>
      </c>
      <c r="BB118" s="984" t="s">
        <v>2359</v>
      </c>
      <c r="BC118" s="984" t="s">
        <v>1060</v>
      </c>
      <c r="BD118" s="984"/>
      <c r="BF118" s="556"/>
      <c r="BG118" s="556"/>
      <c r="BH118" s="556"/>
      <c r="BI118" s="556"/>
      <c r="BJ118" s="556"/>
      <c r="BK118" s="556"/>
      <c r="BL118" s="556"/>
      <c r="BM118" s="556"/>
      <c r="BN118" s="556"/>
      <c r="BO118" s="556"/>
      <c r="BP118" s="556"/>
      <c r="BQ118" s="556"/>
      <c r="BR118" s="556"/>
      <c r="BS118" s="556"/>
      <c r="BT118" s="556"/>
      <c r="BU118" s="571" t="str" cm="1">
        <f t="array" ref="BU118">IFERROR(_xlfn.LET(_xlpm.i,ROWS($BU$2:BU118),_xlpm.cur,INDEX(tblLaminateStructures[Laminate],_xlpm.i),_xlpm.prev,IF(_xlpm.i=1,"",INDEX(tblLaminateStructures[Laminate],_xlpm.i-1)),IF(_xlpm.cur&lt;&gt;_xlpm.prev,_xlpm.cur,"")),"")</f>
        <v/>
      </c>
      <c r="BV118" s="572" t="str" cm="1">
        <f t="array" ref="BV118">IFERROR(_xlfn.LET(_xlpm.i,ROWS($BV$2:BV118),_xlpm.cur,INDEX(tblLaminateStructures[Total Thickness (µ)],_xlpm.i),_xlpm.prev,IF(_xlpm.i=1,"",INDEX(tblLaminateStructures[Total Thickness (µ)],_xlpm.i-1)),IF(OR(_xlpm.cur&lt;&gt;_xlpm.prev,BU118&lt;&gt;""),_xlpm.cur,"")),"")</f>
        <v/>
      </c>
      <c r="BW118" s="573" t="str" cm="1">
        <f t="array" ref="BW118">IFERROR(INDEX(tblLaminateStructures[Material / Layer],ROWS($BW$2:BW118)),"")</f>
        <v>ALU</v>
      </c>
      <c r="BX118" s="572" cm="1">
        <f t="array" ref="BX118">IFERROR(INDEX(tblLaminateStructures[Layer Thickness (µ)],ROWS($BX$2:BX118)),"")</f>
        <v>6.35</v>
      </c>
      <c r="BY118" s="572" cm="1">
        <f t="array" ref="BY118">IFERROR(INDEX(tblLaminateStructures[Structure Check],ROWS($BY$2:BY118)),"")</f>
        <v>68.349999999999994</v>
      </c>
      <c r="BZ118" s="573" cm="1">
        <f t="array" ref="BZ118">IFERROR(INDEX(tblLaminateStructures[Laminate],ROWS($BZ$2:BZ118)),"")</f>
        <v>724</v>
      </c>
      <c r="CA118" s="573"/>
      <c r="CB118" s="573"/>
      <c r="CC118" s="572" cm="1">
        <f t="array" ref="CC118">IFERROR(INDEX(tblLaminateStructures[Total Thickness (µ)],ROWS($CC$2:CC118)),"")</f>
        <v>68.349999999999994</v>
      </c>
      <c r="CD118" s="572"/>
      <c r="CE118" s="572"/>
      <c r="CF118" s="572"/>
      <c r="CG118" s="573"/>
      <c r="CH118" s="574"/>
    </row>
    <row r="119" spans="48:86" ht="75">
      <c r="AV119" s="984">
        <v>724</v>
      </c>
      <c r="AW119" s="987">
        <v>68.349999999999994</v>
      </c>
      <c r="AX119" s="984" t="s">
        <v>2346</v>
      </c>
      <c r="AY119" s="987">
        <v>4</v>
      </c>
      <c r="AZ119" s="98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68.349999999999994</v>
      </c>
      <c r="BA119" s="984" t="s">
        <v>2355</v>
      </c>
      <c r="BB119" s="984" t="s">
        <v>2360</v>
      </c>
      <c r="BC119" s="984" t="s">
        <v>1060</v>
      </c>
      <c r="BD119" s="984"/>
      <c r="BF119" s="556"/>
      <c r="BG119" s="556"/>
      <c r="BH119" s="556"/>
      <c r="BI119" s="556"/>
      <c r="BJ119" s="556"/>
      <c r="BK119" s="556"/>
      <c r="BL119" s="556"/>
      <c r="BM119" s="556"/>
      <c r="BN119" s="556"/>
      <c r="BO119" s="556"/>
      <c r="BP119" s="556"/>
      <c r="BQ119" s="556"/>
      <c r="BR119" s="556"/>
      <c r="BS119" s="556"/>
      <c r="BT119" s="556"/>
      <c r="BU119" s="571" t="str" cm="1">
        <f t="array" ref="BU119">IFERROR(_xlfn.LET(_xlpm.i,ROWS($BU$2:BU119),_xlpm.cur,INDEX(tblLaminateStructures[Laminate],_xlpm.i),_xlpm.prev,IF(_xlpm.i=1,"",INDEX(tblLaminateStructures[Laminate],_xlpm.i-1)),IF(_xlpm.cur&lt;&gt;_xlpm.prev,_xlpm.cur,"")),"")</f>
        <v/>
      </c>
      <c r="BV119" s="572" t="str" cm="1">
        <f t="array" ref="BV119">IFERROR(_xlfn.LET(_xlpm.i,ROWS($BV$2:BV119),_xlpm.cur,INDEX(tblLaminateStructures[Total Thickness (µ)],_xlpm.i),_xlpm.prev,IF(_xlpm.i=1,"",INDEX(tblLaminateStructures[Total Thickness (µ)],_xlpm.i-1)),IF(OR(_xlpm.cur&lt;&gt;_xlpm.prev,BU119&lt;&gt;""),_xlpm.cur,"")),"")</f>
        <v/>
      </c>
      <c r="BW119" s="573" t="str" cm="1">
        <f t="array" ref="BW119">IFERROR(INDEX(tblLaminateStructures[Material / Layer],ROWS($BW$2:BW119)),"")</f>
        <v>Nuvita coating</v>
      </c>
      <c r="BX119" s="572" cm="1">
        <f t="array" ref="BX119">IFERROR(INDEX(tblLaminateStructures[Layer Thickness (µ)],ROWS($BX$2:BX119)),"")</f>
        <v>4</v>
      </c>
      <c r="BY119" s="572" cm="1">
        <f t="array" ref="BY119">IFERROR(INDEX(tblLaminateStructures[Structure Check],ROWS($BY$2:BY119)),"")</f>
        <v>68.349999999999994</v>
      </c>
      <c r="BZ119" s="573" cm="1">
        <f t="array" ref="BZ119">IFERROR(INDEX(tblLaminateStructures[Laminate],ROWS($BZ$2:BZ119)),"")</f>
        <v>724</v>
      </c>
      <c r="CA119" s="573"/>
      <c r="CB119" s="573"/>
      <c r="CC119" s="572" cm="1">
        <f t="array" ref="CC119">IFERROR(INDEX(tblLaminateStructures[Total Thickness (µ)],ROWS($CC$2:CC119)),"")</f>
        <v>68.349999999999994</v>
      </c>
      <c r="CD119" s="572"/>
      <c r="CE119" s="572"/>
      <c r="CF119" s="572"/>
      <c r="CG119" s="573"/>
      <c r="CH119" s="574"/>
    </row>
    <row r="120" spans="48:86" ht="45">
      <c r="AV120" s="984">
        <v>724</v>
      </c>
      <c r="AW120" s="987">
        <v>68.349999999999994</v>
      </c>
      <c r="AX120" s="984" t="s">
        <v>2349</v>
      </c>
      <c r="AY120" s="987">
        <v>23</v>
      </c>
      <c r="AZ120" s="98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68.349999999999994</v>
      </c>
      <c r="BA120" s="984" t="s">
        <v>1</v>
      </c>
      <c r="BB120" s="984" t="s">
        <v>2361</v>
      </c>
      <c r="BC120" s="984" t="s">
        <v>1060</v>
      </c>
      <c r="BD120" s="984"/>
      <c r="BF120" s="556"/>
      <c r="BG120" s="556"/>
      <c r="BH120" s="556"/>
      <c r="BI120" s="556"/>
      <c r="BJ120" s="556"/>
      <c r="BK120" s="556"/>
      <c r="BL120" s="556"/>
      <c r="BM120" s="556"/>
      <c r="BN120" s="556"/>
      <c r="BO120" s="556"/>
      <c r="BP120" s="556"/>
      <c r="BQ120" s="556"/>
      <c r="BR120" s="556"/>
      <c r="BS120" s="556"/>
      <c r="BT120" s="556"/>
      <c r="BU120" s="571" t="str" cm="1">
        <f t="array" ref="BU120">IFERROR(_xlfn.LET(_xlpm.i,ROWS($BU$2:BU120),_xlpm.cur,INDEX(tblLaminateStructures[Laminate],_xlpm.i),_xlpm.prev,IF(_xlpm.i=1,"",INDEX(tblLaminateStructures[Laminate],_xlpm.i-1)),IF(_xlpm.cur&lt;&gt;_xlpm.prev,_xlpm.cur,"")),"")</f>
        <v/>
      </c>
      <c r="BV120" s="572" t="str" cm="1">
        <f t="array" ref="BV120">IFERROR(_xlfn.LET(_xlpm.i,ROWS($BV$2:BV120),_xlpm.cur,INDEX(tblLaminateStructures[Total Thickness (µ)],_xlpm.i),_xlpm.prev,IF(_xlpm.i=1,"",INDEX(tblLaminateStructures[Total Thickness (µ)],_xlpm.i-1)),IF(OR(_xlpm.cur&lt;&gt;_xlpm.prev,BU120&lt;&gt;""),_xlpm.cur,"")),"")</f>
        <v/>
      </c>
      <c r="BW120" s="573" t="str" cm="1">
        <f t="array" ref="BW120">IFERROR(INDEX(tblLaminateStructures[Material / Layer],ROWS($BW$2:BW120)),"")</f>
        <v>NVS</v>
      </c>
      <c r="BX120" s="572" cm="1">
        <f t="array" ref="BX120">IFERROR(INDEX(tblLaminateStructures[Layer Thickness (µ)],ROWS($BX$2:BX120)),"")</f>
        <v>23</v>
      </c>
      <c r="BY120" s="572" cm="1">
        <f t="array" ref="BY120">IFERROR(INDEX(tblLaminateStructures[Structure Check],ROWS($BY$2:BY120)),"")</f>
        <v>68.349999999999994</v>
      </c>
      <c r="BZ120" s="573" cm="1">
        <f t="array" ref="BZ120">IFERROR(INDEX(tblLaminateStructures[Laminate],ROWS($BZ$2:BZ120)),"")</f>
        <v>724</v>
      </c>
      <c r="CA120" s="573"/>
      <c r="CB120" s="573"/>
      <c r="CC120" s="572" cm="1">
        <f t="array" ref="CC120">IFERROR(INDEX(tblLaminateStructures[Total Thickness (µ)],ROWS($CC$2:CC120)),"")</f>
        <v>68.349999999999994</v>
      </c>
      <c r="CD120" s="572"/>
      <c r="CE120" s="572"/>
      <c r="CF120" s="572"/>
      <c r="CG120" s="573"/>
      <c r="CH120" s="574"/>
    </row>
    <row r="121" spans="48:86">
      <c r="AV121" s="984" t="s">
        <v>2372</v>
      </c>
      <c r="AW121" s="985">
        <v>106</v>
      </c>
      <c r="AX121" s="984" t="s">
        <v>180</v>
      </c>
      <c r="AY121" s="985">
        <v>25</v>
      </c>
      <c r="AZ121" s="98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1" s="984"/>
      <c r="BB121" s="544" t="s">
        <v>1068</v>
      </c>
      <c r="BC121" s="984" t="s">
        <v>1060</v>
      </c>
      <c r="BD121" s="984"/>
      <c r="BF121" s="556"/>
      <c r="BG121" s="556"/>
      <c r="BH121" s="556"/>
      <c r="BI121" s="556"/>
      <c r="BJ121" s="556"/>
      <c r="BK121" s="556"/>
      <c r="BL121" s="556"/>
      <c r="BM121" s="556"/>
      <c r="BN121" s="556"/>
      <c r="BO121" s="556"/>
      <c r="BP121" s="556"/>
      <c r="BQ121" s="556"/>
      <c r="BR121" s="556"/>
      <c r="BS121" s="556"/>
      <c r="BT121" s="556"/>
      <c r="BU121" s="571" t="str" cm="1">
        <f t="array" ref="BU121">IFERROR(_xlfn.LET(_xlpm.i,ROWS($BU$2:BU121),_xlpm.cur,INDEX(tblLaminateStructures[Laminate],_xlpm.i),_xlpm.prev,IF(_xlpm.i=1,"",INDEX(tblLaminateStructures[Laminate],_xlpm.i-1)),IF(_xlpm.cur&lt;&gt;_xlpm.prev,_xlpm.cur,"")),"")</f>
        <v>XXX-Met</v>
      </c>
      <c r="BV121" s="572" cm="1">
        <f t="array" ref="BV121">IFERROR(_xlfn.LET(_xlpm.i,ROWS($BV$2:BV121),_xlpm.cur,INDEX(tblLaminateStructures[Total Thickness (µ)],_xlpm.i),_xlpm.prev,IF(_xlpm.i=1,"",INDEX(tblLaminateStructures[Total Thickness (µ)],_xlpm.i-1)),IF(OR(_xlpm.cur&lt;&gt;_xlpm.prev,BU121&lt;&gt;""),_xlpm.cur,"")),"")</f>
        <v>106</v>
      </c>
      <c r="BW121" s="573" t="str" cm="1">
        <f t="array" ref="BW121">IFERROR(INDEX(tblLaminateStructures[Material / Layer],ROWS($BW$2:BW121)),"")</f>
        <v>TIPA 312 MET</v>
      </c>
      <c r="BX121" s="572" cm="1">
        <f t="array" ref="BX121">IFERROR(INDEX(tblLaminateStructures[Layer Thickness (µ)],ROWS($BX$2:BX121)),"")</f>
        <v>25</v>
      </c>
      <c r="BY121" s="572" cm="1">
        <f t="array" ref="BY121">IFERROR(INDEX(tblLaminateStructures[Structure Check],ROWS($BY$2:BY121)),"")</f>
        <v>106</v>
      </c>
      <c r="BZ121" s="573" t="str" cm="1">
        <f t="array" ref="BZ121">IFERROR(INDEX(tblLaminateStructures[Laminate],ROWS($BZ$2:BZ121)),"")</f>
        <v>XXX-Met</v>
      </c>
      <c r="CA121" s="573"/>
      <c r="CB121" s="573"/>
      <c r="CC121" s="572" cm="1">
        <f t="array" ref="CC121">IFERROR(INDEX(tblLaminateStructures[Total Thickness (µ)],ROWS($CC$2:CC121)),"")</f>
        <v>106</v>
      </c>
      <c r="CD121" s="572"/>
      <c r="CE121" s="572"/>
      <c r="CF121" s="572"/>
      <c r="CG121" s="573"/>
      <c r="CH121" s="574"/>
    </row>
    <row r="122" spans="48:86">
      <c r="AV122" s="550" t="s">
        <v>2372</v>
      </c>
      <c r="AW122" s="551">
        <v>106</v>
      </c>
      <c r="AX122" s="550" t="s">
        <v>180</v>
      </c>
      <c r="AY122" s="551">
        <v>25</v>
      </c>
      <c r="AZ122"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2" s="550"/>
      <c r="BB122" s="544" t="s">
        <v>1068</v>
      </c>
      <c r="BC122" s="550" t="s">
        <v>1060</v>
      </c>
      <c r="BD122" s="550"/>
      <c r="BF122" s="556"/>
      <c r="BG122" s="556"/>
      <c r="BH122" s="556"/>
      <c r="BI122" s="556"/>
      <c r="BJ122" s="556"/>
      <c r="BK122" s="556"/>
      <c r="BL122" s="556"/>
      <c r="BM122" s="556"/>
      <c r="BN122" s="556"/>
      <c r="BO122" s="556"/>
      <c r="BP122" s="556"/>
      <c r="BQ122" s="556"/>
      <c r="BR122" s="556"/>
      <c r="BS122" s="556"/>
      <c r="BT122" s="556"/>
      <c r="BU122" s="571" t="str" cm="1">
        <f t="array" ref="BU122">IFERROR(_xlfn.LET(_xlpm.i,ROWS($BU$2:BU122),_xlpm.cur,INDEX(tblLaminateStructures[Laminate],_xlpm.i),_xlpm.prev,IF(_xlpm.i=1,"",INDEX(tblLaminateStructures[Laminate],_xlpm.i-1)),IF(_xlpm.cur&lt;&gt;_xlpm.prev,_xlpm.cur,"")),"")</f>
        <v/>
      </c>
      <c r="BV122" s="572" t="str" cm="1">
        <f t="array" ref="BV122">IFERROR(_xlfn.LET(_xlpm.i,ROWS($BV$2:BV122),_xlpm.cur,INDEX(tblLaminateStructures[Total Thickness (µ)],_xlpm.i),_xlpm.prev,IF(_xlpm.i=1,"",INDEX(tblLaminateStructures[Total Thickness (µ)],_xlpm.i-1)),IF(OR(_xlpm.cur&lt;&gt;_xlpm.prev,BU122&lt;&gt;""),_xlpm.cur,"")),"")</f>
        <v/>
      </c>
      <c r="BW122" s="573" t="str" cm="1">
        <f t="array" ref="BW122">IFERROR(INDEX(tblLaminateStructures[Material / Layer],ROWS($BW$2:BW122)),"")</f>
        <v>TIPA 312 MET</v>
      </c>
      <c r="BX122" s="572" cm="1">
        <f t="array" ref="BX122">IFERROR(INDEX(tblLaminateStructures[Layer Thickness (µ)],ROWS($BX$2:BX122)),"")</f>
        <v>25</v>
      </c>
      <c r="BY122" s="572" cm="1">
        <f t="array" ref="BY122">IFERROR(INDEX(tblLaminateStructures[Structure Check],ROWS($BY$2:BY122)),"")</f>
        <v>106</v>
      </c>
      <c r="BZ122" s="573" t="str" cm="1">
        <f t="array" ref="BZ122">IFERROR(INDEX(tblLaminateStructures[Laminate],ROWS($BZ$2:BZ122)),"")</f>
        <v>XXX-Met</v>
      </c>
      <c r="CA122" s="573"/>
      <c r="CB122" s="573"/>
      <c r="CC122" s="572" cm="1">
        <f t="array" ref="CC122">IFERROR(INDEX(tblLaminateStructures[Total Thickness (µ)],ROWS($CC$2:CC122)),"")</f>
        <v>106</v>
      </c>
      <c r="CD122" s="572"/>
      <c r="CE122" s="572"/>
      <c r="CF122" s="572"/>
      <c r="CG122" s="573"/>
      <c r="CH122" s="574"/>
    </row>
    <row r="123" spans="48:86">
      <c r="AV123" s="550" t="s">
        <v>2372</v>
      </c>
      <c r="AW123" s="551">
        <v>106</v>
      </c>
      <c r="AX123" s="550" t="s">
        <v>181</v>
      </c>
      <c r="AY123" s="551">
        <v>50</v>
      </c>
      <c r="AZ123"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3" s="550"/>
      <c r="BB123" s="544" t="s">
        <v>1068</v>
      </c>
      <c r="BC123" s="550" t="s">
        <v>1060</v>
      </c>
      <c r="BD123" s="550"/>
      <c r="BF123" s="556"/>
      <c r="BG123" s="556"/>
      <c r="BH123" s="556"/>
      <c r="BI123" s="556"/>
      <c r="BJ123" s="556"/>
      <c r="BK123" s="556"/>
      <c r="BL123" s="556"/>
      <c r="BM123" s="556"/>
      <c r="BN123" s="556"/>
      <c r="BO123" s="556"/>
      <c r="BP123" s="556"/>
      <c r="BQ123" s="556"/>
      <c r="BR123" s="556"/>
      <c r="BS123" s="556"/>
      <c r="BT123" s="556"/>
      <c r="BU123" s="571" t="str" cm="1">
        <f t="array" ref="BU123">IFERROR(_xlfn.LET(_xlpm.i,ROWS($BU$2:BU123),_xlpm.cur,INDEX(tblLaminateStructures[Laminate],_xlpm.i),_xlpm.prev,IF(_xlpm.i=1,"",INDEX(tblLaminateStructures[Laminate],_xlpm.i-1)),IF(_xlpm.cur&lt;&gt;_xlpm.prev,_xlpm.cur,"")),"")</f>
        <v/>
      </c>
      <c r="BV123" s="572" t="str" cm="1">
        <f t="array" ref="BV123">IFERROR(_xlfn.LET(_xlpm.i,ROWS($BV$2:BV123),_xlpm.cur,INDEX(tblLaminateStructures[Total Thickness (µ)],_xlpm.i),_xlpm.prev,IF(_xlpm.i=1,"",INDEX(tblLaminateStructures[Total Thickness (µ)],_xlpm.i-1)),IF(OR(_xlpm.cur&lt;&gt;_xlpm.prev,BU123&lt;&gt;""),_xlpm.cur,"")),"")</f>
        <v/>
      </c>
      <c r="BW123" s="573" t="str" cm="1">
        <f t="array" ref="BW123">IFERROR(INDEX(tblLaminateStructures[Material / Layer],ROWS($BW$2:BW123)),"")</f>
        <v>Billerud Kraft White Paper</v>
      </c>
      <c r="BX123" s="572" cm="1">
        <f t="array" ref="BX123">IFERROR(INDEX(tblLaminateStructures[Layer Thickness (µ)],ROWS($BX$2:BX123)),"")</f>
        <v>50</v>
      </c>
      <c r="BY123" s="572" cm="1">
        <f t="array" ref="BY123">IFERROR(INDEX(tblLaminateStructures[Structure Check],ROWS($BY$2:BY123)),"")</f>
        <v>106</v>
      </c>
      <c r="BZ123" s="573" t="str" cm="1">
        <f t="array" ref="BZ123">IFERROR(INDEX(tblLaminateStructures[Laminate],ROWS($BZ$2:BZ123)),"")</f>
        <v>XXX-Met</v>
      </c>
      <c r="CA123" s="573"/>
      <c r="CB123" s="573"/>
      <c r="CC123" s="572" cm="1">
        <f t="array" ref="CC123">IFERROR(INDEX(tblLaminateStructures[Total Thickness (µ)],ROWS($CC$2:CC123)),"")</f>
        <v>106</v>
      </c>
      <c r="CD123" s="572"/>
      <c r="CE123" s="572"/>
      <c r="CF123" s="572"/>
      <c r="CG123" s="573"/>
      <c r="CH123" s="574"/>
    </row>
    <row r="124" spans="48:86">
      <c r="AV124" s="550" t="s">
        <v>2372</v>
      </c>
      <c r="AW124" s="551">
        <v>106</v>
      </c>
      <c r="AX124" s="550" t="s">
        <v>177</v>
      </c>
      <c r="AY124" s="551">
        <v>6</v>
      </c>
      <c r="AZ124"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4" s="550"/>
      <c r="BB124" s="544" t="s">
        <v>1068</v>
      </c>
      <c r="BC124" s="550" t="s">
        <v>1060</v>
      </c>
      <c r="BD124" s="550"/>
      <c r="BF124" s="556"/>
      <c r="BG124" s="556"/>
      <c r="BH124" s="556"/>
      <c r="BI124" s="556"/>
      <c r="BJ124" s="556"/>
      <c r="BK124" s="556"/>
      <c r="BL124" s="556"/>
      <c r="BM124" s="556"/>
      <c r="BN124" s="556"/>
      <c r="BO124" s="556"/>
      <c r="BP124" s="556"/>
      <c r="BQ124" s="556"/>
      <c r="BR124" s="556"/>
      <c r="BS124" s="556"/>
      <c r="BT124" s="556"/>
      <c r="BU124" s="571" t="str" cm="1">
        <f t="array" ref="BU124">IFERROR(_xlfn.LET(_xlpm.i,ROWS($BU$2:BU124),_xlpm.cur,INDEX(tblLaminateStructures[Laminate],_xlpm.i),_xlpm.prev,IF(_xlpm.i=1,"",INDEX(tblLaminateStructures[Laminate],_xlpm.i-1)),IF(_xlpm.cur&lt;&gt;_xlpm.prev,_xlpm.cur,"")),"")</f>
        <v/>
      </c>
      <c r="BV124" s="572" t="str" cm="1">
        <f t="array" ref="BV124">IFERROR(_xlfn.LET(_xlpm.i,ROWS($BV$2:BV124),_xlpm.cur,INDEX(tblLaminateStructures[Total Thickness (µ)],_xlpm.i),_xlpm.prev,IF(_xlpm.i=1,"",INDEX(tblLaminateStructures[Total Thickness (µ)],_xlpm.i-1)),IF(OR(_xlpm.cur&lt;&gt;_xlpm.prev,BU124&lt;&gt;""),_xlpm.cur,"")),"")</f>
        <v/>
      </c>
      <c r="BW124" s="573" t="str" cm="1">
        <f t="array" ref="BW124">IFERROR(INDEX(tblLaminateStructures[Material / Layer],ROWS($BW$2:BW124)),"")</f>
        <v>RM G Epotal ECO 3675</v>
      </c>
      <c r="BX124" s="572" cm="1">
        <f t="array" ref="BX124">IFERROR(INDEX(tblLaminateStructures[Layer Thickness (µ)],ROWS($BX$2:BX124)),"")</f>
        <v>6</v>
      </c>
      <c r="BY124" s="572" cm="1">
        <f t="array" ref="BY124">IFERROR(INDEX(tblLaminateStructures[Structure Check],ROWS($BY$2:BY124)),"")</f>
        <v>106</v>
      </c>
      <c r="BZ124" s="573" t="str" cm="1">
        <f t="array" ref="BZ124">IFERROR(INDEX(tblLaminateStructures[Laminate],ROWS($BZ$2:BZ124)),"")</f>
        <v>XXX-Met</v>
      </c>
      <c r="CA124" s="573"/>
      <c r="CB124" s="573"/>
      <c r="CC124" s="572" cm="1">
        <f t="array" ref="CC124">IFERROR(INDEX(tblLaminateStructures[Total Thickness (µ)],ROWS($CC$2:CC124)),"")</f>
        <v>106</v>
      </c>
      <c r="CD124" s="572"/>
      <c r="CE124" s="572"/>
      <c r="CF124" s="572"/>
      <c r="CG124" s="573"/>
      <c r="CH124" s="574"/>
    </row>
    <row r="125" spans="48:86">
      <c r="AV125" s="550" t="s">
        <v>2373</v>
      </c>
      <c r="AW125" s="551">
        <v>106</v>
      </c>
      <c r="AX125" s="550" t="s">
        <v>2370</v>
      </c>
      <c r="AY125" s="551">
        <v>25</v>
      </c>
      <c r="AZ125"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5" s="550"/>
      <c r="BB125" s="544" t="s">
        <v>1068</v>
      </c>
      <c r="BC125" s="550" t="s">
        <v>1060</v>
      </c>
      <c r="BD125" s="550"/>
      <c r="BF125" s="556"/>
      <c r="BG125" s="556"/>
      <c r="BH125" s="556"/>
      <c r="BI125" s="556"/>
      <c r="BJ125" s="556"/>
      <c r="BK125" s="556"/>
      <c r="BL125" s="556"/>
      <c r="BM125" s="556"/>
      <c r="BN125" s="556"/>
      <c r="BO125" s="556"/>
      <c r="BP125" s="556"/>
      <c r="BQ125" s="556"/>
      <c r="BR125" s="556"/>
      <c r="BS125" s="556"/>
      <c r="BT125" s="556"/>
      <c r="BU125" s="571" t="str" cm="1">
        <f t="array" ref="BU125">IFERROR(_xlfn.LET(_xlpm.i,ROWS($BU$2:BU125),_xlpm.cur,INDEX(tblLaminateStructures[Laminate],_xlpm.i),_xlpm.prev,IF(_xlpm.i=1,"",INDEX(tblLaminateStructures[Laminate],_xlpm.i-1)),IF(_xlpm.cur&lt;&gt;_xlpm.prev,_xlpm.cur,"")),"")</f>
        <v>XXX-White</v>
      </c>
      <c r="BV125" s="572" cm="1">
        <f t="array" ref="BV125">IFERROR(_xlfn.LET(_xlpm.i,ROWS($BV$2:BV125),_xlpm.cur,INDEX(tblLaminateStructures[Total Thickness (µ)],_xlpm.i),_xlpm.prev,IF(_xlpm.i=1,"",INDEX(tblLaminateStructures[Total Thickness (µ)],_xlpm.i-1)),IF(OR(_xlpm.cur&lt;&gt;_xlpm.prev,BU125&lt;&gt;""),_xlpm.cur,"")),"")</f>
        <v>106</v>
      </c>
      <c r="BW125" s="573" t="str" cm="1">
        <f t="array" ref="BW125">IFERROR(INDEX(tblLaminateStructures[Material / Layer],ROWS($BW$2:BW125)),"")</f>
        <v>TIPA 312 White</v>
      </c>
      <c r="BX125" s="572" cm="1">
        <f t="array" ref="BX125">IFERROR(INDEX(tblLaminateStructures[Layer Thickness (µ)],ROWS($BX$2:BX125)),"")</f>
        <v>25</v>
      </c>
      <c r="BY125" s="572" cm="1">
        <f t="array" ref="BY125">IFERROR(INDEX(tblLaminateStructures[Structure Check],ROWS($BY$2:BY125)),"")</f>
        <v>106</v>
      </c>
      <c r="BZ125" s="573" t="str" cm="1">
        <f t="array" ref="BZ125">IFERROR(INDEX(tblLaminateStructures[Laminate],ROWS($BZ$2:BZ125)),"")</f>
        <v>XXX-White</v>
      </c>
      <c r="CA125" s="573"/>
      <c r="CB125" s="573"/>
      <c r="CC125" s="572" cm="1">
        <f t="array" ref="CC125">IFERROR(INDEX(tblLaminateStructures[Total Thickness (µ)],ROWS($CC$2:CC125)),"")</f>
        <v>106</v>
      </c>
      <c r="CD125" s="572"/>
      <c r="CE125" s="572"/>
      <c r="CF125" s="572"/>
      <c r="CG125" s="573"/>
      <c r="CH125" s="574"/>
    </row>
    <row r="126" spans="48:86">
      <c r="AV126" s="550" t="s">
        <v>2373</v>
      </c>
      <c r="AW126" s="551">
        <v>106</v>
      </c>
      <c r="AX126" s="550" t="s">
        <v>180</v>
      </c>
      <c r="AY126" s="551">
        <v>25</v>
      </c>
      <c r="AZ126"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6" s="550"/>
      <c r="BB126" s="544" t="s">
        <v>1068</v>
      </c>
      <c r="BC126" s="550" t="s">
        <v>1060</v>
      </c>
      <c r="BD126" s="550"/>
      <c r="BF126" s="556"/>
      <c r="BG126" s="556"/>
      <c r="BH126" s="556"/>
      <c r="BI126" s="556"/>
      <c r="BJ126" s="556"/>
      <c r="BK126" s="556"/>
      <c r="BL126" s="556"/>
      <c r="BM126" s="556"/>
      <c r="BN126" s="556"/>
      <c r="BO126" s="556"/>
      <c r="BP126" s="556"/>
      <c r="BQ126" s="556"/>
      <c r="BR126" s="556"/>
      <c r="BS126" s="556"/>
      <c r="BT126" s="556"/>
      <c r="BU126" s="584" t="str" cm="1">
        <f t="array" ref="BU126">IFERROR(_xlfn.LET(_xlpm.i,ROWS($BU$2:BU126),_xlpm.cur,INDEX(tblLaminateStructures[Laminate],_xlpm.i),_xlpm.prev,IF(_xlpm.i=1,"",INDEX(tblLaminateStructures[Laminate],_xlpm.i-1)),IF(_xlpm.cur&lt;&gt;_xlpm.prev,_xlpm.cur,"")),"")</f>
        <v/>
      </c>
      <c r="BV126" s="572" t="str" cm="1">
        <f t="array" ref="BV126">IFERROR(_xlfn.LET(_xlpm.i,ROWS($BV$2:BV126),_xlpm.cur,INDEX(tblLaminateStructures[Total Thickness (µ)],_xlpm.i),_xlpm.prev,IF(_xlpm.i=1,"",INDEX(tblLaminateStructures[Total Thickness (µ)],_xlpm.i-1)),IF(OR(_xlpm.cur&lt;&gt;_xlpm.prev,BU126&lt;&gt;""),_xlpm.cur,"")),"")</f>
        <v/>
      </c>
      <c r="BW126" s="573" t="str" cm="1">
        <f t="array" ref="BW126">IFERROR(INDEX(tblLaminateStructures[Material / Layer],ROWS($BW$2:BW126)),"")</f>
        <v>TIPA 312 MET</v>
      </c>
      <c r="BX126" s="572" cm="1">
        <f t="array" ref="BX126">IFERROR(INDEX(tblLaminateStructures[Layer Thickness (µ)],ROWS($BX$2:BX126)),"")</f>
        <v>25</v>
      </c>
      <c r="BY126" s="572" cm="1">
        <f t="array" ref="BY126">IFERROR(INDEX(tblLaminateStructures[Structure Check],ROWS($BY$2:BY126)),"")</f>
        <v>106</v>
      </c>
      <c r="BZ126" s="585" t="str" cm="1">
        <f t="array" ref="BZ126">IFERROR(INDEX(tblLaminateStructures[Laminate],ROWS($BZ$2:BZ126)),"")</f>
        <v>XXX-White</v>
      </c>
      <c r="CA126" s="573"/>
      <c r="CB126" s="573"/>
      <c r="CC126" s="572" cm="1">
        <f t="array" ref="CC126">IFERROR(INDEX(tblLaminateStructures[Total Thickness (µ)],ROWS($CC$2:CC126)),"")</f>
        <v>106</v>
      </c>
      <c r="CD126" s="572"/>
      <c r="CE126" s="572"/>
      <c r="CF126" s="572"/>
      <c r="CG126" s="573"/>
      <c r="CH126" s="574"/>
    </row>
    <row r="127" spans="48:86">
      <c r="AV127" s="550" t="s">
        <v>2373</v>
      </c>
      <c r="AW127" s="551">
        <v>106</v>
      </c>
      <c r="AX127" s="550" t="s">
        <v>181</v>
      </c>
      <c r="AY127" s="551">
        <v>50</v>
      </c>
      <c r="AZ127"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7" s="550"/>
      <c r="BB127" s="544" t="s">
        <v>1068</v>
      </c>
      <c r="BC127" s="550" t="s">
        <v>1060</v>
      </c>
      <c r="BD127" s="550"/>
      <c r="BF127" s="556"/>
      <c r="BG127" s="556"/>
      <c r="BH127" s="556"/>
      <c r="BI127" s="556"/>
      <c r="BJ127" s="556"/>
      <c r="BK127" s="556"/>
      <c r="BL127" s="556"/>
      <c r="BM127" s="556"/>
      <c r="BN127" s="556"/>
      <c r="BO127" s="556"/>
      <c r="BP127" s="556"/>
      <c r="BQ127" s="556"/>
      <c r="BR127" s="556"/>
      <c r="BS127" s="556"/>
      <c r="BT127" s="556"/>
      <c r="BU127" s="584" t="str" cm="1">
        <f t="array" ref="BU127">IFERROR(_xlfn.LET(_xlpm.i,ROWS($BU$2:BU127),_xlpm.cur,INDEX(tblLaminateStructures[Laminate],_xlpm.i),_xlpm.prev,IF(_xlpm.i=1,"",INDEX(tblLaminateStructures[Laminate],_xlpm.i-1)),IF(_xlpm.cur&lt;&gt;_xlpm.prev,_xlpm.cur,"")),"")</f>
        <v/>
      </c>
      <c r="BV127" s="572" t="str" cm="1">
        <f t="array" ref="BV127">IFERROR(_xlfn.LET(_xlpm.i,ROWS($BV$2:BV127),_xlpm.cur,INDEX(tblLaminateStructures[Total Thickness (µ)],_xlpm.i),_xlpm.prev,IF(_xlpm.i=1,"",INDEX(tblLaminateStructures[Total Thickness (µ)],_xlpm.i-1)),IF(OR(_xlpm.cur&lt;&gt;_xlpm.prev,BU127&lt;&gt;""),_xlpm.cur,"")),"")</f>
        <v/>
      </c>
      <c r="BW127" s="573" t="str" cm="1">
        <f t="array" ref="BW127">IFERROR(INDEX(tblLaminateStructures[Material / Layer],ROWS($BW$2:BW127)),"")</f>
        <v>Billerud Kraft White Paper</v>
      </c>
      <c r="BX127" s="572" cm="1">
        <f t="array" ref="BX127">IFERROR(INDEX(tblLaminateStructures[Layer Thickness (µ)],ROWS($BX$2:BX127)),"")</f>
        <v>50</v>
      </c>
      <c r="BY127" s="572" cm="1">
        <f t="array" ref="BY127">IFERROR(INDEX(tblLaminateStructures[Structure Check],ROWS($BY$2:BY127)),"")</f>
        <v>106</v>
      </c>
      <c r="BZ127" s="585" t="str" cm="1">
        <f t="array" ref="BZ127">IFERROR(INDEX(tblLaminateStructures[Laminate],ROWS($BZ$2:BZ127)),"")</f>
        <v>XXX-White</v>
      </c>
      <c r="CA127" s="573"/>
      <c r="CB127" s="573"/>
      <c r="CC127" s="572" cm="1">
        <f t="array" ref="CC127">IFERROR(INDEX(tblLaminateStructures[Total Thickness (µ)],ROWS($CC$2:CC127)),"")</f>
        <v>106</v>
      </c>
      <c r="CD127" s="572"/>
      <c r="CE127" s="572"/>
      <c r="CF127" s="572"/>
      <c r="CG127" s="573"/>
      <c r="CH127" s="574"/>
    </row>
    <row r="128" spans="48:86">
      <c r="AV128" s="550" t="s">
        <v>2373</v>
      </c>
      <c r="AW128" s="551">
        <v>106</v>
      </c>
      <c r="AX128" s="550" t="s">
        <v>177</v>
      </c>
      <c r="AY128" s="551">
        <v>6</v>
      </c>
      <c r="AZ128" s="551">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28" s="550"/>
      <c r="BB128" s="544" t="s">
        <v>1068</v>
      </c>
      <c r="BC128" s="550" t="s">
        <v>1060</v>
      </c>
      <c r="BD128" s="550"/>
      <c r="BF128" s="556"/>
      <c r="BG128" s="556"/>
      <c r="BH128" s="556"/>
      <c r="BI128" s="556"/>
      <c r="BJ128" s="556"/>
      <c r="BK128" s="556"/>
      <c r="BL128" s="556"/>
      <c r="BM128" s="556"/>
      <c r="BN128" s="556"/>
      <c r="BO128" s="556"/>
      <c r="BP128" s="556"/>
      <c r="BQ128" s="556"/>
      <c r="BR128" s="556"/>
      <c r="BS128" s="556"/>
      <c r="BT128" s="556"/>
      <c r="BU128" s="584" t="str" cm="1">
        <f t="array" ref="BU128">IFERROR(_xlfn.LET(_xlpm.i,ROWS($BU$2:BU128),_xlpm.cur,INDEX(tblLaminateStructures[Laminate],_xlpm.i),_xlpm.prev,IF(_xlpm.i=1,"",INDEX(tblLaminateStructures[Laminate],_xlpm.i-1)),IF(_xlpm.cur&lt;&gt;_xlpm.prev,_xlpm.cur,"")),"")</f>
        <v/>
      </c>
      <c r="BV128" s="572" t="str" cm="1">
        <f t="array" ref="BV128">IFERROR(_xlfn.LET(_xlpm.i,ROWS($BV$2:BV128),_xlpm.cur,INDEX(tblLaminateStructures[Total Thickness (µ)],_xlpm.i),_xlpm.prev,IF(_xlpm.i=1,"",INDEX(tblLaminateStructures[Total Thickness (µ)],_xlpm.i-1)),IF(OR(_xlpm.cur&lt;&gt;_xlpm.prev,BU128&lt;&gt;""),_xlpm.cur,"")),"")</f>
        <v/>
      </c>
      <c r="BW128" s="573" t="str" cm="1">
        <f t="array" ref="BW128">IFERROR(INDEX(tblLaminateStructures[Material / Layer],ROWS($BW$2:BW128)),"")</f>
        <v>RM G Epotal ECO 3675</v>
      </c>
      <c r="BX128" s="572" cm="1">
        <f t="array" ref="BX128">IFERROR(INDEX(tblLaminateStructures[Layer Thickness (µ)],ROWS($BX$2:BX128)),"")</f>
        <v>6</v>
      </c>
      <c r="BY128" s="572" cm="1">
        <f t="array" ref="BY128">IFERROR(INDEX(tblLaminateStructures[Structure Check],ROWS($BY$2:BY128)),"")</f>
        <v>106</v>
      </c>
      <c r="BZ128" s="585" t="str" cm="1">
        <f t="array" ref="BZ128">IFERROR(INDEX(tblLaminateStructures[Laminate],ROWS($BZ$2:BZ128)),"")</f>
        <v>XXX-White</v>
      </c>
      <c r="CA128" s="573"/>
      <c r="CB128" s="573"/>
      <c r="CC128" s="572" cm="1">
        <f t="array" ref="CC128">IFERROR(INDEX(tblLaminateStructures[Total Thickness (µ)],ROWS($CC$2:CC128)),"")</f>
        <v>106</v>
      </c>
      <c r="CD128" s="572"/>
      <c r="CE128" s="572"/>
      <c r="CF128" s="572"/>
      <c r="CG128" s="573"/>
      <c r="CH128" s="574"/>
    </row>
    <row r="129" spans="48:86">
      <c r="AV129" s="550"/>
      <c r="AW129" s="551"/>
      <c r="AX129" s="550"/>
      <c r="AY129" s="551"/>
      <c r="AZ129"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9" s="550"/>
      <c r="BB129" s="550"/>
      <c r="BC129" s="550"/>
      <c r="BD129" s="550"/>
      <c r="BF129" s="556"/>
      <c r="BG129" s="556"/>
      <c r="BH129" s="556"/>
      <c r="BI129" s="556"/>
      <c r="BJ129" s="556"/>
      <c r="BK129" s="556"/>
      <c r="BL129" s="556"/>
      <c r="BM129" s="556"/>
      <c r="BN129" s="556"/>
      <c r="BO129" s="556"/>
      <c r="BP129" s="556"/>
      <c r="BQ129" s="556"/>
      <c r="BR129" s="556"/>
      <c r="BS129" s="556"/>
      <c r="BT129" s="556"/>
      <c r="BU129" s="584" cm="1">
        <f t="array" ref="BU129">IFERROR(_xlfn.LET(_xlpm.i,ROWS($BU$2:BU129),_xlpm.cur,INDEX(tblLaminateStructures[Laminate],_xlpm.i),_xlpm.prev,IF(_xlpm.i=1,"",INDEX(tblLaminateStructures[Laminate],_xlpm.i-1)),IF(_xlpm.cur&lt;&gt;_xlpm.prev,_xlpm.cur,"")),"")</f>
        <v>0</v>
      </c>
      <c r="BV129" s="572" cm="1">
        <f t="array" ref="BV129">IFERROR(_xlfn.LET(_xlpm.i,ROWS($BV$2:BV129),_xlpm.cur,INDEX(tblLaminateStructures[Total Thickness (µ)],_xlpm.i),_xlpm.prev,IF(_xlpm.i=1,"",INDEX(tblLaminateStructures[Total Thickness (µ)],_xlpm.i-1)),IF(OR(_xlpm.cur&lt;&gt;_xlpm.prev,BU129&lt;&gt;""),_xlpm.cur,"")),"")</f>
        <v>0</v>
      </c>
      <c r="BW129" s="573" cm="1">
        <f t="array" ref="BW129">IFERROR(INDEX(tblLaminateStructures[Material / Layer],ROWS($BW$2:BW129)),"")</f>
        <v>0</v>
      </c>
      <c r="BX129" s="572" cm="1">
        <f t="array" ref="BX129">IFERROR(INDEX(tblLaminateStructures[Layer Thickness (µ)],ROWS($BX$2:BX129)),"")</f>
        <v>0</v>
      </c>
      <c r="BY129" s="572" t="str" cm="1">
        <f t="array" ref="BY129">IFERROR(INDEX(tblLaminateStructures[Structure Check],ROWS($BY$2:BY129)),"")</f>
        <v/>
      </c>
      <c r="BZ129" s="585" cm="1">
        <f t="array" ref="BZ129">IFERROR(INDEX(tblLaminateStructures[Laminate],ROWS($BZ$2:BZ129)),"")</f>
        <v>0</v>
      </c>
      <c r="CA129" s="573"/>
      <c r="CB129" s="573"/>
      <c r="CC129" s="572" cm="1">
        <f t="array" ref="CC129">IFERROR(INDEX(tblLaminateStructures[Total Thickness (µ)],ROWS($CC$2:CC129)),"")</f>
        <v>0</v>
      </c>
      <c r="CD129" s="572"/>
      <c r="CE129" s="572"/>
      <c r="CF129" s="572"/>
      <c r="CG129" s="573"/>
      <c r="CH129" s="574"/>
    </row>
    <row r="130" spans="48:86">
      <c r="AV130" s="550"/>
      <c r="AW130" s="551"/>
      <c r="AX130" s="550"/>
      <c r="AY130" s="551"/>
      <c r="AZ130"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0" s="550"/>
      <c r="BB130" s="550"/>
      <c r="BC130" s="550"/>
      <c r="BD130" s="550"/>
      <c r="BF130" s="556"/>
      <c r="BG130" s="556"/>
      <c r="BH130" s="556"/>
      <c r="BI130" s="556"/>
      <c r="BJ130" s="556"/>
      <c r="BK130" s="556"/>
      <c r="BL130" s="556"/>
      <c r="BM130" s="556"/>
      <c r="BN130" s="556"/>
      <c r="BO130" s="556"/>
      <c r="BP130" s="556"/>
      <c r="BQ130" s="556"/>
      <c r="BR130" s="556"/>
      <c r="BS130" s="556"/>
      <c r="BT130" s="556"/>
      <c r="BU130" s="584" t="str" cm="1">
        <f t="array" ref="BU130">IFERROR(_xlfn.LET(_xlpm.i,ROWS($BU$2:BU130),_xlpm.cur,INDEX(tblLaminateStructures[Laminate],_xlpm.i),_xlpm.prev,IF(_xlpm.i=1,"",INDEX(tblLaminateStructures[Laminate],_xlpm.i-1)),IF(_xlpm.cur&lt;&gt;_xlpm.prev,_xlpm.cur,"")),"")</f>
        <v/>
      </c>
      <c r="BV130" s="572" t="str" cm="1">
        <f t="array" ref="BV130">IFERROR(_xlfn.LET(_xlpm.i,ROWS($BV$2:BV130),_xlpm.cur,INDEX(tblLaminateStructures[Total Thickness (µ)],_xlpm.i),_xlpm.prev,IF(_xlpm.i=1,"",INDEX(tblLaminateStructures[Total Thickness (µ)],_xlpm.i-1)),IF(OR(_xlpm.cur&lt;&gt;_xlpm.prev,BU130&lt;&gt;""),_xlpm.cur,"")),"")</f>
        <v/>
      </c>
      <c r="BW130" s="573" cm="1">
        <f t="array" ref="BW130">IFERROR(INDEX(tblLaminateStructures[Material / Layer],ROWS($BW$2:BW130)),"")</f>
        <v>0</v>
      </c>
      <c r="BX130" s="572" cm="1">
        <f t="array" ref="BX130">IFERROR(INDEX(tblLaminateStructures[Layer Thickness (µ)],ROWS($BX$2:BX130)),"")</f>
        <v>0</v>
      </c>
      <c r="BY130" s="572" t="str" cm="1">
        <f t="array" ref="BY130">IFERROR(INDEX(tblLaminateStructures[Structure Check],ROWS($BY$2:BY130)),"")</f>
        <v/>
      </c>
      <c r="BZ130" s="585" cm="1">
        <f t="array" ref="BZ130">IFERROR(INDEX(tblLaminateStructures[Laminate],ROWS($BZ$2:BZ130)),"")</f>
        <v>0</v>
      </c>
      <c r="CA130" s="573"/>
      <c r="CB130" s="573"/>
      <c r="CC130" s="572" cm="1">
        <f t="array" ref="CC130">IFERROR(INDEX(tblLaminateStructures[Total Thickness (µ)],ROWS($CC$2:CC130)),"")</f>
        <v>0</v>
      </c>
      <c r="CD130" s="572"/>
      <c r="CE130" s="572"/>
      <c r="CF130" s="572"/>
      <c r="CG130" s="573"/>
      <c r="CH130" s="574"/>
    </row>
    <row r="131" spans="48:86">
      <c r="AV131" s="550"/>
      <c r="AW131" s="551"/>
      <c r="AX131" s="550"/>
      <c r="AY131" s="551"/>
      <c r="AZ131"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1" s="550"/>
      <c r="BB131" s="550"/>
      <c r="BC131" s="550"/>
      <c r="BD131" s="550"/>
      <c r="BF131" s="556"/>
      <c r="BG131" s="556"/>
      <c r="BH131" s="556"/>
      <c r="BI131" s="556"/>
      <c r="BJ131" s="556"/>
      <c r="BK131" s="556"/>
      <c r="BL131" s="556"/>
      <c r="BM131" s="556"/>
      <c r="BN131" s="556"/>
      <c r="BO131" s="556"/>
      <c r="BP131" s="556"/>
      <c r="BQ131" s="556"/>
      <c r="BR131" s="556"/>
      <c r="BS131" s="556"/>
      <c r="BT131" s="556"/>
      <c r="BU131" s="584" t="str" cm="1">
        <f t="array" ref="BU131">IFERROR(_xlfn.LET(_xlpm.i,ROWS($BU$2:BU131),_xlpm.cur,INDEX(tblLaminateStructures[Laminate],_xlpm.i),_xlpm.prev,IF(_xlpm.i=1,"",INDEX(tblLaminateStructures[Laminate],_xlpm.i-1)),IF(_xlpm.cur&lt;&gt;_xlpm.prev,_xlpm.cur,"")),"")</f>
        <v/>
      </c>
      <c r="BV131" s="572" t="str" cm="1">
        <f t="array" ref="BV131">IFERROR(_xlfn.LET(_xlpm.i,ROWS($BV$2:BV131),_xlpm.cur,INDEX(tblLaminateStructures[Total Thickness (µ)],_xlpm.i),_xlpm.prev,IF(_xlpm.i=1,"",INDEX(tblLaminateStructures[Total Thickness (µ)],_xlpm.i-1)),IF(OR(_xlpm.cur&lt;&gt;_xlpm.prev,BU131&lt;&gt;""),_xlpm.cur,"")),"")</f>
        <v/>
      </c>
      <c r="BW131" s="573" cm="1">
        <f t="array" ref="BW131">IFERROR(INDEX(tblLaminateStructures[Material / Layer],ROWS($BW$2:BW131)),"")</f>
        <v>0</v>
      </c>
      <c r="BX131" s="572" cm="1">
        <f t="array" ref="BX131">IFERROR(INDEX(tblLaminateStructures[Layer Thickness (µ)],ROWS($BX$2:BX131)),"")</f>
        <v>0</v>
      </c>
      <c r="BY131" s="572" t="str" cm="1">
        <f t="array" ref="BY131">IFERROR(INDEX(tblLaminateStructures[Structure Check],ROWS($BY$2:BY131)),"")</f>
        <v/>
      </c>
      <c r="BZ131" s="585" cm="1">
        <f t="array" ref="BZ131">IFERROR(INDEX(tblLaminateStructures[Laminate],ROWS($BZ$2:BZ131)),"")</f>
        <v>0</v>
      </c>
      <c r="CA131" s="573"/>
      <c r="CB131" s="573"/>
      <c r="CC131" s="572" cm="1">
        <f t="array" ref="CC131">IFERROR(INDEX(tblLaminateStructures[Total Thickness (µ)],ROWS($CC$2:CC131)),"")</f>
        <v>0</v>
      </c>
      <c r="CD131" s="572"/>
      <c r="CE131" s="572"/>
      <c r="CF131" s="572"/>
      <c r="CG131" s="573"/>
      <c r="CH131" s="574"/>
    </row>
    <row r="132" spans="48:86">
      <c r="AV132" s="550"/>
      <c r="AW132" s="551"/>
      <c r="AX132" s="550"/>
      <c r="AY132" s="551"/>
      <c r="AZ132"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2" s="550"/>
      <c r="BB132" s="550"/>
      <c r="BC132" s="550"/>
      <c r="BD132" s="550"/>
      <c r="BF132" s="556"/>
      <c r="BG132" s="556"/>
      <c r="BH132" s="556"/>
      <c r="BI132" s="556"/>
      <c r="BJ132" s="556"/>
      <c r="BK132" s="556"/>
      <c r="BL132" s="556"/>
      <c r="BM132" s="556"/>
      <c r="BN132" s="556"/>
      <c r="BO132" s="556"/>
      <c r="BP132" s="556"/>
      <c r="BQ132" s="556"/>
      <c r="BR132" s="556"/>
      <c r="BS132" s="556"/>
      <c r="BT132" s="556"/>
      <c r="BU132" s="584" t="str" cm="1">
        <f t="array" ref="BU132">IFERROR(_xlfn.LET(_xlpm.i,ROWS($BU$2:BU132),_xlpm.cur,INDEX(tblLaminateStructures[Laminate],_xlpm.i),_xlpm.prev,IF(_xlpm.i=1,"",INDEX(tblLaminateStructures[Laminate],_xlpm.i-1)),IF(_xlpm.cur&lt;&gt;_xlpm.prev,_xlpm.cur,"")),"")</f>
        <v/>
      </c>
      <c r="BV132" s="572" t="str" cm="1">
        <f t="array" ref="BV132">IFERROR(_xlfn.LET(_xlpm.i,ROWS($BV$2:BV132),_xlpm.cur,INDEX(tblLaminateStructures[Total Thickness (µ)],_xlpm.i),_xlpm.prev,IF(_xlpm.i=1,"",INDEX(tblLaminateStructures[Total Thickness (µ)],_xlpm.i-1)),IF(OR(_xlpm.cur&lt;&gt;_xlpm.prev,BU132&lt;&gt;""),_xlpm.cur,"")),"")</f>
        <v/>
      </c>
      <c r="BW132" s="573" cm="1">
        <f t="array" ref="BW132">IFERROR(INDEX(tblLaminateStructures[Material / Layer],ROWS($BW$2:BW132)),"")</f>
        <v>0</v>
      </c>
      <c r="BX132" s="572" cm="1">
        <f t="array" ref="BX132">IFERROR(INDEX(tblLaminateStructures[Layer Thickness (µ)],ROWS($BX$2:BX132)),"")</f>
        <v>0</v>
      </c>
      <c r="BY132" s="572" t="str" cm="1">
        <f t="array" ref="BY132">IFERROR(INDEX(tblLaminateStructures[Structure Check],ROWS($BY$2:BY132)),"")</f>
        <v/>
      </c>
      <c r="BZ132" s="585" cm="1">
        <f t="array" ref="BZ132">IFERROR(INDEX(tblLaminateStructures[Laminate],ROWS($BZ$2:BZ132)),"")</f>
        <v>0</v>
      </c>
      <c r="CA132" s="573"/>
      <c r="CB132" s="573"/>
      <c r="CC132" s="572" cm="1">
        <f t="array" ref="CC132">IFERROR(INDEX(tblLaminateStructures[Total Thickness (µ)],ROWS($CC$2:CC132)),"")</f>
        <v>0</v>
      </c>
      <c r="CD132" s="572"/>
      <c r="CE132" s="572"/>
      <c r="CF132" s="572"/>
      <c r="CG132" s="573"/>
      <c r="CH132" s="574"/>
    </row>
    <row r="133" spans="48:86">
      <c r="AV133" s="550"/>
      <c r="AW133" s="551"/>
      <c r="AX133" s="550"/>
      <c r="AY133" s="551"/>
      <c r="AZ133"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3" s="550"/>
      <c r="BB133" s="550"/>
      <c r="BC133" s="550"/>
      <c r="BD133" s="550"/>
      <c r="BF133" s="556"/>
      <c r="BG133" s="556"/>
      <c r="BH133" s="556"/>
      <c r="BI133" s="556"/>
      <c r="BJ133" s="556"/>
      <c r="BK133" s="556"/>
      <c r="BL133" s="556"/>
      <c r="BM133" s="556"/>
      <c r="BN133" s="556"/>
      <c r="BO133" s="556"/>
      <c r="BP133" s="556"/>
      <c r="BQ133" s="556"/>
      <c r="BR133" s="556"/>
      <c r="BS133" s="556"/>
      <c r="BT133" s="556"/>
      <c r="BU133" s="584" t="str" cm="1">
        <f t="array" ref="BU133">IFERROR(_xlfn.LET(_xlpm.i,ROWS($BU$2:BU133),_xlpm.cur,INDEX(tblLaminateStructures[Laminate],_xlpm.i),_xlpm.prev,IF(_xlpm.i=1,"",INDEX(tblLaminateStructures[Laminate],_xlpm.i-1)),IF(_xlpm.cur&lt;&gt;_xlpm.prev,_xlpm.cur,"")),"")</f>
        <v/>
      </c>
      <c r="BV133" s="572" t="str" cm="1">
        <f t="array" ref="BV133">IFERROR(_xlfn.LET(_xlpm.i,ROWS($BV$2:BV133),_xlpm.cur,INDEX(tblLaminateStructures[Total Thickness (µ)],_xlpm.i),_xlpm.prev,IF(_xlpm.i=1,"",INDEX(tblLaminateStructures[Total Thickness (µ)],_xlpm.i-1)),IF(OR(_xlpm.cur&lt;&gt;_xlpm.prev,BU133&lt;&gt;""),_xlpm.cur,"")),"")</f>
        <v/>
      </c>
      <c r="BW133" s="573" cm="1">
        <f t="array" ref="BW133">IFERROR(INDEX(tblLaminateStructures[Material / Layer],ROWS($BW$2:BW133)),"")</f>
        <v>0</v>
      </c>
      <c r="BX133" s="572" cm="1">
        <f t="array" ref="BX133">IFERROR(INDEX(tblLaminateStructures[Layer Thickness (µ)],ROWS($BX$2:BX133)),"")</f>
        <v>0</v>
      </c>
      <c r="BY133" s="572" t="str" cm="1">
        <f t="array" ref="BY133">IFERROR(INDEX(tblLaminateStructures[Structure Check],ROWS($BY$2:BY133)),"")</f>
        <v/>
      </c>
      <c r="BZ133" s="585" cm="1">
        <f t="array" ref="BZ133">IFERROR(INDEX(tblLaminateStructures[Laminate],ROWS($BZ$2:BZ133)),"")</f>
        <v>0</v>
      </c>
      <c r="CA133" s="573"/>
      <c r="CB133" s="573"/>
      <c r="CC133" s="572" cm="1">
        <f t="array" ref="CC133">IFERROR(INDEX(tblLaminateStructures[Total Thickness (µ)],ROWS($CC$2:CC133)),"")</f>
        <v>0</v>
      </c>
      <c r="CD133" s="572"/>
      <c r="CE133" s="572"/>
      <c r="CF133" s="572"/>
      <c r="CG133" s="573"/>
      <c r="CH133" s="574"/>
    </row>
    <row r="134" spans="48:86">
      <c r="AV134" s="550"/>
      <c r="AW134" s="551"/>
      <c r="AX134" s="550"/>
      <c r="AY134" s="551"/>
      <c r="AZ134"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4" s="550"/>
      <c r="BB134" s="550"/>
      <c r="BC134" s="550"/>
      <c r="BD134" s="550"/>
      <c r="BF134" s="556"/>
      <c r="BG134" s="556"/>
      <c r="BH134" s="556"/>
      <c r="BI134" s="556"/>
      <c r="BJ134" s="556"/>
      <c r="BK134" s="556"/>
      <c r="BL134" s="556"/>
      <c r="BM134" s="556"/>
      <c r="BN134" s="556"/>
      <c r="BO134" s="556"/>
      <c r="BP134" s="556"/>
      <c r="BQ134" s="556"/>
      <c r="BR134" s="556"/>
      <c r="BS134" s="556"/>
      <c r="BT134" s="556"/>
      <c r="BU134" s="584" t="str" cm="1">
        <f t="array" ref="BU134">IFERROR(_xlfn.LET(_xlpm.i,ROWS($BU$2:BU134),_xlpm.cur,INDEX(tblLaminateStructures[Laminate],_xlpm.i),_xlpm.prev,IF(_xlpm.i=1,"",INDEX(tblLaminateStructures[Laminate],_xlpm.i-1)),IF(_xlpm.cur&lt;&gt;_xlpm.prev,_xlpm.cur,"")),"")</f>
        <v/>
      </c>
      <c r="BV134" s="572" t="str" cm="1">
        <f t="array" ref="BV134">IFERROR(_xlfn.LET(_xlpm.i,ROWS($BV$2:BV134),_xlpm.cur,INDEX(tblLaminateStructures[Total Thickness (µ)],_xlpm.i),_xlpm.prev,IF(_xlpm.i=1,"",INDEX(tblLaminateStructures[Total Thickness (µ)],_xlpm.i-1)),IF(OR(_xlpm.cur&lt;&gt;_xlpm.prev,BU134&lt;&gt;""),_xlpm.cur,"")),"")</f>
        <v/>
      </c>
      <c r="BW134" s="573" cm="1">
        <f t="array" ref="BW134">IFERROR(INDEX(tblLaminateStructures[Material / Layer],ROWS($BW$2:BW134)),"")</f>
        <v>0</v>
      </c>
      <c r="BX134" s="572" cm="1">
        <f t="array" ref="BX134">IFERROR(INDEX(tblLaminateStructures[Layer Thickness (µ)],ROWS($BX$2:BX134)),"")</f>
        <v>0</v>
      </c>
      <c r="BY134" s="572" t="str" cm="1">
        <f t="array" ref="BY134">IFERROR(INDEX(tblLaminateStructures[Structure Check],ROWS($BY$2:BY134)),"")</f>
        <v/>
      </c>
      <c r="BZ134" s="585" cm="1">
        <f t="array" ref="BZ134">IFERROR(INDEX(tblLaminateStructures[Laminate],ROWS($BZ$2:BZ134)),"")</f>
        <v>0</v>
      </c>
      <c r="CA134" s="573"/>
      <c r="CB134" s="573"/>
      <c r="CC134" s="572" cm="1">
        <f t="array" ref="CC134">IFERROR(INDEX(tblLaminateStructures[Total Thickness (µ)],ROWS($CC$2:CC134)),"")</f>
        <v>0</v>
      </c>
      <c r="CD134" s="572"/>
      <c r="CE134" s="572"/>
      <c r="CF134" s="572"/>
      <c r="CG134" s="573"/>
      <c r="CH134" s="574"/>
    </row>
    <row r="135" spans="48:86">
      <c r="AV135" s="550"/>
      <c r="AW135" s="551"/>
      <c r="AX135" s="550"/>
      <c r="AY135" s="551"/>
      <c r="AZ135"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5" s="550"/>
      <c r="BB135" s="550"/>
      <c r="BC135" s="550"/>
      <c r="BD135" s="550"/>
      <c r="BF135" s="556"/>
      <c r="BG135" s="556"/>
      <c r="BH135" s="556"/>
      <c r="BI135" s="556"/>
      <c r="BJ135" s="556"/>
      <c r="BK135" s="556"/>
      <c r="BL135" s="556"/>
      <c r="BM135" s="556"/>
      <c r="BN135" s="556"/>
      <c r="BO135" s="556"/>
      <c r="BP135" s="556"/>
      <c r="BQ135" s="556"/>
      <c r="BR135" s="556"/>
      <c r="BS135" s="556"/>
      <c r="BT135" s="556"/>
      <c r="BU135" s="584" t="str" cm="1">
        <f t="array" ref="BU135">IFERROR(_xlfn.LET(_xlpm.i,ROWS($BU$2:BU135),_xlpm.cur,INDEX(tblLaminateStructures[Laminate],_xlpm.i),_xlpm.prev,IF(_xlpm.i=1,"",INDEX(tblLaminateStructures[Laminate],_xlpm.i-1)),IF(_xlpm.cur&lt;&gt;_xlpm.prev,_xlpm.cur,"")),"")</f>
        <v/>
      </c>
      <c r="BV135" s="572" t="str" cm="1">
        <f t="array" ref="BV135">IFERROR(_xlfn.LET(_xlpm.i,ROWS($BV$2:BV135),_xlpm.cur,INDEX(tblLaminateStructures[Total Thickness (µ)],_xlpm.i),_xlpm.prev,IF(_xlpm.i=1,"",INDEX(tblLaminateStructures[Total Thickness (µ)],_xlpm.i-1)),IF(OR(_xlpm.cur&lt;&gt;_xlpm.prev,BU135&lt;&gt;""),_xlpm.cur,"")),"")</f>
        <v/>
      </c>
      <c r="BW135" s="573" cm="1">
        <f t="array" ref="BW135">IFERROR(INDEX(tblLaminateStructures[Material / Layer],ROWS($BW$2:BW135)),"")</f>
        <v>0</v>
      </c>
      <c r="BX135" s="572" cm="1">
        <f t="array" ref="BX135">IFERROR(INDEX(tblLaminateStructures[Layer Thickness (µ)],ROWS($BX$2:BX135)),"")</f>
        <v>0</v>
      </c>
      <c r="BY135" s="572" t="str" cm="1">
        <f t="array" ref="BY135">IFERROR(INDEX(tblLaminateStructures[Structure Check],ROWS($BY$2:BY135)),"")</f>
        <v/>
      </c>
      <c r="BZ135" s="585" cm="1">
        <f t="array" ref="BZ135">IFERROR(INDEX(tblLaminateStructures[Laminate],ROWS($BZ$2:BZ135)),"")</f>
        <v>0</v>
      </c>
      <c r="CA135" s="573"/>
      <c r="CB135" s="573"/>
      <c r="CC135" s="572" cm="1">
        <f t="array" ref="CC135">IFERROR(INDEX(tblLaminateStructures[Total Thickness (µ)],ROWS($CC$2:CC135)),"")</f>
        <v>0</v>
      </c>
      <c r="CD135" s="572"/>
      <c r="CE135" s="572"/>
      <c r="CF135" s="572"/>
      <c r="CG135" s="573"/>
      <c r="CH135" s="574"/>
    </row>
    <row r="136" spans="48:86">
      <c r="AV136" s="550"/>
      <c r="AW136" s="551"/>
      <c r="AX136" s="550"/>
      <c r="AY136" s="551"/>
      <c r="AZ136"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6" s="550"/>
      <c r="BB136" s="550"/>
      <c r="BC136" s="550"/>
      <c r="BD136" s="550"/>
      <c r="BF136" s="556"/>
      <c r="BG136" s="556"/>
      <c r="BH136" s="556"/>
      <c r="BI136" s="556"/>
      <c r="BJ136" s="556"/>
      <c r="BK136" s="556"/>
      <c r="BL136" s="556"/>
      <c r="BM136" s="556"/>
      <c r="BN136" s="556"/>
      <c r="BO136" s="556"/>
      <c r="BP136" s="556"/>
      <c r="BQ136" s="556"/>
      <c r="BR136" s="556"/>
      <c r="BS136" s="556"/>
      <c r="BT136" s="556"/>
      <c r="BU136" s="584" t="str" cm="1">
        <f t="array" ref="BU136">IFERROR(_xlfn.LET(_xlpm.i,ROWS($BU$2:BU136),_xlpm.cur,INDEX(tblLaminateStructures[Laminate],_xlpm.i),_xlpm.prev,IF(_xlpm.i=1,"",INDEX(tblLaminateStructures[Laminate],_xlpm.i-1)),IF(_xlpm.cur&lt;&gt;_xlpm.prev,_xlpm.cur,"")),"")</f>
        <v/>
      </c>
      <c r="BV136" s="572" t="str" cm="1">
        <f t="array" ref="BV136">IFERROR(_xlfn.LET(_xlpm.i,ROWS($BV$2:BV136),_xlpm.cur,INDEX(tblLaminateStructures[Total Thickness (µ)],_xlpm.i),_xlpm.prev,IF(_xlpm.i=1,"",INDEX(tblLaminateStructures[Total Thickness (µ)],_xlpm.i-1)),IF(OR(_xlpm.cur&lt;&gt;_xlpm.prev,BU136&lt;&gt;""),_xlpm.cur,"")),"")</f>
        <v/>
      </c>
      <c r="BW136" s="573" cm="1">
        <f t="array" ref="BW136">IFERROR(INDEX(tblLaminateStructures[Material / Layer],ROWS($BW$2:BW136)),"")</f>
        <v>0</v>
      </c>
      <c r="BX136" s="572" cm="1">
        <f t="array" ref="BX136">IFERROR(INDEX(tblLaminateStructures[Layer Thickness (µ)],ROWS($BX$2:BX136)),"")</f>
        <v>0</v>
      </c>
      <c r="BY136" s="572" t="str" cm="1">
        <f t="array" ref="BY136">IFERROR(INDEX(tblLaminateStructures[Structure Check],ROWS($BY$2:BY136)),"")</f>
        <v/>
      </c>
      <c r="BZ136" s="585" cm="1">
        <f t="array" ref="BZ136">IFERROR(INDEX(tblLaminateStructures[Laminate],ROWS($BZ$2:BZ136)),"")</f>
        <v>0</v>
      </c>
      <c r="CA136" s="573"/>
      <c r="CB136" s="573"/>
      <c r="CC136" s="572" cm="1">
        <f t="array" ref="CC136">IFERROR(INDEX(tblLaminateStructures[Total Thickness (µ)],ROWS($CC$2:CC136)),"")</f>
        <v>0</v>
      </c>
      <c r="CD136" s="572"/>
      <c r="CE136" s="572"/>
      <c r="CF136" s="572"/>
      <c r="CG136" s="573"/>
      <c r="CH136" s="574"/>
    </row>
    <row r="137" spans="48:86">
      <c r="AV137" s="550"/>
      <c r="AW137" s="551"/>
      <c r="AX137" s="550"/>
      <c r="AY137" s="551"/>
      <c r="AZ137"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7" s="550"/>
      <c r="BB137" s="550"/>
      <c r="BC137" s="550"/>
      <c r="BD137" s="550"/>
      <c r="BF137" s="556"/>
      <c r="BG137" s="556"/>
      <c r="BH137" s="556"/>
      <c r="BI137" s="556"/>
      <c r="BJ137" s="556"/>
      <c r="BK137" s="556"/>
      <c r="BL137" s="556"/>
      <c r="BM137" s="556"/>
      <c r="BN137" s="556"/>
      <c r="BO137" s="556"/>
      <c r="BP137" s="556"/>
      <c r="BQ137" s="556"/>
      <c r="BR137" s="556"/>
      <c r="BS137" s="556"/>
      <c r="BT137" s="556"/>
      <c r="BU137" s="584" t="str" cm="1">
        <f t="array" ref="BU137">IFERROR(_xlfn.LET(_xlpm.i,ROWS($BU$2:BU137),_xlpm.cur,INDEX(tblLaminateStructures[Laminate],_xlpm.i),_xlpm.prev,IF(_xlpm.i=1,"",INDEX(tblLaminateStructures[Laminate],_xlpm.i-1)),IF(_xlpm.cur&lt;&gt;_xlpm.prev,_xlpm.cur,"")),"")</f>
        <v/>
      </c>
      <c r="BV137" s="572" t="str" cm="1">
        <f t="array" ref="BV137">IFERROR(_xlfn.LET(_xlpm.i,ROWS($BV$2:BV137),_xlpm.cur,INDEX(tblLaminateStructures[Total Thickness (µ)],_xlpm.i),_xlpm.prev,IF(_xlpm.i=1,"",INDEX(tblLaminateStructures[Total Thickness (µ)],_xlpm.i-1)),IF(OR(_xlpm.cur&lt;&gt;_xlpm.prev,BU137&lt;&gt;""),_xlpm.cur,"")),"")</f>
        <v/>
      </c>
      <c r="BW137" s="573" cm="1">
        <f t="array" ref="BW137">IFERROR(INDEX(tblLaminateStructures[Material / Layer],ROWS($BW$2:BW137)),"")</f>
        <v>0</v>
      </c>
      <c r="BX137" s="572" cm="1">
        <f t="array" ref="BX137">IFERROR(INDEX(tblLaminateStructures[Layer Thickness (µ)],ROWS($BX$2:BX137)),"")</f>
        <v>0</v>
      </c>
      <c r="BY137" s="572" t="str" cm="1">
        <f t="array" ref="BY137">IFERROR(INDEX(tblLaminateStructures[Structure Check],ROWS($BY$2:BY137)),"")</f>
        <v/>
      </c>
      <c r="BZ137" s="585" cm="1">
        <f t="array" ref="BZ137">IFERROR(INDEX(tblLaminateStructures[Laminate],ROWS($BZ$2:BZ137)),"")</f>
        <v>0</v>
      </c>
      <c r="CA137" s="573"/>
      <c r="CB137" s="573"/>
      <c r="CC137" s="572" cm="1">
        <f t="array" ref="CC137">IFERROR(INDEX(tblLaminateStructures[Total Thickness (µ)],ROWS($CC$2:CC137)),"")</f>
        <v>0</v>
      </c>
      <c r="CD137" s="572"/>
      <c r="CE137" s="572"/>
      <c r="CF137" s="572"/>
      <c r="CG137" s="573"/>
      <c r="CH137" s="574"/>
    </row>
    <row r="138" spans="48:86">
      <c r="AV138" s="550"/>
      <c r="AW138" s="551"/>
      <c r="AX138" s="550"/>
      <c r="AY138" s="551"/>
      <c r="AZ138"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8" s="550"/>
      <c r="BB138" s="550"/>
      <c r="BC138" s="550"/>
      <c r="BD138" s="550"/>
      <c r="BF138" s="556"/>
      <c r="BG138" s="556"/>
      <c r="BH138" s="556"/>
      <c r="BI138" s="556"/>
      <c r="BJ138" s="556"/>
      <c r="BK138" s="556"/>
      <c r="BL138" s="556"/>
      <c r="BM138" s="556"/>
      <c r="BN138" s="556"/>
      <c r="BO138" s="556"/>
      <c r="BP138" s="556"/>
      <c r="BQ138" s="556"/>
      <c r="BR138" s="556"/>
      <c r="BS138" s="556"/>
      <c r="BT138" s="556"/>
      <c r="BU138" s="584" t="str" cm="1">
        <f t="array" ref="BU138">IFERROR(_xlfn.LET(_xlpm.i,ROWS($BU$2:BU138),_xlpm.cur,INDEX(tblLaminateStructures[Laminate],_xlpm.i),_xlpm.prev,IF(_xlpm.i=1,"",INDEX(tblLaminateStructures[Laminate],_xlpm.i-1)),IF(_xlpm.cur&lt;&gt;_xlpm.prev,_xlpm.cur,"")),"")</f>
        <v/>
      </c>
      <c r="BV138" s="572" t="str" cm="1">
        <f t="array" ref="BV138">IFERROR(_xlfn.LET(_xlpm.i,ROWS($BV$2:BV138),_xlpm.cur,INDEX(tblLaminateStructures[Total Thickness (µ)],_xlpm.i),_xlpm.prev,IF(_xlpm.i=1,"",INDEX(tblLaminateStructures[Total Thickness (µ)],_xlpm.i-1)),IF(OR(_xlpm.cur&lt;&gt;_xlpm.prev,BU138&lt;&gt;""),_xlpm.cur,"")),"")</f>
        <v/>
      </c>
      <c r="BW138" s="573" cm="1">
        <f t="array" ref="BW138">IFERROR(INDEX(tblLaminateStructures[Material / Layer],ROWS($BW$2:BW138)),"")</f>
        <v>0</v>
      </c>
      <c r="BX138" s="572" cm="1">
        <f t="array" ref="BX138">IFERROR(INDEX(tblLaminateStructures[Layer Thickness (µ)],ROWS($BX$2:BX138)),"")</f>
        <v>0</v>
      </c>
      <c r="BY138" s="572" t="str" cm="1">
        <f t="array" ref="BY138">IFERROR(INDEX(tblLaminateStructures[Structure Check],ROWS($BY$2:BY138)),"")</f>
        <v/>
      </c>
      <c r="BZ138" s="585" cm="1">
        <f t="array" ref="BZ138">IFERROR(INDEX(tblLaminateStructures[Laminate],ROWS($BZ$2:BZ138)),"")</f>
        <v>0</v>
      </c>
      <c r="CA138" s="573"/>
      <c r="CB138" s="573"/>
      <c r="CC138" s="572" cm="1">
        <f t="array" ref="CC138">IFERROR(INDEX(tblLaminateStructures[Total Thickness (µ)],ROWS($CC$2:CC138)),"")</f>
        <v>0</v>
      </c>
      <c r="CD138" s="572"/>
      <c r="CE138" s="572"/>
      <c r="CF138" s="572"/>
      <c r="CG138" s="573"/>
      <c r="CH138" s="574"/>
    </row>
    <row r="139" spans="48:86">
      <c r="AV139" s="550"/>
      <c r="AW139" s="551"/>
      <c r="AX139" s="550"/>
      <c r="AY139" s="551"/>
      <c r="AZ139"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9" s="550"/>
      <c r="BB139" s="550"/>
      <c r="BC139" s="550"/>
      <c r="BD139" s="550"/>
      <c r="BF139" s="556"/>
      <c r="BG139" s="556"/>
      <c r="BH139" s="556"/>
      <c r="BI139" s="556"/>
      <c r="BJ139" s="556"/>
      <c r="BK139" s="556"/>
      <c r="BL139" s="556"/>
      <c r="BM139" s="556"/>
      <c r="BN139" s="556"/>
      <c r="BO139" s="556"/>
      <c r="BP139" s="556"/>
      <c r="BQ139" s="556"/>
      <c r="BR139" s="556"/>
      <c r="BS139" s="556"/>
      <c r="BT139" s="556"/>
      <c r="BU139" s="584" t="str" cm="1">
        <f t="array" ref="BU139">IFERROR(_xlfn.LET(_xlpm.i,ROWS($BU$2:BU139),_xlpm.cur,INDEX(tblLaminateStructures[Laminate],_xlpm.i),_xlpm.prev,IF(_xlpm.i=1,"",INDEX(tblLaminateStructures[Laminate],_xlpm.i-1)),IF(_xlpm.cur&lt;&gt;_xlpm.prev,_xlpm.cur,"")),"")</f>
        <v/>
      </c>
      <c r="BV139" s="572" t="str" cm="1">
        <f t="array" ref="BV139">IFERROR(_xlfn.LET(_xlpm.i,ROWS($BV$2:BV139),_xlpm.cur,INDEX(tblLaminateStructures[Total Thickness (µ)],_xlpm.i),_xlpm.prev,IF(_xlpm.i=1,"",INDEX(tblLaminateStructures[Total Thickness (µ)],_xlpm.i-1)),IF(OR(_xlpm.cur&lt;&gt;_xlpm.prev,BU139&lt;&gt;""),_xlpm.cur,"")),"")</f>
        <v/>
      </c>
      <c r="BW139" s="573" cm="1">
        <f t="array" ref="BW139">IFERROR(INDEX(tblLaminateStructures[Material / Layer],ROWS($BW$2:BW139)),"")</f>
        <v>0</v>
      </c>
      <c r="BX139" s="572" cm="1">
        <f t="array" ref="BX139">IFERROR(INDEX(tblLaminateStructures[Layer Thickness (µ)],ROWS($BX$2:BX139)),"")</f>
        <v>0</v>
      </c>
      <c r="BY139" s="572" t="str" cm="1">
        <f t="array" ref="BY139">IFERROR(INDEX(tblLaminateStructures[Structure Check],ROWS($BY$2:BY139)),"")</f>
        <v/>
      </c>
      <c r="BZ139" s="585" cm="1">
        <f t="array" ref="BZ139">IFERROR(INDEX(tblLaminateStructures[Laminate],ROWS($BZ$2:BZ139)),"")</f>
        <v>0</v>
      </c>
      <c r="CA139" s="573"/>
      <c r="CB139" s="573"/>
      <c r="CC139" s="572" cm="1">
        <f t="array" ref="CC139">IFERROR(INDEX(tblLaminateStructures[Total Thickness (µ)],ROWS($CC$2:CC139)),"")</f>
        <v>0</v>
      </c>
      <c r="CD139" s="572"/>
      <c r="CE139" s="572"/>
      <c r="CF139" s="572"/>
      <c r="CG139" s="573"/>
      <c r="CH139" s="574"/>
    </row>
    <row r="140" spans="48:86">
      <c r="AV140" s="550"/>
      <c r="AW140" s="551"/>
      <c r="AX140" s="550"/>
      <c r="AY140" s="551"/>
      <c r="AZ140"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0" s="550"/>
      <c r="BB140" s="550"/>
      <c r="BC140" s="550"/>
      <c r="BD140" s="550"/>
      <c r="BF140" s="556"/>
      <c r="BG140" s="556"/>
      <c r="BH140" s="556"/>
      <c r="BI140" s="556"/>
      <c r="BJ140" s="556"/>
      <c r="BK140" s="556"/>
      <c r="BL140" s="556"/>
      <c r="BM140" s="556"/>
      <c r="BN140" s="556"/>
      <c r="BO140" s="556"/>
      <c r="BP140" s="556"/>
      <c r="BQ140" s="556"/>
      <c r="BR140" s="556"/>
      <c r="BS140" s="556"/>
      <c r="BT140" s="556"/>
      <c r="BU140" s="584" t="str" cm="1">
        <f t="array" ref="BU140">IFERROR(_xlfn.LET(_xlpm.i,ROWS($BU$2:BU140),_xlpm.cur,INDEX(tblLaminateStructures[Laminate],_xlpm.i),_xlpm.prev,IF(_xlpm.i=1,"",INDEX(tblLaminateStructures[Laminate],_xlpm.i-1)),IF(_xlpm.cur&lt;&gt;_xlpm.prev,_xlpm.cur,"")),"")</f>
        <v/>
      </c>
      <c r="BV140" s="572" t="str" cm="1">
        <f t="array" ref="BV140">IFERROR(_xlfn.LET(_xlpm.i,ROWS($BV$2:BV140),_xlpm.cur,INDEX(tblLaminateStructures[Total Thickness (µ)],_xlpm.i),_xlpm.prev,IF(_xlpm.i=1,"",INDEX(tblLaminateStructures[Total Thickness (µ)],_xlpm.i-1)),IF(OR(_xlpm.cur&lt;&gt;_xlpm.prev,BU140&lt;&gt;""),_xlpm.cur,"")),"")</f>
        <v/>
      </c>
      <c r="BW140" s="573" cm="1">
        <f t="array" ref="BW140">IFERROR(INDEX(tblLaminateStructures[Material / Layer],ROWS($BW$2:BW140)),"")</f>
        <v>0</v>
      </c>
      <c r="BX140" s="572" cm="1">
        <f t="array" ref="BX140">IFERROR(INDEX(tblLaminateStructures[Layer Thickness (µ)],ROWS($BX$2:BX140)),"")</f>
        <v>0</v>
      </c>
      <c r="BY140" s="572" t="str" cm="1">
        <f t="array" ref="BY140">IFERROR(INDEX(tblLaminateStructures[Structure Check],ROWS($BY$2:BY140)),"")</f>
        <v/>
      </c>
      <c r="BZ140" s="585" cm="1">
        <f t="array" ref="BZ140">IFERROR(INDEX(tblLaminateStructures[Laminate],ROWS($BZ$2:BZ140)),"")</f>
        <v>0</v>
      </c>
      <c r="CA140" s="573"/>
      <c r="CB140" s="573"/>
      <c r="CC140" s="572" cm="1">
        <f t="array" ref="CC140">IFERROR(INDEX(tblLaminateStructures[Total Thickness (µ)],ROWS($CC$2:CC140)),"")</f>
        <v>0</v>
      </c>
      <c r="CD140" s="572"/>
      <c r="CE140" s="572"/>
      <c r="CF140" s="572"/>
      <c r="CG140" s="573"/>
      <c r="CH140" s="574"/>
    </row>
    <row r="141" spans="48:86">
      <c r="AV141" s="550"/>
      <c r="AW141" s="551"/>
      <c r="AX141" s="550"/>
      <c r="AY141" s="551"/>
      <c r="AZ141"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1" s="550"/>
      <c r="BB141" s="550"/>
      <c r="BC141" s="550"/>
      <c r="BD141" s="550"/>
      <c r="BF141" s="556"/>
      <c r="BG141" s="556"/>
      <c r="BH141" s="556"/>
      <c r="BI141" s="556"/>
      <c r="BJ141" s="556"/>
      <c r="BK141" s="556"/>
      <c r="BL141" s="556"/>
      <c r="BM141" s="556"/>
      <c r="BN141" s="556"/>
      <c r="BO141" s="556"/>
      <c r="BP141" s="556"/>
      <c r="BQ141" s="556"/>
      <c r="BR141" s="556"/>
      <c r="BS141" s="556"/>
      <c r="BT141" s="556"/>
      <c r="BU141" s="584" t="str" cm="1">
        <f t="array" ref="BU141">IFERROR(_xlfn.LET(_xlpm.i,ROWS($BU$2:BU141),_xlpm.cur,INDEX(tblLaminateStructures[Laminate],_xlpm.i),_xlpm.prev,IF(_xlpm.i=1,"",INDEX(tblLaminateStructures[Laminate],_xlpm.i-1)),IF(_xlpm.cur&lt;&gt;_xlpm.prev,_xlpm.cur,"")),"")</f>
        <v/>
      </c>
      <c r="BV141" s="572" t="str" cm="1">
        <f t="array" ref="BV141">IFERROR(_xlfn.LET(_xlpm.i,ROWS($BV$2:BV141),_xlpm.cur,INDEX(tblLaminateStructures[Total Thickness (µ)],_xlpm.i),_xlpm.prev,IF(_xlpm.i=1,"",INDEX(tblLaminateStructures[Total Thickness (µ)],_xlpm.i-1)),IF(OR(_xlpm.cur&lt;&gt;_xlpm.prev,BU141&lt;&gt;""),_xlpm.cur,"")),"")</f>
        <v/>
      </c>
      <c r="BW141" s="573" cm="1">
        <f t="array" ref="BW141">IFERROR(INDEX(tblLaminateStructures[Material / Layer],ROWS($BW$2:BW141)),"")</f>
        <v>0</v>
      </c>
      <c r="BX141" s="572" cm="1">
        <f t="array" ref="BX141">IFERROR(INDEX(tblLaminateStructures[Layer Thickness (µ)],ROWS($BX$2:BX141)),"")</f>
        <v>0</v>
      </c>
      <c r="BY141" s="572" t="str" cm="1">
        <f t="array" ref="BY141">IFERROR(INDEX(tblLaminateStructures[Structure Check],ROWS($BY$2:BY141)),"")</f>
        <v/>
      </c>
      <c r="BZ141" s="585" cm="1">
        <f t="array" ref="BZ141">IFERROR(INDEX(tblLaminateStructures[Laminate],ROWS($BZ$2:BZ141)),"")</f>
        <v>0</v>
      </c>
      <c r="CA141" s="573"/>
      <c r="CB141" s="573"/>
      <c r="CC141" s="572" cm="1">
        <f t="array" ref="CC141">IFERROR(INDEX(tblLaminateStructures[Total Thickness (µ)],ROWS($CC$2:CC141)),"")</f>
        <v>0</v>
      </c>
      <c r="CD141" s="572"/>
      <c r="CE141" s="572"/>
      <c r="CF141" s="572"/>
      <c r="CG141" s="573"/>
      <c r="CH141" s="574"/>
    </row>
    <row r="142" spans="48:86">
      <c r="AV142" s="550"/>
      <c r="AW142" s="551"/>
      <c r="AX142" s="550"/>
      <c r="AY142" s="551"/>
      <c r="AZ142"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2" s="550"/>
      <c r="BB142" s="550"/>
      <c r="BC142" s="550"/>
      <c r="BD142" s="550"/>
      <c r="BF142" s="556"/>
      <c r="BG142" s="556"/>
      <c r="BH142" s="556"/>
      <c r="BI142" s="556"/>
      <c r="BJ142" s="556"/>
      <c r="BK142" s="556"/>
      <c r="BL142" s="556"/>
      <c r="BM142" s="556"/>
      <c r="BN142" s="556"/>
      <c r="BO142" s="556"/>
      <c r="BP142" s="556"/>
      <c r="BQ142" s="556"/>
      <c r="BR142" s="556"/>
      <c r="BS142" s="556"/>
      <c r="BT142" s="556"/>
      <c r="BU142" s="584" t="str" cm="1">
        <f t="array" ref="BU142">IFERROR(_xlfn.LET(_xlpm.i,ROWS($BU$2:BU142),_xlpm.cur,INDEX(tblLaminateStructures[Laminate],_xlpm.i),_xlpm.prev,IF(_xlpm.i=1,"",INDEX(tblLaminateStructures[Laminate],_xlpm.i-1)),IF(_xlpm.cur&lt;&gt;_xlpm.prev,_xlpm.cur,"")),"")</f>
        <v/>
      </c>
      <c r="BV142" s="572" t="str" cm="1">
        <f t="array" ref="BV142">IFERROR(_xlfn.LET(_xlpm.i,ROWS($BV$2:BV142),_xlpm.cur,INDEX(tblLaminateStructures[Total Thickness (µ)],_xlpm.i),_xlpm.prev,IF(_xlpm.i=1,"",INDEX(tblLaminateStructures[Total Thickness (µ)],_xlpm.i-1)),IF(OR(_xlpm.cur&lt;&gt;_xlpm.prev,BU142&lt;&gt;""),_xlpm.cur,"")),"")</f>
        <v/>
      </c>
      <c r="BW142" s="573" cm="1">
        <f t="array" ref="BW142">IFERROR(INDEX(tblLaminateStructures[Material / Layer],ROWS($BW$2:BW142)),"")</f>
        <v>0</v>
      </c>
      <c r="BX142" s="572" cm="1">
        <f t="array" ref="BX142">IFERROR(INDEX(tblLaminateStructures[Layer Thickness (µ)],ROWS($BX$2:BX142)),"")</f>
        <v>0</v>
      </c>
      <c r="BY142" s="572" t="str" cm="1">
        <f t="array" ref="BY142">IFERROR(INDEX(tblLaminateStructures[Structure Check],ROWS($BY$2:BY142)),"")</f>
        <v/>
      </c>
      <c r="BZ142" s="585" cm="1">
        <f t="array" ref="BZ142">IFERROR(INDEX(tblLaminateStructures[Laminate],ROWS($BZ$2:BZ142)),"")</f>
        <v>0</v>
      </c>
      <c r="CA142" s="573"/>
      <c r="CB142" s="573"/>
      <c r="CC142" s="572" cm="1">
        <f t="array" ref="CC142">IFERROR(INDEX(tblLaminateStructures[Total Thickness (µ)],ROWS($CC$2:CC142)),"")</f>
        <v>0</v>
      </c>
      <c r="CD142" s="572"/>
      <c r="CE142" s="572"/>
      <c r="CF142" s="572"/>
      <c r="CG142" s="573"/>
      <c r="CH142" s="574"/>
    </row>
    <row r="143" spans="48:86">
      <c r="AV143" s="550"/>
      <c r="AW143" s="551"/>
      <c r="AX143" s="550"/>
      <c r="AY143" s="551"/>
      <c r="AZ143"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3" s="550"/>
      <c r="BB143" s="550"/>
      <c r="BC143" s="550"/>
      <c r="BD143" s="550"/>
      <c r="BF143" s="556"/>
      <c r="BG143" s="556"/>
      <c r="BH143" s="556"/>
      <c r="BI143" s="556"/>
      <c r="BJ143" s="556"/>
      <c r="BK143" s="556"/>
      <c r="BL143" s="556"/>
      <c r="BM143" s="556"/>
      <c r="BN143" s="556"/>
      <c r="BO143" s="556"/>
      <c r="BP143" s="556"/>
      <c r="BQ143" s="556"/>
      <c r="BR143" s="556"/>
      <c r="BS143" s="556"/>
      <c r="BT143" s="556"/>
      <c r="BU143" s="584" t="str" cm="1">
        <f t="array" ref="BU143">IFERROR(_xlfn.LET(_xlpm.i,ROWS($BU$2:BU143),_xlpm.cur,INDEX(tblLaminateStructures[Laminate],_xlpm.i),_xlpm.prev,IF(_xlpm.i=1,"",INDEX(tblLaminateStructures[Laminate],_xlpm.i-1)),IF(_xlpm.cur&lt;&gt;_xlpm.prev,_xlpm.cur,"")),"")</f>
        <v/>
      </c>
      <c r="BV143" s="572" t="str" cm="1">
        <f t="array" ref="BV143">IFERROR(_xlfn.LET(_xlpm.i,ROWS($BV$2:BV143),_xlpm.cur,INDEX(tblLaminateStructures[Total Thickness (µ)],_xlpm.i),_xlpm.prev,IF(_xlpm.i=1,"",INDEX(tblLaminateStructures[Total Thickness (µ)],_xlpm.i-1)),IF(OR(_xlpm.cur&lt;&gt;_xlpm.prev,BU143&lt;&gt;""),_xlpm.cur,"")),"")</f>
        <v/>
      </c>
      <c r="BW143" s="573" cm="1">
        <f t="array" ref="BW143">IFERROR(INDEX(tblLaminateStructures[Material / Layer],ROWS($BW$2:BW143)),"")</f>
        <v>0</v>
      </c>
      <c r="BX143" s="572" cm="1">
        <f t="array" ref="BX143">IFERROR(INDEX(tblLaminateStructures[Layer Thickness (µ)],ROWS($BX$2:BX143)),"")</f>
        <v>0</v>
      </c>
      <c r="BY143" s="572" t="str" cm="1">
        <f t="array" ref="BY143">IFERROR(INDEX(tblLaminateStructures[Structure Check],ROWS($BY$2:BY143)),"")</f>
        <v/>
      </c>
      <c r="BZ143" s="585" cm="1">
        <f t="array" ref="BZ143">IFERROR(INDEX(tblLaminateStructures[Laminate],ROWS($BZ$2:BZ143)),"")</f>
        <v>0</v>
      </c>
      <c r="CA143" s="573"/>
      <c r="CB143" s="573"/>
      <c r="CC143" s="572" cm="1">
        <f t="array" ref="CC143">IFERROR(INDEX(tblLaminateStructures[Total Thickness (µ)],ROWS($CC$2:CC143)),"")</f>
        <v>0</v>
      </c>
      <c r="CD143" s="572"/>
      <c r="CE143" s="572"/>
      <c r="CF143" s="572"/>
      <c r="CG143" s="573"/>
      <c r="CH143" s="574"/>
    </row>
    <row r="144" spans="48:86">
      <c r="AV144" s="550"/>
      <c r="AW144" s="551"/>
      <c r="AX144" s="550"/>
      <c r="AY144" s="551"/>
      <c r="AZ144"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4" s="550"/>
      <c r="BB144" s="550"/>
      <c r="BC144" s="550"/>
      <c r="BD144" s="550"/>
      <c r="BF144" s="556"/>
      <c r="BG144" s="556"/>
      <c r="BH144" s="556"/>
      <c r="BI144" s="556"/>
      <c r="BJ144" s="556"/>
      <c r="BK144" s="556"/>
      <c r="BL144" s="556"/>
      <c r="BM144" s="556"/>
      <c r="BN144" s="556"/>
      <c r="BO144" s="556"/>
      <c r="BP144" s="556"/>
      <c r="BQ144" s="556"/>
      <c r="BR144" s="556"/>
      <c r="BS144" s="556"/>
      <c r="BT144" s="556"/>
      <c r="BU144" s="584" t="str" cm="1">
        <f t="array" ref="BU144">IFERROR(_xlfn.LET(_xlpm.i,ROWS($BU$2:BU144),_xlpm.cur,INDEX(tblLaminateStructures[Laminate],_xlpm.i),_xlpm.prev,IF(_xlpm.i=1,"",INDEX(tblLaminateStructures[Laminate],_xlpm.i-1)),IF(_xlpm.cur&lt;&gt;_xlpm.prev,_xlpm.cur,"")),"")</f>
        <v/>
      </c>
      <c r="BV144" s="572" t="str" cm="1">
        <f t="array" ref="BV144">IFERROR(_xlfn.LET(_xlpm.i,ROWS($BV$2:BV144),_xlpm.cur,INDEX(tblLaminateStructures[Total Thickness (µ)],_xlpm.i),_xlpm.prev,IF(_xlpm.i=1,"",INDEX(tblLaminateStructures[Total Thickness (µ)],_xlpm.i-1)),IF(OR(_xlpm.cur&lt;&gt;_xlpm.prev,BU144&lt;&gt;""),_xlpm.cur,"")),"")</f>
        <v/>
      </c>
      <c r="BW144" s="573" cm="1">
        <f t="array" ref="BW144">IFERROR(INDEX(tblLaminateStructures[Material / Layer],ROWS($BW$2:BW144)),"")</f>
        <v>0</v>
      </c>
      <c r="BX144" s="572" cm="1">
        <f t="array" ref="BX144">IFERROR(INDEX(tblLaminateStructures[Layer Thickness (µ)],ROWS($BX$2:BX144)),"")</f>
        <v>0</v>
      </c>
      <c r="BY144" s="572" t="str" cm="1">
        <f t="array" ref="BY144">IFERROR(INDEX(tblLaminateStructures[Structure Check],ROWS($BY$2:BY144)),"")</f>
        <v/>
      </c>
      <c r="BZ144" s="585" cm="1">
        <f t="array" ref="BZ144">IFERROR(INDEX(tblLaminateStructures[Laminate],ROWS($BZ$2:BZ144)),"")</f>
        <v>0</v>
      </c>
      <c r="CA144" s="573"/>
      <c r="CB144" s="573"/>
      <c r="CC144" s="572" cm="1">
        <f t="array" ref="CC144">IFERROR(INDEX(tblLaminateStructures[Total Thickness (µ)],ROWS($CC$2:CC144)),"")</f>
        <v>0</v>
      </c>
      <c r="CD144" s="572"/>
      <c r="CE144" s="572"/>
      <c r="CF144" s="572"/>
      <c r="CG144" s="573"/>
      <c r="CH144" s="574"/>
    </row>
    <row r="145" spans="48:86">
      <c r="AV145" s="550"/>
      <c r="AW145" s="551"/>
      <c r="AX145" s="550"/>
      <c r="AY145" s="551"/>
      <c r="AZ145"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5" s="550"/>
      <c r="BB145" s="550"/>
      <c r="BC145" s="550"/>
      <c r="BD145" s="550"/>
      <c r="BF145" s="556"/>
      <c r="BG145" s="556"/>
      <c r="BH145" s="556"/>
      <c r="BI145" s="556"/>
      <c r="BJ145" s="556"/>
      <c r="BK145" s="556"/>
      <c r="BL145" s="556"/>
      <c r="BM145" s="556"/>
      <c r="BN145" s="556"/>
      <c r="BO145" s="556"/>
      <c r="BP145" s="556"/>
      <c r="BQ145" s="556"/>
      <c r="BR145" s="556"/>
      <c r="BS145" s="556"/>
      <c r="BT145" s="556"/>
      <c r="BU145" s="584" t="str" cm="1">
        <f t="array" ref="BU145">IFERROR(_xlfn.LET(_xlpm.i,ROWS($BU$2:BU145),_xlpm.cur,INDEX(tblLaminateStructures[Laminate],_xlpm.i),_xlpm.prev,IF(_xlpm.i=1,"",INDEX(tblLaminateStructures[Laminate],_xlpm.i-1)),IF(_xlpm.cur&lt;&gt;_xlpm.prev,_xlpm.cur,"")),"")</f>
        <v/>
      </c>
      <c r="BV145" s="572" t="str" cm="1">
        <f t="array" ref="BV145">IFERROR(_xlfn.LET(_xlpm.i,ROWS($BV$2:BV145),_xlpm.cur,INDEX(tblLaminateStructures[Total Thickness (µ)],_xlpm.i),_xlpm.prev,IF(_xlpm.i=1,"",INDEX(tblLaminateStructures[Total Thickness (µ)],_xlpm.i-1)),IF(OR(_xlpm.cur&lt;&gt;_xlpm.prev,BU145&lt;&gt;""),_xlpm.cur,"")),"")</f>
        <v/>
      </c>
      <c r="BW145" s="573" cm="1">
        <f t="array" ref="BW145">IFERROR(INDEX(tblLaminateStructures[Material / Layer],ROWS($BW$2:BW145)),"")</f>
        <v>0</v>
      </c>
      <c r="BX145" s="572" cm="1">
        <f t="array" ref="BX145">IFERROR(INDEX(tblLaminateStructures[Layer Thickness (µ)],ROWS($BX$2:BX145)),"")</f>
        <v>0</v>
      </c>
      <c r="BY145" s="572" t="str" cm="1">
        <f t="array" ref="BY145">IFERROR(INDEX(tblLaminateStructures[Structure Check],ROWS($BY$2:BY145)),"")</f>
        <v/>
      </c>
      <c r="BZ145" s="585" cm="1">
        <f t="array" ref="BZ145">IFERROR(INDEX(tblLaminateStructures[Laminate],ROWS($BZ$2:BZ145)),"")</f>
        <v>0</v>
      </c>
      <c r="CA145" s="573"/>
      <c r="CB145" s="573"/>
      <c r="CC145" s="572" cm="1">
        <f t="array" ref="CC145">IFERROR(INDEX(tblLaminateStructures[Total Thickness (µ)],ROWS($CC$2:CC145)),"")</f>
        <v>0</v>
      </c>
      <c r="CD145" s="572"/>
      <c r="CE145" s="572"/>
      <c r="CF145" s="572"/>
      <c r="CG145" s="573"/>
      <c r="CH145" s="574"/>
    </row>
    <row r="146" spans="48:86">
      <c r="AV146" s="550"/>
      <c r="AW146" s="551"/>
      <c r="AX146" s="550"/>
      <c r="AY146" s="551"/>
      <c r="AZ146"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6" s="550"/>
      <c r="BB146" s="550"/>
      <c r="BC146" s="550"/>
      <c r="BD146" s="550"/>
      <c r="BF146" s="556"/>
      <c r="BG146" s="556"/>
      <c r="BH146" s="556"/>
      <c r="BI146" s="556"/>
      <c r="BJ146" s="556"/>
      <c r="BK146" s="556"/>
      <c r="BL146" s="556"/>
      <c r="BM146" s="556"/>
      <c r="BN146" s="556"/>
      <c r="BO146" s="556"/>
      <c r="BP146" s="556"/>
      <c r="BQ146" s="556"/>
      <c r="BR146" s="556"/>
      <c r="BS146" s="556"/>
      <c r="BT146" s="556"/>
      <c r="BU146" s="584" t="str" cm="1">
        <f t="array" ref="BU146">IFERROR(_xlfn.LET(_xlpm.i,ROWS($BU$2:BU146),_xlpm.cur,INDEX(tblLaminateStructures[Laminate],_xlpm.i),_xlpm.prev,IF(_xlpm.i=1,"",INDEX(tblLaminateStructures[Laminate],_xlpm.i-1)),IF(_xlpm.cur&lt;&gt;_xlpm.prev,_xlpm.cur,"")),"")</f>
        <v/>
      </c>
      <c r="BV146" s="572" t="str" cm="1">
        <f t="array" ref="BV146">IFERROR(_xlfn.LET(_xlpm.i,ROWS($BV$2:BV146),_xlpm.cur,INDEX(tblLaminateStructures[Total Thickness (µ)],_xlpm.i),_xlpm.prev,IF(_xlpm.i=1,"",INDEX(tblLaminateStructures[Total Thickness (µ)],_xlpm.i-1)),IF(OR(_xlpm.cur&lt;&gt;_xlpm.prev,BU146&lt;&gt;""),_xlpm.cur,"")),"")</f>
        <v/>
      </c>
      <c r="BW146" s="573" cm="1">
        <f t="array" ref="BW146">IFERROR(INDEX(tblLaminateStructures[Material / Layer],ROWS($BW$2:BW146)),"")</f>
        <v>0</v>
      </c>
      <c r="BX146" s="572" cm="1">
        <f t="array" ref="BX146">IFERROR(INDEX(tblLaminateStructures[Layer Thickness (µ)],ROWS($BX$2:BX146)),"")</f>
        <v>0</v>
      </c>
      <c r="BY146" s="572" t="str" cm="1">
        <f t="array" ref="BY146">IFERROR(INDEX(tblLaminateStructures[Structure Check],ROWS($BY$2:BY146)),"")</f>
        <v/>
      </c>
      <c r="BZ146" s="585" cm="1">
        <f t="array" ref="BZ146">IFERROR(INDEX(tblLaminateStructures[Laminate],ROWS($BZ$2:BZ146)),"")</f>
        <v>0</v>
      </c>
      <c r="CA146" s="573"/>
      <c r="CB146" s="573"/>
      <c r="CC146" s="572" cm="1">
        <f t="array" ref="CC146">IFERROR(INDEX(tblLaminateStructures[Total Thickness (µ)],ROWS($CC$2:CC146)),"")</f>
        <v>0</v>
      </c>
      <c r="CD146" s="572"/>
      <c r="CE146" s="572"/>
      <c r="CF146" s="572"/>
      <c r="CG146" s="573"/>
      <c r="CH146" s="574"/>
    </row>
    <row r="147" spans="48:86">
      <c r="AV147" s="550"/>
      <c r="AW147" s="551"/>
      <c r="AX147" s="550"/>
      <c r="AY147" s="551"/>
      <c r="AZ147"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7" s="550"/>
      <c r="BB147" s="550"/>
      <c r="BC147" s="550"/>
      <c r="BD147" s="550"/>
      <c r="BF147" s="556"/>
      <c r="BG147" s="556"/>
      <c r="BH147" s="556"/>
      <c r="BI147" s="556"/>
      <c r="BJ147" s="556"/>
      <c r="BK147" s="556"/>
      <c r="BL147" s="556"/>
      <c r="BM147" s="556"/>
      <c r="BN147" s="556"/>
      <c r="BO147" s="556"/>
      <c r="BP147" s="556"/>
      <c r="BQ147" s="556"/>
      <c r="BR147" s="556"/>
      <c r="BS147" s="556"/>
      <c r="BT147" s="556"/>
      <c r="BU147" s="584" t="str" cm="1">
        <f t="array" ref="BU147">IFERROR(_xlfn.LET(_xlpm.i,ROWS($BU$2:BU147),_xlpm.cur,INDEX(tblLaminateStructures[Laminate],_xlpm.i),_xlpm.prev,IF(_xlpm.i=1,"",INDEX(tblLaminateStructures[Laminate],_xlpm.i-1)),IF(_xlpm.cur&lt;&gt;_xlpm.prev,_xlpm.cur,"")),"")</f>
        <v/>
      </c>
      <c r="BV147" s="572" t="str" cm="1">
        <f t="array" ref="BV147">IFERROR(_xlfn.LET(_xlpm.i,ROWS($BV$2:BV147),_xlpm.cur,INDEX(tblLaminateStructures[Total Thickness (µ)],_xlpm.i),_xlpm.prev,IF(_xlpm.i=1,"",INDEX(tblLaminateStructures[Total Thickness (µ)],_xlpm.i-1)),IF(OR(_xlpm.cur&lt;&gt;_xlpm.prev,BU147&lt;&gt;""),_xlpm.cur,"")),"")</f>
        <v/>
      </c>
      <c r="BW147" s="573" cm="1">
        <f t="array" ref="BW147">IFERROR(INDEX(tblLaminateStructures[Material / Layer],ROWS($BW$2:BW147)),"")</f>
        <v>0</v>
      </c>
      <c r="BX147" s="572" cm="1">
        <f t="array" ref="BX147">IFERROR(INDEX(tblLaminateStructures[Layer Thickness (µ)],ROWS($BX$2:BX147)),"")</f>
        <v>0</v>
      </c>
      <c r="BY147" s="572" t="str" cm="1">
        <f t="array" ref="BY147">IFERROR(INDEX(tblLaminateStructures[Structure Check],ROWS($BY$2:BY147)),"")</f>
        <v/>
      </c>
      <c r="BZ147" s="585" cm="1">
        <f t="array" ref="BZ147">IFERROR(INDEX(tblLaminateStructures[Laminate],ROWS($BZ$2:BZ147)),"")</f>
        <v>0</v>
      </c>
      <c r="CA147" s="573"/>
      <c r="CB147" s="573"/>
      <c r="CC147" s="572" cm="1">
        <f t="array" ref="CC147">IFERROR(INDEX(tblLaminateStructures[Total Thickness (µ)],ROWS($CC$2:CC147)),"")</f>
        <v>0</v>
      </c>
      <c r="CD147" s="572"/>
      <c r="CE147" s="572"/>
      <c r="CF147" s="572"/>
      <c r="CG147" s="573"/>
      <c r="CH147" s="574"/>
    </row>
    <row r="148" spans="48:86">
      <c r="AV148" s="550"/>
      <c r="AW148" s="551"/>
      <c r="AX148" s="550"/>
      <c r="AY148" s="551"/>
      <c r="AZ148"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8" s="550"/>
      <c r="BB148" s="550"/>
      <c r="BC148" s="550"/>
      <c r="BD148" s="550"/>
      <c r="BF148" s="556"/>
      <c r="BG148" s="556"/>
      <c r="BH148" s="556"/>
      <c r="BI148" s="556"/>
      <c r="BJ148" s="556"/>
      <c r="BK148" s="556"/>
      <c r="BL148" s="556"/>
      <c r="BM148" s="556"/>
      <c r="BN148" s="556"/>
      <c r="BO148" s="556"/>
      <c r="BP148" s="556"/>
      <c r="BQ148" s="556"/>
      <c r="BR148" s="556"/>
      <c r="BS148" s="556"/>
      <c r="BT148" s="556"/>
      <c r="BU148" s="584" t="str" cm="1">
        <f t="array" ref="BU148">IFERROR(_xlfn.LET(_xlpm.i,ROWS($BU$2:BU148),_xlpm.cur,INDEX(tblLaminateStructures[Laminate],_xlpm.i),_xlpm.prev,IF(_xlpm.i=1,"",INDEX(tblLaminateStructures[Laminate],_xlpm.i-1)),IF(_xlpm.cur&lt;&gt;_xlpm.prev,_xlpm.cur,"")),"")</f>
        <v/>
      </c>
      <c r="BV148" s="572" t="str" cm="1">
        <f t="array" ref="BV148">IFERROR(_xlfn.LET(_xlpm.i,ROWS($BV$2:BV148),_xlpm.cur,INDEX(tblLaminateStructures[Total Thickness (µ)],_xlpm.i),_xlpm.prev,IF(_xlpm.i=1,"",INDEX(tblLaminateStructures[Total Thickness (µ)],_xlpm.i-1)),IF(OR(_xlpm.cur&lt;&gt;_xlpm.prev,BU148&lt;&gt;""),_xlpm.cur,"")),"")</f>
        <v/>
      </c>
      <c r="BW148" s="573" cm="1">
        <f t="array" ref="BW148">IFERROR(INDEX(tblLaminateStructures[Material / Layer],ROWS($BW$2:BW148)),"")</f>
        <v>0</v>
      </c>
      <c r="BX148" s="572" cm="1">
        <f t="array" ref="BX148">IFERROR(INDEX(tblLaminateStructures[Layer Thickness (µ)],ROWS($BX$2:BX148)),"")</f>
        <v>0</v>
      </c>
      <c r="BY148" s="572" t="str" cm="1">
        <f t="array" ref="BY148">IFERROR(INDEX(tblLaminateStructures[Structure Check],ROWS($BY$2:BY148)),"")</f>
        <v/>
      </c>
      <c r="BZ148" s="585" cm="1">
        <f t="array" ref="BZ148">IFERROR(INDEX(tblLaminateStructures[Laminate],ROWS($BZ$2:BZ148)),"")</f>
        <v>0</v>
      </c>
      <c r="CA148" s="573"/>
      <c r="CB148" s="573"/>
      <c r="CC148" s="572" cm="1">
        <f t="array" ref="CC148">IFERROR(INDEX(tblLaminateStructures[Total Thickness (µ)],ROWS($CC$2:CC148)),"")</f>
        <v>0</v>
      </c>
      <c r="CD148" s="572"/>
      <c r="CE148" s="572"/>
      <c r="CF148" s="572"/>
      <c r="CG148" s="573"/>
      <c r="CH148" s="574"/>
    </row>
    <row r="149" spans="48:86">
      <c r="AV149" s="550"/>
      <c r="AW149" s="551"/>
      <c r="AX149" s="550"/>
      <c r="AY149" s="551"/>
      <c r="AZ149"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9" s="550"/>
      <c r="BB149" s="550"/>
      <c r="BC149" s="550"/>
      <c r="BD149" s="550"/>
      <c r="BF149" s="556"/>
      <c r="BG149" s="556"/>
      <c r="BH149" s="556"/>
      <c r="BI149" s="556"/>
      <c r="BJ149" s="556"/>
      <c r="BK149" s="556"/>
      <c r="BL149" s="556"/>
      <c r="BM149" s="556"/>
      <c r="BN149" s="556"/>
      <c r="BO149" s="556"/>
      <c r="BP149" s="556"/>
      <c r="BQ149" s="556"/>
      <c r="BR149" s="556"/>
      <c r="BS149" s="556"/>
      <c r="BT149" s="556"/>
      <c r="BU149" s="584" t="str" cm="1">
        <f t="array" ref="BU149">IFERROR(_xlfn.LET(_xlpm.i,ROWS($BU$2:BU149),_xlpm.cur,INDEX(tblLaminateStructures[Laminate],_xlpm.i),_xlpm.prev,IF(_xlpm.i=1,"",INDEX(tblLaminateStructures[Laminate],_xlpm.i-1)),IF(_xlpm.cur&lt;&gt;_xlpm.prev,_xlpm.cur,"")),"")</f>
        <v/>
      </c>
      <c r="BV149" s="572" t="str" cm="1">
        <f t="array" ref="BV149">IFERROR(_xlfn.LET(_xlpm.i,ROWS($BV$2:BV149),_xlpm.cur,INDEX(tblLaminateStructures[Total Thickness (µ)],_xlpm.i),_xlpm.prev,IF(_xlpm.i=1,"",INDEX(tblLaminateStructures[Total Thickness (µ)],_xlpm.i-1)),IF(OR(_xlpm.cur&lt;&gt;_xlpm.prev,BU149&lt;&gt;""),_xlpm.cur,"")),"")</f>
        <v/>
      </c>
      <c r="BW149" s="573" cm="1">
        <f t="array" ref="BW149">IFERROR(INDEX(tblLaminateStructures[Material / Layer],ROWS($BW$2:BW149)),"")</f>
        <v>0</v>
      </c>
      <c r="BX149" s="572" cm="1">
        <f t="array" ref="BX149">IFERROR(INDEX(tblLaminateStructures[Layer Thickness (µ)],ROWS($BX$2:BX149)),"")</f>
        <v>0</v>
      </c>
      <c r="BY149" s="572" t="str" cm="1">
        <f t="array" ref="BY149">IFERROR(INDEX(tblLaminateStructures[Structure Check],ROWS($BY$2:BY149)),"")</f>
        <v/>
      </c>
      <c r="BZ149" s="585" cm="1">
        <f t="array" ref="BZ149">IFERROR(INDEX(tblLaminateStructures[Laminate],ROWS($BZ$2:BZ149)),"")</f>
        <v>0</v>
      </c>
      <c r="CA149" s="573"/>
      <c r="CB149" s="573"/>
      <c r="CC149" s="572" cm="1">
        <f t="array" ref="CC149">IFERROR(INDEX(tblLaminateStructures[Total Thickness (µ)],ROWS($CC$2:CC149)),"")</f>
        <v>0</v>
      </c>
      <c r="CD149" s="572"/>
      <c r="CE149" s="572"/>
      <c r="CF149" s="572"/>
      <c r="CG149" s="573"/>
      <c r="CH149" s="574"/>
    </row>
    <row r="150" spans="48:86">
      <c r="AV150" s="550"/>
      <c r="AW150" s="551"/>
      <c r="AX150" s="550"/>
      <c r="AY150" s="551"/>
      <c r="AZ150"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0" s="550"/>
      <c r="BB150" s="550"/>
      <c r="BC150" s="550"/>
      <c r="BD150" s="550"/>
      <c r="BF150" s="556"/>
      <c r="BG150" s="556"/>
      <c r="BH150" s="556"/>
      <c r="BI150" s="556"/>
      <c r="BJ150" s="556"/>
      <c r="BK150" s="556"/>
      <c r="BL150" s="556"/>
      <c r="BM150" s="556"/>
      <c r="BN150" s="556"/>
      <c r="BO150" s="556"/>
      <c r="BP150" s="556"/>
      <c r="BQ150" s="556"/>
      <c r="BR150" s="556"/>
      <c r="BS150" s="556"/>
      <c r="BT150" s="556"/>
      <c r="BU150" s="584" t="str" cm="1">
        <f t="array" ref="BU150">IFERROR(_xlfn.LET(_xlpm.i,ROWS($BU$2:BU150),_xlpm.cur,INDEX(tblLaminateStructures[Laminate],_xlpm.i),_xlpm.prev,IF(_xlpm.i=1,"",INDEX(tblLaminateStructures[Laminate],_xlpm.i-1)),IF(_xlpm.cur&lt;&gt;_xlpm.prev,_xlpm.cur,"")),"")</f>
        <v/>
      </c>
      <c r="BV150" s="572" t="str" cm="1">
        <f t="array" ref="BV150">IFERROR(_xlfn.LET(_xlpm.i,ROWS($BV$2:BV150),_xlpm.cur,INDEX(tblLaminateStructures[Total Thickness (µ)],_xlpm.i),_xlpm.prev,IF(_xlpm.i=1,"",INDEX(tblLaminateStructures[Total Thickness (µ)],_xlpm.i-1)),IF(OR(_xlpm.cur&lt;&gt;_xlpm.prev,BU150&lt;&gt;""),_xlpm.cur,"")),"")</f>
        <v/>
      </c>
      <c r="BW150" s="573" cm="1">
        <f t="array" ref="BW150">IFERROR(INDEX(tblLaminateStructures[Material / Layer],ROWS($BW$2:BW150)),"")</f>
        <v>0</v>
      </c>
      <c r="BX150" s="572" cm="1">
        <f t="array" ref="BX150">IFERROR(INDEX(tblLaminateStructures[Layer Thickness (µ)],ROWS($BX$2:BX150)),"")</f>
        <v>0</v>
      </c>
      <c r="BY150" s="572" t="str" cm="1">
        <f t="array" ref="BY150">IFERROR(INDEX(tblLaminateStructures[Structure Check],ROWS($BY$2:BY150)),"")</f>
        <v/>
      </c>
      <c r="BZ150" s="585" cm="1">
        <f t="array" ref="BZ150">IFERROR(INDEX(tblLaminateStructures[Laminate],ROWS($BZ$2:BZ150)),"")</f>
        <v>0</v>
      </c>
      <c r="CA150" s="573"/>
      <c r="CB150" s="573"/>
      <c r="CC150" s="572" cm="1">
        <f t="array" ref="CC150">IFERROR(INDEX(tblLaminateStructures[Total Thickness (µ)],ROWS($CC$2:CC150)),"")</f>
        <v>0</v>
      </c>
      <c r="CD150" s="572"/>
      <c r="CE150" s="572"/>
      <c r="CF150" s="572"/>
      <c r="CG150" s="573"/>
      <c r="CH150" s="574"/>
    </row>
    <row r="151" spans="48:86">
      <c r="AV151" s="550"/>
      <c r="AW151" s="551"/>
      <c r="AX151" s="550"/>
      <c r="AY151" s="551"/>
      <c r="AZ151"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1" s="550"/>
      <c r="BB151" s="550"/>
      <c r="BC151" s="550"/>
      <c r="BD151" s="550"/>
      <c r="BF151" s="556"/>
      <c r="BG151" s="556"/>
      <c r="BH151" s="556"/>
      <c r="BI151" s="556"/>
      <c r="BJ151" s="556"/>
      <c r="BK151" s="556"/>
      <c r="BL151" s="556"/>
      <c r="BM151" s="556"/>
      <c r="BN151" s="556"/>
      <c r="BO151" s="556"/>
      <c r="BP151" s="556"/>
      <c r="BQ151" s="556"/>
      <c r="BR151" s="556"/>
      <c r="BS151" s="556"/>
      <c r="BT151" s="556"/>
      <c r="BU151" s="584" t="str" cm="1">
        <f t="array" ref="BU151">IFERROR(_xlfn.LET(_xlpm.i,ROWS($BU$2:BU151),_xlpm.cur,INDEX(tblLaminateStructures[Laminate],_xlpm.i),_xlpm.prev,IF(_xlpm.i=1,"",INDEX(tblLaminateStructures[Laminate],_xlpm.i-1)),IF(_xlpm.cur&lt;&gt;_xlpm.prev,_xlpm.cur,"")),"")</f>
        <v/>
      </c>
      <c r="BV151" s="572" t="str" cm="1">
        <f t="array" ref="BV151">IFERROR(_xlfn.LET(_xlpm.i,ROWS($BV$2:BV151),_xlpm.cur,INDEX(tblLaminateStructures[Total Thickness (µ)],_xlpm.i),_xlpm.prev,IF(_xlpm.i=1,"",INDEX(tblLaminateStructures[Total Thickness (µ)],_xlpm.i-1)),IF(OR(_xlpm.cur&lt;&gt;_xlpm.prev,BU151&lt;&gt;""),_xlpm.cur,"")),"")</f>
        <v/>
      </c>
      <c r="BW151" s="573" cm="1">
        <f t="array" ref="BW151">IFERROR(INDEX(tblLaminateStructures[Material / Layer],ROWS($BW$2:BW151)),"")</f>
        <v>0</v>
      </c>
      <c r="BX151" s="572" cm="1">
        <f t="array" ref="BX151">IFERROR(INDEX(tblLaminateStructures[Layer Thickness (µ)],ROWS($BX$2:BX151)),"")</f>
        <v>0</v>
      </c>
      <c r="BY151" s="572" t="str" cm="1">
        <f t="array" ref="BY151">IFERROR(INDEX(tblLaminateStructures[Structure Check],ROWS($BY$2:BY151)),"")</f>
        <v/>
      </c>
      <c r="BZ151" s="585" cm="1">
        <f t="array" ref="BZ151">IFERROR(INDEX(tblLaminateStructures[Laminate],ROWS($BZ$2:BZ151)),"")</f>
        <v>0</v>
      </c>
      <c r="CA151" s="573"/>
      <c r="CB151" s="573"/>
      <c r="CC151" s="572" cm="1">
        <f t="array" ref="CC151">IFERROR(INDEX(tblLaminateStructures[Total Thickness (µ)],ROWS($CC$2:CC151)),"")</f>
        <v>0</v>
      </c>
      <c r="CD151" s="572"/>
      <c r="CE151" s="572"/>
      <c r="CF151" s="572"/>
      <c r="CG151" s="573"/>
      <c r="CH151" s="574"/>
    </row>
    <row r="152" spans="48:86">
      <c r="AV152" s="550"/>
      <c r="AW152" s="551"/>
      <c r="AX152" s="550"/>
      <c r="AY152" s="551"/>
      <c r="AZ152"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2" s="550"/>
      <c r="BB152" s="550"/>
      <c r="BC152" s="550"/>
      <c r="BD152" s="550"/>
      <c r="BF152" s="556"/>
      <c r="BG152" s="556"/>
      <c r="BH152" s="556"/>
      <c r="BI152" s="556"/>
      <c r="BJ152" s="556"/>
      <c r="BK152" s="556"/>
      <c r="BL152" s="556"/>
      <c r="BM152" s="556"/>
      <c r="BN152" s="556"/>
      <c r="BO152" s="556"/>
      <c r="BP152" s="556"/>
      <c r="BQ152" s="556"/>
      <c r="BR152" s="556"/>
      <c r="BS152" s="556"/>
      <c r="BT152" s="556"/>
      <c r="BU152" s="584" t="str" cm="1">
        <f t="array" ref="BU152">IFERROR(_xlfn.LET(_xlpm.i,ROWS($BU$2:BU152),_xlpm.cur,INDEX(tblLaminateStructures[Laminate],_xlpm.i),_xlpm.prev,IF(_xlpm.i=1,"",INDEX(tblLaminateStructures[Laminate],_xlpm.i-1)),IF(_xlpm.cur&lt;&gt;_xlpm.prev,_xlpm.cur,"")),"")</f>
        <v/>
      </c>
      <c r="BV152" s="572" t="str" cm="1">
        <f t="array" ref="BV152">IFERROR(_xlfn.LET(_xlpm.i,ROWS($BV$2:BV152),_xlpm.cur,INDEX(tblLaminateStructures[Total Thickness (µ)],_xlpm.i),_xlpm.prev,IF(_xlpm.i=1,"",INDEX(tblLaminateStructures[Total Thickness (µ)],_xlpm.i-1)),IF(OR(_xlpm.cur&lt;&gt;_xlpm.prev,BU152&lt;&gt;""),_xlpm.cur,"")),"")</f>
        <v/>
      </c>
      <c r="BW152" s="573" cm="1">
        <f t="array" ref="BW152">IFERROR(INDEX(tblLaminateStructures[Material / Layer],ROWS($BW$2:BW152)),"")</f>
        <v>0</v>
      </c>
      <c r="BX152" s="572" cm="1">
        <f t="array" ref="BX152">IFERROR(INDEX(tblLaminateStructures[Layer Thickness (µ)],ROWS($BX$2:BX152)),"")</f>
        <v>0</v>
      </c>
      <c r="BY152" s="572" t="str" cm="1">
        <f t="array" ref="BY152">IFERROR(INDEX(tblLaminateStructures[Structure Check],ROWS($BY$2:BY152)),"")</f>
        <v/>
      </c>
      <c r="BZ152" s="585" cm="1">
        <f t="array" ref="BZ152">IFERROR(INDEX(tblLaminateStructures[Laminate],ROWS($BZ$2:BZ152)),"")</f>
        <v>0</v>
      </c>
      <c r="CA152" s="573"/>
      <c r="CB152" s="573"/>
      <c r="CC152" s="572" cm="1">
        <f t="array" ref="CC152">IFERROR(INDEX(tblLaminateStructures[Total Thickness (µ)],ROWS($CC$2:CC152)),"")</f>
        <v>0</v>
      </c>
      <c r="CD152" s="572"/>
      <c r="CE152" s="572"/>
      <c r="CF152" s="572"/>
      <c r="CG152" s="573"/>
      <c r="CH152" s="574"/>
    </row>
    <row r="153" spans="48:86">
      <c r="AV153" s="550"/>
      <c r="AW153" s="551"/>
      <c r="AX153" s="550"/>
      <c r="AY153" s="551"/>
      <c r="AZ153"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3" s="550"/>
      <c r="BB153" s="550"/>
      <c r="BC153" s="550"/>
      <c r="BD153" s="550"/>
      <c r="BF153" s="556"/>
      <c r="BG153" s="556"/>
      <c r="BH153" s="556"/>
      <c r="BI153" s="556"/>
      <c r="BJ153" s="556"/>
      <c r="BK153" s="556"/>
      <c r="BL153" s="556"/>
      <c r="BM153" s="556"/>
      <c r="BN153" s="556"/>
      <c r="BO153" s="556"/>
      <c r="BP153" s="556"/>
      <c r="BQ153" s="556"/>
      <c r="BR153" s="556"/>
      <c r="BS153" s="556"/>
      <c r="BT153" s="556"/>
      <c r="BU153" s="584" t="str" cm="1">
        <f t="array" ref="BU153">IFERROR(_xlfn.LET(_xlpm.i,ROWS($BU$2:BU153),_xlpm.cur,INDEX(tblLaminateStructures[Laminate],_xlpm.i),_xlpm.prev,IF(_xlpm.i=1,"",INDEX(tblLaminateStructures[Laminate],_xlpm.i-1)),IF(_xlpm.cur&lt;&gt;_xlpm.prev,_xlpm.cur,"")),"")</f>
        <v/>
      </c>
      <c r="BV153" s="572" t="str" cm="1">
        <f t="array" ref="BV153">IFERROR(_xlfn.LET(_xlpm.i,ROWS($BV$2:BV153),_xlpm.cur,INDEX(tblLaminateStructures[Total Thickness (µ)],_xlpm.i),_xlpm.prev,IF(_xlpm.i=1,"",INDEX(tblLaminateStructures[Total Thickness (µ)],_xlpm.i-1)),IF(OR(_xlpm.cur&lt;&gt;_xlpm.prev,BU153&lt;&gt;""),_xlpm.cur,"")),"")</f>
        <v/>
      </c>
      <c r="BW153" s="573" cm="1">
        <f t="array" ref="BW153">IFERROR(INDEX(tblLaminateStructures[Material / Layer],ROWS($BW$2:BW153)),"")</f>
        <v>0</v>
      </c>
      <c r="BX153" s="572" cm="1">
        <f t="array" ref="BX153">IFERROR(INDEX(tblLaminateStructures[Layer Thickness (µ)],ROWS($BX$2:BX153)),"")</f>
        <v>0</v>
      </c>
      <c r="BY153" s="572" t="str" cm="1">
        <f t="array" ref="BY153">IFERROR(INDEX(tblLaminateStructures[Structure Check],ROWS($BY$2:BY153)),"")</f>
        <v/>
      </c>
      <c r="BZ153" s="585" cm="1">
        <f t="array" ref="BZ153">IFERROR(INDEX(tblLaminateStructures[Laminate],ROWS($BZ$2:BZ153)),"")</f>
        <v>0</v>
      </c>
      <c r="CA153" s="573"/>
      <c r="CB153" s="573"/>
      <c r="CC153" s="572" cm="1">
        <f t="array" ref="CC153">IFERROR(INDEX(tblLaminateStructures[Total Thickness (µ)],ROWS($CC$2:CC153)),"")</f>
        <v>0</v>
      </c>
      <c r="CD153" s="572"/>
      <c r="CE153" s="572"/>
      <c r="CF153" s="572"/>
      <c r="CG153" s="573"/>
      <c r="CH153" s="574"/>
    </row>
    <row r="154" spans="48:86">
      <c r="AV154" s="550"/>
      <c r="AW154" s="551"/>
      <c r="AX154" s="550"/>
      <c r="AY154" s="551"/>
      <c r="AZ154"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4" s="550"/>
      <c r="BB154" s="550"/>
      <c r="BC154" s="550"/>
      <c r="BD154" s="550"/>
      <c r="BF154" s="556"/>
      <c r="BG154" s="556"/>
      <c r="BH154" s="556"/>
      <c r="BI154" s="556"/>
      <c r="BJ154" s="556"/>
      <c r="BK154" s="556"/>
      <c r="BL154" s="556"/>
      <c r="BM154" s="556"/>
      <c r="BN154" s="556"/>
      <c r="BO154" s="556"/>
      <c r="BP154" s="556"/>
      <c r="BQ154" s="556"/>
      <c r="BR154" s="556"/>
      <c r="BS154" s="556"/>
      <c r="BT154" s="556"/>
      <c r="BU154" s="584" t="str" cm="1">
        <f t="array" ref="BU154">IFERROR(_xlfn.LET(_xlpm.i,ROWS($BU$2:BU154),_xlpm.cur,INDEX(tblLaminateStructures[Laminate],_xlpm.i),_xlpm.prev,IF(_xlpm.i=1,"",INDEX(tblLaminateStructures[Laminate],_xlpm.i-1)),IF(_xlpm.cur&lt;&gt;_xlpm.prev,_xlpm.cur,"")),"")</f>
        <v/>
      </c>
      <c r="BV154" s="572" t="str" cm="1">
        <f t="array" ref="BV154">IFERROR(_xlfn.LET(_xlpm.i,ROWS($BV$2:BV154),_xlpm.cur,INDEX(tblLaminateStructures[Total Thickness (µ)],_xlpm.i),_xlpm.prev,IF(_xlpm.i=1,"",INDEX(tblLaminateStructures[Total Thickness (µ)],_xlpm.i-1)),IF(OR(_xlpm.cur&lt;&gt;_xlpm.prev,BU154&lt;&gt;""),_xlpm.cur,"")),"")</f>
        <v/>
      </c>
      <c r="BW154" s="573" cm="1">
        <f t="array" ref="BW154">IFERROR(INDEX(tblLaminateStructures[Material / Layer],ROWS($BW$2:BW154)),"")</f>
        <v>0</v>
      </c>
      <c r="BX154" s="572" cm="1">
        <f t="array" ref="BX154">IFERROR(INDEX(tblLaminateStructures[Layer Thickness (µ)],ROWS($BX$2:BX154)),"")</f>
        <v>0</v>
      </c>
      <c r="BY154" s="572" t="str" cm="1">
        <f t="array" ref="BY154">IFERROR(INDEX(tblLaminateStructures[Structure Check],ROWS($BY$2:BY154)),"")</f>
        <v/>
      </c>
      <c r="BZ154" s="585" cm="1">
        <f t="array" ref="BZ154">IFERROR(INDEX(tblLaminateStructures[Laminate],ROWS($BZ$2:BZ154)),"")</f>
        <v>0</v>
      </c>
      <c r="CA154" s="573"/>
      <c r="CB154" s="573"/>
      <c r="CC154" s="572" cm="1">
        <f t="array" ref="CC154">IFERROR(INDEX(tblLaminateStructures[Total Thickness (µ)],ROWS($CC$2:CC154)),"")</f>
        <v>0</v>
      </c>
      <c r="CD154" s="572"/>
      <c r="CE154" s="572"/>
      <c r="CF154" s="572"/>
      <c r="CG154" s="573"/>
      <c r="CH154" s="574"/>
    </row>
    <row r="155" spans="48:86">
      <c r="AV155" s="550"/>
      <c r="AW155" s="551"/>
      <c r="AX155" s="550"/>
      <c r="AY155" s="551"/>
      <c r="AZ155"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5" s="550"/>
      <c r="BB155" s="550"/>
      <c r="BC155" s="550"/>
      <c r="BD155" s="550"/>
      <c r="BF155" s="556"/>
      <c r="BG155" s="556"/>
      <c r="BH155" s="556"/>
      <c r="BI155" s="556"/>
      <c r="BJ155" s="556"/>
      <c r="BK155" s="556"/>
      <c r="BL155" s="556"/>
      <c r="BM155" s="556"/>
      <c r="BN155" s="556"/>
      <c r="BO155" s="556"/>
      <c r="BP155" s="556"/>
      <c r="BQ155" s="556"/>
      <c r="BR155" s="556"/>
      <c r="BS155" s="556"/>
      <c r="BT155" s="556"/>
      <c r="BU155" s="584" t="str" cm="1">
        <f t="array" ref="BU155">IFERROR(_xlfn.LET(_xlpm.i,ROWS($BU$2:BU155),_xlpm.cur,INDEX(tblLaminateStructures[Laminate],_xlpm.i),_xlpm.prev,IF(_xlpm.i=1,"",INDEX(tblLaminateStructures[Laminate],_xlpm.i-1)),IF(_xlpm.cur&lt;&gt;_xlpm.prev,_xlpm.cur,"")),"")</f>
        <v/>
      </c>
      <c r="BV155" s="572" t="str" cm="1">
        <f t="array" ref="BV155">IFERROR(_xlfn.LET(_xlpm.i,ROWS($BV$2:BV155),_xlpm.cur,INDEX(tblLaminateStructures[Total Thickness (µ)],_xlpm.i),_xlpm.prev,IF(_xlpm.i=1,"",INDEX(tblLaminateStructures[Total Thickness (µ)],_xlpm.i-1)),IF(OR(_xlpm.cur&lt;&gt;_xlpm.prev,BU155&lt;&gt;""),_xlpm.cur,"")),"")</f>
        <v/>
      </c>
      <c r="BW155" s="573" cm="1">
        <f t="array" ref="BW155">IFERROR(INDEX(tblLaminateStructures[Material / Layer],ROWS($BW$2:BW155)),"")</f>
        <v>0</v>
      </c>
      <c r="BX155" s="572" cm="1">
        <f t="array" ref="BX155">IFERROR(INDEX(tblLaminateStructures[Layer Thickness (µ)],ROWS($BX$2:BX155)),"")</f>
        <v>0</v>
      </c>
      <c r="BY155" s="572" t="str" cm="1">
        <f t="array" ref="BY155">IFERROR(INDEX(tblLaminateStructures[Structure Check],ROWS($BY$2:BY155)),"")</f>
        <v/>
      </c>
      <c r="BZ155" s="585" cm="1">
        <f t="array" ref="BZ155">IFERROR(INDEX(tblLaminateStructures[Laminate],ROWS($BZ$2:BZ155)),"")</f>
        <v>0</v>
      </c>
      <c r="CA155" s="573"/>
      <c r="CB155" s="573"/>
      <c r="CC155" s="572" cm="1">
        <f t="array" ref="CC155">IFERROR(INDEX(tblLaminateStructures[Total Thickness (µ)],ROWS($CC$2:CC155)),"")</f>
        <v>0</v>
      </c>
      <c r="CD155" s="572"/>
      <c r="CE155" s="572"/>
      <c r="CF155" s="572"/>
      <c r="CG155" s="573"/>
      <c r="CH155" s="574"/>
    </row>
    <row r="156" spans="48:86">
      <c r="AV156" s="550"/>
      <c r="AW156" s="551"/>
      <c r="AX156" s="550"/>
      <c r="AY156" s="551"/>
      <c r="AZ156" s="551"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6" s="550"/>
      <c r="BB156" s="550"/>
      <c r="BC156" s="550"/>
      <c r="BD156" s="550"/>
      <c r="BF156" s="556"/>
      <c r="BG156" s="556"/>
      <c r="BH156" s="556"/>
      <c r="BI156" s="556"/>
      <c r="BJ156" s="556"/>
      <c r="BK156" s="556"/>
      <c r="BL156" s="556"/>
      <c r="BM156" s="556"/>
      <c r="BN156" s="556"/>
      <c r="BO156" s="556"/>
      <c r="BP156" s="556"/>
      <c r="BQ156" s="556"/>
      <c r="BR156" s="556"/>
      <c r="BS156" s="556"/>
      <c r="BT156" s="556"/>
      <c r="BU156" s="586" t="str" cm="1">
        <f t="array" ref="BU156">IFERROR(_xlfn.LET(_xlpm.i,ROWS($BU$2:BU156),_xlpm.cur,INDEX(tblLaminateStructures[Laminate],_xlpm.i),_xlpm.prev,IF(_xlpm.i=1,"",INDEX(tblLaminateStructures[Laminate],_xlpm.i-1)),IF(_xlpm.cur&lt;&gt;_xlpm.prev,_xlpm.cur,"")),"")</f>
        <v/>
      </c>
      <c r="BV156" s="587" t="str" cm="1">
        <f t="array" ref="BV156">IFERROR(_xlfn.LET(_xlpm.i,ROWS($BV$2:BV156),_xlpm.cur,INDEX(tblLaminateStructures[Total Thickness (µ)],_xlpm.i),_xlpm.prev,IF(_xlpm.i=1,"",INDEX(tblLaminateStructures[Total Thickness (µ)],_xlpm.i-1)),IF(OR(_xlpm.cur&lt;&gt;_xlpm.prev,BU156&lt;&gt;""),_xlpm.cur,"")),"")</f>
        <v/>
      </c>
      <c r="BW156" s="588" cm="1">
        <f t="array" ref="BW156">IFERROR(INDEX(tblLaminateStructures[Material / Layer],ROWS($BW$2:BW156)),"")</f>
        <v>0</v>
      </c>
      <c r="BX156" s="587" cm="1">
        <f t="array" ref="BX156">IFERROR(INDEX(tblLaminateStructures[Layer Thickness (µ)],ROWS($BX$2:BX156)),"")</f>
        <v>0</v>
      </c>
      <c r="BY156" s="587" t="str" cm="1">
        <f t="array" ref="BY156">IFERROR(INDEX(tblLaminateStructures[Structure Check],ROWS($BY$2:BY156)),"")</f>
        <v/>
      </c>
      <c r="BZ156" s="589" cm="1">
        <f t="array" ref="BZ156">IFERROR(INDEX(tblLaminateStructures[Laminate],ROWS($BZ$2:BZ156)),"")</f>
        <v>0</v>
      </c>
      <c r="CA156" s="588"/>
      <c r="CB156" s="588"/>
      <c r="CC156" s="587" cm="1">
        <f t="array" ref="CC156">IFERROR(INDEX(tblLaminateStructures[Total Thickness (µ)],ROWS($CC$2:CC156)),"")</f>
        <v>0</v>
      </c>
      <c r="CD156" s="587"/>
      <c r="CE156" s="587"/>
      <c r="CF156" s="587"/>
      <c r="CG156" s="588"/>
      <c r="CH156" s="590"/>
    </row>
    <row r="157" spans="48:86">
      <c r="AV157" s="607"/>
      <c r="AW157" s="608"/>
      <c r="AX157" s="607"/>
      <c r="AY157" s="608"/>
      <c r="AZ157"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7" s="607"/>
      <c r="BB157" s="607"/>
      <c r="BC157" s="607"/>
      <c r="BD157" s="607"/>
      <c r="BF157" s="556"/>
      <c r="BG157" s="556"/>
      <c r="BH157" s="556"/>
      <c r="BI157" s="556"/>
      <c r="BJ157" s="556"/>
      <c r="BK157" s="556"/>
      <c r="BL157" s="556"/>
      <c r="BM157" s="556"/>
      <c r="BN157" s="556"/>
      <c r="BO157" s="556"/>
      <c r="BP157" s="556"/>
      <c r="BQ157" s="556"/>
      <c r="BR157" s="556"/>
      <c r="BS157" s="556"/>
      <c r="BT157" s="556"/>
      <c r="BU157" s="591" t="str" cm="1">
        <f t="array" ref="BU157">IFERROR(_xlfn.LET(_xlpm.i,ROWS($BU$2:BU157),_xlpm.cur,INDEX(tblLaminateStructures[Laminate],_xlpm.i),_xlpm.prev,IF(_xlpm.i=1,"",INDEX(tblLaminateStructures[Laminate],_xlpm.i-1)),IF(_xlpm.cur&lt;&gt;_xlpm.prev,_xlpm.cur,"")),"")</f>
        <v/>
      </c>
      <c r="BV157" s="556" t="str" cm="1">
        <f t="array" ref="BV157">IFERROR(_xlfn.LET(_xlpm.i,ROWS($BV$2:BV157),_xlpm.cur,INDEX(tblLaminateStructures[Total Thickness (µ)],_xlpm.i),_xlpm.prev,IF(_xlpm.i=1,"",INDEX(tblLaminateStructures[Total Thickness (µ)],_xlpm.i-1)),IF(OR(_xlpm.cur&lt;&gt;_xlpm.prev,BU157&lt;&gt;""),_xlpm.cur,"")),"")</f>
        <v/>
      </c>
      <c r="BW157" s="556" cm="1">
        <f t="array" ref="BW157">IFERROR(INDEX(tblLaminateStructures[Material / Layer],ROWS($BW$2:BW157)),"")</f>
        <v>0</v>
      </c>
      <c r="BX157" s="556" cm="1">
        <f t="array" ref="BX157">IFERROR(INDEX(tblLaminateStructures[Layer Thickness (µ)],ROWS($BX$2:BX157)),"")</f>
        <v>0</v>
      </c>
      <c r="BY157" s="556" t="str" cm="1">
        <f t="array" ref="BY157">IFERROR(INDEX(tblLaminateStructures[Structure Check],ROWS($BY$2:BY157)),"")</f>
        <v/>
      </c>
      <c r="BZ157" s="591" cm="1">
        <f t="array" ref="BZ157">IFERROR(INDEX(tblLaminateStructures[Laminate],ROWS($BZ$2:BZ157)),"")</f>
        <v>0</v>
      </c>
      <c r="CA157" s="556"/>
      <c r="CB157" s="556"/>
      <c r="CC157" s="556" cm="1">
        <f t="array" ref="CC157">IFERROR(INDEX(tblLaminateStructures[Total Thickness (µ)],ROWS($CC$2:CC157)),"")</f>
        <v>0</v>
      </c>
      <c r="CD157" s="556"/>
      <c r="CE157" s="556"/>
      <c r="CF157" s="556"/>
      <c r="CG157" s="556"/>
      <c r="CH157" s="556"/>
    </row>
    <row r="158" spans="48:86">
      <c r="AV158" s="607"/>
      <c r="AW158" s="608"/>
      <c r="AX158" s="607"/>
      <c r="AY158" s="608"/>
      <c r="AZ158"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8" s="607"/>
      <c r="BB158" s="607"/>
      <c r="BC158" s="607"/>
      <c r="BD158" s="607"/>
      <c r="BF158" s="556"/>
      <c r="BG158" s="556"/>
      <c r="BH158" s="556"/>
      <c r="BI158" s="556"/>
      <c r="BJ158" s="556"/>
      <c r="BK158" s="556"/>
      <c r="BL158" s="556"/>
      <c r="BM158" s="556"/>
      <c r="BN158" s="556"/>
      <c r="BO158" s="556"/>
      <c r="BP158" s="556"/>
      <c r="BQ158" s="556"/>
      <c r="BR158" s="556"/>
      <c r="BS158" s="556"/>
      <c r="BT158" s="556"/>
      <c r="BU158" s="591" t="str" cm="1">
        <f t="array" ref="BU158">IFERROR(_xlfn.LET(_xlpm.i,ROWS($BU$2:BU158),_xlpm.cur,INDEX(tblLaminateStructures[Laminate],_xlpm.i),_xlpm.prev,IF(_xlpm.i=1,"",INDEX(tblLaminateStructures[Laminate],_xlpm.i-1)),IF(_xlpm.cur&lt;&gt;_xlpm.prev,_xlpm.cur,"")),"")</f>
        <v/>
      </c>
      <c r="BV158" s="556" t="str" cm="1">
        <f t="array" ref="BV158">IFERROR(_xlfn.LET(_xlpm.i,ROWS($BV$2:BV158),_xlpm.cur,INDEX(tblLaminateStructures[Total Thickness (µ)],_xlpm.i),_xlpm.prev,IF(_xlpm.i=1,"",INDEX(tblLaminateStructures[Total Thickness (µ)],_xlpm.i-1)),IF(OR(_xlpm.cur&lt;&gt;_xlpm.prev,BU158&lt;&gt;""),_xlpm.cur,"")),"")</f>
        <v/>
      </c>
      <c r="BW158" s="556" cm="1">
        <f t="array" ref="BW158">IFERROR(INDEX(tblLaminateStructures[Material / Layer],ROWS($BW$2:BW158)),"")</f>
        <v>0</v>
      </c>
      <c r="BX158" s="556" cm="1">
        <f t="array" ref="BX158">IFERROR(INDEX(tblLaminateStructures[Layer Thickness (µ)],ROWS($BX$2:BX158)),"")</f>
        <v>0</v>
      </c>
      <c r="BY158" s="556" t="str" cm="1">
        <f t="array" ref="BY158">IFERROR(INDEX(tblLaminateStructures[Structure Check],ROWS($BY$2:BY158)),"")</f>
        <v/>
      </c>
      <c r="BZ158" s="591" cm="1">
        <f t="array" ref="BZ158">IFERROR(INDEX(tblLaminateStructures[Laminate],ROWS($BZ$2:BZ158)),"")</f>
        <v>0</v>
      </c>
      <c r="CA158" s="556"/>
      <c r="CB158" s="556"/>
      <c r="CC158" s="556" cm="1">
        <f t="array" ref="CC158">IFERROR(INDEX(tblLaminateStructures[Total Thickness (µ)],ROWS($CC$2:CC158)),"")</f>
        <v>0</v>
      </c>
      <c r="CD158" s="556"/>
      <c r="CE158" s="556"/>
      <c r="CF158" s="556"/>
      <c r="CG158" s="556"/>
      <c r="CH158" s="556"/>
    </row>
    <row r="159" spans="48:86">
      <c r="AV159" s="607"/>
      <c r="AW159" s="608"/>
      <c r="AX159" s="607"/>
      <c r="AY159" s="608"/>
      <c r="AZ159"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9" s="607"/>
      <c r="BB159" s="607"/>
      <c r="BC159" s="607"/>
      <c r="BD159" s="607"/>
      <c r="BF159" s="556"/>
      <c r="BG159" s="556"/>
      <c r="BH159" s="556"/>
      <c r="BI159" s="556"/>
      <c r="BJ159" s="556"/>
      <c r="BK159" s="556"/>
      <c r="BL159" s="556"/>
      <c r="BM159" s="556"/>
      <c r="BN159" s="556"/>
      <c r="BO159" s="556"/>
      <c r="BP159" s="556"/>
      <c r="BQ159" s="556"/>
      <c r="BR159" s="556"/>
      <c r="BS159" s="556"/>
      <c r="BT159" s="556"/>
      <c r="BU159" s="591" t="str" cm="1">
        <f t="array" ref="BU159">IFERROR(_xlfn.LET(_xlpm.i,ROWS($BU$2:BU159),_xlpm.cur,INDEX(tblLaminateStructures[Laminate],_xlpm.i),_xlpm.prev,IF(_xlpm.i=1,"",INDEX(tblLaminateStructures[Laminate],_xlpm.i-1)),IF(_xlpm.cur&lt;&gt;_xlpm.prev,_xlpm.cur,"")),"")</f>
        <v/>
      </c>
      <c r="BV159" s="556" t="str" cm="1">
        <f t="array" ref="BV159">IFERROR(_xlfn.LET(_xlpm.i,ROWS($BV$2:BV159),_xlpm.cur,INDEX(tblLaminateStructures[Total Thickness (µ)],_xlpm.i),_xlpm.prev,IF(_xlpm.i=1,"",INDEX(tblLaminateStructures[Total Thickness (µ)],_xlpm.i-1)),IF(OR(_xlpm.cur&lt;&gt;_xlpm.prev,BU159&lt;&gt;""),_xlpm.cur,"")),"")</f>
        <v/>
      </c>
      <c r="BW159" s="556" cm="1">
        <f t="array" ref="BW159">IFERROR(INDEX(tblLaminateStructures[Material / Layer],ROWS($BW$2:BW159)),"")</f>
        <v>0</v>
      </c>
      <c r="BX159" s="556" cm="1">
        <f t="array" ref="BX159">IFERROR(INDEX(tblLaminateStructures[Layer Thickness (µ)],ROWS($BX$2:BX159)),"")</f>
        <v>0</v>
      </c>
      <c r="BY159" s="556" t="str" cm="1">
        <f t="array" ref="BY159">IFERROR(INDEX(tblLaminateStructures[Structure Check],ROWS($BY$2:BY159)),"")</f>
        <v/>
      </c>
      <c r="BZ159" s="591" cm="1">
        <f t="array" ref="BZ159">IFERROR(INDEX(tblLaminateStructures[Laminate],ROWS($BZ$2:BZ159)),"")</f>
        <v>0</v>
      </c>
      <c r="CA159" s="556"/>
      <c r="CB159" s="556"/>
      <c r="CC159" s="556" cm="1">
        <f t="array" ref="CC159">IFERROR(INDEX(tblLaminateStructures[Total Thickness (µ)],ROWS($CC$2:CC159)),"")</f>
        <v>0</v>
      </c>
      <c r="CD159" s="556"/>
      <c r="CE159" s="556"/>
      <c r="CF159" s="556"/>
      <c r="CG159" s="556"/>
      <c r="CH159" s="556"/>
    </row>
    <row r="160" spans="48:86">
      <c r="AV160" s="607"/>
      <c r="AW160" s="608"/>
      <c r="AX160" s="607"/>
      <c r="AY160" s="613"/>
      <c r="AZ160"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0" s="607"/>
      <c r="BB160" s="607"/>
      <c r="BC160" s="607"/>
      <c r="BD160" s="607"/>
      <c r="BF160" s="556"/>
      <c r="BG160" s="556"/>
      <c r="BH160" s="556"/>
      <c r="BI160" s="556"/>
      <c r="BJ160" s="556"/>
      <c r="BK160" s="556"/>
      <c r="BL160" s="556"/>
      <c r="BM160" s="556"/>
      <c r="BN160" s="556"/>
      <c r="BO160" s="556"/>
      <c r="BP160" s="556"/>
      <c r="BQ160" s="556"/>
      <c r="BR160" s="556"/>
      <c r="BS160" s="556"/>
      <c r="BT160" s="556"/>
      <c r="BU160" s="591" t="str" cm="1">
        <f t="array" ref="BU160">IFERROR(_xlfn.LET(_xlpm.i,ROWS($BU$2:BU160),_xlpm.cur,INDEX(tblLaminateStructures[Laminate],_xlpm.i),_xlpm.prev,IF(_xlpm.i=1,"",INDEX(tblLaminateStructures[Laminate],_xlpm.i-1)),IF(_xlpm.cur&lt;&gt;_xlpm.prev,_xlpm.cur,"")),"")</f>
        <v/>
      </c>
      <c r="BV160" s="556" t="str" cm="1">
        <f t="array" ref="BV160">IFERROR(_xlfn.LET(_xlpm.i,ROWS($BV$2:BV160),_xlpm.cur,INDEX(tblLaminateStructures[Total Thickness (µ)],_xlpm.i),_xlpm.prev,IF(_xlpm.i=1,"",INDEX(tblLaminateStructures[Total Thickness (µ)],_xlpm.i-1)),IF(OR(_xlpm.cur&lt;&gt;_xlpm.prev,BU160&lt;&gt;""),_xlpm.cur,"")),"")</f>
        <v/>
      </c>
      <c r="BW160" s="556" cm="1">
        <f t="array" ref="BW160">IFERROR(INDEX(tblLaminateStructures[Material / Layer],ROWS($BW$2:BW160)),"")</f>
        <v>0</v>
      </c>
      <c r="BX160" s="556" cm="1">
        <f t="array" ref="BX160">IFERROR(INDEX(tblLaminateStructures[Layer Thickness (µ)],ROWS($BX$2:BX160)),"")</f>
        <v>0</v>
      </c>
      <c r="BY160" s="556" t="str" cm="1">
        <f t="array" ref="BY160">IFERROR(INDEX(tblLaminateStructures[Structure Check],ROWS($BY$2:BY160)),"")</f>
        <v/>
      </c>
      <c r="BZ160" s="591" cm="1">
        <f t="array" ref="BZ160">IFERROR(INDEX(tblLaminateStructures[Laminate],ROWS($BZ$2:BZ160)),"")</f>
        <v>0</v>
      </c>
      <c r="CA160" s="556"/>
      <c r="CB160" s="556"/>
      <c r="CC160" s="556" cm="1">
        <f t="array" ref="CC160">IFERROR(INDEX(tblLaminateStructures[Total Thickness (µ)],ROWS($CC$2:CC160)),"")</f>
        <v>0</v>
      </c>
      <c r="CD160" s="556"/>
      <c r="CE160" s="556"/>
      <c r="CF160" s="556"/>
      <c r="CG160" s="556"/>
      <c r="CH160" s="556"/>
    </row>
    <row r="161" spans="48:86">
      <c r="AV161" s="607"/>
      <c r="AW161" s="608"/>
      <c r="AX161" s="607"/>
      <c r="AY161" s="613"/>
      <c r="AZ161"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1" s="607"/>
      <c r="BB161" s="607"/>
      <c r="BC161" s="607"/>
      <c r="BD161" s="607"/>
      <c r="BF161" s="556"/>
      <c r="BG161" s="556"/>
      <c r="BH161" s="556"/>
      <c r="BI161" s="556"/>
      <c r="BJ161" s="556"/>
      <c r="BK161" s="556"/>
      <c r="BL161" s="556"/>
      <c r="BM161" s="556"/>
      <c r="BN161" s="556"/>
      <c r="BO161" s="556"/>
      <c r="BP161" s="556"/>
      <c r="BQ161" s="556"/>
      <c r="BR161" s="556"/>
      <c r="BS161" s="556"/>
      <c r="BT161" s="556"/>
      <c r="BU161" s="591" t="str" cm="1">
        <f t="array" ref="BU161">IFERROR(_xlfn.LET(_xlpm.i,ROWS($BU$2:BU161),_xlpm.cur,INDEX(tblLaminateStructures[Laminate],_xlpm.i),_xlpm.prev,IF(_xlpm.i=1,"",INDEX(tblLaminateStructures[Laminate],_xlpm.i-1)),IF(_xlpm.cur&lt;&gt;_xlpm.prev,_xlpm.cur,"")),"")</f>
        <v/>
      </c>
      <c r="BV161" s="556" t="str" cm="1">
        <f t="array" ref="BV161">IFERROR(_xlfn.LET(_xlpm.i,ROWS($BV$2:BV161),_xlpm.cur,INDEX(tblLaminateStructures[Total Thickness (µ)],_xlpm.i),_xlpm.prev,IF(_xlpm.i=1,"",INDEX(tblLaminateStructures[Total Thickness (µ)],_xlpm.i-1)),IF(OR(_xlpm.cur&lt;&gt;_xlpm.prev,BU161&lt;&gt;""),_xlpm.cur,"")),"")</f>
        <v/>
      </c>
      <c r="BW161" s="556" cm="1">
        <f t="array" ref="BW161">IFERROR(INDEX(tblLaminateStructures[Material / Layer],ROWS($BW$2:BW161)),"")</f>
        <v>0</v>
      </c>
      <c r="BX161" s="556" cm="1">
        <f t="array" ref="BX161">IFERROR(INDEX(tblLaminateStructures[Layer Thickness (µ)],ROWS($BX$2:BX161)),"")</f>
        <v>0</v>
      </c>
      <c r="BY161" s="556" t="str" cm="1">
        <f t="array" ref="BY161">IFERROR(INDEX(tblLaminateStructures[Structure Check],ROWS($BY$2:BY161)),"")</f>
        <v/>
      </c>
      <c r="BZ161" s="591" cm="1">
        <f t="array" ref="BZ161">IFERROR(INDEX(tblLaminateStructures[Laminate],ROWS($BZ$2:BZ161)),"")</f>
        <v>0</v>
      </c>
      <c r="CA161" s="556"/>
      <c r="CB161" s="556"/>
      <c r="CC161" s="556" cm="1">
        <f t="array" ref="CC161">IFERROR(INDEX(tblLaminateStructures[Total Thickness (µ)],ROWS($CC$2:CC161)),"")</f>
        <v>0</v>
      </c>
      <c r="CD161" s="556"/>
      <c r="CE161" s="556"/>
      <c r="CF161" s="556"/>
      <c r="CG161" s="556"/>
      <c r="CH161" s="556"/>
    </row>
    <row r="162" spans="48:86">
      <c r="AV162" s="607"/>
      <c r="AW162" s="608"/>
      <c r="AX162" s="607"/>
      <c r="AY162" s="613"/>
      <c r="AZ162"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2" s="607"/>
      <c r="BB162" s="607"/>
      <c r="BC162" s="607"/>
      <c r="BD162" s="607"/>
      <c r="BF162" s="556"/>
      <c r="BG162" s="556"/>
      <c r="BH162" s="556"/>
      <c r="BI162" s="556"/>
      <c r="BJ162" s="556"/>
      <c r="BK162" s="556"/>
      <c r="BL162" s="556"/>
      <c r="BM162" s="556"/>
      <c r="BN162" s="556"/>
      <c r="BO162" s="556"/>
      <c r="BP162" s="556"/>
      <c r="BQ162" s="556"/>
      <c r="BR162" s="556"/>
      <c r="BS162" s="556"/>
      <c r="BT162" s="556"/>
      <c r="BU162" s="591" t="str" cm="1">
        <f t="array" ref="BU162">IFERROR(_xlfn.LET(_xlpm.i,ROWS($BU$2:BU162),_xlpm.cur,INDEX(tblLaminateStructures[Laminate],_xlpm.i),_xlpm.prev,IF(_xlpm.i=1,"",INDEX(tblLaminateStructures[Laminate],_xlpm.i-1)),IF(_xlpm.cur&lt;&gt;_xlpm.prev,_xlpm.cur,"")),"")</f>
        <v/>
      </c>
      <c r="BV162" s="556" t="str" cm="1">
        <f t="array" ref="BV162">IFERROR(_xlfn.LET(_xlpm.i,ROWS($BV$2:BV162),_xlpm.cur,INDEX(tblLaminateStructures[Total Thickness (µ)],_xlpm.i),_xlpm.prev,IF(_xlpm.i=1,"",INDEX(tblLaminateStructures[Total Thickness (µ)],_xlpm.i-1)),IF(OR(_xlpm.cur&lt;&gt;_xlpm.prev,BU162&lt;&gt;""),_xlpm.cur,"")),"")</f>
        <v/>
      </c>
      <c r="BW162" s="556" cm="1">
        <f t="array" ref="BW162">IFERROR(INDEX(tblLaminateStructures[Material / Layer],ROWS($BW$2:BW162)),"")</f>
        <v>0</v>
      </c>
      <c r="BX162" s="556" cm="1">
        <f t="array" ref="BX162">IFERROR(INDEX(tblLaminateStructures[Layer Thickness (µ)],ROWS($BX$2:BX162)),"")</f>
        <v>0</v>
      </c>
      <c r="BY162" s="556" t="str" cm="1">
        <f t="array" ref="BY162">IFERROR(INDEX(tblLaminateStructures[Structure Check],ROWS($BY$2:BY162)),"")</f>
        <v/>
      </c>
      <c r="BZ162" s="591" cm="1">
        <f t="array" ref="BZ162">IFERROR(INDEX(tblLaminateStructures[Laminate],ROWS($BZ$2:BZ162)),"")</f>
        <v>0</v>
      </c>
      <c r="CA162" s="556"/>
      <c r="CB162" s="556"/>
      <c r="CC162" s="556" cm="1">
        <f t="array" ref="CC162">IFERROR(INDEX(tblLaminateStructures[Total Thickness (µ)],ROWS($CC$2:CC162)),"")</f>
        <v>0</v>
      </c>
      <c r="CD162" s="556"/>
      <c r="CE162" s="556"/>
      <c r="CF162" s="556"/>
      <c r="CG162" s="556"/>
      <c r="CH162" s="556"/>
    </row>
    <row r="163" spans="48:86">
      <c r="AV163" s="607"/>
      <c r="AW163" s="608"/>
      <c r="AX163" s="607"/>
      <c r="AY163" s="613"/>
      <c r="AZ163"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3" s="607"/>
      <c r="BB163" s="607"/>
      <c r="BC163" s="607"/>
      <c r="BD163" s="607"/>
      <c r="BF163" s="556"/>
      <c r="BG163" s="556"/>
      <c r="BH163" s="556"/>
      <c r="BI163" s="556"/>
      <c r="BJ163" s="556"/>
      <c r="BK163" s="556"/>
      <c r="BL163" s="556"/>
      <c r="BM163" s="556"/>
      <c r="BN163" s="556"/>
      <c r="BO163" s="556"/>
      <c r="BP163" s="556"/>
      <c r="BQ163" s="556"/>
      <c r="BR163" s="556"/>
      <c r="BS163" s="556"/>
      <c r="BT163" s="556"/>
      <c r="BU163" s="591" t="str" cm="1">
        <f t="array" ref="BU163">IFERROR(_xlfn.LET(_xlpm.i,ROWS($BU$2:BU163),_xlpm.cur,INDEX(tblLaminateStructures[Laminate],_xlpm.i),_xlpm.prev,IF(_xlpm.i=1,"",INDEX(tblLaminateStructures[Laminate],_xlpm.i-1)),IF(_xlpm.cur&lt;&gt;_xlpm.prev,_xlpm.cur,"")),"")</f>
        <v/>
      </c>
      <c r="BV163" s="556" t="str" cm="1">
        <f t="array" ref="BV163">IFERROR(_xlfn.LET(_xlpm.i,ROWS($BV$2:BV163),_xlpm.cur,INDEX(tblLaminateStructures[Total Thickness (µ)],_xlpm.i),_xlpm.prev,IF(_xlpm.i=1,"",INDEX(tblLaminateStructures[Total Thickness (µ)],_xlpm.i-1)),IF(OR(_xlpm.cur&lt;&gt;_xlpm.prev,BU163&lt;&gt;""),_xlpm.cur,"")),"")</f>
        <v/>
      </c>
      <c r="BW163" s="556" cm="1">
        <f t="array" ref="BW163">IFERROR(INDEX(tblLaminateStructures[Material / Layer],ROWS($BW$2:BW163)),"")</f>
        <v>0</v>
      </c>
      <c r="BX163" s="556" cm="1">
        <f t="array" ref="BX163">IFERROR(INDEX(tblLaminateStructures[Layer Thickness (µ)],ROWS($BX$2:BX163)),"")</f>
        <v>0</v>
      </c>
      <c r="BY163" s="556" t="str" cm="1">
        <f t="array" ref="BY163">IFERROR(INDEX(tblLaminateStructures[Structure Check],ROWS($BY$2:BY163)),"")</f>
        <v/>
      </c>
      <c r="BZ163" s="591" cm="1">
        <f t="array" ref="BZ163">IFERROR(INDEX(tblLaminateStructures[Laminate],ROWS($BZ$2:BZ163)),"")</f>
        <v>0</v>
      </c>
      <c r="CA163" s="556"/>
      <c r="CB163" s="556"/>
      <c r="CC163" s="556" cm="1">
        <f t="array" ref="CC163">IFERROR(INDEX(tblLaminateStructures[Total Thickness (µ)],ROWS($CC$2:CC163)),"")</f>
        <v>0</v>
      </c>
      <c r="CD163" s="556"/>
      <c r="CE163" s="556"/>
      <c r="CF163" s="556"/>
      <c r="CG163" s="556"/>
      <c r="CH163" s="556"/>
    </row>
    <row r="164" spans="48:86">
      <c r="AV164" s="607"/>
      <c r="AW164" s="608"/>
      <c r="AX164" s="607"/>
      <c r="AY164" s="613"/>
      <c r="AZ164" s="60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4" s="607"/>
      <c r="BB164" s="607"/>
      <c r="BC164" s="607"/>
      <c r="BD164" s="607"/>
      <c r="BF164" s="556"/>
      <c r="BG164" s="556"/>
      <c r="BH164" s="556"/>
      <c r="BI164" s="556"/>
      <c r="BJ164" s="556"/>
      <c r="BK164" s="556"/>
      <c r="BL164" s="556"/>
      <c r="BM164" s="556"/>
      <c r="BN164" s="556"/>
      <c r="BO164" s="556"/>
      <c r="BP164" s="556"/>
      <c r="BQ164" s="556"/>
      <c r="BR164" s="556"/>
      <c r="BS164" s="556"/>
      <c r="BT164" s="556"/>
      <c r="BU164" s="591" t="str" cm="1">
        <f t="array" ref="BU164">IFERROR(_xlfn.LET(_xlpm.i,ROWS($BU$2:BU164),_xlpm.cur,INDEX(tblLaminateStructures[Laminate],_xlpm.i),_xlpm.prev,IF(_xlpm.i=1,"",INDEX(tblLaminateStructures[Laminate],_xlpm.i-1)),IF(_xlpm.cur&lt;&gt;_xlpm.prev,_xlpm.cur,"")),"")</f>
        <v/>
      </c>
      <c r="BV164" s="556" t="str" cm="1">
        <f t="array" ref="BV164">IFERROR(_xlfn.LET(_xlpm.i,ROWS($BV$2:BV164),_xlpm.cur,INDEX(tblLaminateStructures[Total Thickness (µ)],_xlpm.i),_xlpm.prev,IF(_xlpm.i=1,"",INDEX(tblLaminateStructures[Total Thickness (µ)],_xlpm.i-1)),IF(OR(_xlpm.cur&lt;&gt;_xlpm.prev,BU164&lt;&gt;""),_xlpm.cur,"")),"")</f>
        <v/>
      </c>
      <c r="BW164" s="556" cm="1">
        <f t="array" ref="BW164">IFERROR(INDEX(tblLaminateStructures[Material / Layer],ROWS($BW$2:BW164)),"")</f>
        <v>0</v>
      </c>
      <c r="BX164" s="556" cm="1">
        <f t="array" ref="BX164">IFERROR(INDEX(tblLaminateStructures[Layer Thickness (µ)],ROWS($BX$2:BX164)),"")</f>
        <v>0</v>
      </c>
      <c r="BY164" s="556" t="str" cm="1">
        <f t="array" ref="BY164">IFERROR(INDEX(tblLaminateStructures[Structure Check],ROWS($BY$2:BY164)),"")</f>
        <v/>
      </c>
      <c r="BZ164" s="591" cm="1">
        <f t="array" ref="BZ164">IFERROR(INDEX(tblLaminateStructures[Laminate],ROWS($BZ$2:BZ164)),"")</f>
        <v>0</v>
      </c>
      <c r="CA164" s="556"/>
      <c r="CB164" s="556"/>
      <c r="CC164" s="556" cm="1">
        <f t="array" ref="CC164">IFERROR(INDEX(tblLaminateStructures[Total Thickness (µ)],ROWS($CC$2:CC164)),"")</f>
        <v>0</v>
      </c>
      <c r="CD164" s="556"/>
      <c r="CE164" s="556"/>
      <c r="CF164" s="556"/>
      <c r="CG164" s="556"/>
      <c r="CH164" s="556"/>
    </row>
    <row r="165" spans="48:86">
      <c r="AV165" s="544"/>
      <c r="AW165" s="545"/>
      <c r="AX165" s="544"/>
      <c r="AY165" s="545"/>
      <c r="AZ165" s="545"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5" s="544"/>
      <c r="BB165" s="544"/>
      <c r="BC165" s="544"/>
      <c r="BD165" s="544"/>
      <c r="BF165" s="556"/>
      <c r="BG165" s="556"/>
      <c r="BH165" s="556"/>
      <c r="BI165" s="556"/>
      <c r="BJ165" s="556"/>
      <c r="BK165" s="556"/>
      <c r="BL165" s="556"/>
      <c r="BM165" s="556"/>
      <c r="BN165" s="556"/>
      <c r="BO165" s="556"/>
      <c r="BP165" s="556"/>
      <c r="BQ165" s="556"/>
      <c r="BR165" s="556"/>
      <c r="BS165" s="556"/>
      <c r="BT165" s="556"/>
      <c r="BU165" s="591" t="str" cm="1">
        <f t="array" ref="BU165">IFERROR(_xlfn.LET(_xlpm.i,ROWS($BU$2:BU165),_xlpm.cur,INDEX(tblLaminateStructures[Laminate],_xlpm.i),_xlpm.prev,IF(_xlpm.i=1,"",INDEX(tblLaminateStructures[Laminate],_xlpm.i-1)),IF(_xlpm.cur&lt;&gt;_xlpm.prev,_xlpm.cur,"")),"")</f>
        <v/>
      </c>
      <c r="BV165" s="556" t="str" cm="1">
        <f t="array" ref="BV165">IFERROR(_xlfn.LET(_xlpm.i,ROWS($BV$2:BV165),_xlpm.cur,INDEX(tblLaminateStructures[Total Thickness (µ)],_xlpm.i),_xlpm.prev,IF(_xlpm.i=1,"",INDEX(tblLaminateStructures[Total Thickness (µ)],_xlpm.i-1)),IF(OR(_xlpm.cur&lt;&gt;_xlpm.prev,BU165&lt;&gt;""),_xlpm.cur,"")),"")</f>
        <v/>
      </c>
      <c r="BW165" s="556" cm="1">
        <f t="array" ref="BW165">IFERROR(INDEX(tblLaminateStructures[Material / Layer],ROWS($BW$2:BW165)),"")</f>
        <v>0</v>
      </c>
      <c r="BX165" s="556" cm="1">
        <f t="array" ref="BX165">IFERROR(INDEX(tblLaminateStructures[Layer Thickness (µ)],ROWS($BX$2:BX165)),"")</f>
        <v>0</v>
      </c>
      <c r="BY165" s="556" t="str" cm="1">
        <f t="array" ref="BY165">IFERROR(INDEX(tblLaminateStructures[Structure Check],ROWS($BY$2:BY165)),"")</f>
        <v/>
      </c>
      <c r="BZ165" s="591" cm="1">
        <f t="array" ref="BZ165">IFERROR(INDEX(tblLaminateStructures[Laminate],ROWS($BZ$2:BZ165)),"")</f>
        <v>0</v>
      </c>
      <c r="CA165" s="556"/>
      <c r="CB165" s="556"/>
      <c r="CC165" s="556" cm="1">
        <f t="array" ref="CC165">IFERROR(INDEX(tblLaminateStructures[Total Thickness (µ)],ROWS($CC$2:CC165)),"")</f>
        <v>0</v>
      </c>
      <c r="CD165" s="556"/>
      <c r="CE165" s="556"/>
      <c r="CF165" s="556"/>
      <c r="CG165" s="556"/>
      <c r="CH165" s="556"/>
    </row>
    <row r="166" spans="48:86">
      <c r="AV166" s="544"/>
      <c r="AW166" s="545"/>
      <c r="AX166" s="544"/>
      <c r="AY166" s="545"/>
      <c r="AZ166" s="545"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6" s="544"/>
      <c r="BB166" s="544"/>
      <c r="BC166" s="544"/>
      <c r="BD166" s="544"/>
      <c r="BF166" s="556"/>
      <c r="BG166" s="556"/>
      <c r="BH166" s="556"/>
      <c r="BI166" s="556"/>
      <c r="BJ166" s="556"/>
      <c r="BK166" s="556"/>
      <c r="BL166" s="556"/>
      <c r="BM166" s="556"/>
      <c r="BN166" s="556"/>
      <c r="BO166" s="556"/>
      <c r="BP166" s="556"/>
      <c r="BQ166" s="556"/>
      <c r="BR166" s="556"/>
      <c r="BS166" s="556"/>
      <c r="BT166" s="556"/>
      <c r="BU166" s="591" t="str" cm="1">
        <f t="array" ref="BU166">IFERROR(_xlfn.LET(_xlpm.i,ROWS($BU$2:BU166),_xlpm.cur,INDEX(tblLaminateStructures[Laminate],_xlpm.i),_xlpm.prev,IF(_xlpm.i=1,"",INDEX(tblLaminateStructures[Laminate],_xlpm.i-1)),IF(_xlpm.cur&lt;&gt;_xlpm.prev,_xlpm.cur,"")),"")</f>
        <v/>
      </c>
      <c r="BV166" s="556" t="str" cm="1">
        <f t="array" ref="BV166">IFERROR(_xlfn.LET(_xlpm.i,ROWS($BV$2:BV166),_xlpm.cur,INDEX(tblLaminateStructures[Total Thickness (µ)],_xlpm.i),_xlpm.prev,IF(_xlpm.i=1,"",INDEX(tblLaminateStructures[Total Thickness (µ)],_xlpm.i-1)),IF(OR(_xlpm.cur&lt;&gt;_xlpm.prev,BU166&lt;&gt;""),_xlpm.cur,"")),"")</f>
        <v/>
      </c>
      <c r="BW166" s="556" cm="1">
        <f t="array" ref="BW166">IFERROR(INDEX(tblLaminateStructures[Material / Layer],ROWS($BW$2:BW166)),"")</f>
        <v>0</v>
      </c>
      <c r="BX166" s="556" cm="1">
        <f t="array" ref="BX166">IFERROR(INDEX(tblLaminateStructures[Layer Thickness (µ)],ROWS($BX$2:BX166)),"")</f>
        <v>0</v>
      </c>
      <c r="BY166" s="556" t="str" cm="1">
        <f t="array" ref="BY166">IFERROR(INDEX(tblLaminateStructures[Structure Check],ROWS($BY$2:BY166)),"")</f>
        <v/>
      </c>
      <c r="BZ166" s="591" cm="1">
        <f t="array" ref="BZ166">IFERROR(INDEX(tblLaminateStructures[Laminate],ROWS($BZ$2:BZ166)),"")</f>
        <v>0</v>
      </c>
      <c r="CA166" s="556"/>
      <c r="CB166" s="556"/>
      <c r="CC166" s="556" cm="1">
        <f t="array" ref="CC166">IFERROR(INDEX(tblLaminateStructures[Total Thickness (µ)],ROWS($CC$2:CC166)),"")</f>
        <v>0</v>
      </c>
      <c r="CD166" s="556"/>
      <c r="CE166" s="556"/>
      <c r="CF166" s="556"/>
      <c r="CG166" s="556"/>
      <c r="CH166" s="556"/>
    </row>
    <row r="167" spans="48:86">
      <c r="AV167" s="544"/>
      <c r="AW167" s="545"/>
      <c r="AX167" s="544"/>
      <c r="AY167" s="545"/>
      <c r="AZ167" s="545"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7" s="544"/>
      <c r="BB167" s="544"/>
      <c r="BC167" s="544"/>
      <c r="BD167" s="544"/>
      <c r="BF167" s="556"/>
      <c r="BG167" s="556"/>
      <c r="BH167" s="556"/>
      <c r="BI167" s="556"/>
      <c r="BJ167" s="556"/>
      <c r="BK167" s="556"/>
      <c r="BL167" s="556"/>
      <c r="BM167" s="556"/>
      <c r="BN167" s="556"/>
      <c r="BO167" s="556"/>
      <c r="BP167" s="556"/>
      <c r="BQ167" s="556"/>
      <c r="BR167" s="556"/>
      <c r="BS167" s="556"/>
      <c r="BT167" s="556"/>
      <c r="BU167" s="591" t="str" cm="1">
        <f t="array" ref="BU167">IFERROR(_xlfn.LET(_xlpm.i,ROWS($BU$2:BU167),_xlpm.cur,INDEX(tblLaminateStructures[Laminate],_xlpm.i),_xlpm.prev,IF(_xlpm.i=1,"",INDEX(tblLaminateStructures[Laminate],_xlpm.i-1)),IF(_xlpm.cur&lt;&gt;_xlpm.prev,_xlpm.cur,"")),"")</f>
        <v/>
      </c>
      <c r="BV167" s="556" t="str" cm="1">
        <f t="array" ref="BV167">IFERROR(_xlfn.LET(_xlpm.i,ROWS($BV$2:BV167),_xlpm.cur,INDEX(tblLaminateStructures[Total Thickness (µ)],_xlpm.i),_xlpm.prev,IF(_xlpm.i=1,"",INDEX(tblLaminateStructures[Total Thickness (µ)],_xlpm.i-1)),IF(OR(_xlpm.cur&lt;&gt;_xlpm.prev,BU167&lt;&gt;""),_xlpm.cur,"")),"")</f>
        <v/>
      </c>
      <c r="BW167" s="556" cm="1">
        <f t="array" ref="BW167">IFERROR(INDEX(tblLaminateStructures[Material / Layer],ROWS($BW$2:BW167)),"")</f>
        <v>0</v>
      </c>
      <c r="BX167" s="556" cm="1">
        <f t="array" ref="BX167">IFERROR(INDEX(tblLaminateStructures[Layer Thickness (µ)],ROWS($BX$2:BX167)),"")</f>
        <v>0</v>
      </c>
      <c r="BY167" s="556" t="str" cm="1">
        <f t="array" ref="BY167">IFERROR(INDEX(tblLaminateStructures[Structure Check],ROWS($BY$2:BY167)),"")</f>
        <v/>
      </c>
      <c r="BZ167" s="591" cm="1">
        <f t="array" ref="BZ167">IFERROR(INDEX(tblLaminateStructures[Laminate],ROWS($BZ$2:BZ167)),"")</f>
        <v>0</v>
      </c>
      <c r="CA167" s="556"/>
      <c r="CB167" s="556"/>
      <c r="CC167" s="556" cm="1">
        <f t="array" ref="CC167">IFERROR(INDEX(tblLaminateStructures[Total Thickness (µ)],ROWS($CC$2:CC167)),"")</f>
        <v>0</v>
      </c>
      <c r="CD167" s="556"/>
      <c r="CE167" s="556"/>
      <c r="CF167" s="556"/>
      <c r="CG167" s="556"/>
      <c r="CH167" s="556"/>
    </row>
    <row r="168" spans="48:86">
      <c r="AV168" s="544"/>
      <c r="AW168" s="545"/>
      <c r="AX168" s="544"/>
      <c r="AY168" s="545"/>
      <c r="AZ168" s="545"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8" s="544"/>
      <c r="BB168" s="544"/>
      <c r="BC168" s="544"/>
      <c r="BD168" s="544"/>
      <c r="BF168" s="556"/>
      <c r="BG168" s="556"/>
      <c r="BH168" s="556"/>
      <c r="BI168" s="556"/>
      <c r="BJ168" s="556"/>
      <c r="BK168" s="556"/>
      <c r="BL168" s="556"/>
      <c r="BM168" s="556"/>
      <c r="BN168" s="556"/>
      <c r="BO168" s="556"/>
      <c r="BP168" s="556"/>
      <c r="BQ168" s="556"/>
      <c r="BR168" s="556"/>
      <c r="BS168" s="556"/>
      <c r="BT168" s="556"/>
      <c r="BU168" s="591" t="str" cm="1">
        <f t="array" ref="BU168">IFERROR(_xlfn.LET(_xlpm.i,ROWS($BU$2:BU168),_xlpm.cur,INDEX(tblLaminateStructures[Laminate],_xlpm.i),_xlpm.prev,IF(_xlpm.i=1,"",INDEX(tblLaminateStructures[Laminate],_xlpm.i-1)),IF(_xlpm.cur&lt;&gt;_xlpm.prev,_xlpm.cur,"")),"")</f>
        <v/>
      </c>
      <c r="BV168" s="556" t="str" cm="1">
        <f t="array" ref="BV168">IFERROR(_xlfn.LET(_xlpm.i,ROWS($BV$2:BV168),_xlpm.cur,INDEX(tblLaminateStructures[Total Thickness (µ)],_xlpm.i),_xlpm.prev,IF(_xlpm.i=1,"",INDEX(tblLaminateStructures[Total Thickness (µ)],_xlpm.i-1)),IF(OR(_xlpm.cur&lt;&gt;_xlpm.prev,BU168&lt;&gt;""),_xlpm.cur,"")),"")</f>
        <v/>
      </c>
      <c r="BW168" s="556" cm="1">
        <f t="array" ref="BW168">IFERROR(INDEX(tblLaminateStructures[Material / Layer],ROWS($BW$2:BW168)),"")</f>
        <v>0</v>
      </c>
      <c r="BX168" s="556" cm="1">
        <f t="array" ref="BX168">IFERROR(INDEX(tblLaminateStructures[Layer Thickness (µ)],ROWS($BX$2:BX168)),"")</f>
        <v>0</v>
      </c>
      <c r="BY168" s="556" t="str" cm="1">
        <f t="array" ref="BY168">IFERROR(INDEX(tblLaminateStructures[Structure Check],ROWS($BY$2:BY168)),"")</f>
        <v/>
      </c>
      <c r="BZ168" s="591" cm="1">
        <f t="array" ref="BZ168">IFERROR(INDEX(tblLaminateStructures[Laminate],ROWS($BZ$2:BZ168)),"")</f>
        <v>0</v>
      </c>
      <c r="CA168" s="556"/>
      <c r="CB168" s="556"/>
      <c r="CC168" s="556" cm="1">
        <f t="array" ref="CC168">IFERROR(INDEX(tblLaminateStructures[Total Thickness (µ)],ROWS($CC$2:CC168)),"")</f>
        <v>0</v>
      </c>
      <c r="CD168" s="556"/>
      <c r="CE168" s="556"/>
      <c r="CF168" s="556"/>
      <c r="CG168" s="556"/>
      <c r="CH168" s="556"/>
    </row>
    <row r="169" spans="48:86">
      <c r="AV169" s="544" t="s">
        <v>1120</v>
      </c>
      <c r="AW169" s="545">
        <v>106</v>
      </c>
      <c r="AX169" s="544" t="s">
        <v>168</v>
      </c>
      <c r="AY169" s="545">
        <v>23</v>
      </c>
      <c r="AZ169"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69" s="544"/>
      <c r="BB169" s="544"/>
      <c r="BC169" s="544" t="s">
        <v>1060</v>
      </c>
      <c r="BD169" s="544"/>
      <c r="BF169" s="556"/>
      <c r="BG169" s="556"/>
      <c r="BH169" s="556"/>
      <c r="BI169" s="556"/>
      <c r="BJ169" s="556"/>
      <c r="BK169" s="556"/>
      <c r="BL169" s="556"/>
      <c r="BM169" s="556"/>
      <c r="BN169" s="556"/>
      <c r="BO169" s="556"/>
      <c r="BP169" s="556"/>
      <c r="BQ169" s="556"/>
      <c r="BR169" s="556"/>
      <c r="BS169" s="556"/>
      <c r="BT169" s="556"/>
      <c r="BU169" s="591" t="str" cm="1">
        <f t="array" ref="BU169">IFERROR(_xlfn.LET(_xlpm.i,ROWS($BU$2:BU169),_xlpm.cur,INDEX(tblLaminateStructures[Laminate],_xlpm.i),_xlpm.prev,IF(_xlpm.i=1,"",INDEX(tblLaminateStructures[Laminate],_xlpm.i-1)),IF(_xlpm.cur&lt;&gt;_xlpm.prev,_xlpm.cur,"")),"")</f>
        <v>648W</v>
      </c>
      <c r="BV169" s="556" cm="1">
        <f t="array" ref="BV169">IFERROR(_xlfn.LET(_xlpm.i,ROWS($BV$2:BV169),_xlpm.cur,INDEX(tblLaminateStructures[Total Thickness (µ)],_xlpm.i),_xlpm.prev,IF(_xlpm.i=1,"",INDEX(tblLaminateStructures[Total Thickness (µ)],_xlpm.i-1)),IF(OR(_xlpm.cur&lt;&gt;_xlpm.prev,BU169&lt;&gt;""),_xlpm.cur,"")),"")</f>
        <v>106</v>
      </c>
      <c r="BW169" s="556" t="str" cm="1">
        <f t="array" ref="BW169">IFERROR(INDEX(tblLaminateStructures[Material / Layer],ROWS($BW$2:BW169)),"")</f>
        <v>NK</v>
      </c>
      <c r="BX169" s="556" cm="1">
        <f t="array" ref="BX169">IFERROR(INDEX(tblLaminateStructures[Layer Thickness (µ)],ROWS($BX$2:BX169)),"")</f>
        <v>23</v>
      </c>
      <c r="BY169" s="556" cm="1">
        <f t="array" ref="BY169">IFERROR(INDEX(tblLaminateStructures[Structure Check],ROWS($BY$2:BY169)),"")</f>
        <v>106</v>
      </c>
      <c r="BZ169" s="591" t="str" cm="1">
        <f t="array" ref="BZ169">IFERROR(INDEX(tblLaminateStructures[Laminate],ROWS($BZ$2:BZ169)),"")</f>
        <v>648W</v>
      </c>
      <c r="CA169" s="556"/>
      <c r="CB169" s="556"/>
      <c r="CC169" s="556" cm="1">
        <f t="array" ref="CC169">IFERROR(INDEX(tblLaminateStructures[Total Thickness (µ)],ROWS($CC$2:CC169)),"")</f>
        <v>106</v>
      </c>
      <c r="CD169" s="556"/>
      <c r="CE169" s="556"/>
      <c r="CF169" s="556"/>
      <c r="CG169" s="556"/>
      <c r="CH169" s="556"/>
    </row>
    <row r="170" spans="48:86">
      <c r="AV170" s="544" t="s">
        <v>1120</v>
      </c>
      <c r="AW170" s="545">
        <v>106</v>
      </c>
      <c r="AX170" s="544" t="s">
        <v>43</v>
      </c>
      <c r="AY170" s="545">
        <v>80</v>
      </c>
      <c r="AZ170"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0" s="544"/>
      <c r="BB170" s="544"/>
      <c r="BC170" s="544" t="s">
        <v>1060</v>
      </c>
      <c r="BD170" s="544"/>
      <c r="BF170" s="556"/>
      <c r="BG170" s="556"/>
      <c r="BH170" s="556"/>
      <c r="BI170" s="556"/>
      <c r="BJ170" s="556"/>
      <c r="BK170" s="556"/>
      <c r="BL170" s="556"/>
      <c r="BM170" s="556"/>
      <c r="BN170" s="556"/>
      <c r="BO170" s="556"/>
      <c r="BP170" s="556"/>
      <c r="BQ170" s="556"/>
      <c r="BR170" s="556"/>
      <c r="BS170" s="556"/>
      <c r="BT170" s="556"/>
      <c r="BU170" s="591" t="str" cm="1">
        <f t="array" ref="BU170">IFERROR(_xlfn.LET(_xlpm.i,ROWS($BU$2:BU170),_xlpm.cur,INDEX(tblLaminateStructures[Laminate],_xlpm.i),_xlpm.prev,IF(_xlpm.i=1,"",INDEX(tblLaminateStructures[Laminate],_xlpm.i-1)),IF(_xlpm.cur&lt;&gt;_xlpm.prev,_xlpm.cur,"")),"")</f>
        <v/>
      </c>
      <c r="BV170" s="556" t="str" cm="1">
        <f t="array" ref="BV170">IFERROR(_xlfn.LET(_xlpm.i,ROWS($BV$2:BV170),_xlpm.cur,INDEX(tblLaminateStructures[Total Thickness (µ)],_xlpm.i),_xlpm.prev,IF(_xlpm.i=1,"",INDEX(tblLaminateStructures[Total Thickness (µ)],_xlpm.i-1)),IF(OR(_xlpm.cur&lt;&gt;_xlpm.prev,BU170&lt;&gt;""),_xlpm.cur,"")),"")</f>
        <v/>
      </c>
      <c r="BW170" s="556" t="str" cm="1">
        <f t="array" ref="BW170">IFERROR(INDEX(tblLaminateStructures[Material / Layer],ROWS($BW$2:BW170)),"")</f>
        <v>TIPA 302FG W</v>
      </c>
      <c r="BX170" s="556" cm="1">
        <f t="array" ref="BX170">IFERROR(INDEX(tblLaminateStructures[Layer Thickness (µ)],ROWS($BX$2:BX170)),"")</f>
        <v>80</v>
      </c>
      <c r="BY170" s="556" cm="1">
        <f t="array" ref="BY170">IFERROR(INDEX(tblLaminateStructures[Structure Check],ROWS($BY$2:BY170)),"")</f>
        <v>106</v>
      </c>
      <c r="BZ170" s="591" t="str" cm="1">
        <f t="array" ref="BZ170">IFERROR(INDEX(tblLaminateStructures[Laminate],ROWS($BZ$2:BZ170)),"")</f>
        <v>648W</v>
      </c>
      <c r="CA170" s="556"/>
      <c r="CB170" s="556"/>
      <c r="CC170" s="556" cm="1">
        <f t="array" ref="CC170">IFERROR(INDEX(tblLaminateStructures[Total Thickness (µ)],ROWS($CC$2:CC170)),"")</f>
        <v>106</v>
      </c>
      <c r="CD170" s="556"/>
      <c r="CE170" s="556"/>
      <c r="CF170" s="556"/>
      <c r="CG170" s="556"/>
      <c r="CH170" s="556"/>
    </row>
    <row r="171" spans="48:86">
      <c r="AV171" s="544" t="s">
        <v>1120</v>
      </c>
      <c r="AW171" s="545">
        <v>106</v>
      </c>
      <c r="AX171" s="544" t="s">
        <v>173</v>
      </c>
      <c r="AY171" s="545">
        <v>2.91</v>
      </c>
      <c r="AZ171"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1" s="544"/>
      <c r="BB171" s="544"/>
      <c r="BC171" s="544" t="s">
        <v>1060</v>
      </c>
      <c r="BD171" s="544"/>
      <c r="BF171" s="556"/>
      <c r="BG171" s="556"/>
      <c r="BH171" s="556"/>
      <c r="BI171" s="556"/>
      <c r="BJ171" s="556"/>
      <c r="BK171" s="556"/>
      <c r="BL171" s="556"/>
      <c r="BM171" s="556"/>
      <c r="BN171" s="556"/>
      <c r="BO171" s="556"/>
      <c r="BP171" s="556"/>
      <c r="BQ171" s="556"/>
      <c r="BR171" s="556"/>
      <c r="BS171" s="556"/>
      <c r="BT171" s="556"/>
      <c r="BU171" s="591" t="str" cm="1">
        <f t="array" ref="BU171">IFERROR(_xlfn.LET(_xlpm.i,ROWS($BU$2:BU171),_xlpm.cur,INDEX(tblLaminateStructures[Laminate],_xlpm.i),_xlpm.prev,IF(_xlpm.i=1,"",INDEX(tblLaminateStructures[Laminate],_xlpm.i-1)),IF(_xlpm.cur&lt;&gt;_xlpm.prev,_xlpm.cur,"")),"")</f>
        <v/>
      </c>
      <c r="BV171" s="556" t="str" cm="1">
        <f t="array" ref="BV171">IFERROR(_xlfn.LET(_xlpm.i,ROWS($BV$2:BV171),_xlpm.cur,INDEX(tblLaminateStructures[Total Thickness (µ)],_xlpm.i),_xlpm.prev,IF(_xlpm.i=1,"",INDEX(tblLaminateStructures[Total Thickness (µ)],_xlpm.i-1)),IF(OR(_xlpm.cur&lt;&gt;_xlpm.prev,BU171&lt;&gt;""),_xlpm.cur,"")),"")</f>
        <v/>
      </c>
      <c r="BW171" s="556" t="str" cm="1">
        <f t="array" ref="BW171">IFERROR(INDEX(tblLaminateStructures[Material / Layer],ROWS($BW$2:BW171)),"")</f>
        <v>RM G Epotal Eco 3702</v>
      </c>
      <c r="BX171" s="556" cm="1">
        <f t="array" ref="BX171">IFERROR(INDEX(tblLaminateStructures[Layer Thickness (µ)],ROWS($BX$2:BX171)),"")</f>
        <v>2.91</v>
      </c>
      <c r="BY171" s="556" cm="1">
        <f t="array" ref="BY171">IFERROR(INDEX(tblLaminateStructures[Structure Check],ROWS($BY$2:BY171)),"")</f>
        <v>106</v>
      </c>
      <c r="BZ171" s="591" t="str" cm="1">
        <f t="array" ref="BZ171">IFERROR(INDEX(tblLaminateStructures[Laminate],ROWS($BZ$2:BZ171)),"")</f>
        <v>648W</v>
      </c>
      <c r="CA171" s="556"/>
      <c r="CB171" s="556"/>
      <c r="CC171" s="556" cm="1">
        <f t="array" ref="CC171">IFERROR(INDEX(tblLaminateStructures[Total Thickness (µ)],ROWS($CC$2:CC171)),"")</f>
        <v>106</v>
      </c>
      <c r="CD171" s="556"/>
      <c r="CE171" s="556"/>
      <c r="CF171" s="556"/>
      <c r="CG171" s="556"/>
      <c r="CH171" s="556"/>
    </row>
    <row r="172" spans="48:86">
      <c r="AV172" s="544" t="s">
        <v>1120</v>
      </c>
      <c r="AW172" s="545">
        <v>106</v>
      </c>
      <c r="AX172" s="544" t="s">
        <v>174</v>
      </c>
      <c r="AY172" s="545">
        <v>8.99999999999999E-2</v>
      </c>
      <c r="AZ172"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2" s="544"/>
      <c r="BB172" s="544"/>
      <c r="BC172" s="544" t="s">
        <v>1060</v>
      </c>
      <c r="BD172" s="544"/>
      <c r="BF172" s="556"/>
      <c r="BG172" s="556"/>
      <c r="BH172" s="556"/>
      <c r="BI172" s="556"/>
      <c r="BJ172" s="556"/>
      <c r="BK172" s="556"/>
      <c r="BL172" s="556"/>
      <c r="BM172" s="556"/>
      <c r="BN172" s="556"/>
      <c r="BO172" s="556"/>
      <c r="BP172" s="556"/>
      <c r="BQ172" s="556"/>
      <c r="BR172" s="556"/>
      <c r="BS172" s="556"/>
      <c r="BT172" s="556"/>
      <c r="BU172" s="591" t="str" cm="1">
        <f t="array" ref="BU172">IFERROR(_xlfn.LET(_xlpm.i,ROWS($BU$2:BU172),_xlpm.cur,INDEX(tblLaminateStructures[Laminate],_xlpm.i),_xlpm.prev,IF(_xlpm.i=1,"",INDEX(tblLaminateStructures[Laminate],_xlpm.i-1)),IF(_xlpm.cur&lt;&gt;_xlpm.prev,_xlpm.cur,"")),"")</f>
        <v/>
      </c>
      <c r="BV172" s="556" t="str" cm="1">
        <f t="array" ref="BV172">IFERROR(_xlfn.LET(_xlpm.i,ROWS($BV$2:BV172),_xlpm.cur,INDEX(tblLaminateStructures[Total Thickness (µ)],_xlpm.i),_xlpm.prev,IF(_xlpm.i=1,"",INDEX(tblLaminateStructures[Total Thickness (µ)],_xlpm.i-1)),IF(OR(_xlpm.cur&lt;&gt;_xlpm.prev,BU172&lt;&gt;""),_xlpm.cur,"")),"")</f>
        <v/>
      </c>
      <c r="BW172" s="556" t="str" cm="1">
        <f t="array" ref="BW172">IFERROR(INDEX(tblLaminateStructures[Material / Layer],ROWS($BW$2:BW172)),"")</f>
        <v>RM G Basonat HW 2270</v>
      </c>
      <c r="BX172" s="556" cm="1">
        <f t="array" ref="BX172">IFERROR(INDEX(tblLaminateStructures[Layer Thickness (µ)],ROWS($BX$2:BX172)),"")</f>
        <v>8.99999999999999E-2</v>
      </c>
      <c r="BY172" s="556" cm="1">
        <f t="array" ref="BY172">IFERROR(INDEX(tblLaminateStructures[Structure Check],ROWS($BY$2:BY172)),"")</f>
        <v>106</v>
      </c>
      <c r="BZ172" s="591" t="str" cm="1">
        <f t="array" ref="BZ172">IFERROR(INDEX(tblLaminateStructures[Laminate],ROWS($BZ$2:BZ172)),"")</f>
        <v>648W</v>
      </c>
      <c r="CA172" s="556"/>
      <c r="CB172" s="556"/>
      <c r="CC172" s="556" cm="1">
        <f t="array" ref="CC172">IFERROR(INDEX(tblLaminateStructures[Total Thickness (µ)],ROWS($CC$2:CC172)),"")</f>
        <v>106</v>
      </c>
      <c r="CD172" s="556"/>
      <c r="CE172" s="556"/>
      <c r="CF172" s="556"/>
      <c r="CG172" s="556"/>
      <c r="CH172" s="556"/>
    </row>
    <row r="173" spans="48:86">
      <c r="AV173" s="544" t="s">
        <v>1120</v>
      </c>
      <c r="AW173" s="545">
        <v>63</v>
      </c>
      <c r="AX173" s="544" t="s">
        <v>168</v>
      </c>
      <c r="AY173" s="545">
        <v>23</v>
      </c>
      <c r="AZ173"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3" s="544"/>
      <c r="BB173" s="544"/>
      <c r="BC173" s="544" t="s">
        <v>1060</v>
      </c>
      <c r="BD173" s="544"/>
      <c r="BF173" s="556"/>
      <c r="BG173" s="556"/>
      <c r="BH173" s="556"/>
      <c r="BI173" s="556"/>
      <c r="BJ173" s="556"/>
      <c r="BK173" s="556"/>
      <c r="BL173" s="556"/>
      <c r="BM173" s="556"/>
      <c r="BN173" s="556"/>
      <c r="BO173" s="556"/>
      <c r="BP173" s="556"/>
      <c r="BQ173" s="556"/>
      <c r="BR173" s="556"/>
      <c r="BS173" s="556"/>
      <c r="BT173" s="556"/>
      <c r="BU173" s="591" t="str" cm="1">
        <f t="array" ref="BU173">IFERROR(_xlfn.LET(_xlpm.i,ROWS($BU$2:BU173),_xlpm.cur,INDEX(tblLaminateStructures[Laminate],_xlpm.i),_xlpm.prev,IF(_xlpm.i=1,"",INDEX(tblLaminateStructures[Laminate],_xlpm.i-1)),IF(_xlpm.cur&lt;&gt;_xlpm.prev,_xlpm.cur,"")),"")</f>
        <v/>
      </c>
      <c r="BV173" s="556" cm="1">
        <f t="array" ref="BV173">IFERROR(_xlfn.LET(_xlpm.i,ROWS($BV$2:BV173),_xlpm.cur,INDEX(tblLaminateStructures[Total Thickness (µ)],_xlpm.i),_xlpm.prev,IF(_xlpm.i=1,"",INDEX(tblLaminateStructures[Total Thickness (µ)],_xlpm.i-1)),IF(OR(_xlpm.cur&lt;&gt;_xlpm.prev,BU173&lt;&gt;""),_xlpm.cur,"")),"")</f>
        <v>63</v>
      </c>
      <c r="BW173" s="556" t="str" cm="1">
        <f t="array" ref="BW173">IFERROR(INDEX(tblLaminateStructures[Material / Layer],ROWS($BW$2:BW173)),"")</f>
        <v>NK</v>
      </c>
      <c r="BX173" s="556" cm="1">
        <f t="array" ref="BX173">IFERROR(INDEX(tblLaminateStructures[Layer Thickness (µ)],ROWS($BX$2:BX173)),"")</f>
        <v>23</v>
      </c>
      <c r="BY173" s="556" cm="1">
        <f t="array" ref="BY173">IFERROR(INDEX(tblLaminateStructures[Structure Check],ROWS($BY$2:BY173)),"")</f>
        <v>63.09</v>
      </c>
      <c r="BZ173" s="591" t="str" cm="1">
        <f t="array" ref="BZ173">IFERROR(INDEX(tblLaminateStructures[Laminate],ROWS($BZ$2:BZ173)),"")</f>
        <v>648W</v>
      </c>
      <c r="CA173" s="556"/>
      <c r="CB173" s="556"/>
      <c r="CC173" s="556" cm="1">
        <f t="array" ref="CC173">IFERROR(INDEX(tblLaminateStructures[Total Thickness (µ)],ROWS($CC$2:CC173)),"")</f>
        <v>63</v>
      </c>
      <c r="CD173" s="556"/>
      <c r="CE173" s="556"/>
      <c r="CF173" s="556"/>
      <c r="CG173" s="556"/>
      <c r="CH173" s="556"/>
    </row>
    <row r="174" spans="48:86">
      <c r="AV174" s="544" t="s">
        <v>1120</v>
      </c>
      <c r="AW174" s="545">
        <v>63</v>
      </c>
      <c r="AX174" s="544" t="s">
        <v>43</v>
      </c>
      <c r="AY174" s="545">
        <v>35</v>
      </c>
      <c r="AZ174"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4" s="544"/>
      <c r="BB174" s="544"/>
      <c r="BC174" s="544" t="s">
        <v>1060</v>
      </c>
      <c r="BD174" s="544"/>
      <c r="BF174" s="556"/>
      <c r="BG174" s="556"/>
      <c r="BH174" s="556"/>
      <c r="BI174" s="556"/>
      <c r="BJ174" s="556"/>
      <c r="BK174" s="556"/>
      <c r="BL174" s="556"/>
      <c r="BM174" s="556"/>
      <c r="BN174" s="556"/>
      <c r="BO174" s="556"/>
      <c r="BP174" s="556"/>
      <c r="BQ174" s="556"/>
      <c r="BR174" s="556"/>
      <c r="BS174" s="556"/>
      <c r="BT174" s="556"/>
      <c r="BU174" s="591" t="str" cm="1">
        <f t="array" ref="BU174">IFERROR(_xlfn.LET(_xlpm.i,ROWS($BU$2:BU174),_xlpm.cur,INDEX(tblLaminateStructures[Laminate],_xlpm.i),_xlpm.prev,IF(_xlpm.i=1,"",INDEX(tblLaminateStructures[Laminate],_xlpm.i-1)),IF(_xlpm.cur&lt;&gt;_xlpm.prev,_xlpm.cur,"")),"")</f>
        <v/>
      </c>
      <c r="BV174" s="556" t="str" cm="1">
        <f t="array" ref="BV174">IFERROR(_xlfn.LET(_xlpm.i,ROWS($BV$2:BV174),_xlpm.cur,INDEX(tblLaminateStructures[Total Thickness (µ)],_xlpm.i),_xlpm.prev,IF(_xlpm.i=1,"",INDEX(tblLaminateStructures[Total Thickness (µ)],_xlpm.i-1)),IF(OR(_xlpm.cur&lt;&gt;_xlpm.prev,BU174&lt;&gt;""),_xlpm.cur,"")),"")</f>
        <v/>
      </c>
      <c r="BW174" s="556" t="str" cm="1">
        <f t="array" ref="BW174">IFERROR(INDEX(tblLaminateStructures[Material / Layer],ROWS($BW$2:BW174)),"")</f>
        <v>TIPA 302FG W</v>
      </c>
      <c r="BX174" s="556" cm="1">
        <f t="array" ref="BX174">IFERROR(INDEX(tblLaminateStructures[Layer Thickness (µ)],ROWS($BX$2:BX174)),"")</f>
        <v>35</v>
      </c>
      <c r="BY174" s="556" cm="1">
        <f t="array" ref="BY174">IFERROR(INDEX(tblLaminateStructures[Structure Check],ROWS($BY$2:BY174)),"")</f>
        <v>63.09</v>
      </c>
      <c r="BZ174" s="591" t="str" cm="1">
        <f t="array" ref="BZ174">IFERROR(INDEX(tblLaminateStructures[Laminate],ROWS($BZ$2:BZ174)),"")</f>
        <v>648W</v>
      </c>
      <c r="CA174" s="556"/>
      <c r="CB174" s="556"/>
      <c r="CC174" s="556" cm="1">
        <f t="array" ref="CC174">IFERROR(INDEX(tblLaminateStructures[Total Thickness (µ)],ROWS($CC$2:CC174)),"")</f>
        <v>63</v>
      </c>
      <c r="CD174" s="556"/>
      <c r="CE174" s="556"/>
      <c r="CF174" s="556"/>
      <c r="CG174" s="556"/>
      <c r="CH174" s="556"/>
    </row>
    <row r="175" spans="48:86">
      <c r="AV175" s="544" t="s">
        <v>1120</v>
      </c>
      <c r="AW175" s="545">
        <v>63</v>
      </c>
      <c r="AX175" s="544" t="s">
        <v>173</v>
      </c>
      <c r="AY175" s="545">
        <v>5</v>
      </c>
      <c r="AZ175"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5" s="544"/>
      <c r="BB175" s="544"/>
      <c r="BC175" s="544" t="s">
        <v>1060</v>
      </c>
      <c r="BD175" s="544"/>
      <c r="BF175" s="556"/>
      <c r="BG175" s="556"/>
      <c r="BH175" s="556"/>
      <c r="BI175" s="556"/>
      <c r="BJ175" s="556"/>
      <c r="BK175" s="556"/>
      <c r="BL175" s="556"/>
      <c r="BM175" s="556"/>
      <c r="BN175" s="556"/>
      <c r="BO175" s="556"/>
      <c r="BP175" s="556"/>
      <c r="BQ175" s="556"/>
      <c r="BR175" s="556"/>
      <c r="BS175" s="556"/>
      <c r="BT175" s="556"/>
      <c r="BU175" s="591" t="str" cm="1">
        <f t="array" ref="BU175">IFERROR(_xlfn.LET(_xlpm.i,ROWS($BU$2:BU175),_xlpm.cur,INDEX(tblLaminateStructures[Laminate],_xlpm.i),_xlpm.prev,IF(_xlpm.i=1,"",INDEX(tblLaminateStructures[Laminate],_xlpm.i-1)),IF(_xlpm.cur&lt;&gt;_xlpm.prev,_xlpm.cur,"")),"")</f>
        <v/>
      </c>
      <c r="BV175" s="556" t="str" cm="1">
        <f t="array" ref="BV175">IFERROR(_xlfn.LET(_xlpm.i,ROWS($BV$2:BV175),_xlpm.cur,INDEX(tblLaminateStructures[Total Thickness (µ)],_xlpm.i),_xlpm.prev,IF(_xlpm.i=1,"",INDEX(tblLaminateStructures[Total Thickness (µ)],_xlpm.i-1)),IF(OR(_xlpm.cur&lt;&gt;_xlpm.prev,BU175&lt;&gt;""),_xlpm.cur,"")),"")</f>
        <v/>
      </c>
      <c r="BW175" s="556" t="str" cm="1">
        <f t="array" ref="BW175">IFERROR(INDEX(tblLaminateStructures[Material / Layer],ROWS($BW$2:BW175)),"")</f>
        <v>RM G Epotal Eco 3702</v>
      </c>
      <c r="BX175" s="556" cm="1">
        <f t="array" ref="BX175">IFERROR(INDEX(tblLaminateStructures[Layer Thickness (µ)],ROWS($BX$2:BX175)),"")</f>
        <v>5</v>
      </c>
      <c r="BY175" s="556" cm="1">
        <f t="array" ref="BY175">IFERROR(INDEX(tblLaminateStructures[Structure Check],ROWS($BY$2:BY175)),"")</f>
        <v>63.09</v>
      </c>
      <c r="BZ175" s="591" t="str" cm="1">
        <f t="array" ref="BZ175">IFERROR(INDEX(tblLaminateStructures[Laminate],ROWS($BZ$2:BZ175)),"")</f>
        <v>648W</v>
      </c>
      <c r="CA175" s="556"/>
      <c r="CB175" s="556"/>
      <c r="CC175" s="556" cm="1">
        <f t="array" ref="CC175">IFERROR(INDEX(tblLaminateStructures[Total Thickness (µ)],ROWS($CC$2:CC175)),"")</f>
        <v>63</v>
      </c>
      <c r="CD175" s="556"/>
      <c r="CE175" s="556"/>
      <c r="CF175" s="556"/>
      <c r="CG175" s="556"/>
      <c r="CH175" s="556"/>
    </row>
    <row r="176" spans="48:86">
      <c r="AV176" s="544" t="s">
        <v>1120</v>
      </c>
      <c r="AW176" s="545">
        <v>63</v>
      </c>
      <c r="AX176" s="544" t="s">
        <v>174</v>
      </c>
      <c r="AY176" s="545">
        <v>8.99999999999999E-2</v>
      </c>
      <c r="AZ176" s="545">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6" s="544"/>
      <c r="BB176" s="544"/>
      <c r="BC176" s="544" t="s">
        <v>1060</v>
      </c>
      <c r="BD176" s="544"/>
      <c r="BF176" s="556"/>
      <c r="BG176" s="556"/>
      <c r="BH176" s="556"/>
      <c r="BI176" s="556"/>
      <c r="BJ176" s="556"/>
      <c r="BK176" s="556"/>
      <c r="BL176" s="556"/>
      <c r="BM176" s="556"/>
      <c r="BN176" s="556"/>
      <c r="BO176" s="556"/>
      <c r="BP176" s="556"/>
      <c r="BQ176" s="556"/>
      <c r="BR176" s="556"/>
      <c r="BS176" s="556"/>
      <c r="BT176" s="556"/>
      <c r="BU176" s="591" t="str" cm="1">
        <f t="array" ref="BU176">IFERROR(_xlfn.LET(_xlpm.i,ROWS($BU$2:BU176),_xlpm.cur,INDEX(tblLaminateStructures[Laminate],_xlpm.i),_xlpm.prev,IF(_xlpm.i=1,"",INDEX(tblLaminateStructures[Laminate],_xlpm.i-1)),IF(_xlpm.cur&lt;&gt;_xlpm.prev,_xlpm.cur,"")),"")</f>
        <v/>
      </c>
      <c r="BV176" s="556" t="str" cm="1">
        <f t="array" ref="BV176">IFERROR(_xlfn.LET(_xlpm.i,ROWS($BV$2:BV176),_xlpm.cur,INDEX(tblLaminateStructures[Total Thickness (µ)],_xlpm.i),_xlpm.prev,IF(_xlpm.i=1,"",INDEX(tblLaminateStructures[Total Thickness (µ)],_xlpm.i-1)),IF(OR(_xlpm.cur&lt;&gt;_xlpm.prev,BU176&lt;&gt;""),_xlpm.cur,"")),"")</f>
        <v/>
      </c>
      <c r="BW176" s="556" t="str" cm="1">
        <f t="array" ref="BW176">IFERROR(INDEX(tblLaminateStructures[Material / Layer],ROWS($BW$2:BW176)),"")</f>
        <v>RM G Basonat HW 2270</v>
      </c>
      <c r="BX176" s="556" cm="1">
        <f t="array" ref="BX176">IFERROR(INDEX(tblLaminateStructures[Layer Thickness (µ)],ROWS($BX$2:BX176)),"")</f>
        <v>8.99999999999999E-2</v>
      </c>
      <c r="BY176" s="556" cm="1">
        <f t="array" ref="BY176">IFERROR(INDEX(tblLaminateStructures[Structure Check],ROWS($BY$2:BY176)),"")</f>
        <v>63.09</v>
      </c>
      <c r="BZ176" s="591" t="str" cm="1">
        <f t="array" ref="BZ176">IFERROR(INDEX(tblLaminateStructures[Laminate],ROWS($BZ$2:BZ176)),"")</f>
        <v>648W</v>
      </c>
      <c r="CA176" s="556"/>
      <c r="CB176" s="556"/>
      <c r="CC176" s="556" cm="1">
        <f t="array" ref="CC176">IFERROR(INDEX(tblLaminateStructures[Total Thickness (µ)],ROWS($CC$2:CC176)),"")</f>
        <v>63</v>
      </c>
      <c r="CD176" s="556"/>
      <c r="CE176" s="556"/>
      <c r="CF176" s="556"/>
      <c r="CG176" s="556"/>
      <c r="CH176" s="556"/>
    </row>
    <row r="177" spans="48:86">
      <c r="AV177" s="547"/>
      <c r="AW177" s="548"/>
      <c r="AX177" s="547"/>
      <c r="AY177" s="548"/>
      <c r="AZ177" s="548"/>
      <c r="BA177" s="547"/>
      <c r="BB177" s="547"/>
      <c r="BC177" s="547"/>
      <c r="BD177" s="547"/>
      <c r="BF177" s="556"/>
      <c r="BG177" s="556"/>
      <c r="BH177" s="556"/>
      <c r="BI177" s="556"/>
      <c r="BJ177" s="556"/>
      <c r="BK177" s="556"/>
      <c r="BL177" s="556"/>
      <c r="BM177" s="556"/>
      <c r="BN177" s="556"/>
      <c r="BO177" s="556"/>
      <c r="BP177" s="556"/>
      <c r="BQ177" s="556"/>
      <c r="BR177" s="556"/>
      <c r="BS177" s="556"/>
      <c r="BT177" s="556"/>
      <c r="BU177" s="591" t="str" cm="1">
        <f t="array" ref="BU177">IFERROR(_xlfn.LET(_xlpm.i,ROWS($BU$2:BU177),_xlpm.cur,INDEX(tblLaminateStructures[Laminate],_xlpm.i),_xlpm.prev,IF(_xlpm.i=1,"",INDEX(tblLaminateStructures[Laminate],_xlpm.i-1)),IF(_xlpm.cur&lt;&gt;_xlpm.prev,_xlpm.cur,"")),"")</f>
        <v/>
      </c>
      <c r="BV177" s="556" t="str" cm="1">
        <f t="array" ref="BV177">IFERROR(_xlfn.LET(_xlpm.i,ROWS($BV$2:BV177),_xlpm.cur,INDEX(tblLaminateStructures[Total Thickness (µ)],_xlpm.i),_xlpm.prev,IF(_xlpm.i=1,"",INDEX(tblLaminateStructures[Total Thickness (µ)],_xlpm.i-1)),IF(OR(_xlpm.cur&lt;&gt;_xlpm.prev,BU177&lt;&gt;""),_xlpm.cur,"")),"")</f>
        <v/>
      </c>
      <c r="BW177" s="556" t="str" cm="1">
        <f t="array" ref="BW177">IFERROR(INDEX(tblLaminateStructures[Material / Layer],ROWS($BW$2:BW177)),"")</f>
        <v/>
      </c>
      <c r="BX177" s="556" t="str" cm="1">
        <f t="array" ref="BX177">IFERROR(INDEX(tblLaminateStructures[Layer Thickness (µ)],ROWS($BX$2:BX177)),"")</f>
        <v/>
      </c>
      <c r="BY177" s="556" t="str" cm="1">
        <f t="array" ref="BY177">IFERROR(INDEX(tblLaminateStructures[Structure Check],ROWS($BY$2:BY177)),"")</f>
        <v/>
      </c>
      <c r="BZ177" s="591" t="str" cm="1">
        <f t="array" ref="BZ177">IFERROR(INDEX(tblLaminateStructures[Laminate],ROWS($BZ$2:BZ177)),"")</f>
        <v/>
      </c>
      <c r="CA177" s="556"/>
      <c r="CB177" s="556"/>
      <c r="CC177" s="556" t="str" cm="1">
        <f t="array" ref="CC177">IFERROR(INDEX(tblLaminateStructures[Total Thickness (µ)],ROWS($CC$2:CC177)),"")</f>
        <v/>
      </c>
      <c r="CD177" s="556"/>
      <c r="CE177" s="556"/>
      <c r="CF177" s="556"/>
      <c r="CG177" s="556"/>
      <c r="CH177" s="556"/>
    </row>
    <row r="178" spans="48:86">
      <c r="AV178" s="547"/>
      <c r="AW178" s="548"/>
      <c r="AX178" s="547"/>
      <c r="AY178" s="548"/>
      <c r="AZ178" s="548"/>
      <c r="BA178" s="547"/>
      <c r="BB178" s="547"/>
      <c r="BC178" s="547"/>
      <c r="BD178" s="547"/>
      <c r="BF178" s="556"/>
      <c r="BG178" s="556"/>
      <c r="BH178" s="556"/>
      <c r="BI178" s="556"/>
      <c r="BJ178" s="556"/>
      <c r="BK178" s="556"/>
      <c r="BL178" s="556"/>
      <c r="BM178" s="556"/>
      <c r="BN178" s="556"/>
      <c r="BO178" s="556"/>
      <c r="BP178" s="556"/>
      <c r="BQ178" s="556"/>
      <c r="BR178" s="556"/>
      <c r="BS178" s="556"/>
      <c r="BT178" s="556"/>
      <c r="BU178" s="591" t="str" cm="1">
        <f t="array" ref="BU178">IFERROR(_xlfn.LET(_xlpm.i,ROWS($BU$2:BU178),_xlpm.cur,INDEX(tblLaminateStructures[Laminate],_xlpm.i),_xlpm.prev,IF(_xlpm.i=1,"",INDEX(tblLaminateStructures[Laminate],_xlpm.i-1)),IF(_xlpm.cur&lt;&gt;_xlpm.prev,_xlpm.cur,"")),"")</f>
        <v/>
      </c>
      <c r="BV178" s="556" t="str" cm="1">
        <f t="array" ref="BV178">IFERROR(_xlfn.LET(_xlpm.i,ROWS($BV$2:BV178),_xlpm.cur,INDEX(tblLaminateStructures[Total Thickness (µ)],_xlpm.i),_xlpm.prev,IF(_xlpm.i=1,"",INDEX(tblLaminateStructures[Total Thickness (µ)],_xlpm.i-1)),IF(OR(_xlpm.cur&lt;&gt;_xlpm.prev,BU178&lt;&gt;""),_xlpm.cur,"")),"")</f>
        <v/>
      </c>
      <c r="BW178" s="556" t="str" cm="1">
        <f t="array" ref="BW178">IFERROR(INDEX(tblLaminateStructures[Material / Layer],ROWS($BW$2:BW178)),"")</f>
        <v/>
      </c>
      <c r="BX178" s="556" t="str" cm="1">
        <f t="array" ref="BX178">IFERROR(INDEX(tblLaminateStructures[Layer Thickness (µ)],ROWS($BX$2:BX178)),"")</f>
        <v/>
      </c>
      <c r="BY178" s="556" t="str" cm="1">
        <f t="array" ref="BY178">IFERROR(INDEX(tblLaminateStructures[Structure Check],ROWS($BY$2:BY178)),"")</f>
        <v/>
      </c>
      <c r="BZ178" s="591" t="str" cm="1">
        <f t="array" ref="BZ178">IFERROR(INDEX(tblLaminateStructures[Laminate],ROWS($BZ$2:BZ178)),"")</f>
        <v/>
      </c>
      <c r="CA178" s="556"/>
      <c r="CB178" s="556"/>
      <c r="CC178" s="556" t="str" cm="1">
        <f t="array" ref="CC178">IFERROR(INDEX(tblLaminateStructures[Total Thickness (µ)],ROWS($CC$2:CC178)),"")</f>
        <v/>
      </c>
      <c r="CD178" s="556"/>
      <c r="CE178" s="556"/>
      <c r="CF178" s="556"/>
      <c r="CG178" s="556"/>
      <c r="CH178" s="556"/>
    </row>
    <row r="179" spans="48:86">
      <c r="AV179" s="547"/>
      <c r="AW179" s="548"/>
      <c r="AX179" s="547"/>
      <c r="AY179" s="548"/>
      <c r="AZ179" s="548"/>
      <c r="BA179" s="547"/>
      <c r="BB179" s="547"/>
      <c r="BC179" s="547"/>
      <c r="BD179" s="547"/>
      <c r="BF179" s="556"/>
      <c r="BG179" s="556"/>
      <c r="BH179" s="556"/>
      <c r="BI179" s="556"/>
      <c r="BJ179" s="556"/>
      <c r="BK179" s="556"/>
      <c r="BL179" s="556"/>
      <c r="BM179" s="556"/>
      <c r="BN179" s="556"/>
      <c r="BO179" s="556"/>
      <c r="BP179" s="556"/>
      <c r="BQ179" s="556"/>
      <c r="BR179" s="556"/>
      <c r="BS179" s="556"/>
      <c r="BT179" s="556"/>
      <c r="BU179" s="591" t="str" cm="1">
        <f t="array" ref="BU179">IFERROR(_xlfn.LET(_xlpm.i,ROWS($BU$2:BU179),_xlpm.cur,INDEX(tblLaminateStructures[Laminate],_xlpm.i),_xlpm.prev,IF(_xlpm.i=1,"",INDEX(tblLaminateStructures[Laminate],_xlpm.i-1)),IF(_xlpm.cur&lt;&gt;_xlpm.prev,_xlpm.cur,"")),"")</f>
        <v/>
      </c>
      <c r="BV179" s="556" t="str" cm="1">
        <f t="array" ref="BV179">IFERROR(_xlfn.LET(_xlpm.i,ROWS($BV$2:BV179),_xlpm.cur,INDEX(tblLaminateStructures[Total Thickness (µ)],_xlpm.i),_xlpm.prev,IF(_xlpm.i=1,"",INDEX(tblLaminateStructures[Total Thickness (µ)],_xlpm.i-1)),IF(OR(_xlpm.cur&lt;&gt;_xlpm.prev,BU179&lt;&gt;""),_xlpm.cur,"")),"")</f>
        <v/>
      </c>
      <c r="BW179" s="556" t="str" cm="1">
        <f t="array" ref="BW179">IFERROR(INDEX(tblLaminateStructures[Material / Layer],ROWS($BW$2:BW179)),"")</f>
        <v/>
      </c>
      <c r="BX179" s="556" t="str" cm="1">
        <f t="array" ref="BX179">IFERROR(INDEX(tblLaminateStructures[Layer Thickness (µ)],ROWS($BX$2:BX179)),"")</f>
        <v/>
      </c>
      <c r="BY179" s="556" t="str" cm="1">
        <f t="array" ref="BY179">IFERROR(INDEX(tblLaminateStructures[Structure Check],ROWS($BY$2:BY179)),"")</f>
        <v/>
      </c>
      <c r="BZ179" s="591" t="str" cm="1">
        <f t="array" ref="BZ179">IFERROR(INDEX(tblLaminateStructures[Laminate],ROWS($BZ$2:BZ179)),"")</f>
        <v/>
      </c>
      <c r="CA179" s="556"/>
      <c r="CB179" s="556"/>
      <c r="CC179" s="556" t="str" cm="1">
        <f t="array" ref="CC179">IFERROR(INDEX(tblLaminateStructures[Total Thickness (µ)],ROWS($CC$2:CC179)),"")</f>
        <v/>
      </c>
      <c r="CD179" s="556"/>
      <c r="CE179" s="556"/>
      <c r="CF179" s="556"/>
      <c r="CG179" s="556"/>
      <c r="CH179" s="556"/>
    </row>
    <row r="180" spans="48:86">
      <c r="AV180" s="547"/>
      <c r="AW180" s="548"/>
      <c r="AX180" s="547"/>
      <c r="AY180" s="548"/>
      <c r="AZ180" s="548"/>
      <c r="BA180" s="547"/>
      <c r="BB180" s="547"/>
      <c r="BC180" s="547"/>
      <c r="BD180" s="547"/>
      <c r="BF180" s="556"/>
      <c r="BG180" s="556"/>
      <c r="BH180" s="556"/>
      <c r="BI180" s="556"/>
      <c r="BJ180" s="556"/>
      <c r="BK180" s="556"/>
      <c r="BL180" s="556"/>
      <c r="BM180" s="556"/>
      <c r="BN180" s="556"/>
      <c r="BO180" s="556"/>
      <c r="BP180" s="556"/>
      <c r="BQ180" s="556"/>
      <c r="BR180" s="556"/>
      <c r="BS180" s="556"/>
      <c r="BT180" s="556"/>
      <c r="BU180" s="591" t="str" cm="1">
        <f t="array" ref="BU180">IFERROR(_xlfn.LET(_xlpm.i,ROWS($BU$2:BU180),_xlpm.cur,INDEX(tblLaminateStructures[Laminate],_xlpm.i),_xlpm.prev,IF(_xlpm.i=1,"",INDEX(tblLaminateStructures[Laminate],_xlpm.i-1)),IF(_xlpm.cur&lt;&gt;_xlpm.prev,_xlpm.cur,"")),"")</f>
        <v/>
      </c>
      <c r="BV180" s="556" t="str" cm="1">
        <f t="array" ref="BV180">IFERROR(_xlfn.LET(_xlpm.i,ROWS($BV$2:BV180),_xlpm.cur,INDEX(tblLaminateStructures[Total Thickness (µ)],_xlpm.i),_xlpm.prev,IF(_xlpm.i=1,"",INDEX(tblLaminateStructures[Total Thickness (µ)],_xlpm.i-1)),IF(OR(_xlpm.cur&lt;&gt;_xlpm.prev,BU180&lt;&gt;""),_xlpm.cur,"")),"")</f>
        <v/>
      </c>
      <c r="BW180" s="556" t="str" cm="1">
        <f t="array" ref="BW180">IFERROR(INDEX(tblLaminateStructures[Material / Layer],ROWS($BW$2:BW180)),"")</f>
        <v/>
      </c>
      <c r="BX180" s="556" t="str" cm="1">
        <f t="array" ref="BX180">IFERROR(INDEX(tblLaminateStructures[Layer Thickness (µ)],ROWS($BX$2:BX180)),"")</f>
        <v/>
      </c>
      <c r="BY180" s="556" t="str" cm="1">
        <f t="array" ref="BY180">IFERROR(INDEX(tblLaminateStructures[Structure Check],ROWS($BY$2:BY180)),"")</f>
        <v/>
      </c>
      <c r="BZ180" s="591" t="str" cm="1">
        <f t="array" ref="BZ180">IFERROR(INDEX(tblLaminateStructures[Laminate],ROWS($BZ$2:BZ180)),"")</f>
        <v/>
      </c>
      <c r="CA180" s="556"/>
      <c r="CB180" s="556"/>
      <c r="CC180" s="556" t="str" cm="1">
        <f t="array" ref="CC180">IFERROR(INDEX(tblLaminateStructures[Total Thickness (µ)],ROWS($CC$2:CC180)),"")</f>
        <v/>
      </c>
      <c r="CD180" s="556"/>
      <c r="CE180" s="556"/>
      <c r="CF180" s="556"/>
      <c r="CG180" s="556"/>
      <c r="CH180" s="556"/>
    </row>
    <row r="181" spans="48:86">
      <c r="AV181" s="547"/>
      <c r="AW181" s="548"/>
      <c r="AX181" s="547"/>
      <c r="AY181" s="548"/>
      <c r="AZ181" s="548"/>
      <c r="BA181" s="547"/>
      <c r="BB181" s="547"/>
      <c r="BC181" s="547"/>
      <c r="BD181" s="547"/>
      <c r="BF181" s="556"/>
      <c r="BG181" s="556"/>
      <c r="BH181" s="556"/>
      <c r="BI181" s="556"/>
      <c r="BJ181" s="556"/>
      <c r="BK181" s="556"/>
      <c r="BL181" s="556"/>
      <c r="BM181" s="556"/>
      <c r="BN181" s="556"/>
      <c r="BO181" s="556"/>
      <c r="BP181" s="556"/>
      <c r="BQ181" s="556"/>
      <c r="BR181" s="556"/>
      <c r="BS181" s="556"/>
      <c r="BT181" s="556"/>
      <c r="BU181" s="591" t="str" cm="1">
        <f t="array" ref="BU181">IFERROR(_xlfn.LET(_xlpm.i,ROWS($BU$2:BU181),_xlpm.cur,INDEX(tblLaminateStructures[Laminate],_xlpm.i),_xlpm.prev,IF(_xlpm.i=1,"",INDEX(tblLaminateStructures[Laminate],_xlpm.i-1)),IF(_xlpm.cur&lt;&gt;_xlpm.prev,_xlpm.cur,"")),"")</f>
        <v/>
      </c>
      <c r="BV181" s="556" t="str" cm="1">
        <f t="array" ref="BV181">IFERROR(_xlfn.LET(_xlpm.i,ROWS($BV$2:BV181),_xlpm.cur,INDEX(tblLaminateStructures[Total Thickness (µ)],_xlpm.i),_xlpm.prev,IF(_xlpm.i=1,"",INDEX(tblLaminateStructures[Total Thickness (µ)],_xlpm.i-1)),IF(OR(_xlpm.cur&lt;&gt;_xlpm.prev,BU181&lt;&gt;""),_xlpm.cur,"")),"")</f>
        <v/>
      </c>
      <c r="BW181" s="556" t="str" cm="1">
        <f t="array" ref="BW181">IFERROR(INDEX(tblLaminateStructures[Material / Layer],ROWS($BW$2:BW181)),"")</f>
        <v/>
      </c>
      <c r="BX181" s="556" t="str" cm="1">
        <f t="array" ref="BX181">IFERROR(INDEX(tblLaminateStructures[Layer Thickness (µ)],ROWS($BX$2:BX181)),"")</f>
        <v/>
      </c>
      <c r="BY181" s="556" t="str" cm="1">
        <f t="array" ref="BY181">IFERROR(INDEX(tblLaminateStructures[Structure Check],ROWS($BY$2:BY181)),"")</f>
        <v/>
      </c>
      <c r="BZ181" s="591" t="str" cm="1">
        <f t="array" ref="BZ181">IFERROR(INDEX(tblLaminateStructures[Laminate],ROWS($BZ$2:BZ181)),"")</f>
        <v/>
      </c>
      <c r="CA181" s="556"/>
      <c r="CB181" s="556"/>
      <c r="CC181" s="556" t="str" cm="1">
        <f t="array" ref="CC181">IFERROR(INDEX(tblLaminateStructures[Total Thickness (µ)],ROWS($CC$2:CC181)),"")</f>
        <v/>
      </c>
      <c r="CD181" s="556"/>
      <c r="CE181" s="556"/>
      <c r="CF181" s="556"/>
      <c r="CG181" s="556"/>
      <c r="CH181" s="556"/>
    </row>
    <row r="182" spans="48:86">
      <c r="AV182" s="547"/>
      <c r="AW182" s="548"/>
      <c r="AX182" s="547"/>
      <c r="AY182" s="548"/>
      <c r="AZ182" s="548"/>
      <c r="BA182" s="547"/>
      <c r="BB182" s="547"/>
      <c r="BC182" s="547"/>
      <c r="BD182" s="547"/>
      <c r="BF182" s="556"/>
      <c r="BG182" s="556"/>
      <c r="BH182" s="556"/>
      <c r="BI182" s="556"/>
      <c r="BJ182" s="556"/>
      <c r="BK182" s="556"/>
      <c r="BL182" s="556"/>
      <c r="BM182" s="556"/>
      <c r="BN182" s="556"/>
      <c r="BO182" s="556"/>
      <c r="BP182" s="556"/>
      <c r="BQ182" s="556"/>
      <c r="BR182" s="556"/>
      <c r="BS182" s="556"/>
      <c r="BT182" s="556"/>
      <c r="BU182" s="591" t="str" cm="1">
        <f t="array" ref="BU182">IFERROR(_xlfn.LET(_xlpm.i,ROWS($BU$2:BU182),_xlpm.cur,INDEX(tblLaminateStructures[Laminate],_xlpm.i),_xlpm.prev,IF(_xlpm.i=1,"",INDEX(tblLaminateStructures[Laminate],_xlpm.i-1)),IF(_xlpm.cur&lt;&gt;_xlpm.prev,_xlpm.cur,"")),"")</f>
        <v/>
      </c>
      <c r="BV182" s="556" t="str" cm="1">
        <f t="array" ref="BV182">IFERROR(_xlfn.LET(_xlpm.i,ROWS($BV$2:BV182),_xlpm.cur,INDEX(tblLaminateStructures[Total Thickness (µ)],_xlpm.i),_xlpm.prev,IF(_xlpm.i=1,"",INDEX(tblLaminateStructures[Total Thickness (µ)],_xlpm.i-1)),IF(OR(_xlpm.cur&lt;&gt;_xlpm.prev,BU182&lt;&gt;""),_xlpm.cur,"")),"")</f>
        <v/>
      </c>
      <c r="BW182" s="556" t="str" cm="1">
        <f t="array" ref="BW182">IFERROR(INDEX(tblLaminateStructures[Material / Layer],ROWS($BW$2:BW182)),"")</f>
        <v/>
      </c>
      <c r="BX182" s="556" t="str" cm="1">
        <f t="array" ref="BX182">IFERROR(INDEX(tblLaminateStructures[Layer Thickness (µ)],ROWS($BX$2:BX182)),"")</f>
        <v/>
      </c>
      <c r="BY182" s="556" t="str" cm="1">
        <f t="array" ref="BY182">IFERROR(INDEX(tblLaminateStructures[Structure Check],ROWS($BY$2:BY182)),"")</f>
        <v/>
      </c>
      <c r="BZ182" s="591" t="str" cm="1">
        <f t="array" ref="BZ182">IFERROR(INDEX(tblLaminateStructures[Laminate],ROWS($BZ$2:BZ182)),"")</f>
        <v/>
      </c>
      <c r="CA182" s="556"/>
      <c r="CB182" s="556"/>
      <c r="CC182" s="556" t="str" cm="1">
        <f t="array" ref="CC182">IFERROR(INDEX(tblLaminateStructures[Total Thickness (µ)],ROWS($CC$2:CC182)),"")</f>
        <v/>
      </c>
      <c r="CD182" s="556"/>
      <c r="CE182" s="556"/>
      <c r="CF182" s="556"/>
      <c r="CG182" s="556"/>
      <c r="CH182" s="556"/>
    </row>
    <row r="183" spans="48:86">
      <c r="AV183" s="547"/>
      <c r="AW183" s="548"/>
      <c r="AX183" s="547"/>
      <c r="AY183" s="548"/>
      <c r="AZ183" s="548"/>
      <c r="BA183" s="547"/>
      <c r="BB183" s="547"/>
      <c r="BC183" s="547"/>
      <c r="BD183" s="547"/>
      <c r="BF183" s="556"/>
      <c r="BG183" s="556"/>
      <c r="BH183" s="556"/>
      <c r="BI183" s="556"/>
      <c r="BJ183" s="556"/>
      <c r="BK183" s="556"/>
      <c r="BL183" s="556"/>
      <c r="BM183" s="556"/>
      <c r="BN183" s="556"/>
      <c r="BO183" s="556"/>
      <c r="BP183" s="556"/>
      <c r="BQ183" s="556"/>
      <c r="BR183" s="556"/>
      <c r="BS183" s="556"/>
      <c r="BT183" s="556"/>
      <c r="BU183" s="591" t="str" cm="1">
        <f t="array" ref="BU183">IFERROR(_xlfn.LET(_xlpm.i,ROWS($BU$2:BU183),_xlpm.cur,INDEX(tblLaminateStructures[Laminate],_xlpm.i),_xlpm.prev,IF(_xlpm.i=1,"",INDEX(tblLaminateStructures[Laminate],_xlpm.i-1)),IF(_xlpm.cur&lt;&gt;_xlpm.prev,_xlpm.cur,"")),"")</f>
        <v/>
      </c>
      <c r="BV183" s="556" t="str" cm="1">
        <f t="array" ref="BV183">IFERROR(_xlfn.LET(_xlpm.i,ROWS($BV$2:BV183),_xlpm.cur,INDEX(tblLaminateStructures[Total Thickness (µ)],_xlpm.i),_xlpm.prev,IF(_xlpm.i=1,"",INDEX(tblLaminateStructures[Total Thickness (µ)],_xlpm.i-1)),IF(OR(_xlpm.cur&lt;&gt;_xlpm.prev,BU183&lt;&gt;""),_xlpm.cur,"")),"")</f>
        <v/>
      </c>
      <c r="BW183" s="556" t="str" cm="1">
        <f t="array" ref="BW183">IFERROR(INDEX(tblLaminateStructures[Material / Layer],ROWS($BW$2:BW183)),"")</f>
        <v/>
      </c>
      <c r="BX183" s="556" t="str" cm="1">
        <f t="array" ref="BX183">IFERROR(INDEX(tblLaminateStructures[Layer Thickness (µ)],ROWS($BX$2:BX183)),"")</f>
        <v/>
      </c>
      <c r="BY183" s="556" t="str" cm="1">
        <f t="array" ref="BY183">IFERROR(INDEX(tblLaminateStructures[Structure Check],ROWS($BY$2:BY183)),"")</f>
        <v/>
      </c>
      <c r="BZ183" s="591" t="str" cm="1">
        <f t="array" ref="BZ183">IFERROR(INDEX(tblLaminateStructures[Laminate],ROWS($BZ$2:BZ183)),"")</f>
        <v/>
      </c>
      <c r="CA183" s="556"/>
      <c r="CB183" s="556"/>
      <c r="CC183" s="556" t="str" cm="1">
        <f t="array" ref="CC183">IFERROR(INDEX(tblLaminateStructures[Total Thickness (µ)],ROWS($CC$2:CC183)),"")</f>
        <v/>
      </c>
      <c r="CD183" s="556"/>
      <c r="CE183" s="556"/>
      <c r="CF183" s="556"/>
      <c r="CG183" s="556"/>
      <c r="CH183" s="556"/>
    </row>
    <row r="184" spans="48:86">
      <c r="AV184" s="547"/>
      <c r="AW184" s="548"/>
      <c r="AX184" s="547"/>
      <c r="AY184" s="548"/>
      <c r="AZ184" s="548"/>
      <c r="BA184" s="547"/>
      <c r="BB184" s="547"/>
      <c r="BC184" s="547"/>
      <c r="BD184" s="547"/>
      <c r="BF184" s="556"/>
      <c r="BG184" s="556"/>
      <c r="BH184" s="556"/>
      <c r="BI184" s="556"/>
      <c r="BJ184" s="556"/>
      <c r="BK184" s="556"/>
      <c r="BL184" s="556"/>
      <c r="BM184" s="556"/>
      <c r="BN184" s="556"/>
      <c r="BO184" s="556"/>
      <c r="BP184" s="556"/>
      <c r="BQ184" s="556"/>
      <c r="BR184" s="556"/>
      <c r="BS184" s="556"/>
      <c r="BT184" s="556"/>
      <c r="BU184" s="591" t="str" cm="1">
        <f t="array" ref="BU184">IFERROR(_xlfn.LET(_xlpm.i,ROWS($BU$2:BU184),_xlpm.cur,INDEX(tblLaminateStructures[Laminate],_xlpm.i),_xlpm.prev,IF(_xlpm.i=1,"",INDEX(tblLaminateStructures[Laminate],_xlpm.i-1)),IF(_xlpm.cur&lt;&gt;_xlpm.prev,_xlpm.cur,"")),"")</f>
        <v/>
      </c>
      <c r="BV184" s="556" t="str" cm="1">
        <f t="array" ref="BV184">IFERROR(_xlfn.LET(_xlpm.i,ROWS($BV$2:BV184),_xlpm.cur,INDEX(tblLaminateStructures[Total Thickness (µ)],_xlpm.i),_xlpm.prev,IF(_xlpm.i=1,"",INDEX(tblLaminateStructures[Total Thickness (µ)],_xlpm.i-1)),IF(OR(_xlpm.cur&lt;&gt;_xlpm.prev,BU184&lt;&gt;""),_xlpm.cur,"")),"")</f>
        <v/>
      </c>
      <c r="BW184" s="556" t="str" cm="1">
        <f t="array" ref="BW184">IFERROR(INDEX(tblLaminateStructures[Material / Layer],ROWS($BW$2:BW184)),"")</f>
        <v/>
      </c>
      <c r="BX184" s="556" t="str" cm="1">
        <f t="array" ref="BX184">IFERROR(INDEX(tblLaminateStructures[Layer Thickness (µ)],ROWS($BX$2:BX184)),"")</f>
        <v/>
      </c>
      <c r="BY184" s="556" t="str" cm="1">
        <f t="array" ref="BY184">IFERROR(INDEX(tblLaminateStructures[Structure Check],ROWS($BY$2:BY184)),"")</f>
        <v/>
      </c>
      <c r="BZ184" s="591" t="str" cm="1">
        <f t="array" ref="BZ184">IFERROR(INDEX(tblLaminateStructures[Laminate],ROWS($BZ$2:BZ184)),"")</f>
        <v/>
      </c>
      <c r="CA184" s="556"/>
      <c r="CB184" s="556"/>
      <c r="CC184" s="556" t="str" cm="1">
        <f t="array" ref="CC184">IFERROR(INDEX(tblLaminateStructures[Total Thickness (µ)],ROWS($CC$2:CC184)),"")</f>
        <v/>
      </c>
      <c r="CD184" s="556"/>
      <c r="CE184" s="556"/>
      <c r="CF184" s="556"/>
      <c r="CG184" s="556"/>
      <c r="CH184" s="556"/>
    </row>
    <row r="185" spans="48:86">
      <c r="AV185" s="547"/>
      <c r="AW185" s="548"/>
      <c r="AX185" s="547"/>
      <c r="AY185" s="548"/>
      <c r="AZ185" s="548"/>
      <c r="BA185" s="547"/>
      <c r="BB185" s="547"/>
      <c r="BC185" s="547"/>
      <c r="BD185" s="547"/>
      <c r="BF185" s="556"/>
      <c r="BG185" s="556"/>
      <c r="BH185" s="556"/>
      <c r="BI185" s="556"/>
      <c r="BJ185" s="556"/>
      <c r="BK185" s="556"/>
      <c r="BL185" s="556"/>
      <c r="BM185" s="556"/>
      <c r="BN185" s="556"/>
      <c r="BO185" s="556"/>
      <c r="BP185" s="556"/>
      <c r="BQ185" s="556"/>
      <c r="BR185" s="556"/>
      <c r="BS185" s="556"/>
      <c r="BT185" s="556"/>
      <c r="BU185" s="591" t="str" cm="1">
        <f t="array" ref="BU185">IFERROR(_xlfn.LET(_xlpm.i,ROWS($BU$2:BU185),_xlpm.cur,INDEX(tblLaminateStructures[Laminate],_xlpm.i),_xlpm.prev,IF(_xlpm.i=1,"",INDEX(tblLaminateStructures[Laminate],_xlpm.i-1)),IF(_xlpm.cur&lt;&gt;_xlpm.prev,_xlpm.cur,"")),"")</f>
        <v/>
      </c>
      <c r="BV185" s="556" t="str" cm="1">
        <f t="array" ref="BV185">IFERROR(_xlfn.LET(_xlpm.i,ROWS($BV$2:BV185),_xlpm.cur,INDEX(tblLaminateStructures[Total Thickness (µ)],_xlpm.i),_xlpm.prev,IF(_xlpm.i=1,"",INDEX(tblLaminateStructures[Total Thickness (µ)],_xlpm.i-1)),IF(OR(_xlpm.cur&lt;&gt;_xlpm.prev,BU185&lt;&gt;""),_xlpm.cur,"")),"")</f>
        <v/>
      </c>
      <c r="BW185" s="556" t="str" cm="1">
        <f t="array" ref="BW185">IFERROR(INDEX(tblLaminateStructures[Material / Layer],ROWS($BW$2:BW185)),"")</f>
        <v/>
      </c>
      <c r="BX185" s="556" t="str" cm="1">
        <f t="array" ref="BX185">IFERROR(INDEX(tblLaminateStructures[Layer Thickness (µ)],ROWS($BX$2:BX185)),"")</f>
        <v/>
      </c>
      <c r="BY185" s="556" t="str" cm="1">
        <f t="array" ref="BY185">IFERROR(INDEX(tblLaminateStructures[Structure Check],ROWS($BY$2:BY185)),"")</f>
        <v/>
      </c>
      <c r="BZ185" s="591" t="str" cm="1">
        <f t="array" ref="BZ185">IFERROR(INDEX(tblLaminateStructures[Laminate],ROWS($BZ$2:BZ185)),"")</f>
        <v/>
      </c>
      <c r="CA185" s="556"/>
      <c r="CB185" s="556"/>
      <c r="CC185" s="556" t="str" cm="1">
        <f t="array" ref="CC185">IFERROR(INDEX(tblLaminateStructures[Total Thickness (µ)],ROWS($CC$2:CC185)),"")</f>
        <v/>
      </c>
      <c r="CD185" s="556"/>
      <c r="CE185" s="556"/>
      <c r="CF185" s="556"/>
      <c r="CG185" s="556"/>
      <c r="CH185" s="556"/>
    </row>
    <row r="186" spans="48:86">
      <c r="AV186" s="547"/>
      <c r="AW186" s="548"/>
      <c r="AX186" s="547"/>
      <c r="AY186" s="548"/>
      <c r="AZ186" s="548"/>
      <c r="BA186" s="547"/>
      <c r="BB186" s="547"/>
      <c r="BC186" s="547"/>
      <c r="BD186" s="547"/>
      <c r="BF186" s="556"/>
      <c r="BG186" s="556"/>
      <c r="BH186" s="556"/>
      <c r="BI186" s="556"/>
      <c r="BJ186" s="556"/>
      <c r="BK186" s="556"/>
      <c r="BL186" s="556"/>
      <c r="BM186" s="556"/>
      <c r="BN186" s="556"/>
      <c r="BO186" s="556"/>
      <c r="BP186" s="556"/>
      <c r="BQ186" s="556"/>
      <c r="BR186" s="556"/>
      <c r="BS186" s="556"/>
      <c r="BT186" s="556"/>
      <c r="BU186" s="591" t="str" cm="1">
        <f t="array" ref="BU186">IFERROR(_xlfn.LET(_xlpm.i,ROWS($BU$2:BU186),_xlpm.cur,INDEX(tblLaminateStructures[Laminate],_xlpm.i),_xlpm.prev,IF(_xlpm.i=1,"",INDEX(tblLaminateStructures[Laminate],_xlpm.i-1)),IF(_xlpm.cur&lt;&gt;_xlpm.prev,_xlpm.cur,"")),"")</f>
        <v/>
      </c>
      <c r="BV186" s="556" t="str" cm="1">
        <f t="array" ref="BV186">IFERROR(_xlfn.LET(_xlpm.i,ROWS($BV$2:BV186),_xlpm.cur,INDEX(tblLaminateStructures[Total Thickness (µ)],_xlpm.i),_xlpm.prev,IF(_xlpm.i=1,"",INDEX(tblLaminateStructures[Total Thickness (µ)],_xlpm.i-1)),IF(OR(_xlpm.cur&lt;&gt;_xlpm.prev,BU186&lt;&gt;""),_xlpm.cur,"")),"")</f>
        <v/>
      </c>
      <c r="BW186" s="556" t="str" cm="1">
        <f t="array" ref="BW186">IFERROR(INDEX(tblLaminateStructures[Material / Layer],ROWS($BW$2:BW186)),"")</f>
        <v/>
      </c>
      <c r="BX186" s="556" t="str" cm="1">
        <f t="array" ref="BX186">IFERROR(INDEX(tblLaminateStructures[Layer Thickness (µ)],ROWS($BX$2:BX186)),"")</f>
        <v/>
      </c>
      <c r="BY186" s="556" t="str" cm="1">
        <f t="array" ref="BY186">IFERROR(INDEX(tblLaminateStructures[Structure Check],ROWS($BY$2:BY186)),"")</f>
        <v/>
      </c>
      <c r="BZ186" s="591" t="str" cm="1">
        <f t="array" ref="BZ186">IFERROR(INDEX(tblLaminateStructures[Laminate],ROWS($BZ$2:BZ186)),"")</f>
        <v/>
      </c>
      <c r="CA186" s="556"/>
      <c r="CB186" s="556"/>
      <c r="CC186" s="556" t="str" cm="1">
        <f t="array" ref="CC186">IFERROR(INDEX(tblLaminateStructures[Total Thickness (µ)],ROWS($CC$2:CC186)),"")</f>
        <v/>
      </c>
      <c r="CD186" s="556"/>
      <c r="CE186" s="556"/>
      <c r="CF186" s="556"/>
      <c r="CG186" s="556"/>
      <c r="CH186" s="556"/>
    </row>
    <row r="187" spans="48:86">
      <c r="AV187" s="547"/>
      <c r="AW187" s="548"/>
      <c r="AX187" s="547"/>
      <c r="AY187" s="548"/>
      <c r="AZ187" s="548"/>
      <c r="BA187" s="547"/>
      <c r="BB187" s="547"/>
      <c r="BC187" s="547"/>
      <c r="BD187" s="547"/>
      <c r="BF187" s="556"/>
      <c r="BG187" s="556"/>
      <c r="BH187" s="556"/>
      <c r="BI187" s="556"/>
      <c r="BJ187" s="556"/>
      <c r="BK187" s="556"/>
      <c r="BL187" s="556"/>
      <c r="BM187" s="556"/>
      <c r="BN187" s="556"/>
      <c r="BO187" s="556"/>
      <c r="BP187" s="556"/>
      <c r="BQ187" s="556"/>
      <c r="BR187" s="556"/>
      <c r="BS187" s="556"/>
      <c r="BT187" s="556"/>
      <c r="BU187" s="591" t="str" cm="1">
        <f t="array" ref="BU187">IFERROR(_xlfn.LET(_xlpm.i,ROWS($BU$2:BU187),_xlpm.cur,INDEX(tblLaminateStructures[Laminate],_xlpm.i),_xlpm.prev,IF(_xlpm.i=1,"",INDEX(tblLaminateStructures[Laminate],_xlpm.i-1)),IF(_xlpm.cur&lt;&gt;_xlpm.prev,_xlpm.cur,"")),"")</f>
        <v/>
      </c>
      <c r="BV187" s="556" t="str" cm="1">
        <f t="array" ref="BV187">IFERROR(_xlfn.LET(_xlpm.i,ROWS($BV$2:BV187),_xlpm.cur,INDEX(tblLaminateStructures[Total Thickness (µ)],_xlpm.i),_xlpm.prev,IF(_xlpm.i=1,"",INDEX(tblLaminateStructures[Total Thickness (µ)],_xlpm.i-1)),IF(OR(_xlpm.cur&lt;&gt;_xlpm.prev,BU187&lt;&gt;""),_xlpm.cur,"")),"")</f>
        <v/>
      </c>
      <c r="BW187" s="556" t="str" cm="1">
        <f t="array" ref="BW187">IFERROR(INDEX(tblLaminateStructures[Material / Layer],ROWS($BW$2:BW187)),"")</f>
        <v/>
      </c>
      <c r="BX187" s="556" t="str" cm="1">
        <f t="array" ref="BX187">IFERROR(INDEX(tblLaminateStructures[Layer Thickness (µ)],ROWS($BX$2:BX187)),"")</f>
        <v/>
      </c>
      <c r="BY187" s="556" t="str" cm="1">
        <f t="array" ref="BY187">IFERROR(INDEX(tblLaminateStructures[Structure Check],ROWS($BY$2:BY187)),"")</f>
        <v/>
      </c>
      <c r="BZ187" s="591" t="str" cm="1">
        <f t="array" ref="BZ187">IFERROR(INDEX(tblLaminateStructures[Laminate],ROWS($BZ$2:BZ187)),"")</f>
        <v/>
      </c>
      <c r="CA187" s="556"/>
      <c r="CB187" s="556"/>
      <c r="CC187" s="556" t="str" cm="1">
        <f t="array" ref="CC187">IFERROR(INDEX(tblLaminateStructures[Total Thickness (µ)],ROWS($CC$2:CC187)),"")</f>
        <v/>
      </c>
      <c r="CD187" s="556"/>
      <c r="CE187" s="556"/>
      <c r="CF187" s="556"/>
      <c r="CG187" s="556"/>
      <c r="CH187" s="556"/>
    </row>
    <row r="188" spans="48:86">
      <c r="AV188" s="547"/>
      <c r="AW188" s="548"/>
      <c r="AX188" s="547"/>
      <c r="AY188" s="548"/>
      <c r="AZ188" s="548"/>
      <c r="BA188" s="547"/>
      <c r="BB188" s="547"/>
      <c r="BC188" s="547"/>
      <c r="BD188" s="547"/>
      <c r="BF188" s="556"/>
      <c r="BG188" s="556"/>
      <c r="BH188" s="556"/>
      <c r="BI188" s="556"/>
      <c r="BJ188" s="556"/>
      <c r="BK188" s="556"/>
      <c r="BL188" s="556"/>
      <c r="BM188" s="556"/>
      <c r="BN188" s="556"/>
      <c r="BO188" s="556"/>
      <c r="BP188" s="556"/>
      <c r="BQ188" s="556"/>
      <c r="BR188" s="556"/>
      <c r="BS188" s="556"/>
      <c r="BT188" s="556"/>
      <c r="BU188" s="591" t="str" cm="1">
        <f t="array" ref="BU188">IFERROR(_xlfn.LET(_xlpm.i,ROWS($BU$2:BU188),_xlpm.cur,INDEX(tblLaminateStructures[Laminate],_xlpm.i),_xlpm.prev,IF(_xlpm.i=1,"",INDEX(tblLaminateStructures[Laminate],_xlpm.i-1)),IF(_xlpm.cur&lt;&gt;_xlpm.prev,_xlpm.cur,"")),"")</f>
        <v/>
      </c>
      <c r="BV188" s="556" t="str" cm="1">
        <f t="array" ref="BV188">IFERROR(_xlfn.LET(_xlpm.i,ROWS($BV$2:BV188),_xlpm.cur,INDEX(tblLaminateStructures[Total Thickness (µ)],_xlpm.i),_xlpm.prev,IF(_xlpm.i=1,"",INDEX(tblLaminateStructures[Total Thickness (µ)],_xlpm.i-1)),IF(OR(_xlpm.cur&lt;&gt;_xlpm.prev,BU188&lt;&gt;""),_xlpm.cur,"")),"")</f>
        <v/>
      </c>
      <c r="BW188" s="556" t="str" cm="1">
        <f t="array" ref="BW188">IFERROR(INDEX(tblLaminateStructures[Material / Layer],ROWS($BW$2:BW188)),"")</f>
        <v/>
      </c>
      <c r="BX188" s="556" t="str" cm="1">
        <f t="array" ref="BX188">IFERROR(INDEX(tblLaminateStructures[Layer Thickness (µ)],ROWS($BX$2:BX188)),"")</f>
        <v/>
      </c>
      <c r="BY188" s="556" t="str" cm="1">
        <f t="array" ref="BY188">IFERROR(INDEX(tblLaminateStructures[Structure Check],ROWS($BY$2:BY188)),"")</f>
        <v/>
      </c>
      <c r="BZ188" s="591" t="str" cm="1">
        <f t="array" ref="BZ188">IFERROR(INDEX(tblLaminateStructures[Laminate],ROWS($BZ$2:BZ188)),"")</f>
        <v/>
      </c>
      <c r="CA188" s="556"/>
      <c r="CB188" s="556"/>
      <c r="CC188" s="556" t="str" cm="1">
        <f t="array" ref="CC188">IFERROR(INDEX(tblLaminateStructures[Total Thickness (µ)],ROWS($CC$2:CC188)),"")</f>
        <v/>
      </c>
      <c r="CD188" s="556"/>
      <c r="CE188" s="556"/>
      <c r="CF188" s="556"/>
      <c r="CG188" s="556"/>
      <c r="CH188" s="556"/>
    </row>
    <row r="189" spans="48:86">
      <c r="AV189" s="547"/>
      <c r="AW189" s="548"/>
      <c r="AX189" s="547"/>
      <c r="AY189" s="548"/>
      <c r="AZ189" s="548"/>
      <c r="BA189" s="547"/>
      <c r="BB189" s="547"/>
      <c r="BC189" s="547"/>
      <c r="BD189" s="547"/>
      <c r="BF189" s="556"/>
      <c r="BG189" s="556"/>
      <c r="BH189" s="556"/>
      <c r="BI189" s="556"/>
      <c r="BJ189" s="556"/>
      <c r="BK189" s="556"/>
      <c r="BL189" s="556"/>
      <c r="BM189" s="556"/>
      <c r="BN189" s="556"/>
      <c r="BO189" s="556"/>
      <c r="BP189" s="556"/>
      <c r="BQ189" s="556"/>
      <c r="BR189" s="556"/>
      <c r="BS189" s="556"/>
      <c r="BT189" s="556"/>
      <c r="BU189" s="591" t="str" cm="1">
        <f t="array" ref="BU189">IFERROR(_xlfn.LET(_xlpm.i,ROWS($BU$2:BU189),_xlpm.cur,INDEX(tblLaminateStructures[Laminate],_xlpm.i),_xlpm.prev,IF(_xlpm.i=1,"",INDEX(tblLaminateStructures[Laminate],_xlpm.i-1)),IF(_xlpm.cur&lt;&gt;_xlpm.prev,_xlpm.cur,"")),"")</f>
        <v/>
      </c>
      <c r="BV189" s="556" t="str" cm="1">
        <f t="array" ref="BV189">IFERROR(_xlfn.LET(_xlpm.i,ROWS($BV$2:BV189),_xlpm.cur,INDEX(tblLaminateStructures[Total Thickness (µ)],_xlpm.i),_xlpm.prev,IF(_xlpm.i=1,"",INDEX(tblLaminateStructures[Total Thickness (µ)],_xlpm.i-1)),IF(OR(_xlpm.cur&lt;&gt;_xlpm.prev,BU189&lt;&gt;""),_xlpm.cur,"")),"")</f>
        <v/>
      </c>
      <c r="BW189" s="556" t="str" cm="1">
        <f t="array" ref="BW189">IFERROR(INDEX(tblLaminateStructures[Material / Layer],ROWS($BW$2:BW189)),"")</f>
        <v/>
      </c>
      <c r="BX189" s="556" t="str" cm="1">
        <f t="array" ref="BX189">IFERROR(INDEX(tblLaminateStructures[Layer Thickness (µ)],ROWS($BX$2:BX189)),"")</f>
        <v/>
      </c>
      <c r="BY189" s="556" t="str" cm="1">
        <f t="array" ref="BY189">IFERROR(INDEX(tblLaminateStructures[Structure Check],ROWS($BY$2:BY189)),"")</f>
        <v/>
      </c>
      <c r="BZ189" s="591" t="str" cm="1">
        <f t="array" ref="BZ189">IFERROR(INDEX(tblLaminateStructures[Laminate],ROWS($BZ$2:BZ189)),"")</f>
        <v/>
      </c>
      <c r="CA189" s="556"/>
      <c r="CB189" s="556"/>
      <c r="CC189" s="556" t="str" cm="1">
        <f t="array" ref="CC189">IFERROR(INDEX(tblLaminateStructures[Total Thickness (µ)],ROWS($CC$2:CC189)),"")</f>
        <v/>
      </c>
      <c r="CD189" s="556"/>
      <c r="CE189" s="556"/>
      <c r="CF189" s="556"/>
      <c r="CG189" s="556"/>
      <c r="CH189" s="556"/>
    </row>
    <row r="190" spans="48:86">
      <c r="AV190" s="547"/>
      <c r="AW190" s="548"/>
      <c r="AX190" s="547"/>
      <c r="AY190" s="548"/>
      <c r="AZ190" s="548"/>
      <c r="BA190" s="547"/>
      <c r="BB190" s="547"/>
      <c r="BC190" s="547"/>
      <c r="BD190" s="547"/>
      <c r="BF190" s="556"/>
      <c r="BG190" s="556"/>
      <c r="BH190" s="556"/>
      <c r="BI190" s="556"/>
      <c r="BJ190" s="556"/>
      <c r="BK190" s="556"/>
      <c r="BL190" s="556"/>
      <c r="BM190" s="556"/>
      <c r="BN190" s="556"/>
      <c r="BO190" s="556"/>
      <c r="BP190" s="556"/>
      <c r="BQ190" s="556"/>
      <c r="BR190" s="556"/>
      <c r="BS190" s="556"/>
      <c r="BT190" s="556"/>
      <c r="BU190" s="591" t="str" cm="1">
        <f t="array" ref="BU190">IFERROR(_xlfn.LET(_xlpm.i,ROWS($BU$2:BU190),_xlpm.cur,INDEX(tblLaminateStructures[Laminate],_xlpm.i),_xlpm.prev,IF(_xlpm.i=1,"",INDEX(tblLaminateStructures[Laminate],_xlpm.i-1)),IF(_xlpm.cur&lt;&gt;_xlpm.prev,_xlpm.cur,"")),"")</f>
        <v/>
      </c>
      <c r="BV190" s="556" t="str" cm="1">
        <f t="array" ref="BV190">IFERROR(_xlfn.LET(_xlpm.i,ROWS($BV$2:BV190),_xlpm.cur,INDEX(tblLaminateStructures[Total Thickness (µ)],_xlpm.i),_xlpm.prev,IF(_xlpm.i=1,"",INDEX(tblLaminateStructures[Total Thickness (µ)],_xlpm.i-1)),IF(OR(_xlpm.cur&lt;&gt;_xlpm.prev,BU190&lt;&gt;""),_xlpm.cur,"")),"")</f>
        <v/>
      </c>
      <c r="BW190" s="556" t="str" cm="1">
        <f t="array" ref="BW190">IFERROR(INDEX(tblLaminateStructures[Material / Layer],ROWS($BW$2:BW190)),"")</f>
        <v/>
      </c>
      <c r="BX190" s="556" t="str" cm="1">
        <f t="array" ref="BX190">IFERROR(INDEX(tblLaminateStructures[Layer Thickness (µ)],ROWS($BX$2:BX190)),"")</f>
        <v/>
      </c>
      <c r="BY190" s="556" t="str" cm="1">
        <f t="array" ref="BY190">IFERROR(INDEX(tblLaminateStructures[Structure Check],ROWS($BY$2:BY190)),"")</f>
        <v/>
      </c>
      <c r="BZ190" s="591" t="str" cm="1">
        <f t="array" ref="BZ190">IFERROR(INDEX(tblLaminateStructures[Laminate],ROWS($BZ$2:BZ190)),"")</f>
        <v/>
      </c>
      <c r="CA190" s="556"/>
      <c r="CB190" s="556"/>
      <c r="CC190" s="556" t="str" cm="1">
        <f t="array" ref="CC190">IFERROR(INDEX(tblLaminateStructures[Total Thickness (µ)],ROWS($CC$2:CC190)),"")</f>
        <v/>
      </c>
      <c r="CD190" s="556"/>
      <c r="CE190" s="556"/>
      <c r="CF190" s="556"/>
      <c r="CG190" s="556"/>
      <c r="CH190" s="556"/>
    </row>
    <row r="191" spans="48:86">
      <c r="AV191" s="547"/>
      <c r="AW191" s="548"/>
      <c r="AX191" s="547"/>
      <c r="AY191" s="548"/>
      <c r="AZ191" s="548"/>
      <c r="BA191" s="547"/>
      <c r="BB191" s="547"/>
      <c r="BC191" s="547"/>
      <c r="BD191" s="547"/>
      <c r="BF191" s="556"/>
      <c r="BG191" s="556"/>
      <c r="BH191" s="556"/>
      <c r="BI191" s="556"/>
      <c r="BJ191" s="556"/>
      <c r="BK191" s="556"/>
      <c r="BL191" s="556"/>
      <c r="BM191" s="556"/>
      <c r="BN191" s="556"/>
      <c r="BO191" s="556"/>
      <c r="BP191" s="556"/>
      <c r="BQ191" s="556"/>
      <c r="BR191" s="556"/>
      <c r="BS191" s="556"/>
      <c r="BT191" s="556"/>
      <c r="BU191" s="591" t="str" cm="1">
        <f t="array" ref="BU191">IFERROR(_xlfn.LET(_xlpm.i,ROWS($BU$2:BU191),_xlpm.cur,INDEX(tblLaminateStructures[Laminate],_xlpm.i),_xlpm.prev,IF(_xlpm.i=1,"",INDEX(tblLaminateStructures[Laminate],_xlpm.i-1)),IF(_xlpm.cur&lt;&gt;_xlpm.prev,_xlpm.cur,"")),"")</f>
        <v/>
      </c>
      <c r="BV191" s="556" t="str" cm="1">
        <f t="array" ref="BV191">IFERROR(_xlfn.LET(_xlpm.i,ROWS($BV$2:BV191),_xlpm.cur,INDEX(tblLaminateStructures[Total Thickness (µ)],_xlpm.i),_xlpm.prev,IF(_xlpm.i=1,"",INDEX(tblLaminateStructures[Total Thickness (µ)],_xlpm.i-1)),IF(OR(_xlpm.cur&lt;&gt;_xlpm.prev,BU191&lt;&gt;""),_xlpm.cur,"")),"")</f>
        <v/>
      </c>
      <c r="BW191" s="556" t="str" cm="1">
        <f t="array" ref="BW191">IFERROR(INDEX(tblLaminateStructures[Material / Layer],ROWS($BW$2:BW191)),"")</f>
        <v/>
      </c>
      <c r="BX191" s="556" t="str" cm="1">
        <f t="array" ref="BX191">IFERROR(INDEX(tblLaminateStructures[Layer Thickness (µ)],ROWS($BX$2:BX191)),"")</f>
        <v/>
      </c>
      <c r="BY191" s="556" t="str" cm="1">
        <f t="array" ref="BY191">IFERROR(INDEX(tblLaminateStructures[Structure Check],ROWS($BY$2:BY191)),"")</f>
        <v/>
      </c>
      <c r="BZ191" s="591" t="str" cm="1">
        <f t="array" ref="BZ191">IFERROR(INDEX(tblLaminateStructures[Laminate],ROWS($BZ$2:BZ191)),"")</f>
        <v/>
      </c>
      <c r="CA191" s="556"/>
      <c r="CB191" s="556"/>
      <c r="CC191" s="556" t="str" cm="1">
        <f t="array" ref="CC191">IFERROR(INDEX(tblLaminateStructures[Total Thickness (µ)],ROWS($CC$2:CC191)),"")</f>
        <v/>
      </c>
      <c r="CD191" s="556"/>
      <c r="CE191" s="556"/>
      <c r="CF191" s="556"/>
      <c r="CG191" s="556"/>
      <c r="CH191" s="556"/>
    </row>
    <row r="192" spans="48:86">
      <c r="AV192" s="547"/>
      <c r="AW192" s="548"/>
      <c r="AX192" s="547"/>
      <c r="AY192" s="548"/>
      <c r="AZ192" s="548"/>
      <c r="BA192" s="547"/>
      <c r="BB192" s="547"/>
      <c r="BC192" s="547"/>
      <c r="BD192" s="547"/>
      <c r="BF192" s="556"/>
      <c r="BG192" s="556"/>
      <c r="BH192" s="556"/>
      <c r="BI192" s="556"/>
      <c r="BJ192" s="556"/>
      <c r="BK192" s="556"/>
      <c r="BL192" s="556"/>
      <c r="BM192" s="556"/>
      <c r="BN192" s="556"/>
      <c r="BO192" s="556"/>
      <c r="BP192" s="556"/>
      <c r="BQ192" s="556"/>
      <c r="BR192" s="556"/>
      <c r="BS192" s="556"/>
      <c r="BT192" s="556"/>
      <c r="BU192" s="591" t="str" cm="1">
        <f t="array" ref="BU192">IFERROR(_xlfn.LET(_xlpm.i,ROWS($BU$2:BU192),_xlpm.cur,INDEX(tblLaminateStructures[Laminate],_xlpm.i),_xlpm.prev,IF(_xlpm.i=1,"",INDEX(tblLaminateStructures[Laminate],_xlpm.i-1)),IF(_xlpm.cur&lt;&gt;_xlpm.prev,_xlpm.cur,"")),"")</f>
        <v/>
      </c>
      <c r="BV192" s="556" t="str" cm="1">
        <f t="array" ref="BV192">IFERROR(_xlfn.LET(_xlpm.i,ROWS($BV$2:BV192),_xlpm.cur,INDEX(tblLaminateStructures[Total Thickness (µ)],_xlpm.i),_xlpm.prev,IF(_xlpm.i=1,"",INDEX(tblLaminateStructures[Total Thickness (µ)],_xlpm.i-1)),IF(OR(_xlpm.cur&lt;&gt;_xlpm.prev,BU192&lt;&gt;""),_xlpm.cur,"")),"")</f>
        <v/>
      </c>
      <c r="BW192" s="556" t="str" cm="1">
        <f t="array" ref="BW192">IFERROR(INDEX(tblLaminateStructures[Material / Layer],ROWS($BW$2:BW192)),"")</f>
        <v/>
      </c>
      <c r="BX192" s="556" t="str" cm="1">
        <f t="array" ref="BX192">IFERROR(INDEX(tblLaminateStructures[Layer Thickness (µ)],ROWS($BX$2:BX192)),"")</f>
        <v/>
      </c>
      <c r="BY192" s="556" t="str" cm="1">
        <f t="array" ref="BY192">IFERROR(INDEX(tblLaminateStructures[Structure Check],ROWS($BY$2:BY192)),"")</f>
        <v/>
      </c>
      <c r="BZ192" s="591" t="str" cm="1">
        <f t="array" ref="BZ192">IFERROR(INDEX(tblLaminateStructures[Laminate],ROWS($BZ$2:BZ192)),"")</f>
        <v/>
      </c>
      <c r="CA192" s="556"/>
      <c r="CB192" s="556"/>
      <c r="CC192" s="556" t="str" cm="1">
        <f t="array" ref="CC192">IFERROR(INDEX(tblLaminateStructures[Total Thickness (µ)],ROWS($CC$2:CC192)),"")</f>
        <v/>
      </c>
      <c r="CD192" s="556"/>
      <c r="CE192" s="556"/>
      <c r="CF192" s="556"/>
      <c r="CG192" s="556"/>
      <c r="CH192" s="556"/>
    </row>
    <row r="193" spans="48:86">
      <c r="AV193" s="547"/>
      <c r="AW193" s="548"/>
      <c r="AX193" s="547"/>
      <c r="AY193" s="548"/>
      <c r="AZ193" s="548"/>
      <c r="BA193" s="547"/>
      <c r="BB193" s="547"/>
      <c r="BC193" s="547"/>
      <c r="BD193" s="547"/>
      <c r="BF193" s="556"/>
      <c r="BG193" s="556"/>
      <c r="BH193" s="556"/>
      <c r="BI193" s="556"/>
      <c r="BJ193" s="556"/>
      <c r="BK193" s="556"/>
      <c r="BL193" s="556"/>
      <c r="BM193" s="556"/>
      <c r="BN193" s="556"/>
      <c r="BO193" s="556"/>
      <c r="BP193" s="556"/>
      <c r="BQ193" s="556"/>
      <c r="BR193" s="556"/>
      <c r="BS193" s="556"/>
      <c r="BT193" s="556"/>
      <c r="BU193" s="591" t="str" cm="1">
        <f t="array" ref="BU193">IFERROR(_xlfn.LET(_xlpm.i,ROWS($BU$2:BU193),_xlpm.cur,INDEX(tblLaminateStructures[Laminate],_xlpm.i),_xlpm.prev,IF(_xlpm.i=1,"",INDEX(tblLaminateStructures[Laminate],_xlpm.i-1)),IF(_xlpm.cur&lt;&gt;_xlpm.prev,_xlpm.cur,"")),"")</f>
        <v/>
      </c>
      <c r="BV193" s="556" t="str" cm="1">
        <f t="array" ref="BV193">IFERROR(_xlfn.LET(_xlpm.i,ROWS($BV$2:BV193),_xlpm.cur,INDEX(tblLaminateStructures[Total Thickness (µ)],_xlpm.i),_xlpm.prev,IF(_xlpm.i=1,"",INDEX(tblLaminateStructures[Total Thickness (µ)],_xlpm.i-1)),IF(OR(_xlpm.cur&lt;&gt;_xlpm.prev,BU193&lt;&gt;""),_xlpm.cur,"")),"")</f>
        <v/>
      </c>
      <c r="BW193" s="556" t="str" cm="1">
        <f t="array" ref="BW193">IFERROR(INDEX(tblLaminateStructures[Material / Layer],ROWS($BW$2:BW193)),"")</f>
        <v/>
      </c>
      <c r="BX193" s="556" t="str" cm="1">
        <f t="array" ref="BX193">IFERROR(INDEX(tblLaminateStructures[Layer Thickness (µ)],ROWS($BX$2:BX193)),"")</f>
        <v/>
      </c>
      <c r="BY193" s="556" t="str" cm="1">
        <f t="array" ref="BY193">IFERROR(INDEX(tblLaminateStructures[Structure Check],ROWS($BY$2:BY193)),"")</f>
        <v/>
      </c>
      <c r="BZ193" s="591" t="str" cm="1">
        <f t="array" ref="BZ193">IFERROR(INDEX(tblLaminateStructures[Laminate],ROWS($BZ$2:BZ193)),"")</f>
        <v/>
      </c>
      <c r="CA193" s="556"/>
      <c r="CB193" s="556"/>
      <c r="CC193" s="556" t="str" cm="1">
        <f t="array" ref="CC193">IFERROR(INDEX(tblLaminateStructures[Total Thickness (µ)],ROWS($CC$2:CC193)),"")</f>
        <v/>
      </c>
      <c r="CD193" s="556"/>
      <c r="CE193" s="556"/>
      <c r="CF193" s="556"/>
      <c r="CG193" s="556"/>
      <c r="CH193" s="556"/>
    </row>
    <row r="194" spans="48:86">
      <c r="AV194" s="547"/>
      <c r="AW194" s="548"/>
      <c r="AX194" s="547"/>
      <c r="AY194" s="548"/>
      <c r="AZ194" s="548"/>
      <c r="BA194" s="547"/>
      <c r="BB194" s="547"/>
      <c r="BC194" s="547"/>
      <c r="BD194" s="547"/>
      <c r="BF194" s="556"/>
      <c r="BG194" s="556"/>
      <c r="BH194" s="556"/>
      <c r="BI194" s="556"/>
      <c r="BJ194" s="556"/>
      <c r="BK194" s="556"/>
      <c r="BL194" s="556"/>
      <c r="BM194" s="556"/>
      <c r="BN194" s="556"/>
      <c r="BO194" s="556"/>
      <c r="BP194" s="556"/>
      <c r="BQ194" s="556"/>
      <c r="BR194" s="556"/>
      <c r="BS194" s="556"/>
      <c r="BT194" s="556"/>
      <c r="BU194" s="591" t="str" cm="1">
        <f t="array" ref="BU194">IFERROR(_xlfn.LET(_xlpm.i,ROWS($BU$2:BU194),_xlpm.cur,INDEX(tblLaminateStructures[Laminate],_xlpm.i),_xlpm.prev,IF(_xlpm.i=1,"",INDEX(tblLaminateStructures[Laminate],_xlpm.i-1)),IF(_xlpm.cur&lt;&gt;_xlpm.prev,_xlpm.cur,"")),"")</f>
        <v/>
      </c>
      <c r="BV194" s="556" t="str" cm="1">
        <f t="array" ref="BV194">IFERROR(_xlfn.LET(_xlpm.i,ROWS($BV$2:BV194),_xlpm.cur,INDEX(tblLaminateStructures[Total Thickness (µ)],_xlpm.i),_xlpm.prev,IF(_xlpm.i=1,"",INDEX(tblLaminateStructures[Total Thickness (µ)],_xlpm.i-1)),IF(OR(_xlpm.cur&lt;&gt;_xlpm.prev,BU194&lt;&gt;""),_xlpm.cur,"")),"")</f>
        <v/>
      </c>
      <c r="BW194" s="556" t="str" cm="1">
        <f t="array" ref="BW194">IFERROR(INDEX(tblLaminateStructures[Material / Layer],ROWS($BW$2:BW194)),"")</f>
        <v/>
      </c>
      <c r="BX194" s="556" t="str" cm="1">
        <f t="array" ref="BX194">IFERROR(INDEX(tblLaminateStructures[Layer Thickness (µ)],ROWS($BX$2:BX194)),"")</f>
        <v/>
      </c>
      <c r="BY194" s="556" t="str" cm="1">
        <f t="array" ref="BY194">IFERROR(INDEX(tblLaminateStructures[Structure Check],ROWS($BY$2:BY194)),"")</f>
        <v/>
      </c>
      <c r="BZ194" s="591" t="str" cm="1">
        <f t="array" ref="BZ194">IFERROR(INDEX(tblLaminateStructures[Laminate],ROWS($BZ$2:BZ194)),"")</f>
        <v/>
      </c>
      <c r="CA194" s="556"/>
      <c r="CB194" s="556"/>
      <c r="CC194" s="556" t="str" cm="1">
        <f t="array" ref="CC194">IFERROR(INDEX(tblLaminateStructures[Total Thickness (µ)],ROWS($CC$2:CC194)),"")</f>
        <v/>
      </c>
      <c r="CD194" s="556"/>
      <c r="CE194" s="556"/>
      <c r="CF194" s="556"/>
      <c r="CG194" s="556"/>
      <c r="CH194" s="556"/>
    </row>
    <row r="195" spans="48:86">
      <c r="AV195" s="547"/>
      <c r="AW195" s="548"/>
      <c r="AX195" s="547"/>
      <c r="AY195" s="548"/>
      <c r="AZ195" s="548"/>
      <c r="BA195" s="547"/>
      <c r="BB195" s="547"/>
      <c r="BC195" s="547"/>
      <c r="BD195" s="547"/>
      <c r="BF195" s="556"/>
      <c r="BG195" s="556"/>
      <c r="BH195" s="556"/>
      <c r="BI195" s="556"/>
      <c r="BJ195" s="556"/>
      <c r="BK195" s="556"/>
      <c r="BL195" s="556"/>
      <c r="BM195" s="556"/>
      <c r="BN195" s="556"/>
      <c r="BO195" s="556"/>
      <c r="BP195" s="556"/>
      <c r="BQ195" s="556"/>
      <c r="BR195" s="556"/>
      <c r="BS195" s="556"/>
      <c r="BT195" s="556"/>
      <c r="BU195" s="591" t="str" cm="1">
        <f t="array" ref="BU195">IFERROR(_xlfn.LET(_xlpm.i,ROWS($BU$2:BU195),_xlpm.cur,INDEX(tblLaminateStructures[Laminate],_xlpm.i),_xlpm.prev,IF(_xlpm.i=1,"",INDEX(tblLaminateStructures[Laminate],_xlpm.i-1)),IF(_xlpm.cur&lt;&gt;_xlpm.prev,_xlpm.cur,"")),"")</f>
        <v/>
      </c>
      <c r="BV195" s="556" t="str" cm="1">
        <f t="array" ref="BV195">IFERROR(_xlfn.LET(_xlpm.i,ROWS($BV$2:BV195),_xlpm.cur,INDEX(tblLaminateStructures[Total Thickness (µ)],_xlpm.i),_xlpm.prev,IF(_xlpm.i=1,"",INDEX(tblLaminateStructures[Total Thickness (µ)],_xlpm.i-1)),IF(OR(_xlpm.cur&lt;&gt;_xlpm.prev,BU195&lt;&gt;""),_xlpm.cur,"")),"")</f>
        <v/>
      </c>
      <c r="BW195" s="556" t="str" cm="1">
        <f t="array" ref="BW195">IFERROR(INDEX(tblLaminateStructures[Material / Layer],ROWS($BW$2:BW195)),"")</f>
        <v/>
      </c>
      <c r="BX195" s="556" t="str" cm="1">
        <f t="array" ref="BX195">IFERROR(INDEX(tblLaminateStructures[Layer Thickness (µ)],ROWS($BX$2:BX195)),"")</f>
        <v/>
      </c>
      <c r="BY195" s="556" t="str" cm="1">
        <f t="array" ref="BY195">IFERROR(INDEX(tblLaminateStructures[Structure Check],ROWS($BY$2:BY195)),"")</f>
        <v/>
      </c>
      <c r="BZ195" s="591" t="str" cm="1">
        <f t="array" ref="BZ195">IFERROR(INDEX(tblLaminateStructures[Laminate],ROWS($BZ$2:BZ195)),"")</f>
        <v/>
      </c>
      <c r="CA195" s="556"/>
      <c r="CB195" s="556"/>
      <c r="CC195" s="556" t="str" cm="1">
        <f t="array" ref="CC195">IFERROR(INDEX(tblLaminateStructures[Total Thickness (µ)],ROWS($CC$2:CC195)),"")</f>
        <v/>
      </c>
      <c r="CD195" s="556"/>
      <c r="CE195" s="556"/>
      <c r="CF195" s="556"/>
      <c r="CG195" s="556"/>
      <c r="CH195" s="556"/>
    </row>
    <row r="196" spans="48:86">
      <c r="AV196" s="547"/>
      <c r="AW196" s="548"/>
      <c r="AX196" s="547"/>
      <c r="AY196" s="548"/>
      <c r="AZ196" s="548"/>
      <c r="BA196" s="547"/>
      <c r="BB196" s="547"/>
      <c r="BC196" s="547"/>
      <c r="BD196" s="547"/>
      <c r="BF196" s="556"/>
      <c r="BG196" s="556"/>
      <c r="BH196" s="556"/>
      <c r="BI196" s="556"/>
      <c r="BJ196" s="556"/>
      <c r="BK196" s="556"/>
      <c r="BL196" s="556"/>
      <c r="BM196" s="556"/>
      <c r="BN196" s="556"/>
      <c r="BO196" s="556"/>
      <c r="BP196" s="556"/>
      <c r="BQ196" s="556"/>
      <c r="BR196" s="556"/>
      <c r="BS196" s="556"/>
      <c r="BT196" s="556"/>
      <c r="BU196" s="591" t="str" cm="1">
        <f t="array" ref="BU196">IFERROR(_xlfn.LET(_xlpm.i,ROWS($BU$2:BU196),_xlpm.cur,INDEX(tblLaminateStructures[Laminate],_xlpm.i),_xlpm.prev,IF(_xlpm.i=1,"",INDEX(tblLaminateStructures[Laminate],_xlpm.i-1)),IF(_xlpm.cur&lt;&gt;_xlpm.prev,_xlpm.cur,"")),"")</f>
        <v/>
      </c>
      <c r="BV196" s="556" t="str" cm="1">
        <f t="array" ref="BV196">IFERROR(_xlfn.LET(_xlpm.i,ROWS($BV$2:BV196),_xlpm.cur,INDEX(tblLaminateStructures[Total Thickness (µ)],_xlpm.i),_xlpm.prev,IF(_xlpm.i=1,"",INDEX(tblLaminateStructures[Total Thickness (µ)],_xlpm.i-1)),IF(OR(_xlpm.cur&lt;&gt;_xlpm.prev,BU196&lt;&gt;""),_xlpm.cur,"")),"")</f>
        <v/>
      </c>
      <c r="BW196" s="556" t="str" cm="1">
        <f t="array" ref="BW196">IFERROR(INDEX(tblLaminateStructures[Material / Layer],ROWS($BW$2:BW196)),"")</f>
        <v/>
      </c>
      <c r="BX196" s="556" t="str" cm="1">
        <f t="array" ref="BX196">IFERROR(INDEX(tblLaminateStructures[Layer Thickness (µ)],ROWS($BX$2:BX196)),"")</f>
        <v/>
      </c>
      <c r="BY196" s="556" t="str" cm="1">
        <f t="array" ref="BY196">IFERROR(INDEX(tblLaminateStructures[Structure Check],ROWS($BY$2:BY196)),"")</f>
        <v/>
      </c>
      <c r="BZ196" s="591" t="str" cm="1">
        <f t="array" ref="BZ196">IFERROR(INDEX(tblLaminateStructures[Laminate],ROWS($BZ$2:BZ196)),"")</f>
        <v/>
      </c>
      <c r="CA196" s="556"/>
      <c r="CB196" s="556"/>
      <c r="CC196" s="556" t="str" cm="1">
        <f t="array" ref="CC196">IFERROR(INDEX(tblLaminateStructures[Total Thickness (µ)],ROWS($CC$2:CC196)),"")</f>
        <v/>
      </c>
      <c r="CD196" s="556"/>
      <c r="CE196" s="556"/>
      <c r="CF196" s="556"/>
      <c r="CG196" s="556"/>
      <c r="CH196" s="556"/>
    </row>
    <row r="197" spans="48:86">
      <c r="AV197" s="547"/>
      <c r="AW197" s="548"/>
      <c r="AX197" s="547"/>
      <c r="AY197" s="548"/>
      <c r="AZ197" s="548"/>
      <c r="BA197" s="547"/>
      <c r="BB197" s="547"/>
      <c r="BC197" s="547"/>
      <c r="BD197" s="547"/>
      <c r="BF197" s="556"/>
      <c r="BG197" s="556"/>
      <c r="BH197" s="556"/>
      <c r="BI197" s="556"/>
      <c r="BJ197" s="556"/>
      <c r="BK197" s="556"/>
      <c r="BL197" s="556"/>
      <c r="BM197" s="556"/>
      <c r="BN197" s="556"/>
      <c r="BO197" s="556"/>
      <c r="BP197" s="556"/>
      <c r="BQ197" s="556"/>
      <c r="BR197" s="556"/>
      <c r="BS197" s="556"/>
      <c r="BT197" s="556"/>
      <c r="BU197" s="591" t="str" cm="1">
        <f t="array" ref="BU197">IFERROR(_xlfn.LET(_xlpm.i,ROWS($BU$2:BU197),_xlpm.cur,INDEX(tblLaminateStructures[Laminate],_xlpm.i),_xlpm.prev,IF(_xlpm.i=1,"",INDEX(tblLaminateStructures[Laminate],_xlpm.i-1)),IF(_xlpm.cur&lt;&gt;_xlpm.prev,_xlpm.cur,"")),"")</f>
        <v/>
      </c>
      <c r="BV197" s="556" t="str" cm="1">
        <f t="array" ref="BV197">IFERROR(_xlfn.LET(_xlpm.i,ROWS($BV$2:BV197),_xlpm.cur,INDEX(tblLaminateStructures[Total Thickness (µ)],_xlpm.i),_xlpm.prev,IF(_xlpm.i=1,"",INDEX(tblLaminateStructures[Total Thickness (µ)],_xlpm.i-1)),IF(OR(_xlpm.cur&lt;&gt;_xlpm.prev,BU197&lt;&gt;""),_xlpm.cur,"")),"")</f>
        <v/>
      </c>
      <c r="BW197" s="556" t="str" cm="1">
        <f t="array" ref="BW197">IFERROR(INDEX(tblLaminateStructures[Material / Layer],ROWS($BW$2:BW197)),"")</f>
        <v/>
      </c>
      <c r="BX197" s="556" t="str" cm="1">
        <f t="array" ref="BX197">IFERROR(INDEX(tblLaminateStructures[Layer Thickness (µ)],ROWS($BX$2:BX197)),"")</f>
        <v/>
      </c>
      <c r="BY197" s="556" t="str" cm="1">
        <f t="array" ref="BY197">IFERROR(INDEX(tblLaminateStructures[Structure Check],ROWS($BY$2:BY197)),"")</f>
        <v/>
      </c>
      <c r="BZ197" s="591" t="str" cm="1">
        <f t="array" ref="BZ197">IFERROR(INDEX(tblLaminateStructures[Laminate],ROWS($BZ$2:BZ197)),"")</f>
        <v/>
      </c>
      <c r="CA197" s="556"/>
      <c r="CB197" s="556"/>
      <c r="CC197" s="556" t="str" cm="1">
        <f t="array" ref="CC197">IFERROR(INDEX(tblLaminateStructures[Total Thickness (µ)],ROWS($CC$2:CC197)),"")</f>
        <v/>
      </c>
      <c r="CD197" s="556"/>
      <c r="CE197" s="556"/>
      <c r="CF197" s="556"/>
      <c r="CG197" s="556"/>
      <c r="CH197" s="556"/>
    </row>
    <row r="198" spans="48:86">
      <c r="AV198" s="547"/>
      <c r="AW198" s="548"/>
      <c r="AX198" s="547"/>
      <c r="AY198" s="548"/>
      <c r="AZ198" s="548"/>
      <c r="BA198" s="547"/>
      <c r="BB198" s="547"/>
      <c r="BC198" s="547"/>
      <c r="BD198" s="547"/>
      <c r="BF198" s="556"/>
      <c r="BG198" s="556"/>
      <c r="BH198" s="556"/>
      <c r="BI198" s="556"/>
      <c r="BJ198" s="556"/>
      <c r="BK198" s="556"/>
      <c r="BL198" s="556"/>
      <c r="BM198" s="556"/>
      <c r="BN198" s="556"/>
      <c r="BO198" s="556"/>
      <c r="BP198" s="556"/>
      <c r="BQ198" s="556"/>
      <c r="BR198" s="556"/>
      <c r="BS198" s="556"/>
      <c r="BT198" s="556"/>
      <c r="BU198" s="591" t="str" cm="1">
        <f t="array" ref="BU198">IFERROR(_xlfn.LET(_xlpm.i,ROWS($BU$2:BU198),_xlpm.cur,INDEX(tblLaminateStructures[Laminate],_xlpm.i),_xlpm.prev,IF(_xlpm.i=1,"",INDEX(tblLaminateStructures[Laminate],_xlpm.i-1)),IF(_xlpm.cur&lt;&gt;_xlpm.prev,_xlpm.cur,"")),"")</f>
        <v/>
      </c>
      <c r="BV198" s="556" t="str" cm="1">
        <f t="array" ref="BV198">IFERROR(_xlfn.LET(_xlpm.i,ROWS($BV$2:BV198),_xlpm.cur,INDEX(tblLaminateStructures[Total Thickness (µ)],_xlpm.i),_xlpm.prev,IF(_xlpm.i=1,"",INDEX(tblLaminateStructures[Total Thickness (µ)],_xlpm.i-1)),IF(OR(_xlpm.cur&lt;&gt;_xlpm.prev,BU198&lt;&gt;""),_xlpm.cur,"")),"")</f>
        <v/>
      </c>
      <c r="BW198" s="556" t="str" cm="1">
        <f t="array" ref="BW198">IFERROR(INDEX(tblLaminateStructures[Material / Layer],ROWS($BW$2:BW198)),"")</f>
        <v/>
      </c>
      <c r="BX198" s="556" t="str" cm="1">
        <f t="array" ref="BX198">IFERROR(INDEX(tblLaminateStructures[Layer Thickness (µ)],ROWS($BX$2:BX198)),"")</f>
        <v/>
      </c>
      <c r="BY198" s="556" t="str" cm="1">
        <f t="array" ref="BY198">IFERROR(INDEX(tblLaminateStructures[Structure Check],ROWS($BY$2:BY198)),"")</f>
        <v/>
      </c>
      <c r="BZ198" s="591" t="str" cm="1">
        <f t="array" ref="BZ198">IFERROR(INDEX(tblLaminateStructures[Laminate],ROWS($BZ$2:BZ198)),"")</f>
        <v/>
      </c>
      <c r="CA198" s="556"/>
      <c r="CB198" s="556"/>
      <c r="CC198" s="556" t="str" cm="1">
        <f t="array" ref="CC198">IFERROR(INDEX(tblLaminateStructures[Total Thickness (µ)],ROWS($CC$2:CC198)),"")</f>
        <v/>
      </c>
      <c r="CD198" s="556"/>
      <c r="CE198" s="556"/>
      <c r="CF198" s="556"/>
      <c r="CG198" s="556"/>
      <c r="CH198" s="556"/>
    </row>
    <row r="199" spans="48:86">
      <c r="AV199" s="547"/>
      <c r="AW199" s="548"/>
      <c r="AX199" s="547"/>
      <c r="AY199" s="548"/>
      <c r="AZ199" s="548"/>
      <c r="BA199" s="547"/>
      <c r="BB199" s="547"/>
      <c r="BC199" s="547"/>
      <c r="BD199" s="547"/>
      <c r="BF199" s="556"/>
      <c r="BG199" s="556"/>
      <c r="BH199" s="556"/>
      <c r="BI199" s="556"/>
      <c r="BJ199" s="556"/>
      <c r="BK199" s="556"/>
      <c r="BL199" s="556"/>
      <c r="BM199" s="556"/>
      <c r="BN199" s="556"/>
      <c r="BO199" s="556"/>
      <c r="BP199" s="556"/>
      <c r="BQ199" s="556"/>
      <c r="BR199" s="556"/>
      <c r="BS199" s="556"/>
      <c r="BT199" s="556"/>
      <c r="BU199" s="591" t="str" cm="1">
        <f t="array" ref="BU199">IFERROR(_xlfn.LET(_xlpm.i,ROWS($BU$2:BU199),_xlpm.cur,INDEX(tblLaminateStructures[Laminate],_xlpm.i),_xlpm.prev,IF(_xlpm.i=1,"",INDEX(tblLaminateStructures[Laminate],_xlpm.i-1)),IF(_xlpm.cur&lt;&gt;_xlpm.prev,_xlpm.cur,"")),"")</f>
        <v/>
      </c>
      <c r="BV199" s="556" t="str" cm="1">
        <f t="array" ref="BV199">IFERROR(_xlfn.LET(_xlpm.i,ROWS($BV$2:BV199),_xlpm.cur,INDEX(tblLaminateStructures[Total Thickness (µ)],_xlpm.i),_xlpm.prev,IF(_xlpm.i=1,"",INDEX(tblLaminateStructures[Total Thickness (µ)],_xlpm.i-1)),IF(OR(_xlpm.cur&lt;&gt;_xlpm.prev,BU199&lt;&gt;""),_xlpm.cur,"")),"")</f>
        <v/>
      </c>
      <c r="BW199" s="556" t="str" cm="1">
        <f t="array" ref="BW199">IFERROR(INDEX(tblLaminateStructures[Material / Layer],ROWS($BW$2:BW199)),"")</f>
        <v/>
      </c>
      <c r="BX199" s="556" t="str" cm="1">
        <f t="array" ref="BX199">IFERROR(INDEX(tblLaminateStructures[Layer Thickness (µ)],ROWS($BX$2:BX199)),"")</f>
        <v/>
      </c>
      <c r="BY199" s="556" t="str" cm="1">
        <f t="array" ref="BY199">IFERROR(INDEX(tblLaminateStructures[Structure Check],ROWS($BY$2:BY199)),"")</f>
        <v/>
      </c>
      <c r="BZ199" s="591" t="str" cm="1">
        <f t="array" ref="BZ199">IFERROR(INDEX(tblLaminateStructures[Laminate],ROWS($BZ$2:BZ199)),"")</f>
        <v/>
      </c>
      <c r="CA199" s="556"/>
      <c r="CB199" s="556"/>
      <c r="CC199" s="556" t="str" cm="1">
        <f t="array" ref="CC199">IFERROR(INDEX(tblLaminateStructures[Total Thickness (µ)],ROWS($CC$2:CC199)),"")</f>
        <v/>
      </c>
      <c r="CD199" s="556"/>
      <c r="CE199" s="556"/>
      <c r="CF199" s="556"/>
      <c r="CG199" s="556"/>
      <c r="CH199" s="556"/>
    </row>
    <row r="200" spans="48:86">
      <c r="AV200" s="547"/>
      <c r="AW200" s="548"/>
      <c r="AX200" s="547"/>
      <c r="AY200" s="548"/>
      <c r="AZ200" s="548"/>
      <c r="BA200" s="547"/>
      <c r="BB200" s="547"/>
      <c r="BC200" s="547"/>
      <c r="BD200" s="547"/>
      <c r="BF200" s="556"/>
      <c r="BG200" s="556"/>
      <c r="BH200" s="556"/>
      <c r="BI200" s="556"/>
      <c r="BJ200" s="556"/>
      <c r="BK200" s="556"/>
      <c r="BL200" s="556"/>
      <c r="BM200" s="556"/>
      <c r="BN200" s="556"/>
      <c r="BO200" s="556"/>
      <c r="BP200" s="556"/>
      <c r="BQ200" s="556"/>
      <c r="BR200" s="556"/>
      <c r="BS200" s="556"/>
      <c r="BT200" s="556"/>
      <c r="BU200" s="591" t="str" cm="1">
        <f t="array" ref="BU200">IFERROR(_xlfn.LET(_xlpm.i,ROWS($BU$2:BU200),_xlpm.cur,INDEX(tblLaminateStructures[Laminate],_xlpm.i),_xlpm.prev,IF(_xlpm.i=1,"",INDEX(tblLaminateStructures[Laminate],_xlpm.i-1)),IF(_xlpm.cur&lt;&gt;_xlpm.prev,_xlpm.cur,"")),"")</f>
        <v/>
      </c>
      <c r="BV200" s="556" t="str" cm="1">
        <f t="array" ref="BV200">IFERROR(_xlfn.LET(_xlpm.i,ROWS($BV$2:BV200),_xlpm.cur,INDEX(tblLaminateStructures[Total Thickness (µ)],_xlpm.i),_xlpm.prev,IF(_xlpm.i=1,"",INDEX(tblLaminateStructures[Total Thickness (µ)],_xlpm.i-1)),IF(OR(_xlpm.cur&lt;&gt;_xlpm.prev,BU200&lt;&gt;""),_xlpm.cur,"")),"")</f>
        <v/>
      </c>
      <c r="BW200" s="556" t="str" cm="1">
        <f t="array" ref="BW200">IFERROR(INDEX(tblLaminateStructures[Material / Layer],ROWS($BW$2:BW200)),"")</f>
        <v/>
      </c>
      <c r="BX200" s="556" t="str" cm="1">
        <f t="array" ref="BX200">IFERROR(INDEX(tblLaminateStructures[Layer Thickness (µ)],ROWS($BX$2:BX200)),"")</f>
        <v/>
      </c>
      <c r="BY200" s="556" t="str" cm="1">
        <f t="array" ref="BY200">IFERROR(INDEX(tblLaminateStructures[Structure Check],ROWS($BY$2:BY200)),"")</f>
        <v/>
      </c>
      <c r="BZ200" s="591" t="str" cm="1">
        <f t="array" ref="BZ200">IFERROR(INDEX(tblLaminateStructures[Laminate],ROWS($BZ$2:BZ200)),"")</f>
        <v/>
      </c>
      <c r="CA200" s="556"/>
      <c r="CB200" s="556"/>
      <c r="CC200" s="556" t="str" cm="1">
        <f t="array" ref="CC200">IFERROR(INDEX(tblLaminateStructures[Total Thickness (µ)],ROWS($CC$2:CC200)),"")</f>
        <v/>
      </c>
      <c r="CD200" s="556"/>
      <c r="CE200" s="556"/>
      <c r="CF200" s="556"/>
      <c r="CG200" s="556"/>
      <c r="CH200" s="556"/>
    </row>
    <row r="201" spans="48:86">
      <c r="AV201" s="547"/>
      <c r="AW201" s="548"/>
      <c r="AX201" s="547"/>
      <c r="AY201" s="548"/>
      <c r="AZ201" s="548"/>
      <c r="BA201" s="547"/>
      <c r="BB201" s="547"/>
      <c r="BC201" s="547"/>
      <c r="BD201" s="547"/>
      <c r="BF201" s="556"/>
      <c r="BG201" s="556"/>
      <c r="BH201" s="556"/>
      <c r="BI201" s="556"/>
      <c r="BJ201" s="556"/>
      <c r="BK201" s="556"/>
      <c r="BL201" s="556"/>
      <c r="BM201" s="556"/>
      <c r="BN201" s="556"/>
      <c r="BO201" s="556"/>
      <c r="BP201" s="556"/>
      <c r="BQ201" s="556"/>
      <c r="BR201" s="556"/>
      <c r="BS201" s="556"/>
      <c r="BT201" s="556"/>
      <c r="BU201" s="591" t="str" cm="1">
        <f t="array" ref="BU201">IFERROR(_xlfn.LET(_xlpm.i,ROWS($BU$2:BU201),_xlpm.cur,INDEX(tblLaminateStructures[Laminate],_xlpm.i),_xlpm.prev,IF(_xlpm.i=1,"",INDEX(tblLaminateStructures[Laminate],_xlpm.i-1)),IF(_xlpm.cur&lt;&gt;_xlpm.prev,_xlpm.cur,"")),"")</f>
        <v/>
      </c>
      <c r="BV201" s="556" t="str" cm="1">
        <f t="array" ref="BV201">IFERROR(_xlfn.LET(_xlpm.i,ROWS($BV$2:BV201),_xlpm.cur,INDEX(tblLaminateStructures[Total Thickness (µ)],_xlpm.i),_xlpm.prev,IF(_xlpm.i=1,"",INDEX(tblLaminateStructures[Total Thickness (µ)],_xlpm.i-1)),IF(OR(_xlpm.cur&lt;&gt;_xlpm.prev,BU201&lt;&gt;""),_xlpm.cur,"")),"")</f>
        <v/>
      </c>
      <c r="BW201" s="556" t="str" cm="1">
        <f t="array" ref="BW201">IFERROR(INDEX(tblLaminateStructures[Material / Layer],ROWS($BW$2:BW201)),"")</f>
        <v/>
      </c>
      <c r="BX201" s="556" t="str" cm="1">
        <f t="array" ref="BX201">IFERROR(INDEX(tblLaminateStructures[Layer Thickness (µ)],ROWS($BX$2:BX201)),"")</f>
        <v/>
      </c>
      <c r="BY201" s="556" t="str" cm="1">
        <f t="array" ref="BY201">IFERROR(INDEX(tblLaminateStructures[Structure Check],ROWS($BY$2:BY201)),"")</f>
        <v/>
      </c>
      <c r="BZ201" s="591" t="str" cm="1">
        <f t="array" ref="BZ201">IFERROR(INDEX(tblLaminateStructures[Laminate],ROWS($BZ$2:BZ201)),"")</f>
        <v/>
      </c>
      <c r="CA201" s="556"/>
      <c r="CB201" s="556"/>
      <c r="CC201" s="556" t="str" cm="1">
        <f t="array" ref="CC201">IFERROR(INDEX(tblLaminateStructures[Total Thickness (µ)],ROWS($CC$2:CC201)),"")</f>
        <v/>
      </c>
      <c r="CD201" s="556"/>
      <c r="CE201" s="556"/>
      <c r="CF201" s="556"/>
      <c r="CG201" s="556"/>
      <c r="CH201" s="556"/>
    </row>
    <row r="202" spans="48:86">
      <c r="AV202" s="547"/>
      <c r="AW202" s="548"/>
      <c r="AX202" s="547"/>
      <c r="AY202" s="548"/>
      <c r="AZ202" s="548"/>
      <c r="BA202" s="547"/>
      <c r="BB202" s="547"/>
      <c r="BC202" s="547"/>
      <c r="BD202" s="547"/>
      <c r="BF202" s="556"/>
      <c r="BG202" s="556"/>
      <c r="BH202" s="556"/>
      <c r="BI202" s="556"/>
      <c r="BJ202" s="556"/>
      <c r="BK202" s="556"/>
      <c r="BL202" s="556"/>
      <c r="BM202" s="556"/>
      <c r="BN202" s="556"/>
      <c r="BO202" s="556"/>
      <c r="BP202" s="556"/>
      <c r="BQ202" s="556"/>
      <c r="BR202" s="556"/>
      <c r="BS202" s="556"/>
      <c r="BT202" s="556"/>
      <c r="BU202" s="591" t="str" cm="1">
        <f t="array" ref="BU202">IFERROR(_xlfn.LET(_xlpm.i,ROWS($BU$2:BU202),_xlpm.cur,INDEX(tblLaminateStructures[Laminate],_xlpm.i),_xlpm.prev,IF(_xlpm.i=1,"",INDEX(tblLaminateStructures[Laminate],_xlpm.i-1)),IF(_xlpm.cur&lt;&gt;_xlpm.prev,_xlpm.cur,"")),"")</f>
        <v/>
      </c>
      <c r="BV202" s="556" t="str" cm="1">
        <f t="array" ref="BV202">IFERROR(_xlfn.LET(_xlpm.i,ROWS($BV$2:BV202),_xlpm.cur,INDEX(tblLaminateStructures[Total Thickness (µ)],_xlpm.i),_xlpm.prev,IF(_xlpm.i=1,"",INDEX(tblLaminateStructures[Total Thickness (µ)],_xlpm.i-1)),IF(OR(_xlpm.cur&lt;&gt;_xlpm.prev,BU202&lt;&gt;""),_xlpm.cur,"")),"")</f>
        <v/>
      </c>
      <c r="BW202" s="556" t="str" cm="1">
        <f t="array" ref="BW202">IFERROR(INDEX(tblLaminateStructures[Material / Layer],ROWS($BW$2:BW202)),"")</f>
        <v/>
      </c>
      <c r="BX202" s="556" t="str" cm="1">
        <f t="array" ref="BX202">IFERROR(INDEX(tblLaminateStructures[Layer Thickness (µ)],ROWS($BX$2:BX202)),"")</f>
        <v/>
      </c>
      <c r="BY202" s="556" t="str" cm="1">
        <f t="array" ref="BY202">IFERROR(INDEX(tblLaminateStructures[Structure Check],ROWS($BY$2:BY202)),"")</f>
        <v/>
      </c>
      <c r="BZ202" s="591" t="str" cm="1">
        <f t="array" ref="BZ202">IFERROR(INDEX(tblLaminateStructures[Laminate],ROWS($BZ$2:BZ202)),"")</f>
        <v/>
      </c>
      <c r="CA202" s="556"/>
      <c r="CB202" s="556"/>
      <c r="CC202" s="556" t="str" cm="1">
        <f t="array" ref="CC202">IFERROR(INDEX(tblLaminateStructures[Total Thickness (µ)],ROWS($CC$2:CC202)),"")</f>
        <v/>
      </c>
      <c r="CD202" s="556"/>
      <c r="CE202" s="556"/>
      <c r="CF202" s="556"/>
      <c r="CG202" s="556"/>
      <c r="CH202" s="556"/>
    </row>
    <row r="203" spans="48:86">
      <c r="AV203" s="547"/>
      <c r="AW203" s="548"/>
      <c r="AX203" s="547"/>
      <c r="AY203" s="548"/>
      <c r="AZ203" s="548"/>
      <c r="BA203" s="547"/>
      <c r="BB203" s="547"/>
      <c r="BC203" s="547"/>
      <c r="BD203" s="547"/>
      <c r="BF203" s="556"/>
      <c r="BG203" s="556"/>
      <c r="BH203" s="556"/>
      <c r="BI203" s="556"/>
      <c r="BJ203" s="556"/>
      <c r="BK203" s="556"/>
      <c r="BL203" s="556"/>
      <c r="BM203" s="556"/>
      <c r="BN203" s="556"/>
      <c r="BO203" s="556"/>
      <c r="BP203" s="556"/>
      <c r="BQ203" s="556"/>
      <c r="BR203" s="556"/>
      <c r="BS203" s="556"/>
      <c r="BT203" s="556"/>
      <c r="BU203" s="591" t="str" cm="1">
        <f t="array" ref="BU203">IFERROR(_xlfn.LET(_xlpm.i,ROWS($BU$2:BU203),_xlpm.cur,INDEX(tblLaminateStructures[Laminate],_xlpm.i),_xlpm.prev,IF(_xlpm.i=1,"",INDEX(tblLaminateStructures[Laminate],_xlpm.i-1)),IF(_xlpm.cur&lt;&gt;_xlpm.prev,_xlpm.cur,"")),"")</f>
        <v/>
      </c>
      <c r="BV203" s="556" t="str" cm="1">
        <f t="array" ref="BV203">IFERROR(_xlfn.LET(_xlpm.i,ROWS($BV$2:BV203),_xlpm.cur,INDEX(tblLaminateStructures[Total Thickness (µ)],_xlpm.i),_xlpm.prev,IF(_xlpm.i=1,"",INDEX(tblLaminateStructures[Total Thickness (µ)],_xlpm.i-1)),IF(OR(_xlpm.cur&lt;&gt;_xlpm.prev,BU203&lt;&gt;""),_xlpm.cur,"")),"")</f>
        <v/>
      </c>
      <c r="BW203" s="556" t="str" cm="1">
        <f t="array" ref="BW203">IFERROR(INDEX(tblLaminateStructures[Material / Layer],ROWS($BW$2:BW203)),"")</f>
        <v/>
      </c>
      <c r="BX203" s="556" t="str" cm="1">
        <f t="array" ref="BX203">IFERROR(INDEX(tblLaminateStructures[Layer Thickness (µ)],ROWS($BX$2:BX203)),"")</f>
        <v/>
      </c>
      <c r="BY203" s="556" t="str" cm="1">
        <f t="array" ref="BY203">IFERROR(INDEX(tblLaminateStructures[Structure Check],ROWS($BY$2:BY203)),"")</f>
        <v/>
      </c>
      <c r="BZ203" s="591" t="str" cm="1">
        <f t="array" ref="BZ203">IFERROR(INDEX(tblLaminateStructures[Laminate],ROWS($BZ$2:BZ203)),"")</f>
        <v/>
      </c>
      <c r="CA203" s="556"/>
      <c r="CB203" s="556"/>
      <c r="CC203" s="556" t="str" cm="1">
        <f t="array" ref="CC203">IFERROR(INDEX(tblLaminateStructures[Total Thickness (µ)],ROWS($CC$2:CC203)),"")</f>
        <v/>
      </c>
      <c r="CD203" s="556"/>
      <c r="CE203" s="556"/>
      <c r="CF203" s="556"/>
      <c r="CG203" s="556"/>
      <c r="CH203" s="556"/>
    </row>
    <row r="204" spans="48:86">
      <c r="AV204" s="547"/>
      <c r="AW204" s="548"/>
      <c r="AX204" s="547"/>
      <c r="AY204" s="548"/>
      <c r="AZ204" s="548"/>
      <c r="BA204" s="547"/>
      <c r="BB204" s="547"/>
      <c r="BC204" s="547"/>
      <c r="BD204" s="547"/>
      <c r="BF204" s="556"/>
      <c r="BG204" s="556"/>
      <c r="BH204" s="556"/>
      <c r="BI204" s="556"/>
      <c r="BJ204" s="556"/>
      <c r="BK204" s="556"/>
      <c r="BL204" s="556"/>
      <c r="BM204" s="556"/>
      <c r="BN204" s="556"/>
      <c r="BO204" s="556"/>
      <c r="BP204" s="556"/>
      <c r="BQ204" s="556"/>
      <c r="BR204" s="556"/>
      <c r="BS204" s="556"/>
      <c r="BT204" s="556"/>
      <c r="BU204" s="591" t="str" cm="1">
        <f t="array" ref="BU204">IFERROR(_xlfn.LET(_xlpm.i,ROWS($BU$2:BU204),_xlpm.cur,INDEX(tblLaminateStructures[Laminate],_xlpm.i),_xlpm.prev,IF(_xlpm.i=1,"",INDEX(tblLaminateStructures[Laminate],_xlpm.i-1)),IF(_xlpm.cur&lt;&gt;_xlpm.prev,_xlpm.cur,"")),"")</f>
        <v/>
      </c>
      <c r="BV204" s="556" t="str" cm="1">
        <f t="array" ref="BV204">IFERROR(_xlfn.LET(_xlpm.i,ROWS($BV$2:BV204),_xlpm.cur,INDEX(tblLaminateStructures[Total Thickness (µ)],_xlpm.i),_xlpm.prev,IF(_xlpm.i=1,"",INDEX(tblLaminateStructures[Total Thickness (µ)],_xlpm.i-1)),IF(OR(_xlpm.cur&lt;&gt;_xlpm.prev,BU204&lt;&gt;""),_xlpm.cur,"")),"")</f>
        <v/>
      </c>
      <c r="BW204" s="556" t="str" cm="1">
        <f t="array" ref="BW204">IFERROR(INDEX(tblLaminateStructures[Material / Layer],ROWS($BW$2:BW204)),"")</f>
        <v/>
      </c>
      <c r="BX204" s="556" t="str" cm="1">
        <f t="array" ref="BX204">IFERROR(INDEX(tblLaminateStructures[Layer Thickness (µ)],ROWS($BX$2:BX204)),"")</f>
        <v/>
      </c>
      <c r="BY204" s="556" t="str" cm="1">
        <f t="array" ref="BY204">IFERROR(INDEX(tblLaminateStructures[Structure Check],ROWS($BY$2:BY204)),"")</f>
        <v/>
      </c>
      <c r="BZ204" s="591" t="str" cm="1">
        <f t="array" ref="BZ204">IFERROR(INDEX(tblLaminateStructures[Laminate],ROWS($BZ$2:BZ204)),"")</f>
        <v/>
      </c>
      <c r="CA204" s="556"/>
      <c r="CB204" s="556"/>
      <c r="CC204" s="556" t="str" cm="1">
        <f t="array" ref="CC204">IFERROR(INDEX(tblLaminateStructures[Total Thickness (µ)],ROWS($CC$2:CC204)),"")</f>
        <v/>
      </c>
      <c r="CD204" s="556"/>
      <c r="CE204" s="556"/>
      <c r="CF204" s="556"/>
      <c r="CG204" s="556"/>
      <c r="CH204" s="556"/>
    </row>
    <row r="205" spans="48:86">
      <c r="AV205" s="547"/>
      <c r="AW205" s="548"/>
      <c r="AX205" s="547"/>
      <c r="AY205" s="548"/>
      <c r="AZ205" s="548"/>
      <c r="BA205" s="547"/>
      <c r="BB205" s="547"/>
      <c r="BC205" s="547"/>
      <c r="BD205" s="547"/>
      <c r="BF205" s="556"/>
      <c r="BG205" s="556"/>
      <c r="BH205" s="556"/>
      <c r="BI205" s="556"/>
      <c r="BJ205" s="556"/>
      <c r="BK205" s="556"/>
      <c r="BL205" s="556"/>
      <c r="BM205" s="556"/>
      <c r="BN205" s="556"/>
      <c r="BO205" s="556"/>
      <c r="BP205" s="556"/>
      <c r="BQ205" s="556"/>
      <c r="BR205" s="556"/>
      <c r="BS205" s="556"/>
      <c r="BT205" s="556"/>
      <c r="BU205" s="591" t="str" cm="1">
        <f t="array" ref="BU205">IFERROR(_xlfn.LET(_xlpm.i,ROWS($BU$2:BU205),_xlpm.cur,INDEX(tblLaminateStructures[Laminate],_xlpm.i),_xlpm.prev,IF(_xlpm.i=1,"",INDEX(tblLaminateStructures[Laminate],_xlpm.i-1)),IF(_xlpm.cur&lt;&gt;_xlpm.prev,_xlpm.cur,"")),"")</f>
        <v/>
      </c>
      <c r="BV205" s="556" t="str" cm="1">
        <f t="array" ref="BV205">IFERROR(_xlfn.LET(_xlpm.i,ROWS($BV$2:BV205),_xlpm.cur,INDEX(tblLaminateStructures[Total Thickness (µ)],_xlpm.i),_xlpm.prev,IF(_xlpm.i=1,"",INDEX(tblLaminateStructures[Total Thickness (µ)],_xlpm.i-1)),IF(OR(_xlpm.cur&lt;&gt;_xlpm.prev,BU205&lt;&gt;""),_xlpm.cur,"")),"")</f>
        <v/>
      </c>
      <c r="BW205" s="556" t="str" cm="1">
        <f t="array" ref="BW205">IFERROR(INDEX(tblLaminateStructures[Material / Layer],ROWS($BW$2:BW205)),"")</f>
        <v/>
      </c>
      <c r="BX205" s="556" t="str" cm="1">
        <f t="array" ref="BX205">IFERROR(INDEX(tblLaminateStructures[Layer Thickness (µ)],ROWS($BX$2:BX205)),"")</f>
        <v/>
      </c>
      <c r="BY205" s="556" t="str" cm="1">
        <f t="array" ref="BY205">IFERROR(INDEX(tblLaminateStructures[Structure Check],ROWS($BY$2:BY205)),"")</f>
        <v/>
      </c>
      <c r="BZ205" s="591" t="str" cm="1">
        <f t="array" ref="BZ205">IFERROR(INDEX(tblLaminateStructures[Laminate],ROWS($BZ$2:BZ205)),"")</f>
        <v/>
      </c>
      <c r="CA205" s="556"/>
      <c r="CB205" s="556"/>
      <c r="CC205" s="556" t="str" cm="1">
        <f t="array" ref="CC205">IFERROR(INDEX(tblLaminateStructures[Total Thickness (µ)],ROWS($CC$2:CC205)),"")</f>
        <v/>
      </c>
      <c r="CD205" s="556"/>
      <c r="CE205" s="556"/>
      <c r="CF205" s="556"/>
      <c r="CG205" s="556"/>
      <c r="CH205" s="556"/>
    </row>
    <row r="206" spans="48:86">
      <c r="AV206" s="547"/>
      <c r="AW206" s="548"/>
      <c r="AX206" s="547"/>
      <c r="AY206" s="548"/>
      <c r="AZ206" s="548"/>
      <c r="BA206" s="547"/>
      <c r="BB206" s="547"/>
      <c r="BC206" s="547"/>
      <c r="BD206" s="547"/>
      <c r="BF206" s="556"/>
      <c r="BG206" s="556"/>
      <c r="BH206" s="556"/>
      <c r="BI206" s="556"/>
      <c r="BJ206" s="556"/>
      <c r="BK206" s="556"/>
      <c r="BL206" s="556"/>
      <c r="BM206" s="556"/>
      <c r="BN206" s="556"/>
      <c r="BO206" s="556"/>
      <c r="BP206" s="556"/>
      <c r="BQ206" s="556"/>
      <c r="BR206" s="556"/>
      <c r="BS206" s="556"/>
      <c r="BT206" s="556"/>
      <c r="BU206" s="591" t="str" cm="1">
        <f t="array" ref="BU206">IFERROR(_xlfn.LET(_xlpm.i,ROWS($BU$2:BU206),_xlpm.cur,INDEX(tblLaminateStructures[Laminate],_xlpm.i),_xlpm.prev,IF(_xlpm.i=1,"",INDEX(tblLaminateStructures[Laminate],_xlpm.i-1)),IF(_xlpm.cur&lt;&gt;_xlpm.prev,_xlpm.cur,"")),"")</f>
        <v/>
      </c>
      <c r="BV206" s="556" t="str" cm="1">
        <f t="array" ref="BV206">IFERROR(_xlfn.LET(_xlpm.i,ROWS($BV$2:BV206),_xlpm.cur,INDEX(tblLaminateStructures[Total Thickness (µ)],_xlpm.i),_xlpm.prev,IF(_xlpm.i=1,"",INDEX(tblLaminateStructures[Total Thickness (µ)],_xlpm.i-1)),IF(OR(_xlpm.cur&lt;&gt;_xlpm.prev,BU206&lt;&gt;""),_xlpm.cur,"")),"")</f>
        <v/>
      </c>
      <c r="BW206" s="556" t="str" cm="1">
        <f t="array" ref="BW206">IFERROR(INDEX(tblLaminateStructures[Material / Layer],ROWS($BW$2:BW206)),"")</f>
        <v/>
      </c>
      <c r="BX206" s="556" t="str" cm="1">
        <f t="array" ref="BX206">IFERROR(INDEX(tblLaminateStructures[Layer Thickness (µ)],ROWS($BX$2:BX206)),"")</f>
        <v/>
      </c>
      <c r="BY206" s="556" t="str" cm="1">
        <f t="array" ref="BY206">IFERROR(INDEX(tblLaminateStructures[Structure Check],ROWS($BY$2:BY206)),"")</f>
        <v/>
      </c>
      <c r="BZ206" s="591" t="str" cm="1">
        <f t="array" ref="BZ206">IFERROR(INDEX(tblLaminateStructures[Laminate],ROWS($BZ$2:BZ206)),"")</f>
        <v/>
      </c>
      <c r="CA206" s="556"/>
      <c r="CB206" s="556"/>
      <c r="CC206" s="556" t="str" cm="1">
        <f t="array" ref="CC206">IFERROR(INDEX(tblLaminateStructures[Total Thickness (µ)],ROWS($CC$2:CC206)),"")</f>
        <v/>
      </c>
      <c r="CD206" s="556"/>
      <c r="CE206" s="556"/>
      <c r="CF206" s="556"/>
      <c r="CG206" s="556"/>
      <c r="CH206" s="556"/>
    </row>
    <row r="207" spans="48:86">
      <c r="AV207" s="547"/>
      <c r="AW207" s="548"/>
      <c r="AX207" s="547"/>
      <c r="AY207" s="548"/>
      <c r="AZ207" s="548"/>
      <c r="BA207" s="547"/>
      <c r="BB207" s="547"/>
      <c r="BC207" s="547"/>
      <c r="BD207" s="547"/>
      <c r="BF207" s="556"/>
      <c r="BG207" s="556"/>
      <c r="BH207" s="556"/>
      <c r="BI207" s="556"/>
      <c r="BJ207" s="556"/>
      <c r="BK207" s="556"/>
      <c r="BL207" s="556"/>
      <c r="BM207" s="556"/>
      <c r="BN207" s="556"/>
      <c r="BO207" s="556"/>
      <c r="BP207" s="556"/>
      <c r="BQ207" s="556"/>
      <c r="BR207" s="556"/>
      <c r="BS207" s="556"/>
      <c r="BT207" s="556"/>
      <c r="BU207" s="591" t="str" cm="1">
        <f t="array" ref="BU207">IFERROR(_xlfn.LET(_xlpm.i,ROWS($BU$2:BU207),_xlpm.cur,INDEX(tblLaminateStructures[Laminate],_xlpm.i),_xlpm.prev,IF(_xlpm.i=1,"",INDEX(tblLaminateStructures[Laminate],_xlpm.i-1)),IF(_xlpm.cur&lt;&gt;_xlpm.prev,_xlpm.cur,"")),"")</f>
        <v/>
      </c>
      <c r="BV207" s="556" t="str" cm="1">
        <f t="array" ref="BV207">IFERROR(_xlfn.LET(_xlpm.i,ROWS($BV$2:BV207),_xlpm.cur,INDEX(tblLaminateStructures[Total Thickness (µ)],_xlpm.i),_xlpm.prev,IF(_xlpm.i=1,"",INDEX(tblLaminateStructures[Total Thickness (µ)],_xlpm.i-1)),IF(OR(_xlpm.cur&lt;&gt;_xlpm.prev,BU207&lt;&gt;""),_xlpm.cur,"")),"")</f>
        <v/>
      </c>
      <c r="BW207" s="556" t="str" cm="1">
        <f t="array" ref="BW207">IFERROR(INDEX(tblLaminateStructures[Material / Layer],ROWS($BW$2:BW207)),"")</f>
        <v/>
      </c>
      <c r="BX207" s="556" t="str" cm="1">
        <f t="array" ref="BX207">IFERROR(INDEX(tblLaminateStructures[Layer Thickness (µ)],ROWS($BX$2:BX207)),"")</f>
        <v/>
      </c>
      <c r="BY207" s="556" t="str" cm="1">
        <f t="array" ref="BY207">IFERROR(INDEX(tblLaminateStructures[Structure Check],ROWS($BY$2:BY207)),"")</f>
        <v/>
      </c>
      <c r="BZ207" s="591" t="str" cm="1">
        <f t="array" ref="BZ207">IFERROR(INDEX(tblLaminateStructures[Laminate],ROWS($BZ$2:BZ207)),"")</f>
        <v/>
      </c>
      <c r="CA207" s="556"/>
      <c r="CB207" s="556"/>
      <c r="CC207" s="556" t="str" cm="1">
        <f t="array" ref="CC207">IFERROR(INDEX(tblLaminateStructures[Total Thickness (µ)],ROWS($CC$2:CC207)),"")</f>
        <v/>
      </c>
      <c r="CD207" s="556"/>
      <c r="CE207" s="556"/>
      <c r="CF207" s="556"/>
      <c r="CG207" s="556"/>
      <c r="CH207" s="556"/>
    </row>
    <row r="208" spans="48:86">
      <c r="AV208" s="547"/>
      <c r="AW208" s="548"/>
      <c r="AX208" s="547"/>
      <c r="AY208" s="548"/>
      <c r="AZ208" s="548"/>
      <c r="BA208" s="547"/>
      <c r="BB208" s="547"/>
      <c r="BC208" s="547"/>
      <c r="BD208" s="547"/>
      <c r="BF208" s="556"/>
      <c r="BG208" s="556"/>
      <c r="BH208" s="556"/>
      <c r="BI208" s="556"/>
      <c r="BJ208" s="556"/>
      <c r="BK208" s="556"/>
      <c r="BL208" s="556"/>
      <c r="BM208" s="556"/>
      <c r="BN208" s="556"/>
      <c r="BO208" s="556"/>
      <c r="BP208" s="556"/>
      <c r="BQ208" s="556"/>
      <c r="BR208" s="556"/>
      <c r="BS208" s="556"/>
      <c r="BT208" s="556"/>
      <c r="BU208" s="591" t="str" cm="1">
        <f t="array" ref="BU208">IFERROR(_xlfn.LET(_xlpm.i,ROWS($BU$2:BU208),_xlpm.cur,INDEX(tblLaminateStructures[Laminate],_xlpm.i),_xlpm.prev,IF(_xlpm.i=1,"",INDEX(tblLaminateStructures[Laminate],_xlpm.i-1)),IF(_xlpm.cur&lt;&gt;_xlpm.prev,_xlpm.cur,"")),"")</f>
        <v/>
      </c>
      <c r="BV208" s="556" t="str" cm="1">
        <f t="array" ref="BV208">IFERROR(_xlfn.LET(_xlpm.i,ROWS($BV$2:BV208),_xlpm.cur,INDEX(tblLaminateStructures[Total Thickness (µ)],_xlpm.i),_xlpm.prev,IF(_xlpm.i=1,"",INDEX(tblLaminateStructures[Total Thickness (µ)],_xlpm.i-1)),IF(OR(_xlpm.cur&lt;&gt;_xlpm.prev,BU208&lt;&gt;""),_xlpm.cur,"")),"")</f>
        <v/>
      </c>
      <c r="BW208" s="556" t="str" cm="1">
        <f t="array" ref="BW208">IFERROR(INDEX(tblLaminateStructures[Material / Layer],ROWS($BW$2:BW208)),"")</f>
        <v/>
      </c>
      <c r="BX208" s="556" t="str" cm="1">
        <f t="array" ref="BX208">IFERROR(INDEX(tblLaminateStructures[Layer Thickness (µ)],ROWS($BX$2:BX208)),"")</f>
        <v/>
      </c>
      <c r="BY208" s="556" t="str" cm="1">
        <f t="array" ref="BY208">IFERROR(INDEX(tblLaminateStructures[Structure Check],ROWS($BY$2:BY208)),"")</f>
        <v/>
      </c>
      <c r="BZ208" s="591" t="str" cm="1">
        <f t="array" ref="BZ208">IFERROR(INDEX(tblLaminateStructures[Laminate],ROWS($BZ$2:BZ208)),"")</f>
        <v/>
      </c>
      <c r="CA208" s="556"/>
      <c r="CB208" s="556"/>
      <c r="CC208" s="556" t="str" cm="1">
        <f t="array" ref="CC208">IFERROR(INDEX(tblLaminateStructures[Total Thickness (µ)],ROWS($CC$2:CC208)),"")</f>
        <v/>
      </c>
      <c r="CD208" s="556"/>
      <c r="CE208" s="556"/>
      <c r="CF208" s="556"/>
      <c r="CG208" s="556"/>
      <c r="CH208" s="556"/>
    </row>
    <row r="209" spans="48:86">
      <c r="AV209" s="547"/>
      <c r="AW209" s="548"/>
      <c r="AX209" s="547"/>
      <c r="AY209" s="548"/>
      <c r="AZ209" s="548"/>
      <c r="BA209" s="547"/>
      <c r="BB209" s="547"/>
      <c r="BC209" s="547"/>
      <c r="BD209" s="547"/>
      <c r="BF209" s="556"/>
      <c r="BG209" s="556"/>
      <c r="BH209" s="556"/>
      <c r="BI209" s="556"/>
      <c r="BJ209" s="556"/>
      <c r="BK209" s="556"/>
      <c r="BL209" s="556"/>
      <c r="BM209" s="556"/>
      <c r="BN209" s="556"/>
      <c r="BO209" s="556"/>
      <c r="BP209" s="556"/>
      <c r="BQ209" s="556"/>
      <c r="BR209" s="556"/>
      <c r="BS209" s="556"/>
      <c r="BT209" s="556"/>
      <c r="BU209" s="591" t="str" cm="1">
        <f t="array" ref="BU209">IFERROR(_xlfn.LET(_xlpm.i,ROWS($BU$2:BU209),_xlpm.cur,INDEX(tblLaminateStructures[Laminate],_xlpm.i),_xlpm.prev,IF(_xlpm.i=1,"",INDEX(tblLaminateStructures[Laminate],_xlpm.i-1)),IF(_xlpm.cur&lt;&gt;_xlpm.prev,_xlpm.cur,"")),"")</f>
        <v/>
      </c>
      <c r="BV209" s="556" t="str" cm="1">
        <f t="array" ref="BV209">IFERROR(_xlfn.LET(_xlpm.i,ROWS($BV$2:BV209),_xlpm.cur,INDEX(tblLaminateStructures[Total Thickness (µ)],_xlpm.i),_xlpm.prev,IF(_xlpm.i=1,"",INDEX(tblLaminateStructures[Total Thickness (µ)],_xlpm.i-1)),IF(OR(_xlpm.cur&lt;&gt;_xlpm.prev,BU209&lt;&gt;""),_xlpm.cur,"")),"")</f>
        <v/>
      </c>
      <c r="BW209" s="556" t="str" cm="1">
        <f t="array" ref="BW209">IFERROR(INDEX(tblLaminateStructures[Material / Layer],ROWS($BW$2:BW209)),"")</f>
        <v/>
      </c>
      <c r="BX209" s="556" t="str" cm="1">
        <f t="array" ref="BX209">IFERROR(INDEX(tblLaminateStructures[Layer Thickness (µ)],ROWS($BX$2:BX209)),"")</f>
        <v/>
      </c>
      <c r="BY209" s="556" t="str" cm="1">
        <f t="array" ref="BY209">IFERROR(INDEX(tblLaminateStructures[Structure Check],ROWS($BY$2:BY209)),"")</f>
        <v/>
      </c>
      <c r="BZ209" s="591" t="str" cm="1">
        <f t="array" ref="BZ209">IFERROR(INDEX(tblLaminateStructures[Laminate],ROWS($BZ$2:BZ209)),"")</f>
        <v/>
      </c>
      <c r="CA209" s="556"/>
      <c r="CB209" s="556"/>
      <c r="CC209" s="556" t="str" cm="1">
        <f t="array" ref="CC209">IFERROR(INDEX(tblLaminateStructures[Total Thickness (µ)],ROWS($CC$2:CC209)),"")</f>
        <v/>
      </c>
      <c r="CD209" s="556"/>
      <c r="CE209" s="556"/>
      <c r="CF209" s="556"/>
      <c r="CG209" s="556"/>
      <c r="CH209" s="556"/>
    </row>
    <row r="210" spans="48:86">
      <c r="AV210" s="547"/>
      <c r="AW210" s="548"/>
      <c r="AX210" s="547"/>
      <c r="AY210" s="548"/>
      <c r="AZ210" s="548"/>
      <c r="BA210" s="547"/>
      <c r="BB210" s="547"/>
      <c r="BC210" s="547"/>
      <c r="BD210" s="547"/>
      <c r="BF210" s="556"/>
      <c r="BG210" s="556"/>
      <c r="BH210" s="556"/>
      <c r="BI210" s="556"/>
      <c r="BJ210" s="556"/>
      <c r="BK210" s="556"/>
      <c r="BL210" s="556"/>
      <c r="BM210" s="556"/>
      <c r="BN210" s="556"/>
      <c r="BO210" s="556"/>
      <c r="BP210" s="556"/>
      <c r="BQ210" s="556"/>
      <c r="BR210" s="556"/>
      <c r="BS210" s="556"/>
      <c r="BT210" s="556"/>
      <c r="BU210" s="591" t="str" cm="1">
        <f t="array" ref="BU210">IFERROR(_xlfn.LET(_xlpm.i,ROWS($BU$2:BU210),_xlpm.cur,INDEX(tblLaminateStructures[Laminate],_xlpm.i),_xlpm.prev,IF(_xlpm.i=1,"",INDEX(tblLaminateStructures[Laminate],_xlpm.i-1)),IF(_xlpm.cur&lt;&gt;_xlpm.prev,_xlpm.cur,"")),"")</f>
        <v/>
      </c>
      <c r="BV210" s="556" t="str" cm="1">
        <f t="array" ref="BV210">IFERROR(_xlfn.LET(_xlpm.i,ROWS($BV$2:BV210),_xlpm.cur,INDEX(tblLaminateStructures[Total Thickness (µ)],_xlpm.i),_xlpm.prev,IF(_xlpm.i=1,"",INDEX(tblLaminateStructures[Total Thickness (µ)],_xlpm.i-1)),IF(OR(_xlpm.cur&lt;&gt;_xlpm.prev,BU210&lt;&gt;""),_xlpm.cur,"")),"")</f>
        <v/>
      </c>
      <c r="BW210" s="556" t="str" cm="1">
        <f t="array" ref="BW210">IFERROR(INDEX(tblLaminateStructures[Material / Layer],ROWS($BW$2:BW210)),"")</f>
        <v/>
      </c>
      <c r="BX210" s="556" t="str" cm="1">
        <f t="array" ref="BX210">IFERROR(INDEX(tblLaminateStructures[Layer Thickness (µ)],ROWS($BX$2:BX210)),"")</f>
        <v/>
      </c>
      <c r="BY210" s="556" t="str" cm="1">
        <f t="array" ref="BY210">IFERROR(INDEX(tblLaminateStructures[Structure Check],ROWS($BY$2:BY210)),"")</f>
        <v/>
      </c>
      <c r="BZ210" s="591" t="str" cm="1">
        <f t="array" ref="BZ210">IFERROR(INDEX(tblLaminateStructures[Laminate],ROWS($BZ$2:BZ210)),"")</f>
        <v/>
      </c>
      <c r="CA210" s="556"/>
      <c r="CB210" s="556"/>
      <c r="CC210" s="556" t="str" cm="1">
        <f t="array" ref="CC210">IFERROR(INDEX(tblLaminateStructures[Total Thickness (µ)],ROWS($CC$2:CC210)),"")</f>
        <v/>
      </c>
      <c r="CD210" s="556"/>
      <c r="CE210" s="556"/>
      <c r="CF210" s="556"/>
      <c r="CG210" s="556"/>
      <c r="CH210" s="556"/>
    </row>
    <row r="211" spans="48:86">
      <c r="AV211" s="547"/>
      <c r="AW211" s="548"/>
      <c r="AX211" s="547"/>
      <c r="AY211" s="548"/>
      <c r="AZ211" s="548"/>
      <c r="BA211" s="547"/>
      <c r="BB211" s="547"/>
      <c r="BC211" s="547"/>
      <c r="BD211" s="547"/>
      <c r="BF211" s="556"/>
      <c r="BG211" s="556"/>
      <c r="BH211" s="556"/>
      <c r="BI211" s="556"/>
      <c r="BJ211" s="556"/>
      <c r="BK211" s="556"/>
      <c r="BL211" s="556"/>
      <c r="BM211" s="556"/>
      <c r="BN211" s="556"/>
      <c r="BO211" s="556"/>
      <c r="BP211" s="556"/>
      <c r="BQ211" s="556"/>
      <c r="BR211" s="556"/>
      <c r="BS211" s="556"/>
      <c r="BT211" s="556"/>
      <c r="BU211" s="591" t="str" cm="1">
        <f t="array" ref="BU211">IFERROR(_xlfn.LET(_xlpm.i,ROWS($BU$2:BU211),_xlpm.cur,INDEX(tblLaminateStructures[Laminate],_xlpm.i),_xlpm.prev,IF(_xlpm.i=1,"",INDEX(tblLaminateStructures[Laminate],_xlpm.i-1)),IF(_xlpm.cur&lt;&gt;_xlpm.prev,_xlpm.cur,"")),"")</f>
        <v/>
      </c>
      <c r="BV211" s="556" t="str" cm="1">
        <f t="array" ref="BV211">IFERROR(_xlfn.LET(_xlpm.i,ROWS($BV$2:BV211),_xlpm.cur,INDEX(tblLaminateStructures[Total Thickness (µ)],_xlpm.i),_xlpm.prev,IF(_xlpm.i=1,"",INDEX(tblLaminateStructures[Total Thickness (µ)],_xlpm.i-1)),IF(OR(_xlpm.cur&lt;&gt;_xlpm.prev,BU211&lt;&gt;""),_xlpm.cur,"")),"")</f>
        <v/>
      </c>
      <c r="BW211" s="556" t="str" cm="1">
        <f t="array" ref="BW211">IFERROR(INDEX(tblLaminateStructures[Material / Layer],ROWS($BW$2:BW211)),"")</f>
        <v/>
      </c>
      <c r="BX211" s="556" t="str" cm="1">
        <f t="array" ref="BX211">IFERROR(INDEX(tblLaminateStructures[Layer Thickness (µ)],ROWS($BX$2:BX211)),"")</f>
        <v/>
      </c>
      <c r="BY211" s="556" t="str" cm="1">
        <f t="array" ref="BY211">IFERROR(INDEX(tblLaminateStructures[Structure Check],ROWS($BY$2:BY211)),"")</f>
        <v/>
      </c>
      <c r="BZ211" s="591" t="str" cm="1">
        <f t="array" ref="BZ211">IFERROR(INDEX(tblLaminateStructures[Laminate],ROWS($BZ$2:BZ211)),"")</f>
        <v/>
      </c>
      <c r="CA211" s="556"/>
      <c r="CB211" s="556"/>
      <c r="CC211" s="556" t="str" cm="1">
        <f t="array" ref="CC211">IFERROR(INDEX(tblLaminateStructures[Total Thickness (µ)],ROWS($CC$2:CC211)),"")</f>
        <v/>
      </c>
      <c r="CD211" s="556"/>
      <c r="CE211" s="556"/>
      <c r="CF211" s="556"/>
      <c r="CG211" s="556"/>
      <c r="CH211" s="556"/>
    </row>
    <row r="212" spans="48:86">
      <c r="BF212" s="556"/>
      <c r="BG212" s="556"/>
      <c r="BH212" s="556"/>
      <c r="BI212" s="556"/>
      <c r="BJ212" s="556"/>
      <c r="BK212" s="556"/>
      <c r="BL212" s="556"/>
      <c r="BM212" s="556"/>
      <c r="BN212" s="556"/>
      <c r="BO212" s="556"/>
      <c r="BP212" s="556"/>
      <c r="BQ212" s="556"/>
      <c r="BR212" s="556"/>
      <c r="BS212" s="556"/>
      <c r="BT212" s="556"/>
      <c r="BU212" s="591" t="str" cm="1">
        <f t="array" ref="BU212">IFERROR(_xlfn.LET(_xlpm.i,ROWS($BU$2:BU212),_xlpm.cur,INDEX(tblLaminateStructures[Laminate],_xlpm.i),_xlpm.prev,IF(_xlpm.i=1,"",INDEX(tblLaminateStructures[Laminate],_xlpm.i-1)),IF(_xlpm.cur&lt;&gt;_xlpm.prev,_xlpm.cur,"")),"")</f>
        <v/>
      </c>
      <c r="BV212" s="556" t="str" cm="1">
        <f t="array" ref="BV212">IFERROR(_xlfn.LET(_xlpm.i,ROWS($BV$2:BV212),_xlpm.cur,INDEX(tblLaminateStructures[Total Thickness (µ)],_xlpm.i),_xlpm.prev,IF(_xlpm.i=1,"",INDEX(tblLaminateStructures[Total Thickness (µ)],_xlpm.i-1)),IF(OR(_xlpm.cur&lt;&gt;_xlpm.prev,BU212&lt;&gt;""),_xlpm.cur,"")),"")</f>
        <v/>
      </c>
      <c r="BW212" s="556" t="str" cm="1">
        <f t="array" ref="BW212">IFERROR(INDEX(tblLaminateStructures[Material / Layer],ROWS($BW$2:BW212)),"")</f>
        <v/>
      </c>
      <c r="BX212" s="556" t="str" cm="1">
        <f t="array" ref="BX212">IFERROR(INDEX(tblLaminateStructures[Layer Thickness (µ)],ROWS($BX$2:BX212)),"")</f>
        <v/>
      </c>
      <c r="BY212" s="556" t="str" cm="1">
        <f t="array" ref="BY212">IFERROR(INDEX(tblLaminateStructures[Structure Check],ROWS($BY$2:BY212)),"")</f>
        <v/>
      </c>
      <c r="BZ212" s="591" t="str" cm="1">
        <f t="array" ref="BZ212">IFERROR(INDEX(tblLaminateStructures[Laminate],ROWS($BZ$2:BZ212)),"")</f>
        <v/>
      </c>
      <c r="CA212" s="556"/>
      <c r="CB212" s="556"/>
      <c r="CC212" s="556" t="str" cm="1">
        <f t="array" ref="CC212">IFERROR(INDEX(tblLaminateStructures[Total Thickness (µ)],ROWS($CC$2:CC212)),"")</f>
        <v/>
      </c>
      <c r="CD212" s="556"/>
      <c r="CE212" s="556"/>
      <c r="CF212" s="556"/>
      <c r="CG212" s="556"/>
      <c r="CH212" s="556"/>
    </row>
    <row r="213" spans="48:86">
      <c r="BF213" s="556"/>
      <c r="BG213" s="556"/>
      <c r="BH213" s="556"/>
      <c r="BI213" s="556"/>
      <c r="BJ213" s="556"/>
      <c r="BK213" s="556"/>
      <c r="BL213" s="556"/>
      <c r="BM213" s="556"/>
      <c r="BN213" s="556"/>
      <c r="BO213" s="556"/>
      <c r="BP213" s="556"/>
      <c r="BQ213" s="556"/>
      <c r="BR213" s="556"/>
      <c r="BS213" s="556"/>
      <c r="BT213" s="556"/>
      <c r="BU213" s="591" t="str" cm="1">
        <f t="array" ref="BU213">IFERROR(_xlfn.LET(_xlpm.i,ROWS($BU$2:BU213),_xlpm.cur,INDEX(tblLaminateStructures[Laminate],_xlpm.i),_xlpm.prev,IF(_xlpm.i=1,"",INDEX(tblLaminateStructures[Laminate],_xlpm.i-1)),IF(_xlpm.cur&lt;&gt;_xlpm.prev,_xlpm.cur,"")),"")</f>
        <v/>
      </c>
      <c r="BV213" s="556" t="str" cm="1">
        <f t="array" ref="BV213">IFERROR(_xlfn.LET(_xlpm.i,ROWS($BV$2:BV213),_xlpm.cur,INDEX(tblLaminateStructures[Total Thickness (µ)],_xlpm.i),_xlpm.prev,IF(_xlpm.i=1,"",INDEX(tblLaminateStructures[Total Thickness (µ)],_xlpm.i-1)),IF(OR(_xlpm.cur&lt;&gt;_xlpm.prev,BU213&lt;&gt;""),_xlpm.cur,"")),"")</f>
        <v/>
      </c>
      <c r="BW213" s="556" t="str" cm="1">
        <f t="array" ref="BW213">IFERROR(INDEX(tblLaminateStructures[Material / Layer],ROWS($BW$2:BW213)),"")</f>
        <v/>
      </c>
      <c r="BX213" s="556" t="str" cm="1">
        <f t="array" ref="BX213">IFERROR(INDEX(tblLaminateStructures[Layer Thickness (µ)],ROWS($BX$2:BX213)),"")</f>
        <v/>
      </c>
      <c r="BY213" s="556" t="str" cm="1">
        <f t="array" ref="BY213">IFERROR(INDEX(tblLaminateStructures[Structure Check],ROWS($BY$2:BY213)),"")</f>
        <v/>
      </c>
      <c r="BZ213" s="591" t="str" cm="1">
        <f t="array" ref="BZ213">IFERROR(INDEX(tblLaminateStructures[Laminate],ROWS($BZ$2:BZ213)),"")</f>
        <v/>
      </c>
      <c r="CA213" s="556"/>
      <c r="CB213" s="556"/>
      <c r="CC213" s="556" t="str" cm="1">
        <f t="array" ref="CC213">IFERROR(INDEX(tblLaminateStructures[Total Thickness (µ)],ROWS($CC$2:CC213)),"")</f>
        <v/>
      </c>
      <c r="CD213" s="556"/>
      <c r="CE213" s="556"/>
      <c r="CF213" s="556"/>
      <c r="CG213" s="556"/>
      <c r="CH213" s="556"/>
    </row>
    <row r="214" spans="48:86">
      <c r="BF214" s="556"/>
      <c r="BG214" s="556"/>
      <c r="BH214" s="556"/>
      <c r="BI214" s="556"/>
      <c r="BJ214" s="556"/>
      <c r="BK214" s="556"/>
      <c r="BL214" s="556"/>
      <c r="BM214" s="556"/>
      <c r="BN214" s="556"/>
      <c r="BO214" s="556"/>
      <c r="BP214" s="556"/>
      <c r="BQ214" s="556"/>
      <c r="BR214" s="556"/>
      <c r="BS214" s="556"/>
      <c r="BT214" s="556"/>
      <c r="BU214" s="591" t="str" cm="1">
        <f t="array" ref="BU214">IFERROR(_xlfn.LET(_xlpm.i,ROWS($BU$2:BU214),_xlpm.cur,INDEX(tblLaminateStructures[Laminate],_xlpm.i),_xlpm.prev,IF(_xlpm.i=1,"",INDEX(tblLaminateStructures[Laminate],_xlpm.i-1)),IF(_xlpm.cur&lt;&gt;_xlpm.prev,_xlpm.cur,"")),"")</f>
        <v/>
      </c>
      <c r="BV214" s="556" t="str" cm="1">
        <f t="array" ref="BV214">IFERROR(_xlfn.LET(_xlpm.i,ROWS($BV$2:BV214),_xlpm.cur,INDEX(tblLaminateStructures[Total Thickness (µ)],_xlpm.i),_xlpm.prev,IF(_xlpm.i=1,"",INDEX(tblLaminateStructures[Total Thickness (µ)],_xlpm.i-1)),IF(OR(_xlpm.cur&lt;&gt;_xlpm.prev,BU214&lt;&gt;""),_xlpm.cur,"")),"")</f>
        <v/>
      </c>
      <c r="BW214" s="556" t="str" cm="1">
        <f t="array" ref="BW214">IFERROR(INDEX(tblLaminateStructures[Material / Layer],ROWS($BW$2:BW214)),"")</f>
        <v/>
      </c>
      <c r="BX214" s="556" t="str" cm="1">
        <f t="array" ref="BX214">IFERROR(INDEX(tblLaminateStructures[Layer Thickness (µ)],ROWS($BX$2:BX214)),"")</f>
        <v/>
      </c>
      <c r="BY214" s="556" t="str" cm="1">
        <f t="array" ref="BY214">IFERROR(INDEX(tblLaminateStructures[Structure Check],ROWS($BY$2:BY214)),"")</f>
        <v/>
      </c>
      <c r="BZ214" s="591" t="str" cm="1">
        <f t="array" ref="BZ214">IFERROR(INDEX(tblLaminateStructures[Laminate],ROWS($BZ$2:BZ214)),"")</f>
        <v/>
      </c>
      <c r="CA214" s="556"/>
      <c r="CB214" s="556"/>
      <c r="CC214" s="556" t="str" cm="1">
        <f t="array" ref="CC214">IFERROR(INDEX(tblLaminateStructures[Total Thickness (µ)],ROWS($CC$2:CC214)),"")</f>
        <v/>
      </c>
      <c r="CD214" s="556"/>
      <c r="CE214" s="556"/>
      <c r="CF214" s="556"/>
      <c r="CG214" s="556"/>
      <c r="CH214" s="556"/>
    </row>
    <row r="215" spans="48:86">
      <c r="BF215" s="556"/>
      <c r="BG215" s="556"/>
      <c r="BH215" s="556"/>
      <c r="BI215" s="556"/>
      <c r="BJ215" s="556"/>
      <c r="BK215" s="556"/>
      <c r="BL215" s="556"/>
      <c r="BM215" s="556"/>
      <c r="BN215" s="556"/>
      <c r="BO215" s="556"/>
      <c r="BP215" s="556"/>
      <c r="BQ215" s="556"/>
      <c r="BR215" s="556"/>
      <c r="BS215" s="556"/>
      <c r="BT215" s="556"/>
      <c r="BU215" s="591" t="str" cm="1">
        <f t="array" ref="BU215">IFERROR(_xlfn.LET(_xlpm.i,ROWS($BU$2:BU215),_xlpm.cur,INDEX(tblLaminateStructures[Laminate],_xlpm.i),_xlpm.prev,IF(_xlpm.i=1,"",INDEX(tblLaminateStructures[Laminate],_xlpm.i-1)),IF(_xlpm.cur&lt;&gt;_xlpm.prev,_xlpm.cur,"")),"")</f>
        <v/>
      </c>
      <c r="BV215" s="556" t="str" cm="1">
        <f t="array" ref="BV215">IFERROR(_xlfn.LET(_xlpm.i,ROWS($BV$2:BV215),_xlpm.cur,INDEX(tblLaminateStructures[Total Thickness (µ)],_xlpm.i),_xlpm.prev,IF(_xlpm.i=1,"",INDEX(tblLaminateStructures[Total Thickness (µ)],_xlpm.i-1)),IF(OR(_xlpm.cur&lt;&gt;_xlpm.prev,BU215&lt;&gt;""),_xlpm.cur,"")),"")</f>
        <v/>
      </c>
      <c r="BW215" s="556" t="str" cm="1">
        <f t="array" ref="BW215">IFERROR(INDEX(tblLaminateStructures[Material / Layer],ROWS($BW$2:BW215)),"")</f>
        <v/>
      </c>
      <c r="BX215" s="556" t="str" cm="1">
        <f t="array" ref="BX215">IFERROR(INDEX(tblLaminateStructures[Layer Thickness (µ)],ROWS($BX$2:BX215)),"")</f>
        <v/>
      </c>
      <c r="BY215" s="556" t="str" cm="1">
        <f t="array" ref="BY215">IFERROR(INDEX(tblLaminateStructures[Structure Check],ROWS($BY$2:BY215)),"")</f>
        <v/>
      </c>
      <c r="BZ215" s="591" t="str" cm="1">
        <f t="array" ref="BZ215">IFERROR(INDEX(tblLaminateStructures[Laminate],ROWS($BZ$2:BZ215)),"")</f>
        <v/>
      </c>
      <c r="CA215" s="556"/>
      <c r="CB215" s="556"/>
      <c r="CC215" s="556" t="str" cm="1">
        <f t="array" ref="CC215">IFERROR(INDEX(tblLaminateStructures[Total Thickness (µ)],ROWS($CC$2:CC215)),"")</f>
        <v/>
      </c>
      <c r="CD215" s="556"/>
      <c r="CE215" s="556"/>
      <c r="CF215" s="556"/>
      <c r="CG215" s="556"/>
      <c r="CH215" s="556"/>
    </row>
    <row r="216" spans="48:86">
      <c r="BF216" s="556"/>
      <c r="BG216" s="556"/>
      <c r="BH216" s="556"/>
      <c r="BI216" s="556"/>
      <c r="BJ216" s="556"/>
      <c r="BK216" s="556"/>
      <c r="BL216" s="556"/>
      <c r="BM216" s="556"/>
      <c r="BN216" s="556"/>
      <c r="BO216" s="556"/>
      <c r="BP216" s="556"/>
      <c r="BQ216" s="556"/>
      <c r="BR216" s="556"/>
      <c r="BS216" s="556"/>
      <c r="BT216" s="556"/>
      <c r="BU216" s="591" t="str" cm="1">
        <f t="array" ref="BU216">IFERROR(_xlfn.LET(_xlpm.i,ROWS($BU$2:BU216),_xlpm.cur,INDEX(tblLaminateStructures[Laminate],_xlpm.i),_xlpm.prev,IF(_xlpm.i=1,"",INDEX(tblLaminateStructures[Laminate],_xlpm.i-1)),IF(_xlpm.cur&lt;&gt;_xlpm.prev,_xlpm.cur,"")),"")</f>
        <v/>
      </c>
      <c r="BV216" s="556" t="str" cm="1">
        <f t="array" ref="BV216">IFERROR(_xlfn.LET(_xlpm.i,ROWS($BV$2:BV216),_xlpm.cur,INDEX(tblLaminateStructures[Total Thickness (µ)],_xlpm.i),_xlpm.prev,IF(_xlpm.i=1,"",INDEX(tblLaminateStructures[Total Thickness (µ)],_xlpm.i-1)),IF(OR(_xlpm.cur&lt;&gt;_xlpm.prev,BU216&lt;&gt;""),_xlpm.cur,"")),"")</f>
        <v/>
      </c>
      <c r="BW216" s="556" t="str" cm="1">
        <f t="array" ref="BW216">IFERROR(INDEX(tblLaminateStructures[Material / Layer],ROWS($BW$2:BW216)),"")</f>
        <v/>
      </c>
      <c r="BX216" s="556" t="str" cm="1">
        <f t="array" ref="BX216">IFERROR(INDEX(tblLaminateStructures[Layer Thickness (µ)],ROWS($BX$2:BX216)),"")</f>
        <v/>
      </c>
      <c r="BY216" s="556" t="str" cm="1">
        <f t="array" ref="BY216">IFERROR(INDEX(tblLaminateStructures[Structure Check],ROWS($BY$2:BY216)),"")</f>
        <v/>
      </c>
      <c r="BZ216" s="591" t="str" cm="1">
        <f t="array" ref="BZ216">IFERROR(INDEX(tblLaminateStructures[Laminate],ROWS($BZ$2:BZ216)),"")</f>
        <v/>
      </c>
      <c r="CA216" s="556"/>
      <c r="CB216" s="556"/>
      <c r="CC216" s="556" t="str" cm="1">
        <f t="array" ref="CC216">IFERROR(INDEX(tblLaminateStructures[Total Thickness (µ)],ROWS($CC$2:CC216)),"")</f>
        <v/>
      </c>
      <c r="CD216" s="556"/>
      <c r="CE216" s="556"/>
      <c r="CF216" s="556"/>
      <c r="CG216" s="556"/>
      <c r="CH216" s="556"/>
    </row>
    <row r="217" spans="48:86">
      <c r="BF217" s="556"/>
      <c r="BG217" s="556"/>
      <c r="BH217" s="556"/>
      <c r="BI217" s="556"/>
      <c r="BJ217" s="556"/>
      <c r="BK217" s="556"/>
      <c r="BL217" s="556"/>
      <c r="BM217" s="556"/>
      <c r="BN217" s="556"/>
      <c r="BO217" s="556"/>
      <c r="BP217" s="556"/>
      <c r="BQ217" s="556"/>
      <c r="BR217" s="556"/>
      <c r="BS217" s="556"/>
      <c r="BT217" s="556"/>
      <c r="BU217" s="591" t="str" cm="1">
        <f t="array" ref="BU217">IFERROR(_xlfn.LET(_xlpm.i,ROWS($BU$2:BU217),_xlpm.cur,INDEX(tblLaminateStructures[Laminate],_xlpm.i),_xlpm.prev,IF(_xlpm.i=1,"",INDEX(tblLaminateStructures[Laminate],_xlpm.i-1)),IF(_xlpm.cur&lt;&gt;_xlpm.prev,_xlpm.cur,"")),"")</f>
        <v/>
      </c>
      <c r="BV217" s="556" t="str" cm="1">
        <f t="array" ref="BV217">IFERROR(_xlfn.LET(_xlpm.i,ROWS($BV$2:BV217),_xlpm.cur,INDEX(tblLaminateStructures[Total Thickness (µ)],_xlpm.i),_xlpm.prev,IF(_xlpm.i=1,"",INDEX(tblLaminateStructures[Total Thickness (µ)],_xlpm.i-1)),IF(OR(_xlpm.cur&lt;&gt;_xlpm.prev,BU217&lt;&gt;""),_xlpm.cur,"")),"")</f>
        <v/>
      </c>
      <c r="BW217" s="556" t="str" cm="1">
        <f t="array" ref="BW217">IFERROR(INDEX(tblLaminateStructures[Material / Layer],ROWS($BW$2:BW217)),"")</f>
        <v/>
      </c>
      <c r="BX217" s="556" t="str" cm="1">
        <f t="array" ref="BX217">IFERROR(INDEX(tblLaminateStructures[Layer Thickness (µ)],ROWS($BX$2:BX217)),"")</f>
        <v/>
      </c>
      <c r="BY217" s="556" t="str" cm="1">
        <f t="array" ref="BY217">IFERROR(INDEX(tblLaminateStructures[Structure Check],ROWS($BY$2:BY217)),"")</f>
        <v/>
      </c>
      <c r="BZ217" s="591" t="str" cm="1">
        <f t="array" ref="BZ217">IFERROR(INDEX(tblLaminateStructures[Laminate],ROWS($BZ$2:BZ217)),"")</f>
        <v/>
      </c>
      <c r="CA217" s="556"/>
      <c r="CB217" s="556"/>
      <c r="CC217" s="556" t="str" cm="1">
        <f t="array" ref="CC217">IFERROR(INDEX(tblLaminateStructures[Total Thickness (µ)],ROWS($CC$2:CC217)),"")</f>
        <v/>
      </c>
      <c r="CD217" s="556"/>
      <c r="CE217" s="556"/>
      <c r="CF217" s="556"/>
      <c r="CG217" s="556"/>
      <c r="CH217" s="556"/>
    </row>
    <row r="218" spans="48:86">
      <c r="BF218" s="556"/>
      <c r="BG218" s="556"/>
      <c r="BH218" s="556"/>
      <c r="BI218" s="556"/>
      <c r="BJ218" s="556"/>
      <c r="BK218" s="556"/>
      <c r="BL218" s="556"/>
      <c r="BM218" s="556"/>
      <c r="BN218" s="556"/>
      <c r="BO218" s="556"/>
      <c r="BP218" s="556"/>
      <c r="BQ218" s="556"/>
      <c r="BR218" s="556"/>
      <c r="BS218" s="556"/>
      <c r="BT218" s="556"/>
      <c r="BU218" s="591" t="str" cm="1">
        <f t="array" ref="BU218">IFERROR(_xlfn.LET(_xlpm.i,ROWS($BU$2:BU218),_xlpm.cur,INDEX(tblLaminateStructures[Laminate],_xlpm.i),_xlpm.prev,IF(_xlpm.i=1,"",INDEX(tblLaminateStructures[Laminate],_xlpm.i-1)),IF(_xlpm.cur&lt;&gt;_xlpm.prev,_xlpm.cur,"")),"")</f>
        <v/>
      </c>
      <c r="BV218" s="556" t="str" cm="1">
        <f t="array" ref="BV218">IFERROR(_xlfn.LET(_xlpm.i,ROWS($BV$2:BV218),_xlpm.cur,INDEX(tblLaminateStructures[Total Thickness (µ)],_xlpm.i),_xlpm.prev,IF(_xlpm.i=1,"",INDEX(tblLaminateStructures[Total Thickness (µ)],_xlpm.i-1)),IF(OR(_xlpm.cur&lt;&gt;_xlpm.prev,BU218&lt;&gt;""),_xlpm.cur,"")),"")</f>
        <v/>
      </c>
      <c r="BW218" s="556" t="str" cm="1">
        <f t="array" ref="BW218">IFERROR(INDEX(tblLaminateStructures[Material / Layer],ROWS($BW$2:BW218)),"")</f>
        <v/>
      </c>
      <c r="BX218" s="556" t="str" cm="1">
        <f t="array" ref="BX218">IFERROR(INDEX(tblLaminateStructures[Layer Thickness (µ)],ROWS($BX$2:BX218)),"")</f>
        <v/>
      </c>
      <c r="BY218" s="556" t="str" cm="1">
        <f t="array" ref="BY218">IFERROR(INDEX(tblLaminateStructures[Structure Check],ROWS($BY$2:BY218)),"")</f>
        <v/>
      </c>
      <c r="BZ218" s="591" t="str" cm="1">
        <f t="array" ref="BZ218">IFERROR(INDEX(tblLaminateStructures[Laminate],ROWS($BZ$2:BZ218)),"")</f>
        <v/>
      </c>
      <c r="CA218" s="556"/>
      <c r="CB218" s="556"/>
      <c r="CC218" s="556" t="str" cm="1">
        <f t="array" ref="CC218">IFERROR(INDEX(tblLaminateStructures[Total Thickness (µ)],ROWS($CC$2:CC218)),"")</f>
        <v/>
      </c>
      <c r="CD218" s="556"/>
      <c r="CE218" s="556"/>
      <c r="CF218" s="556"/>
      <c r="CG218" s="556"/>
      <c r="CH218" s="556"/>
    </row>
    <row r="219" spans="48:86">
      <c r="BF219" s="556"/>
      <c r="BG219" s="556"/>
      <c r="BH219" s="556"/>
      <c r="BI219" s="556"/>
      <c r="BJ219" s="556"/>
      <c r="BK219" s="556"/>
      <c r="BL219" s="556"/>
      <c r="BM219" s="556"/>
      <c r="BN219" s="556"/>
      <c r="BO219" s="556"/>
      <c r="BP219" s="556"/>
      <c r="BQ219" s="556"/>
      <c r="BR219" s="556"/>
      <c r="BS219" s="556"/>
      <c r="BT219" s="556"/>
      <c r="BU219" s="591" t="str" cm="1">
        <f t="array" ref="BU219">IFERROR(_xlfn.LET(_xlpm.i,ROWS($BU$2:BU219),_xlpm.cur,INDEX(tblLaminateStructures[Laminate],_xlpm.i),_xlpm.prev,IF(_xlpm.i=1,"",INDEX(tblLaminateStructures[Laminate],_xlpm.i-1)),IF(_xlpm.cur&lt;&gt;_xlpm.prev,_xlpm.cur,"")),"")</f>
        <v/>
      </c>
      <c r="BV219" s="556" t="str" cm="1">
        <f t="array" ref="BV219">IFERROR(_xlfn.LET(_xlpm.i,ROWS($BV$2:BV219),_xlpm.cur,INDEX(tblLaminateStructures[Total Thickness (µ)],_xlpm.i),_xlpm.prev,IF(_xlpm.i=1,"",INDEX(tblLaminateStructures[Total Thickness (µ)],_xlpm.i-1)),IF(OR(_xlpm.cur&lt;&gt;_xlpm.prev,BU219&lt;&gt;""),_xlpm.cur,"")),"")</f>
        <v/>
      </c>
      <c r="BW219" s="556" t="str" cm="1">
        <f t="array" ref="BW219">IFERROR(INDEX(tblLaminateStructures[Material / Layer],ROWS($BW$2:BW219)),"")</f>
        <v/>
      </c>
      <c r="BX219" s="556" t="str" cm="1">
        <f t="array" ref="BX219">IFERROR(INDEX(tblLaminateStructures[Layer Thickness (µ)],ROWS($BX$2:BX219)),"")</f>
        <v/>
      </c>
      <c r="BY219" s="556" t="str" cm="1">
        <f t="array" ref="BY219">IFERROR(INDEX(tblLaminateStructures[Structure Check],ROWS($BY$2:BY219)),"")</f>
        <v/>
      </c>
      <c r="BZ219" s="591" t="str" cm="1">
        <f t="array" ref="BZ219">IFERROR(INDEX(tblLaminateStructures[Laminate],ROWS($BZ$2:BZ219)),"")</f>
        <v/>
      </c>
      <c r="CA219" s="556"/>
      <c r="CB219" s="556"/>
      <c r="CC219" s="556" t="str" cm="1">
        <f t="array" ref="CC219">IFERROR(INDEX(tblLaminateStructures[Total Thickness (µ)],ROWS($CC$2:CC219)),"")</f>
        <v/>
      </c>
      <c r="CD219" s="556"/>
      <c r="CE219" s="556"/>
      <c r="CF219" s="556"/>
      <c r="CG219" s="556"/>
      <c r="CH219" s="556"/>
    </row>
    <row r="220" spans="48:86">
      <c r="BF220" s="556"/>
      <c r="BG220" s="556"/>
      <c r="BH220" s="556"/>
      <c r="BI220" s="556"/>
      <c r="BJ220" s="556"/>
      <c r="BK220" s="556"/>
      <c r="BL220" s="556"/>
      <c r="BM220" s="556"/>
      <c r="BN220" s="556"/>
      <c r="BO220" s="556"/>
      <c r="BP220" s="556"/>
      <c r="BQ220" s="556"/>
      <c r="BR220" s="556"/>
      <c r="BS220" s="556"/>
      <c r="BT220" s="556"/>
      <c r="BU220" s="591" t="str" cm="1">
        <f t="array" ref="BU220">IFERROR(_xlfn.LET(_xlpm.i,ROWS($BU$2:BU220),_xlpm.cur,INDEX(tblLaminateStructures[Laminate],_xlpm.i),_xlpm.prev,IF(_xlpm.i=1,"",INDEX(tblLaminateStructures[Laminate],_xlpm.i-1)),IF(_xlpm.cur&lt;&gt;_xlpm.prev,_xlpm.cur,"")),"")</f>
        <v/>
      </c>
      <c r="BV220" s="556" t="str" cm="1">
        <f t="array" ref="BV220">IFERROR(_xlfn.LET(_xlpm.i,ROWS($BV$2:BV220),_xlpm.cur,INDEX(tblLaminateStructures[Total Thickness (µ)],_xlpm.i),_xlpm.prev,IF(_xlpm.i=1,"",INDEX(tblLaminateStructures[Total Thickness (µ)],_xlpm.i-1)),IF(OR(_xlpm.cur&lt;&gt;_xlpm.prev,BU220&lt;&gt;""),_xlpm.cur,"")),"")</f>
        <v/>
      </c>
      <c r="BW220" s="556" t="str" cm="1">
        <f t="array" ref="BW220">IFERROR(INDEX(tblLaminateStructures[Material / Layer],ROWS($BW$2:BW220)),"")</f>
        <v/>
      </c>
      <c r="BX220" s="556" t="str" cm="1">
        <f t="array" ref="BX220">IFERROR(INDEX(tblLaminateStructures[Layer Thickness (µ)],ROWS($BX$2:BX220)),"")</f>
        <v/>
      </c>
      <c r="BY220" s="556" t="str" cm="1">
        <f t="array" ref="BY220">IFERROR(INDEX(tblLaminateStructures[Structure Check],ROWS($BY$2:BY220)),"")</f>
        <v/>
      </c>
      <c r="BZ220" s="591" t="str" cm="1">
        <f t="array" ref="BZ220">IFERROR(INDEX(tblLaminateStructures[Laminate],ROWS($BZ$2:BZ220)),"")</f>
        <v/>
      </c>
      <c r="CA220" s="556"/>
      <c r="CB220" s="556"/>
      <c r="CC220" s="556" t="str" cm="1">
        <f t="array" ref="CC220">IFERROR(INDEX(tblLaminateStructures[Total Thickness (µ)],ROWS($CC$2:CC220)),"")</f>
        <v/>
      </c>
      <c r="CD220" s="556"/>
      <c r="CE220" s="556"/>
      <c r="CF220" s="556"/>
      <c r="CG220" s="556"/>
      <c r="CH220" s="556"/>
    </row>
    <row r="221" spans="48:86">
      <c r="BF221" s="556"/>
      <c r="BG221" s="556"/>
      <c r="BH221" s="556"/>
      <c r="BI221" s="556"/>
      <c r="BJ221" s="556"/>
      <c r="BK221" s="556"/>
      <c r="BL221" s="556"/>
      <c r="BM221" s="556"/>
      <c r="BN221" s="556"/>
      <c r="BO221" s="556"/>
      <c r="BP221" s="556"/>
      <c r="BQ221" s="556"/>
      <c r="BR221" s="556"/>
      <c r="BS221" s="556"/>
      <c r="BT221" s="556"/>
      <c r="BU221" s="591" t="str" cm="1">
        <f t="array" ref="BU221">IFERROR(_xlfn.LET(_xlpm.i,ROWS($BU$2:BU221),_xlpm.cur,INDEX(tblLaminateStructures[Laminate],_xlpm.i),_xlpm.prev,IF(_xlpm.i=1,"",INDEX(tblLaminateStructures[Laminate],_xlpm.i-1)),IF(_xlpm.cur&lt;&gt;_xlpm.prev,_xlpm.cur,"")),"")</f>
        <v/>
      </c>
      <c r="BV221" s="556" t="str" cm="1">
        <f t="array" ref="BV221">IFERROR(_xlfn.LET(_xlpm.i,ROWS($BV$2:BV221),_xlpm.cur,INDEX(tblLaminateStructures[Total Thickness (µ)],_xlpm.i),_xlpm.prev,IF(_xlpm.i=1,"",INDEX(tblLaminateStructures[Total Thickness (µ)],_xlpm.i-1)),IF(OR(_xlpm.cur&lt;&gt;_xlpm.prev,BU221&lt;&gt;""),_xlpm.cur,"")),"")</f>
        <v/>
      </c>
      <c r="BW221" s="556" t="str" cm="1">
        <f t="array" ref="BW221">IFERROR(INDEX(tblLaminateStructures[Material / Layer],ROWS($BW$2:BW221)),"")</f>
        <v/>
      </c>
      <c r="BX221" s="556" t="str" cm="1">
        <f t="array" ref="BX221">IFERROR(INDEX(tblLaminateStructures[Layer Thickness (µ)],ROWS($BX$2:BX221)),"")</f>
        <v/>
      </c>
      <c r="BY221" s="556" t="str" cm="1">
        <f t="array" ref="BY221">IFERROR(INDEX(tblLaminateStructures[Structure Check],ROWS($BY$2:BY221)),"")</f>
        <v/>
      </c>
      <c r="BZ221" s="591" t="str" cm="1">
        <f t="array" ref="BZ221">IFERROR(INDEX(tblLaminateStructures[Laminate],ROWS($BZ$2:BZ221)),"")</f>
        <v/>
      </c>
      <c r="CA221" s="556"/>
      <c r="CB221" s="556"/>
      <c r="CC221" s="556" t="str" cm="1">
        <f t="array" ref="CC221">IFERROR(INDEX(tblLaminateStructures[Total Thickness (µ)],ROWS($CC$2:CC221)),"")</f>
        <v/>
      </c>
      <c r="CD221" s="556"/>
      <c r="CE221" s="556"/>
      <c r="CF221" s="556"/>
      <c r="CG221" s="556"/>
      <c r="CH221" s="556"/>
    </row>
    <row r="222" spans="48:86">
      <c r="BF222" s="556"/>
      <c r="BG222" s="556"/>
      <c r="BH222" s="556"/>
      <c r="BI222" s="556"/>
      <c r="BJ222" s="556"/>
      <c r="BK222" s="556"/>
      <c r="BL222" s="556"/>
      <c r="BM222" s="556"/>
      <c r="BN222" s="556"/>
      <c r="BO222" s="556"/>
      <c r="BP222" s="556"/>
      <c r="BQ222" s="556"/>
      <c r="BR222" s="556"/>
      <c r="BS222" s="556"/>
      <c r="BT222" s="556"/>
      <c r="BU222" s="591" t="str" cm="1">
        <f t="array" ref="BU222">IFERROR(_xlfn.LET(_xlpm.i,ROWS($BU$2:BU222),_xlpm.cur,INDEX(tblLaminateStructures[Laminate],_xlpm.i),_xlpm.prev,IF(_xlpm.i=1,"",INDEX(tblLaminateStructures[Laminate],_xlpm.i-1)),IF(_xlpm.cur&lt;&gt;_xlpm.prev,_xlpm.cur,"")),"")</f>
        <v/>
      </c>
      <c r="BV222" s="556" t="str" cm="1">
        <f t="array" ref="BV222">IFERROR(_xlfn.LET(_xlpm.i,ROWS($BV$2:BV222),_xlpm.cur,INDEX(tblLaminateStructures[Total Thickness (µ)],_xlpm.i),_xlpm.prev,IF(_xlpm.i=1,"",INDEX(tblLaminateStructures[Total Thickness (µ)],_xlpm.i-1)),IF(OR(_xlpm.cur&lt;&gt;_xlpm.prev,BU222&lt;&gt;""),_xlpm.cur,"")),"")</f>
        <v/>
      </c>
      <c r="BW222" s="556" t="str" cm="1">
        <f t="array" ref="BW222">IFERROR(INDEX(tblLaminateStructures[Material / Layer],ROWS($BW$2:BW222)),"")</f>
        <v/>
      </c>
      <c r="BX222" s="556" t="str" cm="1">
        <f t="array" ref="BX222">IFERROR(INDEX(tblLaminateStructures[Layer Thickness (µ)],ROWS($BX$2:BX222)),"")</f>
        <v/>
      </c>
      <c r="BY222" s="556" t="str" cm="1">
        <f t="array" ref="BY222">IFERROR(INDEX(tblLaminateStructures[Structure Check],ROWS($BY$2:BY222)),"")</f>
        <v/>
      </c>
      <c r="BZ222" s="591" t="str" cm="1">
        <f t="array" ref="BZ222">IFERROR(INDEX(tblLaminateStructures[Laminate],ROWS($BZ$2:BZ222)),"")</f>
        <v/>
      </c>
      <c r="CA222" s="556"/>
      <c r="CB222" s="556"/>
      <c r="CC222" s="556" t="str" cm="1">
        <f t="array" ref="CC222">IFERROR(INDEX(tblLaminateStructures[Total Thickness (µ)],ROWS($CC$2:CC222)),"")</f>
        <v/>
      </c>
      <c r="CD222" s="556"/>
      <c r="CE222" s="556"/>
      <c r="CF222" s="556"/>
      <c r="CG222" s="556"/>
      <c r="CH222" s="556"/>
    </row>
    <row r="223" spans="48:86">
      <c r="BF223" s="556"/>
      <c r="BG223" s="556"/>
      <c r="BH223" s="556"/>
      <c r="BI223" s="556"/>
      <c r="BJ223" s="556"/>
      <c r="BK223" s="556"/>
      <c r="BL223" s="556"/>
      <c r="BM223" s="556"/>
      <c r="BN223" s="556"/>
      <c r="BO223" s="556"/>
      <c r="BP223" s="556"/>
      <c r="BQ223" s="556"/>
      <c r="BR223" s="556"/>
      <c r="BS223" s="556"/>
      <c r="BT223" s="556"/>
      <c r="BU223" s="591" t="str" cm="1">
        <f t="array" ref="BU223">IFERROR(_xlfn.LET(_xlpm.i,ROWS($BU$2:BU223),_xlpm.cur,INDEX(tblLaminateStructures[Laminate],_xlpm.i),_xlpm.prev,IF(_xlpm.i=1,"",INDEX(tblLaminateStructures[Laminate],_xlpm.i-1)),IF(_xlpm.cur&lt;&gt;_xlpm.prev,_xlpm.cur,"")),"")</f>
        <v/>
      </c>
      <c r="BV223" s="556" t="str" cm="1">
        <f t="array" ref="BV223">IFERROR(_xlfn.LET(_xlpm.i,ROWS($BV$2:BV223),_xlpm.cur,INDEX(tblLaminateStructures[Total Thickness (µ)],_xlpm.i),_xlpm.prev,IF(_xlpm.i=1,"",INDEX(tblLaminateStructures[Total Thickness (µ)],_xlpm.i-1)),IF(OR(_xlpm.cur&lt;&gt;_xlpm.prev,BU223&lt;&gt;""),_xlpm.cur,"")),"")</f>
        <v/>
      </c>
      <c r="BW223" s="556" t="str" cm="1">
        <f t="array" ref="BW223">IFERROR(INDEX(tblLaminateStructures[Material / Layer],ROWS($BW$2:BW223)),"")</f>
        <v/>
      </c>
      <c r="BX223" s="556" t="str" cm="1">
        <f t="array" ref="BX223">IFERROR(INDEX(tblLaminateStructures[Layer Thickness (µ)],ROWS($BX$2:BX223)),"")</f>
        <v/>
      </c>
      <c r="BY223" s="556" t="str" cm="1">
        <f t="array" ref="BY223">IFERROR(INDEX(tblLaminateStructures[Structure Check],ROWS($BY$2:BY223)),"")</f>
        <v/>
      </c>
      <c r="BZ223" s="591" t="str" cm="1">
        <f t="array" ref="BZ223">IFERROR(INDEX(tblLaminateStructures[Laminate],ROWS($BZ$2:BZ223)),"")</f>
        <v/>
      </c>
      <c r="CA223" s="556"/>
      <c r="CB223" s="556"/>
      <c r="CC223" s="556" t="str" cm="1">
        <f t="array" ref="CC223">IFERROR(INDEX(tblLaminateStructures[Total Thickness (µ)],ROWS($CC$2:CC223)),"")</f>
        <v/>
      </c>
      <c r="CD223" s="556"/>
      <c r="CE223" s="556"/>
      <c r="CF223" s="556"/>
      <c r="CG223" s="556"/>
      <c r="CH223" s="556"/>
    </row>
    <row r="224" spans="48:86">
      <c r="BF224" s="556"/>
      <c r="BG224" s="556"/>
      <c r="BH224" s="556"/>
      <c r="BI224" s="556"/>
      <c r="BJ224" s="556"/>
      <c r="BK224" s="556"/>
      <c r="BL224" s="556"/>
      <c r="BM224" s="556"/>
      <c r="BN224" s="556"/>
      <c r="BO224" s="556"/>
      <c r="BP224" s="556"/>
      <c r="BQ224" s="556"/>
      <c r="BR224" s="556"/>
      <c r="BS224" s="556"/>
      <c r="BT224" s="556"/>
      <c r="BU224" s="591" t="str" cm="1">
        <f t="array" ref="BU224">IFERROR(_xlfn.LET(_xlpm.i,ROWS($BU$2:BU224),_xlpm.cur,INDEX(tblLaminateStructures[Laminate],_xlpm.i),_xlpm.prev,IF(_xlpm.i=1,"",INDEX(tblLaminateStructures[Laminate],_xlpm.i-1)),IF(_xlpm.cur&lt;&gt;_xlpm.prev,_xlpm.cur,"")),"")</f>
        <v/>
      </c>
      <c r="BV224" s="556" t="str" cm="1">
        <f t="array" ref="BV224">IFERROR(_xlfn.LET(_xlpm.i,ROWS($BV$2:BV224),_xlpm.cur,INDEX(tblLaminateStructures[Total Thickness (µ)],_xlpm.i),_xlpm.prev,IF(_xlpm.i=1,"",INDEX(tblLaminateStructures[Total Thickness (µ)],_xlpm.i-1)),IF(OR(_xlpm.cur&lt;&gt;_xlpm.prev,BU224&lt;&gt;""),_xlpm.cur,"")),"")</f>
        <v/>
      </c>
      <c r="BW224" s="556" t="str" cm="1">
        <f t="array" ref="BW224">IFERROR(INDEX(tblLaminateStructures[Material / Layer],ROWS($BW$2:BW224)),"")</f>
        <v/>
      </c>
      <c r="BX224" s="556" t="str" cm="1">
        <f t="array" ref="BX224">IFERROR(INDEX(tblLaminateStructures[Layer Thickness (µ)],ROWS($BX$2:BX224)),"")</f>
        <v/>
      </c>
      <c r="BY224" s="556" t="str" cm="1">
        <f t="array" ref="BY224">IFERROR(INDEX(tblLaminateStructures[Structure Check],ROWS($BY$2:BY224)),"")</f>
        <v/>
      </c>
      <c r="BZ224" s="591" t="str" cm="1">
        <f t="array" ref="BZ224">IFERROR(INDEX(tblLaminateStructures[Laminate],ROWS($BZ$2:BZ224)),"")</f>
        <v/>
      </c>
      <c r="CA224" s="556"/>
      <c r="CB224" s="556"/>
      <c r="CC224" s="556" t="str" cm="1">
        <f t="array" ref="CC224">IFERROR(INDEX(tblLaminateStructures[Total Thickness (µ)],ROWS($CC$2:CC224)),"")</f>
        <v/>
      </c>
      <c r="CD224" s="556"/>
      <c r="CE224" s="556"/>
      <c r="CF224" s="556"/>
      <c r="CG224" s="556"/>
      <c r="CH224" s="556"/>
    </row>
    <row r="225" spans="58:86">
      <c r="BF225" s="556"/>
      <c r="BG225" s="556"/>
      <c r="BH225" s="556"/>
      <c r="BI225" s="556"/>
      <c r="BJ225" s="556"/>
      <c r="BK225" s="556"/>
      <c r="BL225" s="556"/>
      <c r="BM225" s="556"/>
      <c r="BN225" s="556"/>
      <c r="BO225" s="556"/>
      <c r="BP225" s="556"/>
      <c r="BQ225" s="556"/>
      <c r="BR225" s="556"/>
      <c r="BS225" s="556"/>
      <c r="BT225" s="556"/>
      <c r="BU225" s="591" t="str" cm="1">
        <f t="array" ref="BU225">IFERROR(_xlfn.LET(_xlpm.i,ROWS($BU$2:BU225),_xlpm.cur,INDEX(tblLaminateStructures[Laminate],_xlpm.i),_xlpm.prev,IF(_xlpm.i=1,"",INDEX(tblLaminateStructures[Laminate],_xlpm.i-1)),IF(_xlpm.cur&lt;&gt;_xlpm.prev,_xlpm.cur,"")),"")</f>
        <v/>
      </c>
      <c r="BV225" s="556" t="str" cm="1">
        <f t="array" ref="BV225">IFERROR(_xlfn.LET(_xlpm.i,ROWS($BV$2:BV225),_xlpm.cur,INDEX(tblLaminateStructures[Total Thickness (µ)],_xlpm.i),_xlpm.prev,IF(_xlpm.i=1,"",INDEX(tblLaminateStructures[Total Thickness (µ)],_xlpm.i-1)),IF(OR(_xlpm.cur&lt;&gt;_xlpm.prev,BU225&lt;&gt;""),_xlpm.cur,"")),"")</f>
        <v/>
      </c>
      <c r="BW225" s="556" t="str" cm="1">
        <f t="array" ref="BW225">IFERROR(INDEX(tblLaminateStructures[Material / Layer],ROWS($BW$2:BW225)),"")</f>
        <v/>
      </c>
      <c r="BX225" s="556" t="str" cm="1">
        <f t="array" ref="BX225">IFERROR(INDEX(tblLaminateStructures[Layer Thickness (µ)],ROWS($BX$2:BX225)),"")</f>
        <v/>
      </c>
      <c r="BY225" s="556" t="str" cm="1">
        <f t="array" ref="BY225">IFERROR(INDEX(tblLaminateStructures[Structure Check],ROWS($BY$2:BY225)),"")</f>
        <v/>
      </c>
      <c r="BZ225" s="591" t="str" cm="1">
        <f t="array" ref="BZ225">IFERROR(INDEX(tblLaminateStructures[Laminate],ROWS($BZ$2:BZ225)),"")</f>
        <v/>
      </c>
      <c r="CA225" s="556"/>
      <c r="CB225" s="556"/>
      <c r="CC225" s="556" t="str" cm="1">
        <f t="array" ref="CC225">IFERROR(INDEX(tblLaminateStructures[Total Thickness (µ)],ROWS($CC$2:CC225)),"")</f>
        <v/>
      </c>
      <c r="CD225" s="556"/>
      <c r="CE225" s="556"/>
      <c r="CF225" s="556"/>
      <c r="CG225" s="556"/>
      <c r="CH225" s="556"/>
    </row>
    <row r="226" spans="58:86">
      <c r="BF226" s="556"/>
      <c r="BG226" s="556"/>
      <c r="BH226" s="556"/>
      <c r="BI226" s="556"/>
      <c r="BJ226" s="556"/>
      <c r="BK226" s="556"/>
      <c r="BL226" s="556"/>
      <c r="BM226" s="556"/>
      <c r="BN226" s="556"/>
      <c r="BO226" s="556"/>
      <c r="BP226" s="556"/>
      <c r="BQ226" s="556"/>
      <c r="BR226" s="556"/>
      <c r="BS226" s="556"/>
      <c r="BT226" s="556"/>
      <c r="BU226" s="591" t="str" cm="1">
        <f t="array" ref="BU226">IFERROR(_xlfn.LET(_xlpm.i,ROWS($BU$2:BU226),_xlpm.cur,INDEX(tblLaminateStructures[Laminate],_xlpm.i),_xlpm.prev,IF(_xlpm.i=1,"",INDEX(tblLaminateStructures[Laminate],_xlpm.i-1)),IF(_xlpm.cur&lt;&gt;_xlpm.prev,_xlpm.cur,"")),"")</f>
        <v/>
      </c>
      <c r="BV226" s="556" t="str" cm="1">
        <f t="array" ref="BV226">IFERROR(_xlfn.LET(_xlpm.i,ROWS($BV$2:BV226),_xlpm.cur,INDEX(tblLaminateStructures[Total Thickness (µ)],_xlpm.i),_xlpm.prev,IF(_xlpm.i=1,"",INDEX(tblLaminateStructures[Total Thickness (µ)],_xlpm.i-1)),IF(OR(_xlpm.cur&lt;&gt;_xlpm.prev,BU226&lt;&gt;""),_xlpm.cur,"")),"")</f>
        <v/>
      </c>
      <c r="BW226" s="556" t="str" cm="1">
        <f t="array" ref="BW226">IFERROR(INDEX(tblLaminateStructures[Material / Layer],ROWS($BW$2:BW226)),"")</f>
        <v/>
      </c>
      <c r="BX226" s="556" t="str" cm="1">
        <f t="array" ref="BX226">IFERROR(INDEX(tblLaminateStructures[Layer Thickness (µ)],ROWS($BX$2:BX226)),"")</f>
        <v/>
      </c>
      <c r="BY226" s="556" t="str" cm="1">
        <f t="array" ref="BY226">IFERROR(INDEX(tblLaminateStructures[Structure Check],ROWS($BY$2:BY226)),"")</f>
        <v/>
      </c>
      <c r="BZ226" s="591" t="str" cm="1">
        <f t="array" ref="BZ226">IFERROR(INDEX(tblLaminateStructures[Laminate],ROWS($BZ$2:BZ226)),"")</f>
        <v/>
      </c>
      <c r="CA226" s="556"/>
      <c r="CB226" s="556"/>
      <c r="CC226" s="556" t="str" cm="1">
        <f t="array" ref="CC226">IFERROR(INDEX(tblLaminateStructures[Total Thickness (µ)],ROWS($CC$2:CC226)),"")</f>
        <v/>
      </c>
      <c r="CD226" s="556"/>
      <c r="CE226" s="556"/>
      <c r="CF226" s="556"/>
      <c r="CG226" s="556"/>
      <c r="CH226" s="556"/>
    </row>
    <row r="227" spans="58:86">
      <c r="BF227" s="556"/>
      <c r="BG227" s="556"/>
      <c r="BH227" s="556"/>
      <c r="BI227" s="556"/>
      <c r="BJ227" s="556"/>
      <c r="BK227" s="556"/>
      <c r="BL227" s="556"/>
      <c r="BM227" s="556"/>
      <c r="BN227" s="556"/>
      <c r="BO227" s="556"/>
      <c r="BP227" s="556"/>
      <c r="BQ227" s="556"/>
      <c r="BR227" s="556"/>
      <c r="BS227" s="556"/>
      <c r="BT227" s="556"/>
      <c r="BU227" s="591" t="str" cm="1">
        <f t="array" ref="BU227">IFERROR(_xlfn.LET(_xlpm.i,ROWS($BU$2:BU227),_xlpm.cur,INDEX(tblLaminateStructures[Laminate],_xlpm.i),_xlpm.prev,IF(_xlpm.i=1,"",INDEX(tblLaminateStructures[Laminate],_xlpm.i-1)),IF(_xlpm.cur&lt;&gt;_xlpm.prev,_xlpm.cur,"")),"")</f>
        <v/>
      </c>
      <c r="BV227" s="556" t="str" cm="1">
        <f t="array" ref="BV227">IFERROR(_xlfn.LET(_xlpm.i,ROWS($BV$2:BV227),_xlpm.cur,INDEX(tblLaminateStructures[Total Thickness (µ)],_xlpm.i),_xlpm.prev,IF(_xlpm.i=1,"",INDEX(tblLaminateStructures[Total Thickness (µ)],_xlpm.i-1)),IF(OR(_xlpm.cur&lt;&gt;_xlpm.prev,BU227&lt;&gt;""),_xlpm.cur,"")),"")</f>
        <v/>
      </c>
      <c r="BW227" s="556" t="str" cm="1">
        <f t="array" ref="BW227">IFERROR(INDEX(tblLaminateStructures[Material / Layer],ROWS($BW$2:BW227)),"")</f>
        <v/>
      </c>
      <c r="BX227" s="556" t="str" cm="1">
        <f t="array" ref="BX227">IFERROR(INDEX(tblLaminateStructures[Layer Thickness (µ)],ROWS($BX$2:BX227)),"")</f>
        <v/>
      </c>
      <c r="BY227" s="556" t="str" cm="1">
        <f t="array" ref="BY227">IFERROR(INDEX(tblLaminateStructures[Structure Check],ROWS($BY$2:BY227)),"")</f>
        <v/>
      </c>
      <c r="BZ227" s="591" t="str" cm="1">
        <f t="array" ref="BZ227">IFERROR(INDEX(tblLaminateStructures[Laminate],ROWS($BZ$2:BZ227)),"")</f>
        <v/>
      </c>
      <c r="CA227" s="556"/>
      <c r="CB227" s="556"/>
      <c r="CC227" s="556" t="str" cm="1">
        <f t="array" ref="CC227">IFERROR(INDEX(tblLaminateStructures[Total Thickness (µ)],ROWS($CC$2:CC227)),"")</f>
        <v/>
      </c>
      <c r="CD227" s="556"/>
      <c r="CE227" s="556"/>
      <c r="CF227" s="556"/>
      <c r="CG227" s="556"/>
      <c r="CH227" s="556"/>
    </row>
    <row r="228" spans="58:86">
      <c r="BF228" s="556"/>
      <c r="BG228" s="556"/>
      <c r="BH228" s="556"/>
      <c r="BI228" s="556"/>
      <c r="BJ228" s="556"/>
      <c r="BK228" s="556"/>
      <c r="BL228" s="556"/>
      <c r="BM228" s="556"/>
      <c r="BN228" s="556"/>
      <c r="BO228" s="556"/>
      <c r="BP228" s="556"/>
      <c r="BQ228" s="556"/>
      <c r="BR228" s="556"/>
      <c r="BS228" s="556"/>
      <c r="BT228" s="556"/>
      <c r="BU228" s="591" t="str" cm="1">
        <f t="array" ref="BU228">IFERROR(_xlfn.LET(_xlpm.i,ROWS($BU$2:BU228),_xlpm.cur,INDEX(tblLaminateStructures[Laminate],_xlpm.i),_xlpm.prev,IF(_xlpm.i=1,"",INDEX(tblLaminateStructures[Laminate],_xlpm.i-1)),IF(_xlpm.cur&lt;&gt;_xlpm.prev,_xlpm.cur,"")),"")</f>
        <v/>
      </c>
      <c r="BV228" s="556" t="str" cm="1">
        <f t="array" ref="BV228">IFERROR(_xlfn.LET(_xlpm.i,ROWS($BV$2:BV228),_xlpm.cur,INDEX(tblLaminateStructures[Total Thickness (µ)],_xlpm.i),_xlpm.prev,IF(_xlpm.i=1,"",INDEX(tblLaminateStructures[Total Thickness (µ)],_xlpm.i-1)),IF(OR(_xlpm.cur&lt;&gt;_xlpm.prev,BU228&lt;&gt;""),_xlpm.cur,"")),"")</f>
        <v/>
      </c>
      <c r="BW228" s="556" t="str" cm="1">
        <f t="array" ref="BW228">IFERROR(INDEX(tblLaminateStructures[Material / Layer],ROWS($BW$2:BW228)),"")</f>
        <v/>
      </c>
      <c r="BX228" s="556" t="str" cm="1">
        <f t="array" ref="BX228">IFERROR(INDEX(tblLaminateStructures[Layer Thickness (µ)],ROWS($BX$2:BX228)),"")</f>
        <v/>
      </c>
      <c r="BY228" s="556" t="str" cm="1">
        <f t="array" ref="BY228">IFERROR(INDEX(tblLaminateStructures[Structure Check],ROWS($BY$2:BY228)),"")</f>
        <v/>
      </c>
      <c r="BZ228" s="591" t="str" cm="1">
        <f t="array" ref="BZ228">IFERROR(INDEX(tblLaminateStructures[Laminate],ROWS($BZ$2:BZ228)),"")</f>
        <v/>
      </c>
      <c r="CA228" s="556"/>
      <c r="CB228" s="556"/>
      <c r="CC228" s="556" t="str" cm="1">
        <f t="array" ref="CC228">IFERROR(INDEX(tblLaminateStructures[Total Thickness (µ)],ROWS($CC$2:CC228)),"")</f>
        <v/>
      </c>
      <c r="CD228" s="556"/>
      <c r="CE228" s="556"/>
      <c r="CF228" s="556"/>
      <c r="CG228" s="556"/>
      <c r="CH228" s="556"/>
    </row>
    <row r="229" spans="58:86">
      <c r="BF229" s="556"/>
      <c r="BG229" s="556"/>
      <c r="BH229" s="556"/>
      <c r="BI229" s="556"/>
      <c r="BJ229" s="556"/>
      <c r="BK229" s="556"/>
      <c r="BL229" s="556"/>
      <c r="BM229" s="556"/>
      <c r="BN229" s="556"/>
      <c r="BO229" s="556"/>
      <c r="BP229" s="556"/>
      <c r="BQ229" s="556"/>
      <c r="BR229" s="556"/>
      <c r="BS229" s="556"/>
      <c r="BT229" s="556"/>
      <c r="BU229" s="591" t="str" cm="1">
        <f t="array" ref="BU229">IFERROR(_xlfn.LET(_xlpm.i,ROWS($BU$2:BU229),_xlpm.cur,INDEX(tblLaminateStructures[Laminate],_xlpm.i),_xlpm.prev,IF(_xlpm.i=1,"",INDEX(tblLaminateStructures[Laminate],_xlpm.i-1)),IF(_xlpm.cur&lt;&gt;_xlpm.prev,_xlpm.cur,"")),"")</f>
        <v/>
      </c>
      <c r="BV229" s="556" t="str" cm="1">
        <f t="array" ref="BV229">IFERROR(_xlfn.LET(_xlpm.i,ROWS($BV$2:BV229),_xlpm.cur,INDEX(tblLaminateStructures[Total Thickness (µ)],_xlpm.i),_xlpm.prev,IF(_xlpm.i=1,"",INDEX(tblLaminateStructures[Total Thickness (µ)],_xlpm.i-1)),IF(OR(_xlpm.cur&lt;&gt;_xlpm.prev,BU229&lt;&gt;""),_xlpm.cur,"")),"")</f>
        <v/>
      </c>
      <c r="BW229" s="556" t="str" cm="1">
        <f t="array" ref="BW229">IFERROR(INDEX(tblLaminateStructures[Material / Layer],ROWS($BW$2:BW229)),"")</f>
        <v/>
      </c>
      <c r="BX229" s="556" t="str" cm="1">
        <f t="array" ref="BX229">IFERROR(INDEX(tblLaminateStructures[Layer Thickness (µ)],ROWS($BX$2:BX229)),"")</f>
        <v/>
      </c>
      <c r="BY229" s="556" t="str" cm="1">
        <f t="array" ref="BY229">IFERROR(INDEX(tblLaminateStructures[Structure Check],ROWS($BY$2:BY229)),"")</f>
        <v/>
      </c>
      <c r="BZ229" s="591" t="str" cm="1">
        <f t="array" ref="BZ229">IFERROR(INDEX(tblLaminateStructures[Laminate],ROWS($BZ$2:BZ229)),"")</f>
        <v/>
      </c>
      <c r="CA229" s="556"/>
      <c r="CB229" s="556"/>
      <c r="CC229" s="556" t="str" cm="1">
        <f t="array" ref="CC229">IFERROR(INDEX(tblLaminateStructures[Total Thickness (µ)],ROWS($CC$2:CC229)),"")</f>
        <v/>
      </c>
      <c r="CD229" s="556"/>
      <c r="CE229" s="556"/>
      <c r="CF229" s="556"/>
      <c r="CG229" s="556"/>
      <c r="CH229" s="556"/>
    </row>
    <row r="230" spans="58:86">
      <c r="BF230" s="556"/>
      <c r="BG230" s="556"/>
      <c r="BH230" s="556"/>
      <c r="BI230" s="556"/>
      <c r="BJ230" s="556"/>
      <c r="BK230" s="556"/>
      <c r="BL230" s="556"/>
      <c r="BM230" s="556"/>
      <c r="BN230" s="556"/>
      <c r="BO230" s="556"/>
      <c r="BP230" s="556"/>
      <c r="BQ230" s="556"/>
      <c r="BR230" s="556"/>
      <c r="BS230" s="556"/>
      <c r="BT230" s="556"/>
      <c r="BU230" s="591" t="str" cm="1">
        <f t="array" ref="BU230">IFERROR(_xlfn.LET(_xlpm.i,ROWS($BU$2:BU230),_xlpm.cur,INDEX(tblLaminateStructures[Laminate],_xlpm.i),_xlpm.prev,IF(_xlpm.i=1,"",INDEX(tblLaminateStructures[Laminate],_xlpm.i-1)),IF(_xlpm.cur&lt;&gt;_xlpm.prev,_xlpm.cur,"")),"")</f>
        <v/>
      </c>
      <c r="BV230" s="556" t="str" cm="1">
        <f t="array" ref="BV230">IFERROR(_xlfn.LET(_xlpm.i,ROWS($BV$2:BV230),_xlpm.cur,INDEX(tblLaminateStructures[Total Thickness (µ)],_xlpm.i),_xlpm.prev,IF(_xlpm.i=1,"",INDEX(tblLaminateStructures[Total Thickness (µ)],_xlpm.i-1)),IF(OR(_xlpm.cur&lt;&gt;_xlpm.prev,BU230&lt;&gt;""),_xlpm.cur,"")),"")</f>
        <v/>
      </c>
      <c r="BW230" s="556" t="str" cm="1">
        <f t="array" ref="BW230">IFERROR(INDEX(tblLaminateStructures[Material / Layer],ROWS($BW$2:BW230)),"")</f>
        <v/>
      </c>
      <c r="BX230" s="556" t="str" cm="1">
        <f t="array" ref="BX230">IFERROR(INDEX(tblLaminateStructures[Layer Thickness (µ)],ROWS($BX$2:BX230)),"")</f>
        <v/>
      </c>
      <c r="BY230" s="556" t="str" cm="1">
        <f t="array" ref="BY230">IFERROR(INDEX(tblLaminateStructures[Structure Check],ROWS($BY$2:BY230)),"")</f>
        <v/>
      </c>
      <c r="BZ230" s="591" t="str" cm="1">
        <f t="array" ref="BZ230">IFERROR(INDEX(tblLaminateStructures[Laminate],ROWS($BZ$2:BZ230)),"")</f>
        <v/>
      </c>
      <c r="CA230" s="556"/>
      <c r="CB230" s="556"/>
      <c r="CC230" s="556" t="str" cm="1">
        <f t="array" ref="CC230">IFERROR(INDEX(tblLaminateStructures[Total Thickness (µ)],ROWS($CC$2:CC230)),"")</f>
        <v/>
      </c>
      <c r="CD230" s="556"/>
      <c r="CE230" s="556"/>
      <c r="CF230" s="556"/>
      <c r="CG230" s="556"/>
      <c r="CH230" s="556"/>
    </row>
    <row r="231" spans="58:86">
      <c r="BF231" s="556"/>
      <c r="BG231" s="556"/>
      <c r="BH231" s="556"/>
      <c r="BI231" s="556"/>
      <c r="BJ231" s="556"/>
      <c r="BK231" s="556"/>
      <c r="BL231" s="556"/>
      <c r="BM231" s="556"/>
      <c r="BN231" s="556"/>
      <c r="BO231" s="556"/>
      <c r="BP231" s="556"/>
      <c r="BQ231" s="556"/>
      <c r="BR231" s="556"/>
      <c r="BS231" s="556"/>
      <c r="BT231" s="556"/>
      <c r="BU231" s="591" t="str" cm="1">
        <f t="array" ref="BU231">IFERROR(_xlfn.LET(_xlpm.i,ROWS($BU$2:BU231),_xlpm.cur,INDEX(tblLaminateStructures[Laminate],_xlpm.i),_xlpm.prev,IF(_xlpm.i=1,"",INDEX(tblLaminateStructures[Laminate],_xlpm.i-1)),IF(_xlpm.cur&lt;&gt;_xlpm.prev,_xlpm.cur,"")),"")</f>
        <v/>
      </c>
      <c r="BV231" s="556" t="str" cm="1">
        <f t="array" ref="BV231">IFERROR(_xlfn.LET(_xlpm.i,ROWS($BV$2:BV231),_xlpm.cur,INDEX(tblLaminateStructures[Total Thickness (µ)],_xlpm.i),_xlpm.prev,IF(_xlpm.i=1,"",INDEX(tblLaminateStructures[Total Thickness (µ)],_xlpm.i-1)),IF(OR(_xlpm.cur&lt;&gt;_xlpm.prev,BU231&lt;&gt;""),_xlpm.cur,"")),"")</f>
        <v/>
      </c>
      <c r="BW231" s="556" t="str" cm="1">
        <f t="array" ref="BW231">IFERROR(INDEX(tblLaminateStructures[Material / Layer],ROWS($BW$2:BW231)),"")</f>
        <v/>
      </c>
      <c r="BX231" s="556" t="str" cm="1">
        <f t="array" ref="BX231">IFERROR(INDEX(tblLaminateStructures[Layer Thickness (µ)],ROWS($BX$2:BX231)),"")</f>
        <v/>
      </c>
      <c r="BY231" s="556" t="str" cm="1">
        <f t="array" ref="BY231">IFERROR(INDEX(tblLaminateStructures[Structure Check],ROWS($BY$2:BY231)),"")</f>
        <v/>
      </c>
      <c r="BZ231" s="591" t="str" cm="1">
        <f t="array" ref="BZ231">IFERROR(INDEX(tblLaminateStructures[Laminate],ROWS($BZ$2:BZ231)),"")</f>
        <v/>
      </c>
      <c r="CA231" s="556"/>
      <c r="CB231" s="556"/>
      <c r="CC231" s="556" t="str" cm="1">
        <f t="array" ref="CC231">IFERROR(INDEX(tblLaminateStructures[Total Thickness (µ)],ROWS($CC$2:CC231)),"")</f>
        <v/>
      </c>
      <c r="CD231" s="556"/>
      <c r="CE231" s="556"/>
      <c r="CF231" s="556"/>
      <c r="CG231" s="556"/>
      <c r="CH231" s="556"/>
    </row>
    <row r="232" spans="58:86">
      <c r="BF232" s="556"/>
      <c r="BG232" s="556"/>
      <c r="BH232" s="556"/>
      <c r="BI232" s="556"/>
      <c r="BJ232" s="556"/>
      <c r="BK232" s="556"/>
      <c r="BL232" s="556"/>
      <c r="BM232" s="556"/>
      <c r="BN232" s="556"/>
      <c r="BO232" s="556"/>
      <c r="BP232" s="556"/>
      <c r="BQ232" s="556"/>
      <c r="BR232" s="556"/>
      <c r="BS232" s="556"/>
      <c r="BT232" s="556"/>
      <c r="BU232" s="591" t="str" cm="1">
        <f t="array" ref="BU232">IFERROR(_xlfn.LET(_xlpm.i,ROWS($BU$2:BU232),_xlpm.cur,INDEX(tblLaminateStructures[Laminate],_xlpm.i),_xlpm.prev,IF(_xlpm.i=1,"",INDEX(tblLaminateStructures[Laminate],_xlpm.i-1)),IF(_xlpm.cur&lt;&gt;_xlpm.prev,_xlpm.cur,"")),"")</f>
        <v/>
      </c>
      <c r="BV232" s="556" t="str" cm="1">
        <f t="array" ref="BV232">IFERROR(_xlfn.LET(_xlpm.i,ROWS($BV$2:BV232),_xlpm.cur,INDEX(tblLaminateStructures[Total Thickness (µ)],_xlpm.i),_xlpm.prev,IF(_xlpm.i=1,"",INDEX(tblLaminateStructures[Total Thickness (µ)],_xlpm.i-1)),IF(OR(_xlpm.cur&lt;&gt;_xlpm.prev,BU232&lt;&gt;""),_xlpm.cur,"")),"")</f>
        <v/>
      </c>
      <c r="BW232" s="556" t="str" cm="1">
        <f t="array" ref="BW232">IFERROR(INDEX(tblLaminateStructures[Material / Layer],ROWS($BW$2:BW232)),"")</f>
        <v/>
      </c>
      <c r="BX232" s="556" t="str" cm="1">
        <f t="array" ref="BX232">IFERROR(INDEX(tblLaminateStructures[Layer Thickness (µ)],ROWS($BX$2:BX232)),"")</f>
        <v/>
      </c>
      <c r="BY232" s="556" t="str" cm="1">
        <f t="array" ref="BY232">IFERROR(INDEX(tblLaminateStructures[Structure Check],ROWS($BY$2:BY232)),"")</f>
        <v/>
      </c>
      <c r="BZ232" s="591" t="str" cm="1">
        <f t="array" ref="BZ232">IFERROR(INDEX(tblLaminateStructures[Laminate],ROWS($BZ$2:BZ232)),"")</f>
        <v/>
      </c>
      <c r="CA232" s="556"/>
      <c r="CB232" s="556"/>
      <c r="CC232" s="556" t="str" cm="1">
        <f t="array" ref="CC232">IFERROR(INDEX(tblLaminateStructures[Total Thickness (µ)],ROWS($CC$2:CC232)),"")</f>
        <v/>
      </c>
      <c r="CD232" s="556"/>
      <c r="CE232" s="556"/>
      <c r="CF232" s="556"/>
      <c r="CG232" s="556"/>
      <c r="CH232" s="556"/>
    </row>
    <row r="233" spans="58:86">
      <c r="BF233" s="556"/>
      <c r="BG233" s="556"/>
      <c r="BH233" s="556"/>
      <c r="BI233" s="556"/>
      <c r="BJ233" s="556"/>
      <c r="BK233" s="556"/>
      <c r="BL233" s="556"/>
      <c r="BM233" s="556"/>
      <c r="BN233" s="556"/>
      <c r="BO233" s="556"/>
      <c r="BP233" s="556"/>
      <c r="BQ233" s="556"/>
      <c r="BR233" s="556"/>
      <c r="BS233" s="556"/>
      <c r="BT233" s="556"/>
      <c r="BU233" s="591" t="str" cm="1">
        <f t="array" ref="BU233">IFERROR(_xlfn.LET(_xlpm.i,ROWS($BU$2:BU233),_xlpm.cur,INDEX(tblLaminateStructures[Laminate],_xlpm.i),_xlpm.prev,IF(_xlpm.i=1,"",INDEX(tblLaminateStructures[Laminate],_xlpm.i-1)),IF(_xlpm.cur&lt;&gt;_xlpm.prev,_xlpm.cur,"")),"")</f>
        <v/>
      </c>
      <c r="BV233" s="556" t="str" cm="1">
        <f t="array" ref="BV233">IFERROR(_xlfn.LET(_xlpm.i,ROWS($BV$2:BV233),_xlpm.cur,INDEX(tblLaminateStructures[Total Thickness (µ)],_xlpm.i),_xlpm.prev,IF(_xlpm.i=1,"",INDEX(tblLaminateStructures[Total Thickness (µ)],_xlpm.i-1)),IF(OR(_xlpm.cur&lt;&gt;_xlpm.prev,BU233&lt;&gt;""),_xlpm.cur,"")),"")</f>
        <v/>
      </c>
      <c r="BW233" s="556" t="str" cm="1">
        <f t="array" ref="BW233">IFERROR(INDEX(tblLaminateStructures[Material / Layer],ROWS($BW$2:BW233)),"")</f>
        <v/>
      </c>
      <c r="BX233" s="556" t="str" cm="1">
        <f t="array" ref="BX233">IFERROR(INDEX(tblLaminateStructures[Layer Thickness (µ)],ROWS($BX$2:BX233)),"")</f>
        <v/>
      </c>
      <c r="BY233" s="556" t="str" cm="1">
        <f t="array" ref="BY233">IFERROR(INDEX(tblLaminateStructures[Structure Check],ROWS($BY$2:BY233)),"")</f>
        <v/>
      </c>
      <c r="BZ233" s="591" t="str" cm="1">
        <f t="array" ref="BZ233">IFERROR(INDEX(tblLaminateStructures[Laminate],ROWS($BZ$2:BZ233)),"")</f>
        <v/>
      </c>
      <c r="CA233" s="556"/>
      <c r="CB233" s="556"/>
      <c r="CC233" s="556" t="str" cm="1">
        <f t="array" ref="CC233">IFERROR(INDEX(tblLaminateStructures[Total Thickness (µ)],ROWS($CC$2:CC233)),"")</f>
        <v/>
      </c>
      <c r="CD233" s="556"/>
      <c r="CE233" s="556"/>
      <c r="CF233" s="556"/>
      <c r="CG233" s="556"/>
      <c r="CH233" s="556"/>
    </row>
    <row r="234" spans="58:86">
      <c r="BF234" s="556"/>
      <c r="BG234" s="556"/>
      <c r="BH234" s="556"/>
      <c r="BI234" s="556"/>
      <c r="BJ234" s="556"/>
      <c r="BK234" s="556"/>
      <c r="BL234" s="556"/>
      <c r="BM234" s="556"/>
      <c r="BN234" s="556"/>
      <c r="BO234" s="556"/>
      <c r="BP234" s="556"/>
      <c r="BQ234" s="556"/>
      <c r="BR234" s="556"/>
      <c r="BS234" s="556"/>
      <c r="BT234" s="556"/>
      <c r="BU234" s="591" t="str" cm="1">
        <f t="array" ref="BU234">IFERROR(_xlfn.LET(_xlpm.i,ROWS($BU$2:BU234),_xlpm.cur,INDEX(tblLaminateStructures[Laminate],_xlpm.i),_xlpm.prev,IF(_xlpm.i=1,"",INDEX(tblLaminateStructures[Laminate],_xlpm.i-1)),IF(_xlpm.cur&lt;&gt;_xlpm.prev,_xlpm.cur,"")),"")</f>
        <v/>
      </c>
      <c r="BV234" s="556" t="str" cm="1">
        <f t="array" ref="BV234">IFERROR(_xlfn.LET(_xlpm.i,ROWS($BV$2:BV234),_xlpm.cur,INDEX(tblLaminateStructures[Total Thickness (µ)],_xlpm.i),_xlpm.prev,IF(_xlpm.i=1,"",INDEX(tblLaminateStructures[Total Thickness (µ)],_xlpm.i-1)),IF(OR(_xlpm.cur&lt;&gt;_xlpm.prev,BU234&lt;&gt;""),_xlpm.cur,"")),"")</f>
        <v/>
      </c>
      <c r="BW234" s="556" t="str" cm="1">
        <f t="array" ref="BW234">IFERROR(INDEX(tblLaminateStructures[Material / Layer],ROWS($BW$2:BW234)),"")</f>
        <v/>
      </c>
      <c r="BX234" s="556" t="str" cm="1">
        <f t="array" ref="BX234">IFERROR(INDEX(tblLaminateStructures[Layer Thickness (µ)],ROWS($BX$2:BX234)),"")</f>
        <v/>
      </c>
      <c r="BY234" s="556" t="str" cm="1">
        <f t="array" ref="BY234">IFERROR(INDEX(tblLaminateStructures[Structure Check],ROWS($BY$2:BY234)),"")</f>
        <v/>
      </c>
      <c r="BZ234" s="591" t="str" cm="1">
        <f t="array" ref="BZ234">IFERROR(INDEX(tblLaminateStructures[Laminate],ROWS($BZ$2:BZ234)),"")</f>
        <v/>
      </c>
      <c r="CA234" s="556"/>
      <c r="CB234" s="556"/>
      <c r="CC234" s="556" t="str" cm="1">
        <f t="array" ref="CC234">IFERROR(INDEX(tblLaminateStructures[Total Thickness (µ)],ROWS($CC$2:CC234)),"")</f>
        <v/>
      </c>
      <c r="CD234" s="556"/>
      <c r="CE234" s="556"/>
      <c r="CF234" s="556"/>
      <c r="CG234" s="556"/>
      <c r="CH234" s="556"/>
    </row>
    <row r="235" spans="58:86">
      <c r="BF235" s="556"/>
      <c r="BG235" s="556"/>
      <c r="BH235" s="556"/>
      <c r="BI235" s="556"/>
      <c r="BJ235" s="556"/>
      <c r="BK235" s="556"/>
      <c r="BL235" s="556"/>
      <c r="BM235" s="556"/>
      <c r="BN235" s="556"/>
      <c r="BO235" s="556"/>
      <c r="BP235" s="556"/>
      <c r="BQ235" s="556"/>
      <c r="BR235" s="556"/>
      <c r="BS235" s="556"/>
      <c r="BT235" s="556"/>
      <c r="BU235" s="591" t="str" cm="1">
        <f t="array" ref="BU235">IFERROR(_xlfn.LET(_xlpm.i,ROWS($BU$2:BU235),_xlpm.cur,INDEX(tblLaminateStructures[Laminate],_xlpm.i),_xlpm.prev,IF(_xlpm.i=1,"",INDEX(tblLaminateStructures[Laminate],_xlpm.i-1)),IF(_xlpm.cur&lt;&gt;_xlpm.prev,_xlpm.cur,"")),"")</f>
        <v/>
      </c>
      <c r="BV235" s="556" t="str" cm="1">
        <f t="array" ref="BV235">IFERROR(_xlfn.LET(_xlpm.i,ROWS($BV$2:BV235),_xlpm.cur,INDEX(tblLaminateStructures[Total Thickness (µ)],_xlpm.i),_xlpm.prev,IF(_xlpm.i=1,"",INDEX(tblLaminateStructures[Total Thickness (µ)],_xlpm.i-1)),IF(OR(_xlpm.cur&lt;&gt;_xlpm.prev,BU235&lt;&gt;""),_xlpm.cur,"")),"")</f>
        <v/>
      </c>
      <c r="BW235" s="556" t="str" cm="1">
        <f t="array" ref="BW235">IFERROR(INDEX(tblLaminateStructures[Material / Layer],ROWS($BW$2:BW235)),"")</f>
        <v/>
      </c>
      <c r="BX235" s="556" t="str" cm="1">
        <f t="array" ref="BX235">IFERROR(INDEX(tblLaminateStructures[Layer Thickness (µ)],ROWS($BX$2:BX235)),"")</f>
        <v/>
      </c>
      <c r="BY235" s="556" t="str" cm="1">
        <f t="array" ref="BY235">IFERROR(INDEX(tblLaminateStructures[Structure Check],ROWS($BY$2:BY235)),"")</f>
        <v/>
      </c>
      <c r="BZ235" s="591" t="str" cm="1">
        <f t="array" ref="BZ235">IFERROR(INDEX(tblLaminateStructures[Laminate],ROWS($BZ$2:BZ235)),"")</f>
        <v/>
      </c>
      <c r="CA235" s="556"/>
      <c r="CB235" s="556"/>
      <c r="CC235" s="556" t="str" cm="1">
        <f t="array" ref="CC235">IFERROR(INDEX(tblLaminateStructures[Total Thickness (µ)],ROWS($CC$2:CC235)),"")</f>
        <v/>
      </c>
      <c r="CD235" s="556"/>
      <c r="CE235" s="556"/>
      <c r="CF235" s="556"/>
      <c r="CG235" s="556"/>
      <c r="CH235" s="556"/>
    </row>
    <row r="236" spans="58:86">
      <c r="BF236" s="556"/>
      <c r="BG236" s="556"/>
      <c r="BH236" s="556"/>
      <c r="BI236" s="556"/>
      <c r="BJ236" s="556"/>
      <c r="BK236" s="556"/>
      <c r="BL236" s="556"/>
      <c r="BM236" s="556"/>
      <c r="BN236" s="556"/>
      <c r="BO236" s="556"/>
      <c r="BP236" s="556"/>
      <c r="BQ236" s="556"/>
      <c r="BR236" s="556"/>
      <c r="BS236" s="556"/>
      <c r="BT236" s="556"/>
      <c r="BU236" s="591" t="str" cm="1">
        <f t="array" ref="BU236">IFERROR(_xlfn.LET(_xlpm.i,ROWS($BU$2:BU236),_xlpm.cur,INDEX(tblLaminateStructures[Laminate],_xlpm.i),_xlpm.prev,IF(_xlpm.i=1,"",INDEX(tblLaminateStructures[Laminate],_xlpm.i-1)),IF(_xlpm.cur&lt;&gt;_xlpm.prev,_xlpm.cur,"")),"")</f>
        <v/>
      </c>
      <c r="BV236" s="556" t="str" cm="1">
        <f t="array" ref="BV236">IFERROR(_xlfn.LET(_xlpm.i,ROWS($BV$2:BV236),_xlpm.cur,INDEX(tblLaminateStructures[Total Thickness (µ)],_xlpm.i),_xlpm.prev,IF(_xlpm.i=1,"",INDEX(tblLaminateStructures[Total Thickness (µ)],_xlpm.i-1)),IF(OR(_xlpm.cur&lt;&gt;_xlpm.prev,BU236&lt;&gt;""),_xlpm.cur,"")),"")</f>
        <v/>
      </c>
      <c r="BW236" s="556" t="str" cm="1">
        <f t="array" ref="BW236">IFERROR(INDEX(tblLaminateStructures[Material / Layer],ROWS($BW$2:BW236)),"")</f>
        <v/>
      </c>
      <c r="BX236" s="556" t="str" cm="1">
        <f t="array" ref="BX236">IFERROR(INDEX(tblLaminateStructures[Layer Thickness (µ)],ROWS($BX$2:BX236)),"")</f>
        <v/>
      </c>
      <c r="BY236" s="556" t="str" cm="1">
        <f t="array" ref="BY236">IFERROR(INDEX(tblLaminateStructures[Structure Check],ROWS($BY$2:BY236)),"")</f>
        <v/>
      </c>
      <c r="BZ236" s="591" t="str" cm="1">
        <f t="array" ref="BZ236">IFERROR(INDEX(tblLaminateStructures[Laminate],ROWS($BZ$2:BZ236)),"")</f>
        <v/>
      </c>
      <c r="CA236" s="556"/>
      <c r="CB236" s="556"/>
      <c r="CC236" s="556" t="str" cm="1">
        <f t="array" ref="CC236">IFERROR(INDEX(tblLaminateStructures[Total Thickness (µ)],ROWS($CC$2:CC236)),"")</f>
        <v/>
      </c>
      <c r="CD236" s="556"/>
      <c r="CE236" s="556"/>
      <c r="CF236" s="556"/>
      <c r="CG236" s="556"/>
      <c r="CH236" s="556"/>
    </row>
    <row r="237" spans="58:86">
      <c r="BF237" s="556"/>
      <c r="BG237" s="556"/>
      <c r="BH237" s="556"/>
      <c r="BI237" s="556"/>
      <c r="BJ237" s="556"/>
      <c r="BK237" s="556"/>
      <c r="BL237" s="556"/>
      <c r="BM237" s="556"/>
      <c r="BN237" s="556"/>
      <c r="BO237" s="556"/>
      <c r="BP237" s="556"/>
      <c r="BQ237" s="556"/>
      <c r="BR237" s="556"/>
      <c r="BS237" s="556"/>
      <c r="BT237" s="556"/>
      <c r="BU237" s="591" t="str" cm="1">
        <f t="array" ref="BU237">IFERROR(_xlfn.LET(_xlpm.i,ROWS($BU$2:BU237),_xlpm.cur,INDEX(tblLaminateStructures[Laminate],_xlpm.i),_xlpm.prev,IF(_xlpm.i=1,"",INDEX(tblLaminateStructures[Laminate],_xlpm.i-1)),IF(_xlpm.cur&lt;&gt;_xlpm.prev,_xlpm.cur,"")),"")</f>
        <v/>
      </c>
      <c r="BV237" s="556" t="str" cm="1">
        <f t="array" ref="BV237">IFERROR(_xlfn.LET(_xlpm.i,ROWS($BV$2:BV237),_xlpm.cur,INDEX(tblLaminateStructures[Total Thickness (µ)],_xlpm.i),_xlpm.prev,IF(_xlpm.i=1,"",INDEX(tblLaminateStructures[Total Thickness (µ)],_xlpm.i-1)),IF(OR(_xlpm.cur&lt;&gt;_xlpm.prev,BU237&lt;&gt;""),_xlpm.cur,"")),"")</f>
        <v/>
      </c>
      <c r="BW237" s="556" t="str" cm="1">
        <f t="array" ref="BW237">IFERROR(INDEX(tblLaminateStructures[Material / Layer],ROWS($BW$2:BW237)),"")</f>
        <v/>
      </c>
      <c r="BX237" s="556" t="str" cm="1">
        <f t="array" ref="BX237">IFERROR(INDEX(tblLaminateStructures[Layer Thickness (µ)],ROWS($BX$2:BX237)),"")</f>
        <v/>
      </c>
      <c r="BY237" s="556" t="str" cm="1">
        <f t="array" ref="BY237">IFERROR(INDEX(tblLaminateStructures[Structure Check],ROWS($BY$2:BY237)),"")</f>
        <v/>
      </c>
      <c r="BZ237" s="591" t="str" cm="1">
        <f t="array" ref="BZ237">IFERROR(INDEX(tblLaminateStructures[Laminate],ROWS($BZ$2:BZ237)),"")</f>
        <v/>
      </c>
      <c r="CA237" s="556"/>
      <c r="CB237" s="556"/>
      <c r="CC237" s="556" t="str" cm="1">
        <f t="array" ref="CC237">IFERROR(INDEX(tblLaminateStructures[Total Thickness (µ)],ROWS($CC$2:CC237)),"")</f>
        <v/>
      </c>
      <c r="CD237" s="556"/>
      <c r="CE237" s="556"/>
      <c r="CF237" s="556"/>
      <c r="CG237" s="556"/>
      <c r="CH237" s="556"/>
    </row>
    <row r="238" spans="58:86">
      <c r="BF238" s="556"/>
      <c r="BG238" s="556"/>
      <c r="BH238" s="556"/>
      <c r="BI238" s="556"/>
      <c r="BJ238" s="556"/>
      <c r="BK238" s="556"/>
      <c r="BL238" s="556"/>
      <c r="BM238" s="556"/>
      <c r="BN238" s="556"/>
      <c r="BO238" s="556"/>
      <c r="BP238" s="556"/>
      <c r="BQ238" s="556"/>
      <c r="BR238" s="556"/>
      <c r="BS238" s="556"/>
      <c r="BT238" s="556"/>
      <c r="BU238" s="591" t="str" cm="1">
        <f t="array" ref="BU238">IFERROR(_xlfn.LET(_xlpm.i,ROWS($BU$2:BU238),_xlpm.cur,INDEX(tblLaminateStructures[Laminate],_xlpm.i),_xlpm.prev,IF(_xlpm.i=1,"",INDEX(tblLaminateStructures[Laminate],_xlpm.i-1)),IF(_xlpm.cur&lt;&gt;_xlpm.prev,_xlpm.cur,"")),"")</f>
        <v/>
      </c>
      <c r="BV238" s="556" t="str" cm="1">
        <f t="array" ref="BV238">IFERROR(_xlfn.LET(_xlpm.i,ROWS($BV$2:BV238),_xlpm.cur,INDEX(tblLaminateStructures[Total Thickness (µ)],_xlpm.i),_xlpm.prev,IF(_xlpm.i=1,"",INDEX(tblLaminateStructures[Total Thickness (µ)],_xlpm.i-1)),IF(OR(_xlpm.cur&lt;&gt;_xlpm.prev,BU238&lt;&gt;""),_xlpm.cur,"")),"")</f>
        <v/>
      </c>
      <c r="BW238" s="556" t="str" cm="1">
        <f t="array" ref="BW238">IFERROR(INDEX(tblLaminateStructures[Material / Layer],ROWS($BW$2:BW238)),"")</f>
        <v/>
      </c>
      <c r="BX238" s="556" t="str" cm="1">
        <f t="array" ref="BX238">IFERROR(INDEX(tblLaminateStructures[Layer Thickness (µ)],ROWS($BX$2:BX238)),"")</f>
        <v/>
      </c>
      <c r="BY238" s="556" t="str" cm="1">
        <f t="array" ref="BY238">IFERROR(INDEX(tblLaminateStructures[Structure Check],ROWS($BY$2:BY238)),"")</f>
        <v/>
      </c>
      <c r="BZ238" s="591" t="str" cm="1">
        <f t="array" ref="BZ238">IFERROR(INDEX(tblLaminateStructures[Laminate],ROWS($BZ$2:BZ238)),"")</f>
        <v/>
      </c>
      <c r="CA238" s="556"/>
      <c r="CB238" s="556"/>
      <c r="CC238" s="556" t="str" cm="1">
        <f t="array" ref="CC238">IFERROR(INDEX(tblLaminateStructures[Total Thickness (µ)],ROWS($CC$2:CC238)),"")</f>
        <v/>
      </c>
      <c r="CD238" s="556"/>
      <c r="CE238" s="556"/>
      <c r="CF238" s="556"/>
      <c r="CG238" s="556"/>
      <c r="CH238" s="556"/>
    </row>
    <row r="239" spans="58:86">
      <c r="BF239" s="556"/>
      <c r="BG239" s="556"/>
      <c r="BH239" s="556"/>
      <c r="BI239" s="556"/>
      <c r="BJ239" s="556"/>
      <c r="BK239" s="556"/>
      <c r="BL239" s="556"/>
      <c r="BM239" s="556"/>
      <c r="BN239" s="556"/>
      <c r="BO239" s="556"/>
      <c r="BP239" s="556"/>
      <c r="BQ239" s="556"/>
      <c r="BR239" s="556"/>
      <c r="BS239" s="556"/>
      <c r="BT239" s="556"/>
      <c r="BU239" s="591" t="str" cm="1">
        <f t="array" ref="BU239">IFERROR(_xlfn.LET(_xlpm.i,ROWS($BU$2:BU239),_xlpm.cur,INDEX(tblLaminateStructures[Laminate],_xlpm.i),_xlpm.prev,IF(_xlpm.i=1,"",INDEX(tblLaminateStructures[Laminate],_xlpm.i-1)),IF(_xlpm.cur&lt;&gt;_xlpm.prev,_xlpm.cur,"")),"")</f>
        <v/>
      </c>
      <c r="BV239" s="556" t="str" cm="1">
        <f t="array" ref="BV239">IFERROR(_xlfn.LET(_xlpm.i,ROWS($BV$2:BV239),_xlpm.cur,INDEX(tblLaminateStructures[Total Thickness (µ)],_xlpm.i),_xlpm.prev,IF(_xlpm.i=1,"",INDEX(tblLaminateStructures[Total Thickness (µ)],_xlpm.i-1)),IF(OR(_xlpm.cur&lt;&gt;_xlpm.prev,BU239&lt;&gt;""),_xlpm.cur,"")),"")</f>
        <v/>
      </c>
      <c r="BW239" s="556" t="str" cm="1">
        <f t="array" ref="BW239">IFERROR(INDEX(tblLaminateStructures[Material / Layer],ROWS($BW$2:BW239)),"")</f>
        <v/>
      </c>
      <c r="BX239" s="556" t="str" cm="1">
        <f t="array" ref="BX239">IFERROR(INDEX(tblLaminateStructures[Layer Thickness (µ)],ROWS($BX$2:BX239)),"")</f>
        <v/>
      </c>
      <c r="BY239" s="556" t="str" cm="1">
        <f t="array" ref="BY239">IFERROR(INDEX(tblLaminateStructures[Structure Check],ROWS($BY$2:BY239)),"")</f>
        <v/>
      </c>
      <c r="BZ239" s="591" t="str" cm="1">
        <f t="array" ref="BZ239">IFERROR(INDEX(tblLaminateStructures[Laminate],ROWS($BZ$2:BZ239)),"")</f>
        <v/>
      </c>
      <c r="CA239" s="556"/>
      <c r="CB239" s="556"/>
      <c r="CC239" s="556" t="str" cm="1">
        <f t="array" ref="CC239">IFERROR(INDEX(tblLaminateStructures[Total Thickness (µ)],ROWS($CC$2:CC239)),"")</f>
        <v/>
      </c>
      <c r="CD239" s="556"/>
      <c r="CE239" s="556"/>
      <c r="CF239" s="556"/>
      <c r="CG239" s="556"/>
      <c r="CH239" s="556"/>
    </row>
    <row r="240" spans="58:86">
      <c r="BF240" s="556"/>
      <c r="BG240" s="556"/>
      <c r="BH240" s="556"/>
      <c r="BI240" s="556"/>
      <c r="BJ240" s="556"/>
      <c r="BK240" s="556"/>
      <c r="BL240" s="556"/>
      <c r="BM240" s="556"/>
      <c r="BN240" s="556"/>
      <c r="BO240" s="556"/>
      <c r="BP240" s="556"/>
      <c r="BQ240" s="556"/>
      <c r="BR240" s="556"/>
      <c r="BS240" s="556"/>
      <c r="BT240" s="556"/>
      <c r="BU240" s="591" t="str" cm="1">
        <f t="array" ref="BU240">IFERROR(_xlfn.LET(_xlpm.i,ROWS($BU$2:BU240),_xlpm.cur,INDEX(tblLaminateStructures[Laminate],_xlpm.i),_xlpm.prev,IF(_xlpm.i=1,"",INDEX(tblLaminateStructures[Laminate],_xlpm.i-1)),IF(_xlpm.cur&lt;&gt;_xlpm.prev,_xlpm.cur,"")),"")</f>
        <v/>
      </c>
      <c r="BV240" s="556" t="str" cm="1">
        <f t="array" ref="BV240">IFERROR(_xlfn.LET(_xlpm.i,ROWS($BV$2:BV240),_xlpm.cur,INDEX(tblLaminateStructures[Total Thickness (µ)],_xlpm.i),_xlpm.prev,IF(_xlpm.i=1,"",INDEX(tblLaminateStructures[Total Thickness (µ)],_xlpm.i-1)),IF(OR(_xlpm.cur&lt;&gt;_xlpm.prev,BU240&lt;&gt;""),_xlpm.cur,"")),"")</f>
        <v/>
      </c>
      <c r="BW240" s="556" t="str" cm="1">
        <f t="array" ref="BW240">IFERROR(INDEX(tblLaminateStructures[Material / Layer],ROWS($BW$2:BW240)),"")</f>
        <v/>
      </c>
      <c r="BX240" s="556" t="str" cm="1">
        <f t="array" ref="BX240">IFERROR(INDEX(tblLaminateStructures[Layer Thickness (µ)],ROWS($BX$2:BX240)),"")</f>
        <v/>
      </c>
      <c r="BY240" s="556" t="str" cm="1">
        <f t="array" ref="BY240">IFERROR(INDEX(tblLaminateStructures[Structure Check],ROWS($BY$2:BY240)),"")</f>
        <v/>
      </c>
      <c r="BZ240" s="591" t="str" cm="1">
        <f t="array" ref="BZ240">IFERROR(INDEX(tblLaminateStructures[Laminate],ROWS($BZ$2:BZ240)),"")</f>
        <v/>
      </c>
      <c r="CA240" s="556"/>
      <c r="CB240" s="556"/>
      <c r="CC240" s="556" t="str" cm="1">
        <f t="array" ref="CC240">IFERROR(INDEX(tblLaminateStructures[Total Thickness (µ)],ROWS($CC$2:CC240)),"")</f>
        <v/>
      </c>
      <c r="CD240" s="556"/>
      <c r="CE240" s="556"/>
      <c r="CF240" s="556"/>
      <c r="CG240" s="556"/>
      <c r="CH240" s="556"/>
    </row>
    <row r="241" spans="58:86">
      <c r="BF241" s="556"/>
      <c r="BG241" s="556"/>
      <c r="BH241" s="556"/>
      <c r="BI241" s="556"/>
      <c r="BJ241" s="556"/>
      <c r="BK241" s="556"/>
      <c r="BL241" s="556"/>
      <c r="BM241" s="556"/>
      <c r="BN241" s="556"/>
      <c r="BO241" s="556"/>
      <c r="BP241" s="556"/>
      <c r="BQ241" s="556"/>
      <c r="BR241" s="556"/>
      <c r="BS241" s="556"/>
      <c r="BT241" s="556"/>
      <c r="BU241" s="591" t="str" cm="1">
        <f t="array" ref="BU241">IFERROR(_xlfn.LET(_xlpm.i,ROWS($BU$2:BU241),_xlpm.cur,INDEX(tblLaminateStructures[Laminate],_xlpm.i),_xlpm.prev,IF(_xlpm.i=1,"",INDEX(tblLaminateStructures[Laminate],_xlpm.i-1)),IF(_xlpm.cur&lt;&gt;_xlpm.prev,_xlpm.cur,"")),"")</f>
        <v/>
      </c>
      <c r="BV241" s="556" t="str" cm="1">
        <f t="array" ref="BV241">IFERROR(_xlfn.LET(_xlpm.i,ROWS($BV$2:BV241),_xlpm.cur,INDEX(tblLaminateStructures[Total Thickness (µ)],_xlpm.i),_xlpm.prev,IF(_xlpm.i=1,"",INDEX(tblLaminateStructures[Total Thickness (µ)],_xlpm.i-1)),IF(OR(_xlpm.cur&lt;&gt;_xlpm.prev,BU241&lt;&gt;""),_xlpm.cur,"")),"")</f>
        <v/>
      </c>
      <c r="BW241" s="556" t="str" cm="1">
        <f t="array" ref="BW241">IFERROR(INDEX(tblLaminateStructures[Material / Layer],ROWS($BW$2:BW241)),"")</f>
        <v/>
      </c>
      <c r="BX241" s="556" t="str" cm="1">
        <f t="array" ref="BX241">IFERROR(INDEX(tblLaminateStructures[Layer Thickness (µ)],ROWS($BX$2:BX241)),"")</f>
        <v/>
      </c>
      <c r="BY241" s="556" t="str" cm="1">
        <f t="array" ref="BY241">IFERROR(INDEX(tblLaminateStructures[Structure Check],ROWS($BY$2:BY241)),"")</f>
        <v/>
      </c>
      <c r="BZ241" s="591" t="str" cm="1">
        <f t="array" ref="BZ241">IFERROR(INDEX(tblLaminateStructures[Laminate],ROWS($BZ$2:BZ241)),"")</f>
        <v/>
      </c>
      <c r="CA241" s="556"/>
      <c r="CB241" s="556"/>
      <c r="CC241" s="556" t="str" cm="1">
        <f t="array" ref="CC241">IFERROR(INDEX(tblLaminateStructures[Total Thickness (µ)],ROWS($CC$2:CC241)),"")</f>
        <v/>
      </c>
      <c r="CD241" s="556"/>
      <c r="CE241" s="556"/>
      <c r="CF241" s="556"/>
      <c r="CG241" s="556"/>
      <c r="CH241" s="556"/>
    </row>
    <row r="242" spans="58:86">
      <c r="BF242" s="556"/>
      <c r="BG242" s="556"/>
      <c r="BH242" s="556"/>
      <c r="BI242" s="556"/>
      <c r="BJ242" s="556"/>
      <c r="BK242" s="556"/>
      <c r="BL242" s="556"/>
      <c r="BM242" s="556"/>
      <c r="BN242" s="556"/>
      <c r="BO242" s="556"/>
      <c r="BP242" s="556"/>
      <c r="BQ242" s="556"/>
      <c r="BR242" s="556"/>
      <c r="BS242" s="556"/>
      <c r="BT242" s="556"/>
      <c r="BU242" s="591" t="str" cm="1">
        <f t="array" ref="BU242">IFERROR(_xlfn.LET(_xlpm.i,ROWS($BU$2:BU242),_xlpm.cur,INDEX(tblLaminateStructures[Laminate],_xlpm.i),_xlpm.prev,IF(_xlpm.i=1,"",INDEX(tblLaminateStructures[Laminate],_xlpm.i-1)),IF(_xlpm.cur&lt;&gt;_xlpm.prev,_xlpm.cur,"")),"")</f>
        <v/>
      </c>
      <c r="BV242" s="556" t="str" cm="1">
        <f t="array" ref="BV242">IFERROR(_xlfn.LET(_xlpm.i,ROWS($BV$2:BV242),_xlpm.cur,INDEX(tblLaminateStructures[Total Thickness (µ)],_xlpm.i),_xlpm.prev,IF(_xlpm.i=1,"",INDEX(tblLaminateStructures[Total Thickness (µ)],_xlpm.i-1)),IF(OR(_xlpm.cur&lt;&gt;_xlpm.prev,BU242&lt;&gt;""),_xlpm.cur,"")),"")</f>
        <v/>
      </c>
      <c r="BW242" s="556" t="str" cm="1">
        <f t="array" ref="BW242">IFERROR(INDEX(tblLaminateStructures[Material / Layer],ROWS($BW$2:BW242)),"")</f>
        <v/>
      </c>
      <c r="BX242" s="556" t="str" cm="1">
        <f t="array" ref="BX242">IFERROR(INDEX(tblLaminateStructures[Layer Thickness (µ)],ROWS($BX$2:BX242)),"")</f>
        <v/>
      </c>
      <c r="BY242" s="556" t="str" cm="1">
        <f t="array" ref="BY242">IFERROR(INDEX(tblLaminateStructures[Structure Check],ROWS($BY$2:BY242)),"")</f>
        <v/>
      </c>
      <c r="BZ242" s="591" t="str" cm="1">
        <f t="array" ref="BZ242">IFERROR(INDEX(tblLaminateStructures[Laminate],ROWS($BZ$2:BZ242)),"")</f>
        <v/>
      </c>
      <c r="CA242" s="556"/>
      <c r="CB242" s="556"/>
      <c r="CC242" s="556" t="str" cm="1">
        <f t="array" ref="CC242">IFERROR(INDEX(tblLaminateStructures[Total Thickness (µ)],ROWS($CC$2:CC242)),"")</f>
        <v/>
      </c>
      <c r="CD242" s="556"/>
      <c r="CE242" s="556"/>
      <c r="CF242" s="556"/>
      <c r="CG242" s="556"/>
      <c r="CH242" s="556"/>
    </row>
    <row r="243" spans="58:86">
      <c r="BF243" s="556"/>
      <c r="BG243" s="556"/>
      <c r="BH243" s="556"/>
      <c r="BI243" s="556"/>
      <c r="BJ243" s="556"/>
      <c r="BK243" s="556"/>
      <c r="BL243" s="556"/>
      <c r="BM243" s="556"/>
      <c r="BN243" s="556"/>
      <c r="BO243" s="556"/>
      <c r="BP243" s="556"/>
      <c r="BQ243" s="556"/>
      <c r="BR243" s="556"/>
      <c r="BS243" s="556"/>
      <c r="BT243" s="556"/>
      <c r="BU243" s="591" t="str" cm="1">
        <f t="array" ref="BU243">IFERROR(_xlfn.LET(_xlpm.i,ROWS($BU$2:BU243),_xlpm.cur,INDEX(tblLaminateStructures[Laminate],_xlpm.i),_xlpm.prev,IF(_xlpm.i=1,"",INDEX(tblLaminateStructures[Laminate],_xlpm.i-1)),IF(_xlpm.cur&lt;&gt;_xlpm.prev,_xlpm.cur,"")),"")</f>
        <v/>
      </c>
      <c r="BV243" s="556" t="str" cm="1">
        <f t="array" ref="BV243">IFERROR(_xlfn.LET(_xlpm.i,ROWS($BV$2:BV243),_xlpm.cur,INDEX(tblLaminateStructures[Total Thickness (µ)],_xlpm.i),_xlpm.prev,IF(_xlpm.i=1,"",INDEX(tblLaminateStructures[Total Thickness (µ)],_xlpm.i-1)),IF(OR(_xlpm.cur&lt;&gt;_xlpm.prev,BU243&lt;&gt;""),_xlpm.cur,"")),"")</f>
        <v/>
      </c>
      <c r="BW243" s="556" t="str" cm="1">
        <f t="array" ref="BW243">IFERROR(INDEX(tblLaminateStructures[Material / Layer],ROWS($BW$2:BW243)),"")</f>
        <v/>
      </c>
      <c r="BX243" s="556" t="str" cm="1">
        <f t="array" ref="BX243">IFERROR(INDEX(tblLaminateStructures[Layer Thickness (µ)],ROWS($BX$2:BX243)),"")</f>
        <v/>
      </c>
      <c r="BY243" s="556" t="str" cm="1">
        <f t="array" ref="BY243">IFERROR(INDEX(tblLaminateStructures[Structure Check],ROWS($BY$2:BY243)),"")</f>
        <v/>
      </c>
      <c r="BZ243" s="591" t="str" cm="1">
        <f t="array" ref="BZ243">IFERROR(INDEX(tblLaminateStructures[Laminate],ROWS($BZ$2:BZ243)),"")</f>
        <v/>
      </c>
      <c r="CA243" s="556"/>
      <c r="CB243" s="556"/>
      <c r="CC243" s="556" t="str" cm="1">
        <f t="array" ref="CC243">IFERROR(INDEX(tblLaminateStructures[Total Thickness (µ)],ROWS($CC$2:CC243)),"")</f>
        <v/>
      </c>
      <c r="CD243" s="556"/>
      <c r="CE243" s="556"/>
      <c r="CF243" s="556"/>
      <c r="CG243" s="556"/>
      <c r="CH243" s="556"/>
    </row>
    <row r="244" spans="58:86">
      <c r="BF244" s="556"/>
      <c r="BG244" s="556"/>
      <c r="BH244" s="556"/>
      <c r="BI244" s="556"/>
      <c r="BJ244" s="556"/>
      <c r="BK244" s="556"/>
      <c r="BL244" s="556"/>
      <c r="BM244" s="556"/>
      <c r="BN244" s="556"/>
      <c r="BO244" s="556"/>
      <c r="BP244" s="556"/>
      <c r="BQ244" s="556"/>
      <c r="BR244" s="556"/>
      <c r="BS244" s="556"/>
      <c r="BT244" s="556"/>
      <c r="BU244" s="591" t="str" cm="1">
        <f t="array" ref="BU244">IFERROR(_xlfn.LET(_xlpm.i,ROWS($BU$2:BU244),_xlpm.cur,INDEX(tblLaminateStructures[Laminate],_xlpm.i),_xlpm.prev,IF(_xlpm.i=1,"",INDEX(tblLaminateStructures[Laminate],_xlpm.i-1)),IF(_xlpm.cur&lt;&gt;_xlpm.prev,_xlpm.cur,"")),"")</f>
        <v/>
      </c>
      <c r="BV244" s="556" t="str" cm="1">
        <f t="array" ref="BV244">IFERROR(_xlfn.LET(_xlpm.i,ROWS($BV$2:BV244),_xlpm.cur,INDEX(tblLaminateStructures[Total Thickness (µ)],_xlpm.i),_xlpm.prev,IF(_xlpm.i=1,"",INDEX(tblLaminateStructures[Total Thickness (µ)],_xlpm.i-1)),IF(OR(_xlpm.cur&lt;&gt;_xlpm.prev,BU244&lt;&gt;""),_xlpm.cur,"")),"")</f>
        <v/>
      </c>
      <c r="BW244" s="556" t="str" cm="1">
        <f t="array" ref="BW244">IFERROR(INDEX(tblLaminateStructures[Material / Layer],ROWS($BW$2:BW244)),"")</f>
        <v/>
      </c>
      <c r="BX244" s="556" t="str" cm="1">
        <f t="array" ref="BX244">IFERROR(INDEX(tblLaminateStructures[Layer Thickness (µ)],ROWS($BX$2:BX244)),"")</f>
        <v/>
      </c>
      <c r="BY244" s="556" t="str" cm="1">
        <f t="array" ref="BY244">IFERROR(INDEX(tblLaminateStructures[Structure Check],ROWS($BY$2:BY244)),"")</f>
        <v/>
      </c>
      <c r="BZ244" s="591" t="str" cm="1">
        <f t="array" ref="BZ244">IFERROR(INDEX(tblLaminateStructures[Laminate],ROWS($BZ$2:BZ244)),"")</f>
        <v/>
      </c>
      <c r="CA244" s="556"/>
      <c r="CB244" s="556"/>
      <c r="CC244" s="556" t="str" cm="1">
        <f t="array" ref="CC244">IFERROR(INDEX(tblLaminateStructures[Total Thickness (µ)],ROWS($CC$2:CC244)),"")</f>
        <v/>
      </c>
      <c r="CD244" s="556"/>
      <c r="CE244" s="556"/>
      <c r="CF244" s="556"/>
      <c r="CG244" s="556"/>
      <c r="CH244" s="556"/>
    </row>
    <row r="245" spans="58:86">
      <c r="BF245" s="556"/>
      <c r="BG245" s="556"/>
      <c r="BH245" s="556"/>
      <c r="BI245" s="556"/>
      <c r="BJ245" s="556"/>
      <c r="BK245" s="556"/>
      <c r="BL245" s="556"/>
      <c r="BM245" s="556"/>
      <c r="BN245" s="556"/>
      <c r="BO245" s="556"/>
      <c r="BP245" s="556"/>
      <c r="BQ245" s="556"/>
      <c r="BR245" s="556"/>
      <c r="BS245" s="556"/>
      <c r="BT245" s="556"/>
      <c r="BU245" s="591" t="str" cm="1">
        <f t="array" ref="BU245">IFERROR(_xlfn.LET(_xlpm.i,ROWS($BU$2:BU245),_xlpm.cur,INDEX(tblLaminateStructures[Laminate],_xlpm.i),_xlpm.prev,IF(_xlpm.i=1,"",INDEX(tblLaminateStructures[Laminate],_xlpm.i-1)),IF(_xlpm.cur&lt;&gt;_xlpm.prev,_xlpm.cur,"")),"")</f>
        <v/>
      </c>
      <c r="BV245" s="556" t="str" cm="1">
        <f t="array" ref="BV245">IFERROR(_xlfn.LET(_xlpm.i,ROWS($BV$2:BV245),_xlpm.cur,INDEX(tblLaminateStructures[Total Thickness (µ)],_xlpm.i),_xlpm.prev,IF(_xlpm.i=1,"",INDEX(tblLaminateStructures[Total Thickness (µ)],_xlpm.i-1)),IF(OR(_xlpm.cur&lt;&gt;_xlpm.prev,BU245&lt;&gt;""),_xlpm.cur,"")),"")</f>
        <v/>
      </c>
      <c r="BW245" s="556" t="str" cm="1">
        <f t="array" ref="BW245">IFERROR(INDEX(tblLaminateStructures[Material / Layer],ROWS($BW$2:BW245)),"")</f>
        <v/>
      </c>
      <c r="BX245" s="556" t="str" cm="1">
        <f t="array" ref="BX245">IFERROR(INDEX(tblLaminateStructures[Layer Thickness (µ)],ROWS($BX$2:BX245)),"")</f>
        <v/>
      </c>
      <c r="BY245" s="556" t="str" cm="1">
        <f t="array" ref="BY245">IFERROR(INDEX(tblLaminateStructures[Structure Check],ROWS($BY$2:BY245)),"")</f>
        <v/>
      </c>
      <c r="BZ245" s="591" t="str" cm="1">
        <f t="array" ref="BZ245">IFERROR(INDEX(tblLaminateStructures[Laminate],ROWS($BZ$2:BZ245)),"")</f>
        <v/>
      </c>
      <c r="CA245" s="556"/>
      <c r="CB245" s="556"/>
      <c r="CC245" s="556" t="str" cm="1">
        <f t="array" ref="CC245">IFERROR(INDEX(tblLaminateStructures[Total Thickness (µ)],ROWS($CC$2:CC245)),"")</f>
        <v/>
      </c>
      <c r="CD245" s="556"/>
      <c r="CE245" s="556"/>
      <c r="CF245" s="556"/>
      <c r="CG245" s="556"/>
      <c r="CH245" s="556"/>
    </row>
    <row r="246" spans="58:86">
      <c r="BF246" s="556"/>
      <c r="BG246" s="556"/>
      <c r="BH246" s="556"/>
      <c r="BI246" s="556"/>
      <c r="BJ246" s="556"/>
      <c r="BK246" s="556"/>
      <c r="BL246" s="556"/>
      <c r="BM246" s="556"/>
      <c r="BN246" s="556"/>
      <c r="BO246" s="556"/>
      <c r="BP246" s="556"/>
      <c r="BQ246" s="556"/>
      <c r="BR246" s="556"/>
      <c r="BS246" s="556"/>
      <c r="BT246" s="556"/>
      <c r="BU246" s="591" t="str" cm="1">
        <f t="array" ref="BU246">IFERROR(_xlfn.LET(_xlpm.i,ROWS($BU$2:BU246),_xlpm.cur,INDEX(tblLaminateStructures[Laminate],_xlpm.i),_xlpm.prev,IF(_xlpm.i=1,"",INDEX(tblLaminateStructures[Laminate],_xlpm.i-1)),IF(_xlpm.cur&lt;&gt;_xlpm.prev,_xlpm.cur,"")),"")</f>
        <v/>
      </c>
      <c r="BV246" s="556" t="str" cm="1">
        <f t="array" ref="BV246">IFERROR(_xlfn.LET(_xlpm.i,ROWS($BV$2:BV246),_xlpm.cur,INDEX(tblLaminateStructures[Total Thickness (µ)],_xlpm.i),_xlpm.prev,IF(_xlpm.i=1,"",INDEX(tblLaminateStructures[Total Thickness (µ)],_xlpm.i-1)),IF(OR(_xlpm.cur&lt;&gt;_xlpm.prev,BU246&lt;&gt;""),_xlpm.cur,"")),"")</f>
        <v/>
      </c>
      <c r="BW246" s="556" t="str" cm="1">
        <f t="array" ref="BW246">IFERROR(INDEX(tblLaminateStructures[Material / Layer],ROWS($BW$2:BW246)),"")</f>
        <v/>
      </c>
      <c r="BX246" s="556" t="str" cm="1">
        <f t="array" ref="BX246">IFERROR(INDEX(tblLaminateStructures[Layer Thickness (µ)],ROWS($BX$2:BX246)),"")</f>
        <v/>
      </c>
      <c r="BY246" s="556" t="str" cm="1">
        <f t="array" ref="BY246">IFERROR(INDEX(tblLaminateStructures[Structure Check],ROWS($BY$2:BY246)),"")</f>
        <v/>
      </c>
      <c r="BZ246" s="591" t="str" cm="1">
        <f t="array" ref="BZ246">IFERROR(INDEX(tblLaminateStructures[Laminate],ROWS($BZ$2:BZ246)),"")</f>
        <v/>
      </c>
      <c r="CA246" s="556"/>
      <c r="CB246" s="556"/>
      <c r="CC246" s="556" t="str" cm="1">
        <f t="array" ref="CC246">IFERROR(INDEX(tblLaminateStructures[Total Thickness (µ)],ROWS($CC$2:CC246)),"")</f>
        <v/>
      </c>
      <c r="CD246" s="556"/>
      <c r="CE246" s="556"/>
      <c r="CF246" s="556"/>
      <c r="CG246" s="556"/>
      <c r="CH246" s="556"/>
    </row>
    <row r="247" spans="58:86">
      <c r="BF247" s="556"/>
      <c r="BG247" s="556"/>
      <c r="BH247" s="556"/>
      <c r="BI247" s="556"/>
      <c r="BJ247" s="556"/>
      <c r="BK247" s="556"/>
      <c r="BL247" s="556"/>
      <c r="BM247" s="556"/>
      <c r="BN247" s="556"/>
      <c r="BO247" s="556"/>
      <c r="BP247" s="556"/>
      <c r="BQ247" s="556"/>
      <c r="BR247" s="556"/>
      <c r="BS247" s="556"/>
      <c r="BT247" s="556"/>
      <c r="BU247" s="591" t="str" cm="1">
        <f t="array" ref="BU247">IFERROR(_xlfn.LET(_xlpm.i,ROWS($BU$2:BU247),_xlpm.cur,INDEX(tblLaminateStructures[Laminate],_xlpm.i),_xlpm.prev,IF(_xlpm.i=1,"",INDEX(tblLaminateStructures[Laminate],_xlpm.i-1)),IF(_xlpm.cur&lt;&gt;_xlpm.prev,_xlpm.cur,"")),"")</f>
        <v/>
      </c>
      <c r="BV247" s="556" t="str" cm="1">
        <f t="array" ref="BV247">IFERROR(_xlfn.LET(_xlpm.i,ROWS($BV$2:BV247),_xlpm.cur,INDEX(tblLaminateStructures[Total Thickness (µ)],_xlpm.i),_xlpm.prev,IF(_xlpm.i=1,"",INDEX(tblLaminateStructures[Total Thickness (µ)],_xlpm.i-1)),IF(OR(_xlpm.cur&lt;&gt;_xlpm.prev,BU247&lt;&gt;""),_xlpm.cur,"")),"")</f>
        <v/>
      </c>
      <c r="BW247" s="556" t="str" cm="1">
        <f t="array" ref="BW247">IFERROR(INDEX(tblLaminateStructures[Material / Layer],ROWS($BW$2:BW247)),"")</f>
        <v/>
      </c>
      <c r="BX247" s="556" t="str" cm="1">
        <f t="array" ref="BX247">IFERROR(INDEX(tblLaminateStructures[Layer Thickness (µ)],ROWS($BX$2:BX247)),"")</f>
        <v/>
      </c>
      <c r="BY247" s="556" t="str" cm="1">
        <f t="array" ref="BY247">IFERROR(INDEX(tblLaminateStructures[Structure Check],ROWS($BY$2:BY247)),"")</f>
        <v/>
      </c>
      <c r="BZ247" s="591" t="str" cm="1">
        <f t="array" ref="BZ247">IFERROR(INDEX(tblLaminateStructures[Laminate],ROWS($BZ$2:BZ247)),"")</f>
        <v/>
      </c>
      <c r="CA247" s="556"/>
      <c r="CB247" s="556"/>
      <c r="CC247" s="556" t="str" cm="1">
        <f t="array" ref="CC247">IFERROR(INDEX(tblLaminateStructures[Total Thickness (µ)],ROWS($CC$2:CC247)),"")</f>
        <v/>
      </c>
      <c r="CD247" s="556"/>
      <c r="CE247" s="556"/>
      <c r="CF247" s="556"/>
      <c r="CG247" s="556"/>
      <c r="CH247" s="556"/>
    </row>
    <row r="248" spans="58:86">
      <c r="BF248" s="556"/>
      <c r="BG248" s="556"/>
      <c r="BH248" s="556"/>
      <c r="BI248" s="556"/>
      <c r="BJ248" s="556"/>
      <c r="BK248" s="556"/>
      <c r="BL248" s="556"/>
      <c r="BM248" s="556"/>
      <c r="BN248" s="556"/>
      <c r="BO248" s="556"/>
      <c r="BP248" s="556"/>
      <c r="BQ248" s="556"/>
      <c r="BR248" s="556"/>
      <c r="BS248" s="556"/>
      <c r="BT248" s="556"/>
      <c r="BU248" s="591" t="str" cm="1">
        <f t="array" ref="BU248">IFERROR(_xlfn.LET(_xlpm.i,ROWS($BU$2:BU248),_xlpm.cur,INDEX(tblLaminateStructures[Laminate],_xlpm.i),_xlpm.prev,IF(_xlpm.i=1,"",INDEX(tblLaminateStructures[Laminate],_xlpm.i-1)),IF(_xlpm.cur&lt;&gt;_xlpm.prev,_xlpm.cur,"")),"")</f>
        <v/>
      </c>
      <c r="BV248" s="556" t="str" cm="1">
        <f t="array" ref="BV248">IFERROR(_xlfn.LET(_xlpm.i,ROWS($BV$2:BV248),_xlpm.cur,INDEX(tblLaminateStructures[Total Thickness (µ)],_xlpm.i),_xlpm.prev,IF(_xlpm.i=1,"",INDEX(tblLaminateStructures[Total Thickness (µ)],_xlpm.i-1)),IF(OR(_xlpm.cur&lt;&gt;_xlpm.prev,BU248&lt;&gt;""),_xlpm.cur,"")),"")</f>
        <v/>
      </c>
      <c r="BW248" s="556" t="str" cm="1">
        <f t="array" ref="BW248">IFERROR(INDEX(tblLaminateStructures[Material / Layer],ROWS($BW$2:BW248)),"")</f>
        <v/>
      </c>
      <c r="BX248" s="556" t="str" cm="1">
        <f t="array" ref="BX248">IFERROR(INDEX(tblLaminateStructures[Layer Thickness (µ)],ROWS($BX$2:BX248)),"")</f>
        <v/>
      </c>
      <c r="BY248" s="556" t="str" cm="1">
        <f t="array" ref="BY248">IFERROR(INDEX(tblLaminateStructures[Structure Check],ROWS($BY$2:BY248)),"")</f>
        <v/>
      </c>
      <c r="BZ248" s="591" t="str" cm="1">
        <f t="array" ref="BZ248">IFERROR(INDEX(tblLaminateStructures[Laminate],ROWS($BZ$2:BZ248)),"")</f>
        <v/>
      </c>
      <c r="CA248" s="556"/>
      <c r="CB248" s="556"/>
      <c r="CC248" s="556" t="str" cm="1">
        <f t="array" ref="CC248">IFERROR(INDEX(tblLaminateStructures[Total Thickness (µ)],ROWS($CC$2:CC248)),"")</f>
        <v/>
      </c>
      <c r="CD248" s="556"/>
      <c r="CE248" s="556"/>
      <c r="CF248" s="556"/>
      <c r="CG248" s="556"/>
      <c r="CH248" s="556"/>
    </row>
    <row r="249" spans="58:86">
      <c r="BF249" s="556"/>
      <c r="BG249" s="556"/>
      <c r="BH249" s="556"/>
      <c r="BI249" s="556"/>
      <c r="BJ249" s="556"/>
      <c r="BK249" s="556"/>
      <c r="BL249" s="556"/>
      <c r="BM249" s="556"/>
      <c r="BN249" s="556"/>
      <c r="BO249" s="556"/>
      <c r="BP249" s="556"/>
      <c r="BQ249" s="556"/>
      <c r="BR249" s="556"/>
      <c r="BS249" s="556"/>
      <c r="BT249" s="556"/>
      <c r="BU249" s="591" t="str" cm="1">
        <f t="array" ref="BU249">IFERROR(_xlfn.LET(_xlpm.i,ROWS($BU$2:BU249),_xlpm.cur,INDEX(tblLaminateStructures[Laminate],_xlpm.i),_xlpm.prev,IF(_xlpm.i=1,"",INDEX(tblLaminateStructures[Laminate],_xlpm.i-1)),IF(_xlpm.cur&lt;&gt;_xlpm.prev,_xlpm.cur,"")),"")</f>
        <v/>
      </c>
      <c r="BV249" s="556" t="str" cm="1">
        <f t="array" ref="BV249">IFERROR(_xlfn.LET(_xlpm.i,ROWS($BV$2:BV249),_xlpm.cur,INDEX(tblLaminateStructures[Total Thickness (µ)],_xlpm.i),_xlpm.prev,IF(_xlpm.i=1,"",INDEX(tblLaminateStructures[Total Thickness (µ)],_xlpm.i-1)),IF(OR(_xlpm.cur&lt;&gt;_xlpm.prev,BU249&lt;&gt;""),_xlpm.cur,"")),"")</f>
        <v/>
      </c>
      <c r="BW249" s="556" t="str" cm="1">
        <f t="array" ref="BW249">IFERROR(INDEX(tblLaminateStructures[Material / Layer],ROWS($BW$2:BW249)),"")</f>
        <v/>
      </c>
      <c r="BX249" s="556" t="str" cm="1">
        <f t="array" ref="BX249">IFERROR(INDEX(tblLaminateStructures[Layer Thickness (µ)],ROWS($BX$2:BX249)),"")</f>
        <v/>
      </c>
      <c r="BY249" s="556" t="str" cm="1">
        <f t="array" ref="BY249">IFERROR(INDEX(tblLaminateStructures[Structure Check],ROWS($BY$2:BY249)),"")</f>
        <v/>
      </c>
      <c r="BZ249" s="591" t="str" cm="1">
        <f t="array" ref="BZ249">IFERROR(INDEX(tblLaminateStructures[Laminate],ROWS($BZ$2:BZ249)),"")</f>
        <v/>
      </c>
      <c r="CA249" s="556"/>
      <c r="CB249" s="556"/>
      <c r="CC249" s="556" t="str" cm="1">
        <f t="array" ref="CC249">IFERROR(INDEX(tblLaminateStructures[Total Thickness (µ)],ROWS($CC$2:CC249)),"")</f>
        <v/>
      </c>
      <c r="CD249" s="556"/>
      <c r="CE249" s="556"/>
      <c r="CF249" s="556"/>
      <c r="CG249" s="556"/>
      <c r="CH249" s="556"/>
    </row>
    <row r="250" spans="58:86">
      <c r="BF250" s="556"/>
      <c r="BG250" s="556"/>
      <c r="BH250" s="556"/>
      <c r="BI250" s="556"/>
      <c r="BJ250" s="556"/>
      <c r="BK250" s="556"/>
      <c r="BL250" s="556"/>
      <c r="BM250" s="556"/>
      <c r="BN250" s="556"/>
      <c r="BO250" s="556"/>
      <c r="BP250" s="556"/>
      <c r="BQ250" s="556"/>
      <c r="BR250" s="556"/>
      <c r="BS250" s="556"/>
      <c r="BT250" s="556"/>
      <c r="BU250" s="591" t="str" cm="1">
        <f t="array" ref="BU250">IFERROR(_xlfn.LET(_xlpm.i,ROWS($BU$2:BU250),_xlpm.cur,INDEX(tblLaminateStructures[Laminate],_xlpm.i),_xlpm.prev,IF(_xlpm.i=1,"",INDEX(tblLaminateStructures[Laminate],_xlpm.i-1)),IF(_xlpm.cur&lt;&gt;_xlpm.prev,_xlpm.cur,"")),"")</f>
        <v/>
      </c>
      <c r="BV250" s="556" t="str" cm="1">
        <f t="array" ref="BV250">IFERROR(_xlfn.LET(_xlpm.i,ROWS($BV$2:BV250),_xlpm.cur,INDEX(tblLaminateStructures[Total Thickness (µ)],_xlpm.i),_xlpm.prev,IF(_xlpm.i=1,"",INDEX(tblLaminateStructures[Total Thickness (µ)],_xlpm.i-1)),IF(OR(_xlpm.cur&lt;&gt;_xlpm.prev,BU250&lt;&gt;""),_xlpm.cur,"")),"")</f>
        <v/>
      </c>
      <c r="BW250" s="556" t="str" cm="1">
        <f t="array" ref="BW250">IFERROR(INDEX(tblLaminateStructures[Material / Layer],ROWS($BW$2:BW250)),"")</f>
        <v/>
      </c>
      <c r="BX250" s="556" t="str" cm="1">
        <f t="array" ref="BX250">IFERROR(INDEX(tblLaminateStructures[Layer Thickness (µ)],ROWS($BX$2:BX250)),"")</f>
        <v/>
      </c>
      <c r="BY250" s="556" t="str" cm="1">
        <f t="array" ref="BY250">IFERROR(INDEX(tblLaminateStructures[Structure Check],ROWS($BY$2:BY250)),"")</f>
        <v/>
      </c>
      <c r="BZ250" s="591" t="str" cm="1">
        <f t="array" ref="BZ250">IFERROR(INDEX(tblLaminateStructures[Laminate],ROWS($BZ$2:BZ250)),"")</f>
        <v/>
      </c>
      <c r="CA250" s="556"/>
      <c r="CB250" s="556"/>
      <c r="CC250" s="556" t="str" cm="1">
        <f t="array" ref="CC250">IFERROR(INDEX(tblLaminateStructures[Total Thickness (µ)],ROWS($CC$2:CC250)),"")</f>
        <v/>
      </c>
      <c r="CD250" s="556"/>
      <c r="CE250" s="556"/>
      <c r="CF250" s="556"/>
      <c r="CG250" s="556"/>
      <c r="CH250" s="556"/>
    </row>
    <row r="251" spans="58:86">
      <c r="BF251" s="556"/>
      <c r="BG251" s="556"/>
      <c r="BH251" s="556"/>
      <c r="BI251" s="556"/>
      <c r="BJ251" s="556"/>
      <c r="BK251" s="556"/>
      <c r="BL251" s="556"/>
      <c r="BM251" s="556"/>
      <c r="BN251" s="556"/>
      <c r="BO251" s="556"/>
      <c r="BP251" s="556"/>
      <c r="BQ251" s="556"/>
      <c r="BR251" s="556"/>
      <c r="BS251" s="556"/>
      <c r="BT251" s="556"/>
      <c r="BU251" s="591" t="str" cm="1">
        <f t="array" ref="BU251">IFERROR(_xlfn.LET(_xlpm.i,ROWS($BU$2:BU251),_xlpm.cur,INDEX(tblLaminateStructures[Laminate],_xlpm.i),_xlpm.prev,IF(_xlpm.i=1,"",INDEX(tblLaminateStructures[Laminate],_xlpm.i-1)),IF(_xlpm.cur&lt;&gt;_xlpm.prev,_xlpm.cur,"")),"")</f>
        <v/>
      </c>
      <c r="BV251" s="556" t="str" cm="1">
        <f t="array" ref="BV251">IFERROR(_xlfn.LET(_xlpm.i,ROWS($BV$2:BV251),_xlpm.cur,INDEX(tblLaminateStructures[Total Thickness (µ)],_xlpm.i),_xlpm.prev,IF(_xlpm.i=1,"",INDEX(tblLaminateStructures[Total Thickness (µ)],_xlpm.i-1)),IF(OR(_xlpm.cur&lt;&gt;_xlpm.prev,BU251&lt;&gt;""),_xlpm.cur,"")),"")</f>
        <v/>
      </c>
      <c r="BW251" s="556" t="str" cm="1">
        <f t="array" ref="BW251">IFERROR(INDEX(tblLaminateStructures[Material / Layer],ROWS($BW$2:BW251)),"")</f>
        <v/>
      </c>
      <c r="BX251" s="556" t="str" cm="1">
        <f t="array" ref="BX251">IFERROR(INDEX(tblLaminateStructures[Layer Thickness (µ)],ROWS($BX$2:BX251)),"")</f>
        <v/>
      </c>
      <c r="BY251" s="556" t="str" cm="1">
        <f t="array" ref="BY251">IFERROR(INDEX(tblLaminateStructures[Structure Check],ROWS($BY$2:BY251)),"")</f>
        <v/>
      </c>
      <c r="BZ251" s="591" t="str" cm="1">
        <f t="array" ref="BZ251">IFERROR(INDEX(tblLaminateStructures[Laminate],ROWS($BZ$2:BZ251)),"")</f>
        <v/>
      </c>
      <c r="CA251" s="556"/>
      <c r="CB251" s="556"/>
      <c r="CC251" s="556" t="str" cm="1">
        <f t="array" ref="CC251">IFERROR(INDEX(tblLaminateStructures[Total Thickness (µ)],ROWS($CC$2:CC251)),"")</f>
        <v/>
      </c>
      <c r="CD251" s="556"/>
      <c r="CE251" s="556"/>
      <c r="CF251" s="556"/>
      <c r="CG251" s="556"/>
      <c r="CH251" s="556"/>
    </row>
    <row r="252" spans="58:86">
      <c r="BF252" s="556"/>
      <c r="BG252" s="556"/>
      <c r="BH252" s="556"/>
      <c r="BI252" s="556"/>
      <c r="BJ252" s="556"/>
      <c r="BK252" s="556"/>
      <c r="BL252" s="556"/>
      <c r="BM252" s="556"/>
      <c r="BN252" s="556"/>
      <c r="BO252" s="556"/>
      <c r="BP252" s="556"/>
      <c r="BQ252" s="556"/>
      <c r="BR252" s="556"/>
      <c r="BS252" s="556"/>
      <c r="BT252" s="556"/>
      <c r="BU252" s="591" t="str" cm="1">
        <f t="array" ref="BU252">IFERROR(_xlfn.LET(_xlpm.i,ROWS($BU$2:BU252),_xlpm.cur,INDEX(tblLaminateStructures[Laminate],_xlpm.i),_xlpm.prev,IF(_xlpm.i=1,"",INDEX(tblLaminateStructures[Laminate],_xlpm.i-1)),IF(_xlpm.cur&lt;&gt;_xlpm.prev,_xlpm.cur,"")),"")</f>
        <v/>
      </c>
      <c r="BV252" s="556" t="str" cm="1">
        <f t="array" ref="BV252">IFERROR(_xlfn.LET(_xlpm.i,ROWS($BV$2:BV252),_xlpm.cur,INDEX(tblLaminateStructures[Total Thickness (µ)],_xlpm.i),_xlpm.prev,IF(_xlpm.i=1,"",INDEX(tblLaminateStructures[Total Thickness (µ)],_xlpm.i-1)),IF(OR(_xlpm.cur&lt;&gt;_xlpm.prev,BU252&lt;&gt;""),_xlpm.cur,"")),"")</f>
        <v/>
      </c>
      <c r="BW252" s="556" t="str" cm="1">
        <f t="array" ref="BW252">IFERROR(INDEX(tblLaminateStructures[Material / Layer],ROWS($BW$2:BW252)),"")</f>
        <v/>
      </c>
      <c r="BX252" s="556" t="str" cm="1">
        <f t="array" ref="BX252">IFERROR(INDEX(tblLaminateStructures[Layer Thickness (µ)],ROWS($BX$2:BX252)),"")</f>
        <v/>
      </c>
      <c r="BY252" s="556" t="str" cm="1">
        <f t="array" ref="BY252">IFERROR(INDEX(tblLaminateStructures[Structure Check],ROWS($BY$2:BY252)),"")</f>
        <v/>
      </c>
      <c r="BZ252" s="591" t="str" cm="1">
        <f t="array" ref="BZ252">IFERROR(INDEX(tblLaminateStructures[Laminate],ROWS($BZ$2:BZ252)),"")</f>
        <v/>
      </c>
      <c r="CA252" s="556"/>
      <c r="CB252" s="556"/>
      <c r="CC252" s="556" t="str" cm="1">
        <f t="array" ref="CC252">IFERROR(INDEX(tblLaminateStructures[Total Thickness (µ)],ROWS($CC$2:CC252)),"")</f>
        <v/>
      </c>
      <c r="CD252" s="556"/>
      <c r="CE252" s="556"/>
      <c r="CF252" s="556"/>
      <c r="CG252" s="556"/>
      <c r="CH252" s="556"/>
    </row>
    <row r="253" spans="58:86">
      <c r="BF253" s="556"/>
      <c r="BG253" s="556"/>
      <c r="BH253" s="556"/>
      <c r="BI253" s="556"/>
      <c r="BJ253" s="556"/>
      <c r="BK253" s="556"/>
      <c r="BL253" s="556"/>
      <c r="BM253" s="556"/>
      <c r="BN253" s="556"/>
      <c r="BO253" s="556"/>
      <c r="BP253" s="556"/>
      <c r="BQ253" s="556"/>
      <c r="BR253" s="556"/>
      <c r="BS253" s="556"/>
      <c r="BT253" s="556"/>
      <c r="BU253" s="591" t="str" cm="1">
        <f t="array" ref="BU253">IFERROR(_xlfn.LET(_xlpm.i,ROWS($BU$2:BU253),_xlpm.cur,INDEX(tblLaminateStructures[Laminate],_xlpm.i),_xlpm.prev,IF(_xlpm.i=1,"",INDEX(tblLaminateStructures[Laminate],_xlpm.i-1)),IF(_xlpm.cur&lt;&gt;_xlpm.prev,_xlpm.cur,"")),"")</f>
        <v/>
      </c>
      <c r="BV253" s="556" t="str" cm="1">
        <f t="array" ref="BV253">IFERROR(_xlfn.LET(_xlpm.i,ROWS($BV$2:BV253),_xlpm.cur,INDEX(tblLaminateStructures[Total Thickness (µ)],_xlpm.i),_xlpm.prev,IF(_xlpm.i=1,"",INDEX(tblLaminateStructures[Total Thickness (µ)],_xlpm.i-1)),IF(OR(_xlpm.cur&lt;&gt;_xlpm.prev,BU253&lt;&gt;""),_xlpm.cur,"")),"")</f>
        <v/>
      </c>
      <c r="BW253" s="556" t="str" cm="1">
        <f t="array" ref="BW253">IFERROR(INDEX(tblLaminateStructures[Material / Layer],ROWS($BW$2:BW253)),"")</f>
        <v/>
      </c>
      <c r="BX253" s="556" t="str" cm="1">
        <f t="array" ref="BX253">IFERROR(INDEX(tblLaminateStructures[Layer Thickness (µ)],ROWS($BX$2:BX253)),"")</f>
        <v/>
      </c>
      <c r="BY253" s="556" t="str" cm="1">
        <f t="array" ref="BY253">IFERROR(INDEX(tblLaminateStructures[Structure Check],ROWS($BY$2:BY253)),"")</f>
        <v/>
      </c>
      <c r="BZ253" s="591" t="str" cm="1">
        <f t="array" ref="BZ253">IFERROR(INDEX(tblLaminateStructures[Laminate],ROWS($BZ$2:BZ253)),"")</f>
        <v/>
      </c>
      <c r="CA253" s="556"/>
      <c r="CB253" s="556"/>
      <c r="CC253" s="556" t="str" cm="1">
        <f t="array" ref="CC253">IFERROR(INDEX(tblLaminateStructures[Total Thickness (µ)],ROWS($CC$2:CC253)),"")</f>
        <v/>
      </c>
      <c r="CD253" s="556"/>
      <c r="CE253" s="556"/>
      <c r="CF253" s="556"/>
      <c r="CG253" s="556"/>
      <c r="CH253" s="556"/>
    </row>
    <row r="254" spans="58:86">
      <c r="BF254" s="556"/>
      <c r="BG254" s="556"/>
      <c r="BH254" s="556"/>
      <c r="BI254" s="556"/>
      <c r="BJ254" s="556"/>
      <c r="BK254" s="556"/>
      <c r="BL254" s="556"/>
      <c r="BM254" s="556"/>
      <c r="BN254" s="556"/>
      <c r="BO254" s="556"/>
      <c r="BP254" s="556"/>
      <c r="BQ254" s="556"/>
      <c r="BR254" s="556"/>
      <c r="BS254" s="556"/>
      <c r="BT254" s="556"/>
      <c r="BU254" s="591" t="str" cm="1">
        <f t="array" ref="BU254">IFERROR(_xlfn.LET(_xlpm.i,ROWS($BU$2:BU254),_xlpm.cur,INDEX(tblLaminateStructures[Laminate],_xlpm.i),_xlpm.prev,IF(_xlpm.i=1,"",INDEX(tblLaminateStructures[Laminate],_xlpm.i-1)),IF(_xlpm.cur&lt;&gt;_xlpm.prev,_xlpm.cur,"")),"")</f>
        <v/>
      </c>
      <c r="BV254" s="556" t="str" cm="1">
        <f t="array" ref="BV254">IFERROR(_xlfn.LET(_xlpm.i,ROWS($BV$2:BV254),_xlpm.cur,INDEX(tblLaminateStructures[Total Thickness (µ)],_xlpm.i),_xlpm.prev,IF(_xlpm.i=1,"",INDEX(tblLaminateStructures[Total Thickness (µ)],_xlpm.i-1)),IF(OR(_xlpm.cur&lt;&gt;_xlpm.prev,BU254&lt;&gt;""),_xlpm.cur,"")),"")</f>
        <v/>
      </c>
      <c r="BW254" s="556" t="str" cm="1">
        <f t="array" ref="BW254">IFERROR(INDEX(tblLaminateStructures[Material / Layer],ROWS($BW$2:BW254)),"")</f>
        <v/>
      </c>
      <c r="BX254" s="556" t="str" cm="1">
        <f t="array" ref="BX254">IFERROR(INDEX(tblLaminateStructures[Layer Thickness (µ)],ROWS($BX$2:BX254)),"")</f>
        <v/>
      </c>
      <c r="BY254" s="556" t="str" cm="1">
        <f t="array" ref="BY254">IFERROR(INDEX(tblLaminateStructures[Structure Check],ROWS($BY$2:BY254)),"")</f>
        <v/>
      </c>
      <c r="BZ254" s="591" t="str" cm="1">
        <f t="array" ref="BZ254">IFERROR(INDEX(tblLaminateStructures[Laminate],ROWS($BZ$2:BZ254)),"")</f>
        <v/>
      </c>
      <c r="CA254" s="556"/>
      <c r="CB254" s="556"/>
      <c r="CC254" s="556" t="str" cm="1">
        <f t="array" ref="CC254">IFERROR(INDEX(tblLaminateStructures[Total Thickness (µ)],ROWS($CC$2:CC254)),"")</f>
        <v/>
      </c>
      <c r="CD254" s="556"/>
      <c r="CE254" s="556"/>
      <c r="CF254" s="556"/>
      <c r="CG254" s="556"/>
      <c r="CH254" s="556"/>
    </row>
    <row r="255" spans="58:86">
      <c r="BF255" s="556"/>
      <c r="BG255" s="556"/>
      <c r="BH255" s="556"/>
      <c r="BI255" s="556"/>
      <c r="BJ255" s="556"/>
      <c r="BK255" s="556"/>
      <c r="BL255" s="556"/>
      <c r="BM255" s="556"/>
      <c r="BN255" s="556"/>
      <c r="BO255" s="556"/>
      <c r="BP255" s="556"/>
      <c r="BQ255" s="556"/>
      <c r="BR255" s="556"/>
      <c r="BS255" s="556"/>
      <c r="BT255" s="556"/>
      <c r="BU255" s="591" t="str" cm="1">
        <f t="array" ref="BU255">IFERROR(_xlfn.LET(_xlpm.i,ROWS($BU$2:BU255),_xlpm.cur,INDEX(tblLaminateStructures[Laminate],_xlpm.i),_xlpm.prev,IF(_xlpm.i=1,"",INDEX(tblLaminateStructures[Laminate],_xlpm.i-1)),IF(_xlpm.cur&lt;&gt;_xlpm.prev,_xlpm.cur,"")),"")</f>
        <v/>
      </c>
      <c r="BV255" s="556" t="str" cm="1">
        <f t="array" ref="BV255">IFERROR(_xlfn.LET(_xlpm.i,ROWS($BV$2:BV255),_xlpm.cur,INDEX(tblLaminateStructures[Total Thickness (µ)],_xlpm.i),_xlpm.prev,IF(_xlpm.i=1,"",INDEX(tblLaminateStructures[Total Thickness (µ)],_xlpm.i-1)),IF(OR(_xlpm.cur&lt;&gt;_xlpm.prev,BU255&lt;&gt;""),_xlpm.cur,"")),"")</f>
        <v/>
      </c>
      <c r="BW255" s="556" t="str" cm="1">
        <f t="array" ref="BW255">IFERROR(INDEX(tblLaminateStructures[Material / Layer],ROWS($BW$2:BW255)),"")</f>
        <v/>
      </c>
      <c r="BX255" s="556" t="str" cm="1">
        <f t="array" ref="BX255">IFERROR(INDEX(tblLaminateStructures[Layer Thickness (µ)],ROWS($BX$2:BX255)),"")</f>
        <v/>
      </c>
      <c r="BY255" s="556" t="str" cm="1">
        <f t="array" ref="BY255">IFERROR(INDEX(tblLaminateStructures[Structure Check],ROWS($BY$2:BY255)),"")</f>
        <v/>
      </c>
      <c r="BZ255" s="591" t="str" cm="1">
        <f t="array" ref="BZ255">IFERROR(INDEX(tblLaminateStructures[Laminate],ROWS($BZ$2:BZ255)),"")</f>
        <v/>
      </c>
      <c r="CA255" s="556"/>
      <c r="CB255" s="556"/>
      <c r="CC255" s="556" t="str" cm="1">
        <f t="array" ref="CC255">IFERROR(INDEX(tblLaminateStructures[Total Thickness (µ)],ROWS($CC$2:CC255)),"")</f>
        <v/>
      </c>
      <c r="CD255" s="556"/>
      <c r="CE255" s="556"/>
      <c r="CF255" s="556"/>
      <c r="CG255" s="556"/>
      <c r="CH255" s="556"/>
    </row>
    <row r="256" spans="58:86">
      <c r="BF256" s="556"/>
      <c r="BG256" s="556"/>
      <c r="BH256" s="556"/>
      <c r="BI256" s="556"/>
      <c r="BJ256" s="556"/>
      <c r="BK256" s="556"/>
      <c r="BL256" s="556"/>
      <c r="BM256" s="556"/>
      <c r="BN256" s="556"/>
      <c r="BO256" s="556"/>
      <c r="BP256" s="556"/>
      <c r="BQ256" s="556"/>
      <c r="BR256" s="556"/>
      <c r="BS256" s="556"/>
      <c r="BT256" s="556"/>
      <c r="BU256" s="591" t="str" cm="1">
        <f t="array" ref="BU256">IFERROR(_xlfn.LET(_xlpm.i,ROWS($BU$2:BU256),_xlpm.cur,INDEX(tblLaminateStructures[Laminate],_xlpm.i),_xlpm.prev,IF(_xlpm.i=1,"",INDEX(tblLaminateStructures[Laminate],_xlpm.i-1)),IF(_xlpm.cur&lt;&gt;_xlpm.prev,_xlpm.cur,"")),"")</f>
        <v/>
      </c>
      <c r="BV256" s="556" t="str" cm="1">
        <f t="array" ref="BV256">IFERROR(_xlfn.LET(_xlpm.i,ROWS($BV$2:BV256),_xlpm.cur,INDEX(tblLaminateStructures[Total Thickness (µ)],_xlpm.i),_xlpm.prev,IF(_xlpm.i=1,"",INDEX(tblLaminateStructures[Total Thickness (µ)],_xlpm.i-1)),IF(OR(_xlpm.cur&lt;&gt;_xlpm.prev,BU256&lt;&gt;""),_xlpm.cur,"")),"")</f>
        <v/>
      </c>
      <c r="BW256" s="556" t="str" cm="1">
        <f t="array" ref="BW256">IFERROR(INDEX(tblLaminateStructures[Material / Layer],ROWS($BW$2:BW256)),"")</f>
        <v/>
      </c>
      <c r="BX256" s="556" t="str" cm="1">
        <f t="array" ref="BX256">IFERROR(INDEX(tblLaminateStructures[Layer Thickness (µ)],ROWS($BX$2:BX256)),"")</f>
        <v/>
      </c>
      <c r="BY256" s="556" t="str" cm="1">
        <f t="array" ref="BY256">IFERROR(INDEX(tblLaminateStructures[Structure Check],ROWS($BY$2:BY256)),"")</f>
        <v/>
      </c>
      <c r="BZ256" s="591" t="str" cm="1">
        <f t="array" ref="BZ256">IFERROR(INDEX(tblLaminateStructures[Laminate],ROWS($BZ$2:BZ256)),"")</f>
        <v/>
      </c>
      <c r="CA256" s="556"/>
      <c r="CB256" s="556"/>
      <c r="CC256" s="556" t="str" cm="1">
        <f t="array" ref="CC256">IFERROR(INDEX(tblLaminateStructures[Total Thickness (µ)],ROWS($CC$2:CC256)),"")</f>
        <v/>
      </c>
      <c r="CD256" s="556"/>
      <c r="CE256" s="556"/>
      <c r="CF256" s="556"/>
      <c r="CG256" s="556"/>
      <c r="CH256" s="556"/>
    </row>
  </sheetData>
  <mergeCells count="6">
    <mergeCell ref="AF4:AF8"/>
    <mergeCell ref="AJ1:AK1"/>
    <mergeCell ref="AM1:AN1"/>
    <mergeCell ref="AS1:AT1"/>
    <mergeCell ref="BH1:BI1"/>
    <mergeCell ref="BF2:BO2"/>
  </mergeCells>
  <conditionalFormatting sqref="AP12 AP17">
    <cfRule type="expression" dxfId="7" priority="1">
      <formula>AND(INDIRECT("C"&amp;(3+FLOOR((ROW()-3)/6,1)*6))&lt;&gt;"",AP12="")</formula>
    </cfRule>
  </conditionalFormatting>
  <pageMargins left="0.7" right="0.7" top="0.75" bottom="0.75" header="0.3" footer="0.3"/>
  <drawing r:id="rId1"/>
  <legacyDrawing r:id="rId2"/>
  <tableParts count="4">
    <tablePart r:id="rId3"/>
    <tablePart r:id="rId4"/>
    <tablePart r:id="rId5"/>
    <tablePart r:id="rId6"/>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B88A6-A2EC-4B75-9DD2-D0B03BB44FFA}">
  <sheetPr>
    <tabColor rgb="FFFFFF00"/>
  </sheetPr>
  <dimension ref="A1:J17"/>
  <sheetViews>
    <sheetView workbookViewId="0">
      <selection activeCell="E4" sqref="E4"/>
    </sheetView>
  </sheetViews>
  <sheetFormatPr defaultRowHeight="15"/>
  <cols>
    <col min="1" max="1" width="16" bestFit="1" customWidth="1"/>
    <col min="2" max="2" width="17.7109375" bestFit="1" customWidth="1"/>
    <col min="3" max="4" width="17.5703125" bestFit="1" customWidth="1"/>
    <col min="5" max="5" width="26.140625" bestFit="1" customWidth="1"/>
    <col min="6" max="6" width="11.85546875" bestFit="1" customWidth="1"/>
    <col min="7" max="7" width="22.140625" bestFit="1" customWidth="1"/>
    <col min="8" max="8" width="10.28515625" bestFit="1" customWidth="1"/>
  </cols>
  <sheetData>
    <row r="1" spans="1:10">
      <c r="A1" s="1" t="s">
        <v>3</v>
      </c>
      <c r="B1" s="1" t="s">
        <v>22</v>
      </c>
      <c r="C1" s="1" t="s">
        <v>72</v>
      </c>
      <c r="D1" s="1" t="s">
        <v>21</v>
      </c>
      <c r="E1" s="1" t="s">
        <v>86</v>
      </c>
      <c r="F1" s="1" t="s">
        <v>87</v>
      </c>
      <c r="G1" s="1" t="s">
        <v>218</v>
      </c>
      <c r="H1" s="1" t="s">
        <v>88</v>
      </c>
      <c r="I1" s="1" t="s">
        <v>89</v>
      </c>
      <c r="J1" s="1" t="s">
        <v>90</v>
      </c>
    </row>
    <row r="2" spans="1:10">
      <c r="A2" t="s">
        <v>13</v>
      </c>
      <c r="B2" t="s">
        <v>73</v>
      </c>
      <c r="C2" t="s">
        <v>74</v>
      </c>
      <c r="D2" t="s">
        <v>33</v>
      </c>
      <c r="E2" s="2">
        <v>2.86</v>
      </c>
      <c r="J2" s="10"/>
    </row>
    <row r="3" spans="1:10">
      <c r="A3" t="s">
        <v>13</v>
      </c>
      <c r="B3" t="s">
        <v>28</v>
      </c>
      <c r="C3" t="s">
        <v>75</v>
      </c>
      <c r="D3" t="s">
        <v>34</v>
      </c>
      <c r="E3" s="2">
        <v>3.39</v>
      </c>
      <c r="J3" s="10"/>
    </row>
    <row r="4" spans="1:10">
      <c r="A4" t="s">
        <v>14</v>
      </c>
      <c r="B4" t="s">
        <v>23</v>
      </c>
      <c r="C4" t="s">
        <v>76</v>
      </c>
      <c r="D4" t="s">
        <v>35</v>
      </c>
      <c r="E4" s="2">
        <v>2.75</v>
      </c>
      <c r="J4" s="10"/>
    </row>
    <row r="5" spans="1:10">
      <c r="A5" t="s">
        <v>14</v>
      </c>
      <c r="B5" t="s">
        <v>27</v>
      </c>
      <c r="C5" t="s">
        <v>77</v>
      </c>
      <c r="D5" t="s">
        <v>36</v>
      </c>
      <c r="E5" s="2">
        <v>4.2</v>
      </c>
      <c r="J5" s="10"/>
    </row>
    <row r="6" spans="1:10">
      <c r="A6" t="s">
        <v>14</v>
      </c>
      <c r="B6" t="s">
        <v>25</v>
      </c>
      <c r="C6" t="s">
        <v>78</v>
      </c>
      <c r="D6" t="s">
        <v>32</v>
      </c>
      <c r="E6" s="2">
        <v>1.81</v>
      </c>
      <c r="J6" s="10"/>
    </row>
    <row r="7" spans="1:10">
      <c r="A7" t="s">
        <v>20</v>
      </c>
      <c r="B7" t="s">
        <v>29</v>
      </c>
      <c r="C7" t="s">
        <v>85</v>
      </c>
      <c r="D7" t="s">
        <v>84</v>
      </c>
      <c r="E7" s="2">
        <v>7.62</v>
      </c>
      <c r="J7" s="10"/>
    </row>
    <row r="8" spans="1:10">
      <c r="A8" t="s">
        <v>15</v>
      </c>
      <c r="B8" t="s">
        <v>24</v>
      </c>
      <c r="C8" t="s">
        <v>79</v>
      </c>
      <c r="D8" t="s">
        <v>37</v>
      </c>
      <c r="E8" s="2">
        <v>5.35</v>
      </c>
      <c r="J8" s="10"/>
    </row>
    <row r="9" spans="1:10">
      <c r="A9" t="s">
        <v>16</v>
      </c>
      <c r="B9" t="s">
        <v>10</v>
      </c>
      <c r="C9" t="s">
        <v>80</v>
      </c>
      <c r="D9" t="s">
        <v>38</v>
      </c>
      <c r="E9" s="2">
        <v>16</v>
      </c>
      <c r="J9" s="10"/>
    </row>
    <row r="10" spans="1:10">
      <c r="A10" t="s">
        <v>17</v>
      </c>
      <c r="B10" t="s">
        <v>11</v>
      </c>
      <c r="C10" t="s">
        <v>81</v>
      </c>
      <c r="D10" t="s">
        <v>39</v>
      </c>
      <c r="E10" s="2">
        <v>14.7</v>
      </c>
      <c r="J10" s="10"/>
    </row>
    <row r="11" spans="1:10">
      <c r="A11" t="s">
        <v>18</v>
      </c>
      <c r="B11" t="s">
        <v>9</v>
      </c>
      <c r="C11" t="s">
        <v>82</v>
      </c>
      <c r="D11" t="s">
        <v>40</v>
      </c>
      <c r="E11" s="2">
        <v>7.55</v>
      </c>
      <c r="J11" s="10"/>
    </row>
    <row r="12" spans="1:10">
      <c r="A12" t="s">
        <v>19</v>
      </c>
      <c r="B12" t="s">
        <v>30</v>
      </c>
      <c r="C12" t="s">
        <v>30</v>
      </c>
      <c r="D12" t="s">
        <v>30</v>
      </c>
      <c r="E12" s="2">
        <v>18.5</v>
      </c>
      <c r="J12" s="10"/>
    </row>
    <row r="13" spans="1:10">
      <c r="A13" t="s">
        <v>12</v>
      </c>
      <c r="B13" t="s">
        <v>8</v>
      </c>
      <c r="C13" t="s">
        <v>83</v>
      </c>
      <c r="D13" t="s">
        <v>42</v>
      </c>
      <c r="E13" s="2">
        <v>5.75</v>
      </c>
      <c r="J13" s="10"/>
    </row>
    <row r="14" spans="1:10">
      <c r="A14" t="s">
        <v>41</v>
      </c>
      <c r="B14" t="s">
        <v>26</v>
      </c>
      <c r="C14" t="s">
        <v>26</v>
      </c>
      <c r="D14" t="s">
        <v>53</v>
      </c>
      <c r="E14" s="2">
        <v>5.78</v>
      </c>
      <c r="J14" s="10"/>
    </row>
    <row r="17" spans="5:5">
      <c r="E17"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B4A57-6E12-4E58-8C54-0F89B3C9B8C9}">
  <dimension ref="A1:N91"/>
  <sheetViews>
    <sheetView topLeftCell="A23" workbookViewId="0">
      <selection activeCell="P33" sqref="P33"/>
    </sheetView>
  </sheetViews>
  <sheetFormatPr defaultRowHeight="15"/>
  <cols>
    <col min="1" max="1" width="16.140625" style="74" customWidth="1"/>
    <col min="2" max="3" width="14.85546875" customWidth="1"/>
    <col min="4" max="4" width="14.85546875" style="74" customWidth="1"/>
    <col min="5" max="5" width="14.85546875" customWidth="1"/>
    <col min="6" max="6" width="20.28515625" bestFit="1" customWidth="1"/>
    <col min="7" max="8" width="19" customWidth="1"/>
    <col min="9" max="9" width="19" style="74" customWidth="1"/>
  </cols>
  <sheetData>
    <row r="1" spans="1:14" ht="32.1" customHeight="1">
      <c r="A1" s="1142" t="s">
        <v>1337</v>
      </c>
      <c r="B1" s="1142"/>
      <c r="C1" s="1142"/>
      <c r="D1" s="1142"/>
      <c r="E1" s="1142"/>
      <c r="F1" s="1142"/>
      <c r="G1" s="1142"/>
      <c r="H1" s="1142"/>
      <c r="I1" s="1142"/>
      <c r="J1" t="s">
        <v>222</v>
      </c>
      <c r="K1" t="s">
        <v>1351</v>
      </c>
      <c r="L1" t="s">
        <v>1352</v>
      </c>
      <c r="M1" t="s">
        <v>1353</v>
      </c>
      <c r="N1" t="s">
        <v>1354</v>
      </c>
    </row>
    <row r="2" spans="1:14">
      <c r="A2" s="1143" t="s">
        <v>1338</v>
      </c>
      <c r="B2" s="1143"/>
      <c r="C2" s="1143"/>
      <c r="D2" s="1143"/>
      <c r="E2" s="1143"/>
      <c r="F2" s="1143"/>
      <c r="G2" s="1143"/>
      <c r="H2" s="1143"/>
      <c r="I2" s="1143"/>
      <c r="J2" t="str">
        <f>Laminates!Q3</f>
        <v>Marma</v>
      </c>
      <c r="K2">
        <f>IF(Laminates!E3="","",IF(Laminates!E3&lt;=450,450,IF(Laminates!E3&lt;=760,760,IF(Laminates!E3&lt;=1200,1200,""))))</f>
        <v>760</v>
      </c>
      <c r="L2">
        <f>IF(Laminates!$G$3="","",IF(Laminates!$G$3&lt;=5000,5000,IF(Laminates!$G$3&lt;=10000,10000,IF(Laminates!$G$3&lt;=20000,20000,IF(Laminates!$G$3&lt;=50000,50000,200000)))))</f>
        <v>20000</v>
      </c>
      <c r="M2" t="str">
        <f>IF(Laminates!I3="","",IF(Laminates!I3=1,"1",IF(OR(Laminates!I3=2,Laminates!I3=3),"2-3",IF(OR(Laminates!I3=4,Laminates!I3=5),"4-5","6-8"))))</f>
        <v>6-8</v>
      </c>
      <c r="N2" t="s">
        <v>1355</v>
      </c>
    </row>
    <row r="3" spans="1:14">
      <c r="J3" t="str">
        <f>Laminates!Q9</f>
        <v>Marma</v>
      </c>
      <c r="K3">
        <f>IF(Laminates!E9="","",IF(Laminates!E9&lt;=450,450,IF(Laminates!E9&lt;=760,760,IF(Laminates!E9&lt;=1200,1200,""))))</f>
        <v>760</v>
      </c>
      <c r="L3">
        <f>IF(Laminates!$G$9="","",IF(Laminates!$G$9&lt;=5000,5000,IF(Laminates!$G$9&lt;=10000,10000,IF(Laminates!$G$9&lt;=20000,20000,IF(Laminates!$G$9&lt;=50000,50000,200000)))))</f>
        <v>200000</v>
      </c>
      <c r="M3" t="str">
        <f>IF(Laminates!I9="","",IF(Laminates!I9=1,"1",IF(OR(Laminates!I9=2,Laminates!I9=3),"2-3",IF(OR(Laminates!I9=4,Laminates!I9=5),"4-5","6-8"))))</f>
        <v>6-8</v>
      </c>
      <c r="N3" t="s">
        <v>1356</v>
      </c>
    </row>
    <row r="4" spans="1:14">
      <c r="A4" s="900" t="s">
        <v>1339</v>
      </c>
      <c r="B4" s="900"/>
      <c r="C4" s="900"/>
      <c r="D4" s="900"/>
      <c r="E4" s="900"/>
      <c r="J4" t="str">
        <f>Laminates!Q15</f>
        <v>Marma</v>
      </c>
      <c r="K4">
        <f>IF(Laminates!E15="","",IF(Laminates!E15&lt;=450,450,IF(Laminates!E15&lt;=760,760,IF(Laminates!E15&lt;=1200,1200,""))))</f>
        <v>760</v>
      </c>
      <c r="L4">
        <f>IF(Laminates!$G$15="","",IF(Laminates!$G$15&lt;=5000,5000,IF(Laminates!$G$15&lt;=10000,10000,IF(Laminates!$G$15&lt;=20000,20000,IF(Laminates!$G$15&lt;=50000,50000,200000)))))</f>
        <v>200000</v>
      </c>
      <c r="M4" t="str">
        <f>IF(Laminates!I15="","",IF(Laminates!I15=1,"1",IF(OR(Laminates!I15=2,Laminates!I15=3),"2-3",IF(OR(Laminates!I15=4,Laminates!I15=5),"4-5","6-8"))))</f>
        <v>6-8</v>
      </c>
      <c r="N4" t="s">
        <v>1357</v>
      </c>
    </row>
    <row r="5" spans="1:14">
      <c r="A5" s="890" t="s">
        <v>1263</v>
      </c>
      <c r="B5" s="898" t="s">
        <v>1215</v>
      </c>
      <c r="C5" s="898" t="s">
        <v>1317</v>
      </c>
      <c r="D5" s="899" t="s">
        <v>1318</v>
      </c>
      <c r="E5" s="898" t="s">
        <v>1319</v>
      </c>
      <c r="J5" t="str">
        <f>Laminates!Q51</f>
        <v>Bastin</v>
      </c>
      <c r="K5">
        <f>IF(Laminates!E51="","",IF(Laminates!E51&lt;=450,450,IF(Laminates!E51&lt;=760,760,IF(Laminates!E51&lt;=1200,1200,""))))</f>
        <v>760</v>
      </c>
      <c r="L5" t="str">
        <f>IF(Laminates!$G$51="","",IF(Laminates!$G$51&lt;=5000,5000,IF(Laminates!$G$51&lt;=10000,10000,IF(Laminates!$G$51&lt;=20000,20000,IF(Laminates!$G$51&lt;=50000,50000,200000)))))</f>
        <v/>
      </c>
      <c r="M5" t="str">
        <f>IF(Laminates!I51="","",IF(Laminates!I51=1,"1",IF(OR(Laminates!I51=2,Laminates!I51=3),"2-3",IF(OR(Laminates!I51=4,Laminates!I51=5),"4-5","6-8"))))</f>
        <v>6-8</v>
      </c>
      <c r="N5" t="s">
        <v>1358</v>
      </c>
    </row>
    <row r="6" spans="1:14">
      <c r="A6" s="891">
        <v>25000</v>
      </c>
      <c r="B6" s="892">
        <f t="shared" ref="B6:E10" si="0">SUMIFS($H$32:$H$91,$A$32:$A$91,1200,$B$32:$B$91,$A6,$C$32:$C$91,B$5)</f>
        <v>1.6248000000000002</v>
      </c>
      <c r="C6" s="892">
        <f t="shared" si="0"/>
        <v>1.7520000000000002</v>
      </c>
      <c r="D6" s="893">
        <f t="shared" si="0"/>
        <v>2.0700000000000003</v>
      </c>
      <c r="E6" s="892">
        <f t="shared" si="0"/>
        <v>2.2290000000000001</v>
      </c>
      <c r="J6" t="str">
        <f>Laminates!Q57</f>
        <v>Marma</v>
      </c>
      <c r="K6">
        <f>IF(Laminates!E57="","",IF(Laminates!E57&lt;=450,450,IF(Laminates!E57&lt;=760,760,IF(Laminates!E57&lt;=1200,1200,""))))</f>
        <v>760</v>
      </c>
      <c r="L6">
        <f>IF(Laminates!$G$57="","",IF(Laminates!$G$57&lt;=5000,5000,IF(Laminates!$G$57&lt;=10000,10000,IF(Laminates!$G$57&lt;=20000,20000,IF(Laminates!$G$57&lt;=50000,50000,200000)))))</f>
        <v>5000</v>
      </c>
      <c r="M6" t="str">
        <f>IF(Laminates!I57="","",IF(Laminates!I57=1,"1",IF(OR(Laminates!I57=2,Laminates!I57=3),"2-3",IF(OR(Laminates!I57=4,Laminates!I57=5),"4-5","6-8"))))</f>
        <v>6-8</v>
      </c>
      <c r="N6" t="s">
        <v>1359</v>
      </c>
    </row>
    <row r="7" spans="1:14">
      <c r="A7" s="891">
        <v>50000</v>
      </c>
      <c r="B7" s="892">
        <f t="shared" si="0"/>
        <v>1.3848000000000003</v>
      </c>
      <c r="C7" s="892">
        <f t="shared" si="0"/>
        <v>1.5120000000000002</v>
      </c>
      <c r="D7" s="893">
        <f t="shared" si="0"/>
        <v>1.83</v>
      </c>
      <c r="E7" s="892">
        <f t="shared" si="0"/>
        <v>1.9890000000000003</v>
      </c>
      <c r="J7" t="str">
        <f>Laminates!Q63</f>
        <v>Marma</v>
      </c>
      <c r="K7">
        <f>IF(Laminates!E63="","",IF(Laminates!E63&lt;=450,450,IF(Laminates!E63&lt;=760,760,IF(Laminates!E63&lt;=1200,1200,""))))</f>
        <v>760</v>
      </c>
      <c r="L7">
        <f>IF(Laminates!$G$63="","",IF(Laminates!$G$63&lt;=5000,5000,IF(Laminates!$G$63&lt;=10000,10000,IF(Laminates!$G$63&lt;=20000,20000,IF(Laminates!$G$63&lt;=50000,50000,200000)))))</f>
        <v>5000</v>
      </c>
      <c r="M7" t="str">
        <f>IF(Laminates!I63="","",IF(Laminates!I63=1,"1",IF(OR(Laminates!I63=2,Laminates!I63=3),"2-3",IF(OR(Laminates!I63=4,Laminates!I63=5),"4-5","6-8"))))</f>
        <v>6-8</v>
      </c>
      <c r="N7" t="s">
        <v>1360</v>
      </c>
    </row>
    <row r="8" spans="1:14">
      <c r="A8" s="891">
        <v>100000</v>
      </c>
      <c r="B8" s="892">
        <f t="shared" si="0"/>
        <v>1.2648000000000001</v>
      </c>
      <c r="C8" s="892">
        <f t="shared" si="0"/>
        <v>1.3920000000000003</v>
      </c>
      <c r="D8" s="893">
        <f t="shared" si="0"/>
        <v>1.71</v>
      </c>
      <c r="E8" s="892">
        <f t="shared" si="0"/>
        <v>1.8690000000000002</v>
      </c>
      <c r="J8" t="str">
        <f>Pouches!Q3</f>
        <v>Quantum</v>
      </c>
      <c r="K8">
        <f>IF(Pouches!E3="","",IF(Pouches!E3&lt;=450,450,IF(Pouches!E3&lt;=760,760,IF(Pouches!E3&lt;=1200,1200,""))))</f>
        <v>450</v>
      </c>
      <c r="L8">
        <f>IF(Pouches!$G$3="","",IF(Pouches!$G$3&lt;=5000,5000,IF(Pouches!$G$3&lt;=10000,10000,IF(Pouches!$G$3&lt;=20000,20000,IF(Pouches!$G$3&lt;=50000,50000,200000)))))</f>
        <v>5000</v>
      </c>
      <c r="M8" t="str">
        <f>IF(Pouches!I3="","",IF(OR(Pouches!I3=1,Pouches!I3="1"),"1",IF(OR(Pouches!I3=2,Pouches!I3=3,Pouches!I3="2-3"),"2-3",IF(OR(Pouches!I3=4,Pouches!I3=5,Pouches!I3="3-4",Pouches!I3="4-5"),"4-5","6-8"))))</f>
        <v>4-5</v>
      </c>
      <c r="N8" t="s">
        <v>1361</v>
      </c>
    </row>
    <row r="9" spans="1:14">
      <c r="A9" s="891">
        <v>250000</v>
      </c>
      <c r="B9" s="892">
        <f t="shared" si="0"/>
        <v>1.1928000000000003</v>
      </c>
      <c r="C9" s="892">
        <f t="shared" si="0"/>
        <v>1.3200000000000003</v>
      </c>
      <c r="D9" s="893">
        <f t="shared" si="0"/>
        <v>1.6380000000000001</v>
      </c>
      <c r="E9" s="892">
        <f t="shared" si="0"/>
        <v>1.7970000000000004</v>
      </c>
      <c r="J9" t="str">
        <f>Pouches!Q9</f>
        <v>Quantum</v>
      </c>
      <c r="K9">
        <f>IF(Pouches!E9="","",IF(Pouches!E9&lt;=450,450,IF(Pouches!E9&lt;=760,760,IF(Pouches!E9&lt;=1200,1200,""))))</f>
        <v>450</v>
      </c>
      <c r="L9">
        <f>IF(Pouches!$G$9="","",IF(Pouches!$G$9&lt;=5000,5000,IF(Pouches!$G$9&lt;=10000,10000,IF(Pouches!$G$9&lt;=20000,20000,IF(Pouches!$G$9&lt;=50000,50000,200000)))))</f>
        <v>5000</v>
      </c>
      <c r="M9" t="str">
        <f>IF(Pouches!I9="","",IF(OR(Pouches!I9=1,Pouches!I9="1"),"1",IF(OR(Pouches!I9=2,Pouches!I9=3,Pouches!I9="2-3"),"2-3",IF(OR(Pouches!I9=4,Pouches!I9=5,Pouches!I9="3-4",Pouches!I9="4-5"),"4-5","6-8"))))</f>
        <v>4-5</v>
      </c>
      <c r="N9" t="s">
        <v>1362</v>
      </c>
    </row>
    <row r="10" spans="1:14">
      <c r="A10" s="891">
        <v>1000000</v>
      </c>
      <c r="B10" s="892">
        <f t="shared" si="0"/>
        <v>1.1568000000000003</v>
      </c>
      <c r="C10" s="892">
        <f t="shared" si="0"/>
        <v>1.2840000000000003</v>
      </c>
      <c r="D10" s="893">
        <f t="shared" si="0"/>
        <v>1.6020000000000001</v>
      </c>
      <c r="E10" s="892">
        <f t="shared" si="0"/>
        <v>1.7610000000000003</v>
      </c>
      <c r="J10" t="str">
        <f>Pouches!Q15</f>
        <v>Quantum</v>
      </c>
      <c r="K10">
        <f>IF(Pouches!E15="","",IF(Pouches!E15&lt;=450,450,IF(Pouches!E15&lt;=760,760,IF(Pouches!E15&lt;=1200,1200,""))))</f>
        <v>450</v>
      </c>
      <c r="L10">
        <f>IF(Pouches!$G$15="","",IF(Pouches!$G$15&lt;=5000,5000,IF(Pouches!$G$15&lt;=10000,10000,IF(Pouches!$G$15&lt;=20000,20000,IF(Pouches!$G$15&lt;=50000,50000,200000)))))</f>
        <v>10000</v>
      </c>
      <c r="M10" t="str">
        <f>IF(Pouches!I15="","",IF(OR(Pouches!I15=1,Pouches!I15="1"),"1",IF(OR(Pouches!I15=2,Pouches!I15=3,Pouches!I15="2-3"),"2-3",IF(OR(Pouches!I15=4,Pouches!I15=5,Pouches!I15="3-4",Pouches!I15="4-5"),"4-5","6-8"))))</f>
        <v>4-5</v>
      </c>
      <c r="N10" t="s">
        <v>1363</v>
      </c>
    </row>
    <row r="12" spans="1:14">
      <c r="A12" s="900" t="s">
        <v>1340</v>
      </c>
      <c r="B12" s="900"/>
      <c r="C12" s="900"/>
      <c r="D12" s="900"/>
      <c r="E12" s="900"/>
    </row>
    <row r="13" spans="1:14">
      <c r="A13" s="890" t="s">
        <v>1263</v>
      </c>
      <c r="B13" s="898" t="s">
        <v>1215</v>
      </c>
      <c r="C13" s="898" t="s">
        <v>1317</v>
      </c>
      <c r="D13" s="899" t="s">
        <v>1318</v>
      </c>
      <c r="E13" s="898" t="s">
        <v>1319</v>
      </c>
    </row>
    <row r="14" spans="1:14">
      <c r="A14" s="891">
        <v>25000</v>
      </c>
      <c r="B14" s="892">
        <f t="shared" ref="B14:E18" si="1">SUMIFS($H$32:$H$91,$A$32:$A$91,760,$B$32:$B$91,$A14,$C$32:$C$91,B$13)</f>
        <v>1.0920000000000001</v>
      </c>
      <c r="C14" s="892">
        <f t="shared" si="1"/>
        <v>1.1600000000000001</v>
      </c>
      <c r="D14" s="893">
        <f t="shared" si="1"/>
        <v>1.33</v>
      </c>
      <c r="E14" s="892">
        <f t="shared" si="1"/>
        <v>1.415</v>
      </c>
    </row>
    <row r="15" spans="1:14">
      <c r="A15" s="891">
        <v>50000</v>
      </c>
      <c r="B15" s="892">
        <f t="shared" si="1"/>
        <v>0.85200000000000009</v>
      </c>
      <c r="C15" s="892">
        <f t="shared" si="1"/>
        <v>0.92</v>
      </c>
      <c r="D15" s="893">
        <f t="shared" si="1"/>
        <v>1.0899999999999999</v>
      </c>
      <c r="E15" s="892">
        <f t="shared" si="1"/>
        <v>1.175</v>
      </c>
    </row>
    <row r="16" spans="1:14">
      <c r="A16" s="891">
        <v>100000</v>
      </c>
      <c r="B16" s="892">
        <f t="shared" si="1"/>
        <v>0.7320000000000001</v>
      </c>
      <c r="C16" s="892">
        <f t="shared" si="1"/>
        <v>0.8</v>
      </c>
      <c r="D16" s="893">
        <f t="shared" si="1"/>
        <v>0.97</v>
      </c>
      <c r="E16" s="892">
        <f t="shared" si="1"/>
        <v>1.0550000000000002</v>
      </c>
    </row>
    <row r="17" spans="1:9">
      <c r="A17" s="891">
        <v>250000</v>
      </c>
      <c r="B17" s="892">
        <f t="shared" si="1"/>
        <v>0.66000000000000014</v>
      </c>
      <c r="C17" s="892">
        <f t="shared" si="1"/>
        <v>0.72800000000000009</v>
      </c>
      <c r="D17" s="893">
        <f t="shared" si="1"/>
        <v>0.89800000000000002</v>
      </c>
      <c r="E17" s="892">
        <f t="shared" si="1"/>
        <v>0.9830000000000001</v>
      </c>
    </row>
    <row r="18" spans="1:9">
      <c r="A18" s="891">
        <v>1000000</v>
      </c>
      <c r="B18" s="892">
        <f t="shared" si="1"/>
        <v>0.62400000000000011</v>
      </c>
      <c r="C18" s="892">
        <f t="shared" si="1"/>
        <v>0.69200000000000006</v>
      </c>
      <c r="D18" s="893">
        <f t="shared" si="1"/>
        <v>0.86199999999999999</v>
      </c>
      <c r="E18" s="892">
        <f t="shared" si="1"/>
        <v>0.94700000000000006</v>
      </c>
    </row>
    <row r="20" spans="1:9">
      <c r="A20" s="900" t="s">
        <v>1341</v>
      </c>
      <c r="B20" s="900"/>
      <c r="C20" s="900"/>
      <c r="D20" s="900"/>
      <c r="E20" s="900"/>
    </row>
    <row r="21" spans="1:9">
      <c r="A21" s="890" t="s">
        <v>1263</v>
      </c>
      <c r="B21" s="898" t="s">
        <v>1215</v>
      </c>
      <c r="C21" s="898" t="s">
        <v>1317</v>
      </c>
      <c r="D21" s="899" t="s">
        <v>1318</v>
      </c>
      <c r="E21" s="898" t="s">
        <v>1319</v>
      </c>
    </row>
    <row r="22" spans="1:9">
      <c r="A22" s="891">
        <v>25000</v>
      </c>
      <c r="B22" s="892">
        <f t="shared" ref="B22:E26" si="2">SUMIFS($H$32:$H$91,$A$32:$A$91,450,$B$32:$B$91,$A22,$C$32:$C$91,B$21)</f>
        <v>1.0920000000000001</v>
      </c>
      <c r="C22" s="892">
        <f t="shared" si="2"/>
        <v>1.1600000000000001</v>
      </c>
      <c r="D22" s="893">
        <f t="shared" si="2"/>
        <v>1.33</v>
      </c>
      <c r="E22" s="892">
        <f t="shared" si="2"/>
        <v>1.415</v>
      </c>
    </row>
    <row r="23" spans="1:9">
      <c r="A23" s="891">
        <v>50000</v>
      </c>
      <c r="B23" s="892">
        <f t="shared" si="2"/>
        <v>0.85200000000000009</v>
      </c>
      <c r="C23" s="892">
        <f t="shared" si="2"/>
        <v>0.92</v>
      </c>
      <c r="D23" s="893">
        <f t="shared" si="2"/>
        <v>1.0899999999999999</v>
      </c>
      <c r="E23" s="892">
        <f t="shared" si="2"/>
        <v>1.175</v>
      </c>
    </row>
    <row r="24" spans="1:9">
      <c r="A24" s="891">
        <v>100000</v>
      </c>
      <c r="B24" s="892">
        <f t="shared" si="2"/>
        <v>0.7320000000000001</v>
      </c>
      <c r="C24" s="892">
        <f t="shared" si="2"/>
        <v>0.8</v>
      </c>
      <c r="D24" s="893">
        <f t="shared" si="2"/>
        <v>0.97</v>
      </c>
      <c r="E24" s="892">
        <f t="shared" si="2"/>
        <v>1.0550000000000002</v>
      </c>
    </row>
    <row r="25" spans="1:9">
      <c r="A25" s="891">
        <v>250000</v>
      </c>
      <c r="B25" s="892">
        <f t="shared" si="2"/>
        <v>0.66000000000000014</v>
      </c>
      <c r="C25" s="892">
        <f t="shared" si="2"/>
        <v>0.72800000000000009</v>
      </c>
      <c r="D25" s="893">
        <f t="shared" si="2"/>
        <v>0.89800000000000002</v>
      </c>
      <c r="E25" s="892">
        <f t="shared" si="2"/>
        <v>0.9830000000000001</v>
      </c>
    </row>
    <row r="26" spans="1:9">
      <c r="A26" s="891">
        <v>1000000</v>
      </c>
      <c r="B26" s="892">
        <f t="shared" si="2"/>
        <v>0.62400000000000011</v>
      </c>
      <c r="C26" s="892">
        <f t="shared" si="2"/>
        <v>0.69200000000000006</v>
      </c>
      <c r="D26" s="893">
        <f t="shared" si="2"/>
        <v>0.86199999999999999</v>
      </c>
      <c r="E26" s="892">
        <f t="shared" si="2"/>
        <v>0.94700000000000006</v>
      </c>
    </row>
    <row r="29" spans="1:9">
      <c r="A29" s="1144" t="s">
        <v>1342</v>
      </c>
      <c r="B29" s="1144"/>
      <c r="C29" s="1144"/>
      <c r="D29" s="1144"/>
      <c r="E29" s="1144"/>
      <c r="F29" s="1144"/>
      <c r="G29" s="1144"/>
      <c r="H29" s="1144"/>
      <c r="I29" s="1144"/>
    </row>
    <row r="31" spans="1:9" ht="30">
      <c r="A31" s="894" t="s">
        <v>1310</v>
      </c>
      <c r="B31" s="895" t="s">
        <v>1263</v>
      </c>
      <c r="C31" s="895" t="s">
        <v>1254</v>
      </c>
      <c r="D31" s="894" t="s">
        <v>1311</v>
      </c>
      <c r="E31" s="895" t="s">
        <v>1312</v>
      </c>
      <c r="F31" s="895" t="s">
        <v>1313</v>
      </c>
      <c r="G31" s="895" t="s">
        <v>1314</v>
      </c>
      <c r="H31" s="895" t="s">
        <v>1315</v>
      </c>
      <c r="I31" s="894" t="s">
        <v>1316</v>
      </c>
    </row>
    <row r="32" spans="1:9">
      <c r="A32" s="896">
        <v>1200</v>
      </c>
      <c r="B32" s="95">
        <v>25000</v>
      </c>
      <c r="C32" s="95" t="s">
        <v>1215</v>
      </c>
      <c r="D32" s="896">
        <v>5000</v>
      </c>
      <c r="E32" s="897">
        <f>E33*0.9</f>
        <v>1.1448000000000003</v>
      </c>
      <c r="F32" s="897">
        <v>2400</v>
      </c>
      <c r="G32" s="897">
        <f>F32/D32</f>
        <v>0.48</v>
      </c>
      <c r="H32" s="993">
        <f t="shared" ref="H32:H63" si="3">(G32+E32)*QuantumDigitalPriceFactor</f>
        <v>1.6248000000000002</v>
      </c>
      <c r="I32" s="896">
        <f>H32*D32</f>
        <v>8124.0000000000009</v>
      </c>
    </row>
    <row r="33" spans="1:9">
      <c r="A33" s="896">
        <v>1200</v>
      </c>
      <c r="B33" s="95">
        <v>25000</v>
      </c>
      <c r="C33" s="95" t="s">
        <v>1317</v>
      </c>
      <c r="D33" s="896">
        <v>5000</v>
      </c>
      <c r="E33" s="897">
        <f>E34*0.8</f>
        <v>1.2720000000000002</v>
      </c>
      <c r="F33" s="897">
        <v>2400</v>
      </c>
      <c r="G33" s="897">
        <f>F33/D33</f>
        <v>0.48</v>
      </c>
      <c r="H33" s="993">
        <f t="shared" si="3"/>
        <v>1.7520000000000002</v>
      </c>
      <c r="I33" s="896">
        <f>H33*D33</f>
        <v>8760.0000000000018</v>
      </c>
    </row>
    <row r="34" spans="1:9">
      <c r="A34" s="896">
        <v>1200</v>
      </c>
      <c r="B34" s="95">
        <v>25000</v>
      </c>
      <c r="C34" s="95" t="s">
        <v>1318</v>
      </c>
      <c r="D34" s="896">
        <v>5000</v>
      </c>
      <c r="E34" s="897">
        <v>1.59</v>
      </c>
      <c r="F34" s="897">
        <v>2400</v>
      </c>
      <c r="G34" s="897">
        <f>F34/D34</f>
        <v>0.48</v>
      </c>
      <c r="H34" s="993">
        <f t="shared" si="3"/>
        <v>2.0700000000000003</v>
      </c>
      <c r="I34" s="896">
        <f>H34*D34</f>
        <v>10350.000000000002</v>
      </c>
    </row>
    <row r="35" spans="1:9">
      <c r="A35" s="896">
        <v>1200</v>
      </c>
      <c r="B35" s="95">
        <v>25000</v>
      </c>
      <c r="C35" s="95" t="s">
        <v>1319</v>
      </c>
      <c r="D35" s="896">
        <v>5000</v>
      </c>
      <c r="E35" s="897">
        <f>E34*1.1</f>
        <v>1.7490000000000003</v>
      </c>
      <c r="F35" s="897">
        <v>2400</v>
      </c>
      <c r="G35" s="897">
        <f>F35/D35</f>
        <v>0.48</v>
      </c>
      <c r="H35" s="993">
        <f t="shared" si="3"/>
        <v>2.2290000000000001</v>
      </c>
      <c r="I35" s="896">
        <f>H35*D35</f>
        <v>11145</v>
      </c>
    </row>
    <row r="36" spans="1:9">
      <c r="A36" s="896">
        <v>1200</v>
      </c>
      <c r="B36" s="95">
        <v>50000</v>
      </c>
      <c r="C36" s="95" t="s">
        <v>1215</v>
      </c>
      <c r="D36" s="896">
        <v>10000</v>
      </c>
      <c r="E36" s="897">
        <f>E37*0.9</f>
        <v>1.1448000000000003</v>
      </c>
      <c r="F36" s="897">
        <v>2400</v>
      </c>
      <c r="G36" s="897">
        <f t="shared" ref="G36:G91" si="4">F36/D36</f>
        <v>0.24</v>
      </c>
      <c r="H36" s="993">
        <f t="shared" si="3"/>
        <v>1.3848000000000003</v>
      </c>
      <c r="I36" s="896">
        <f t="shared" ref="I36:I91" si="5">H36*D36</f>
        <v>13848.000000000002</v>
      </c>
    </row>
    <row r="37" spans="1:9">
      <c r="A37" s="896">
        <v>1200</v>
      </c>
      <c r="B37" s="95">
        <v>50000</v>
      </c>
      <c r="C37" s="95" t="s">
        <v>1317</v>
      </c>
      <c r="D37" s="896">
        <v>10000</v>
      </c>
      <c r="E37" s="897">
        <f>E38*0.8</f>
        <v>1.2720000000000002</v>
      </c>
      <c r="F37" s="897">
        <v>2400</v>
      </c>
      <c r="G37" s="897">
        <f t="shared" si="4"/>
        <v>0.24</v>
      </c>
      <c r="H37" s="993">
        <f t="shared" si="3"/>
        <v>1.5120000000000002</v>
      </c>
      <c r="I37" s="896">
        <f t="shared" si="5"/>
        <v>15120.000000000002</v>
      </c>
    </row>
    <row r="38" spans="1:9">
      <c r="A38" s="896">
        <v>1200</v>
      </c>
      <c r="B38" s="95">
        <v>50000</v>
      </c>
      <c r="C38" s="95" t="s">
        <v>1318</v>
      </c>
      <c r="D38" s="896">
        <v>10000</v>
      </c>
      <c r="E38" s="897">
        <v>1.59</v>
      </c>
      <c r="F38" s="897">
        <v>2400</v>
      </c>
      <c r="G38" s="897">
        <f t="shared" si="4"/>
        <v>0.24</v>
      </c>
      <c r="H38" s="993">
        <f t="shared" si="3"/>
        <v>1.83</v>
      </c>
      <c r="I38" s="896">
        <f t="shared" si="5"/>
        <v>18300</v>
      </c>
    </row>
    <row r="39" spans="1:9">
      <c r="A39" s="896">
        <v>1200</v>
      </c>
      <c r="B39" s="95">
        <v>50000</v>
      </c>
      <c r="C39" s="95" t="s">
        <v>1319</v>
      </c>
      <c r="D39" s="896">
        <v>10000</v>
      </c>
      <c r="E39" s="897">
        <f>E38*1.1</f>
        <v>1.7490000000000003</v>
      </c>
      <c r="F39" s="897">
        <v>2400</v>
      </c>
      <c r="G39" s="897">
        <f t="shared" si="4"/>
        <v>0.24</v>
      </c>
      <c r="H39" s="993">
        <f t="shared" si="3"/>
        <v>1.9890000000000003</v>
      </c>
      <c r="I39" s="896">
        <f t="shared" si="5"/>
        <v>19890.000000000004</v>
      </c>
    </row>
    <row r="40" spans="1:9">
      <c r="A40" s="896">
        <v>1200</v>
      </c>
      <c r="B40" s="95">
        <v>100000</v>
      </c>
      <c r="C40" s="95" t="s">
        <v>1215</v>
      </c>
      <c r="D40" s="896">
        <v>20000</v>
      </c>
      <c r="E40" s="897">
        <f>E41*0.9</f>
        <v>1.1448000000000003</v>
      </c>
      <c r="F40" s="897">
        <v>2400</v>
      </c>
      <c r="G40" s="897">
        <f t="shared" si="4"/>
        <v>0.12</v>
      </c>
      <c r="H40" s="993">
        <f t="shared" si="3"/>
        <v>1.2648000000000001</v>
      </c>
      <c r="I40" s="896">
        <f t="shared" si="5"/>
        <v>25296.000000000004</v>
      </c>
    </row>
    <row r="41" spans="1:9">
      <c r="A41" s="896">
        <v>1200</v>
      </c>
      <c r="B41" s="95">
        <v>100000</v>
      </c>
      <c r="C41" s="95" t="s">
        <v>1317</v>
      </c>
      <c r="D41" s="896">
        <v>20000</v>
      </c>
      <c r="E41" s="897">
        <f>E42*0.8</f>
        <v>1.2720000000000002</v>
      </c>
      <c r="F41" s="897">
        <v>2400</v>
      </c>
      <c r="G41" s="897">
        <f t="shared" si="4"/>
        <v>0.12</v>
      </c>
      <c r="H41" s="993">
        <f t="shared" si="3"/>
        <v>1.3920000000000003</v>
      </c>
      <c r="I41" s="896">
        <f t="shared" si="5"/>
        <v>27840.000000000007</v>
      </c>
    </row>
    <row r="42" spans="1:9">
      <c r="A42" s="896">
        <v>1200</v>
      </c>
      <c r="B42" s="95">
        <v>100000</v>
      </c>
      <c r="C42" s="95" t="s">
        <v>1318</v>
      </c>
      <c r="D42" s="896">
        <v>20000</v>
      </c>
      <c r="E42" s="897">
        <v>1.59</v>
      </c>
      <c r="F42" s="897">
        <v>2400</v>
      </c>
      <c r="G42" s="897">
        <f t="shared" si="4"/>
        <v>0.12</v>
      </c>
      <c r="H42" s="993">
        <f t="shared" si="3"/>
        <v>1.71</v>
      </c>
      <c r="I42" s="896">
        <f t="shared" si="5"/>
        <v>34200</v>
      </c>
    </row>
    <row r="43" spans="1:9">
      <c r="A43" s="896">
        <v>1200</v>
      </c>
      <c r="B43" s="95">
        <v>100000</v>
      </c>
      <c r="C43" s="95" t="s">
        <v>1319</v>
      </c>
      <c r="D43" s="896">
        <v>20000</v>
      </c>
      <c r="E43" s="897">
        <f>E42*1.1</f>
        <v>1.7490000000000003</v>
      </c>
      <c r="F43" s="897">
        <v>2400</v>
      </c>
      <c r="G43" s="897">
        <f t="shared" si="4"/>
        <v>0.12</v>
      </c>
      <c r="H43" s="993">
        <f t="shared" si="3"/>
        <v>1.8690000000000002</v>
      </c>
      <c r="I43" s="896">
        <f t="shared" si="5"/>
        <v>37380.000000000007</v>
      </c>
    </row>
    <row r="44" spans="1:9">
      <c r="A44" s="896">
        <v>1200</v>
      </c>
      <c r="B44" s="95">
        <v>250000</v>
      </c>
      <c r="C44" s="95" t="s">
        <v>1215</v>
      </c>
      <c r="D44" s="896">
        <v>50000</v>
      </c>
      <c r="E44" s="897">
        <f>E45*0.9</f>
        <v>1.1448000000000003</v>
      </c>
      <c r="F44" s="897">
        <v>2400</v>
      </c>
      <c r="G44" s="897">
        <f t="shared" si="4"/>
        <v>4.8000000000000001E-2</v>
      </c>
      <c r="H44" s="993">
        <f t="shared" si="3"/>
        <v>1.1928000000000003</v>
      </c>
      <c r="I44" s="896">
        <f t="shared" si="5"/>
        <v>59640.000000000015</v>
      </c>
    </row>
    <row r="45" spans="1:9">
      <c r="A45" s="896">
        <v>1200</v>
      </c>
      <c r="B45" s="95">
        <v>250000</v>
      </c>
      <c r="C45" s="95" t="s">
        <v>1317</v>
      </c>
      <c r="D45" s="896">
        <v>50000</v>
      </c>
      <c r="E45" s="897">
        <f>E46*0.8</f>
        <v>1.2720000000000002</v>
      </c>
      <c r="F45" s="897">
        <v>2400</v>
      </c>
      <c r="G45" s="897">
        <f t="shared" si="4"/>
        <v>4.8000000000000001E-2</v>
      </c>
      <c r="H45" s="993">
        <f t="shared" si="3"/>
        <v>1.3200000000000003</v>
      </c>
      <c r="I45" s="896">
        <f t="shared" si="5"/>
        <v>66000.000000000015</v>
      </c>
    </row>
    <row r="46" spans="1:9">
      <c r="A46" s="896">
        <v>1200</v>
      </c>
      <c r="B46" s="95">
        <v>250000</v>
      </c>
      <c r="C46" s="95" t="s">
        <v>1318</v>
      </c>
      <c r="D46" s="896">
        <v>50000</v>
      </c>
      <c r="E46" s="897">
        <v>1.59</v>
      </c>
      <c r="F46" s="897">
        <v>2400</v>
      </c>
      <c r="G46" s="897">
        <f t="shared" si="4"/>
        <v>4.8000000000000001E-2</v>
      </c>
      <c r="H46" s="993">
        <f t="shared" si="3"/>
        <v>1.6380000000000001</v>
      </c>
      <c r="I46" s="896">
        <f t="shared" si="5"/>
        <v>81900</v>
      </c>
    </row>
    <row r="47" spans="1:9">
      <c r="A47" s="896">
        <v>1200</v>
      </c>
      <c r="B47" s="95">
        <v>250000</v>
      </c>
      <c r="C47" s="95" t="s">
        <v>1319</v>
      </c>
      <c r="D47" s="896">
        <v>50000</v>
      </c>
      <c r="E47" s="897">
        <f>E46*1.1</f>
        <v>1.7490000000000003</v>
      </c>
      <c r="F47" s="897">
        <v>2400</v>
      </c>
      <c r="G47" s="897">
        <f t="shared" si="4"/>
        <v>4.8000000000000001E-2</v>
      </c>
      <c r="H47" s="993">
        <f t="shared" si="3"/>
        <v>1.7970000000000004</v>
      </c>
      <c r="I47" s="896">
        <f t="shared" si="5"/>
        <v>89850.000000000015</v>
      </c>
    </row>
    <row r="48" spans="1:9">
      <c r="A48" s="896">
        <v>1200</v>
      </c>
      <c r="B48" s="95">
        <v>1000000</v>
      </c>
      <c r="C48" s="95" t="s">
        <v>1215</v>
      </c>
      <c r="D48" s="896">
        <v>200000</v>
      </c>
      <c r="E48" s="897">
        <f>E49*0.9</f>
        <v>1.1448000000000003</v>
      </c>
      <c r="F48" s="897">
        <v>2400</v>
      </c>
      <c r="G48" s="897">
        <f t="shared" si="4"/>
        <v>1.2E-2</v>
      </c>
      <c r="H48" s="993">
        <f t="shared" si="3"/>
        <v>1.1568000000000003</v>
      </c>
      <c r="I48" s="896">
        <f t="shared" si="5"/>
        <v>231360.00000000006</v>
      </c>
    </row>
    <row r="49" spans="1:9">
      <c r="A49" s="896">
        <v>1200</v>
      </c>
      <c r="B49" s="95">
        <v>1000000</v>
      </c>
      <c r="C49" s="95" t="s">
        <v>1317</v>
      </c>
      <c r="D49" s="896">
        <v>200000</v>
      </c>
      <c r="E49" s="897">
        <f>E50*0.8</f>
        <v>1.2720000000000002</v>
      </c>
      <c r="F49" s="897">
        <v>2400</v>
      </c>
      <c r="G49" s="897">
        <f t="shared" si="4"/>
        <v>1.2E-2</v>
      </c>
      <c r="H49" s="993">
        <f t="shared" si="3"/>
        <v>1.2840000000000003</v>
      </c>
      <c r="I49" s="896">
        <f t="shared" si="5"/>
        <v>256800.00000000006</v>
      </c>
    </row>
    <row r="50" spans="1:9">
      <c r="A50" s="896">
        <v>1200</v>
      </c>
      <c r="B50" s="95">
        <v>1000000</v>
      </c>
      <c r="C50" s="95" t="s">
        <v>1318</v>
      </c>
      <c r="D50" s="896">
        <v>200000</v>
      </c>
      <c r="E50" s="897">
        <v>1.59</v>
      </c>
      <c r="F50" s="897">
        <v>2400</v>
      </c>
      <c r="G50" s="897">
        <f t="shared" si="4"/>
        <v>1.2E-2</v>
      </c>
      <c r="H50" s="993">
        <f t="shared" si="3"/>
        <v>1.6020000000000001</v>
      </c>
      <c r="I50" s="896">
        <f t="shared" si="5"/>
        <v>320400</v>
      </c>
    </row>
    <row r="51" spans="1:9">
      <c r="A51" s="896">
        <v>1200</v>
      </c>
      <c r="B51" s="95">
        <v>1000000</v>
      </c>
      <c r="C51" s="95" t="s">
        <v>1319</v>
      </c>
      <c r="D51" s="896">
        <v>200000</v>
      </c>
      <c r="E51" s="897">
        <f>E50*1.1</f>
        <v>1.7490000000000003</v>
      </c>
      <c r="F51" s="897">
        <v>2400</v>
      </c>
      <c r="G51" s="897">
        <f t="shared" si="4"/>
        <v>1.2E-2</v>
      </c>
      <c r="H51" s="993">
        <f t="shared" si="3"/>
        <v>1.7610000000000003</v>
      </c>
      <c r="I51" s="896">
        <f t="shared" si="5"/>
        <v>352200.00000000006</v>
      </c>
    </row>
    <row r="52" spans="1:9">
      <c r="A52" s="896">
        <v>760</v>
      </c>
      <c r="B52" s="95">
        <v>25000</v>
      </c>
      <c r="C52" s="95" t="s">
        <v>1215</v>
      </c>
      <c r="D52" s="896">
        <v>5000</v>
      </c>
      <c r="E52" s="897">
        <f>E53*0.9</f>
        <v>0.6120000000000001</v>
      </c>
      <c r="F52" s="897">
        <v>2400</v>
      </c>
      <c r="G52" s="897">
        <f t="shared" si="4"/>
        <v>0.48</v>
      </c>
      <c r="H52" s="993">
        <f t="shared" si="3"/>
        <v>1.0920000000000001</v>
      </c>
      <c r="I52" s="896">
        <f t="shared" si="5"/>
        <v>5460</v>
      </c>
    </row>
    <row r="53" spans="1:9">
      <c r="A53" s="896">
        <v>760</v>
      </c>
      <c r="B53" s="95">
        <v>25000</v>
      </c>
      <c r="C53" s="95" t="s">
        <v>1317</v>
      </c>
      <c r="D53" s="896">
        <v>5000</v>
      </c>
      <c r="E53" s="897">
        <f>E54*0.8</f>
        <v>0.68</v>
      </c>
      <c r="F53" s="897">
        <v>2400</v>
      </c>
      <c r="G53" s="897">
        <f t="shared" si="4"/>
        <v>0.48</v>
      </c>
      <c r="H53" s="993">
        <f t="shared" si="3"/>
        <v>1.1600000000000001</v>
      </c>
      <c r="I53" s="896">
        <f t="shared" si="5"/>
        <v>5800.0000000000009</v>
      </c>
    </row>
    <row r="54" spans="1:9">
      <c r="A54" s="896">
        <v>760</v>
      </c>
      <c r="B54" s="95">
        <v>25000</v>
      </c>
      <c r="C54" s="95" t="s">
        <v>1318</v>
      </c>
      <c r="D54" s="896">
        <v>5000</v>
      </c>
      <c r="E54" s="897">
        <v>0.85</v>
      </c>
      <c r="F54" s="897">
        <v>2400</v>
      </c>
      <c r="G54" s="897">
        <f t="shared" si="4"/>
        <v>0.48</v>
      </c>
      <c r="H54" s="993">
        <f t="shared" si="3"/>
        <v>1.33</v>
      </c>
      <c r="I54" s="896">
        <f t="shared" si="5"/>
        <v>6650</v>
      </c>
    </row>
    <row r="55" spans="1:9">
      <c r="A55" s="896">
        <v>760</v>
      </c>
      <c r="B55" s="95">
        <v>25000</v>
      </c>
      <c r="C55" s="95" t="s">
        <v>1319</v>
      </c>
      <c r="D55" s="896">
        <v>5000</v>
      </c>
      <c r="E55" s="897">
        <f>E54*1.1</f>
        <v>0.93500000000000005</v>
      </c>
      <c r="F55" s="897">
        <v>2400</v>
      </c>
      <c r="G55" s="897">
        <f t="shared" si="4"/>
        <v>0.48</v>
      </c>
      <c r="H55" s="993">
        <f t="shared" si="3"/>
        <v>1.415</v>
      </c>
      <c r="I55" s="896">
        <f t="shared" si="5"/>
        <v>7075</v>
      </c>
    </row>
    <row r="56" spans="1:9">
      <c r="A56" s="896">
        <v>760</v>
      </c>
      <c r="B56" s="95">
        <v>50000</v>
      </c>
      <c r="C56" s="95" t="s">
        <v>1215</v>
      </c>
      <c r="D56" s="896">
        <v>10000</v>
      </c>
      <c r="E56" s="897">
        <f>E57*0.9</f>
        <v>0.6120000000000001</v>
      </c>
      <c r="F56" s="897">
        <v>2400</v>
      </c>
      <c r="G56" s="897">
        <f t="shared" si="4"/>
        <v>0.24</v>
      </c>
      <c r="H56" s="993">
        <f t="shared" si="3"/>
        <v>0.85200000000000009</v>
      </c>
      <c r="I56" s="896">
        <f t="shared" si="5"/>
        <v>8520</v>
      </c>
    </row>
    <row r="57" spans="1:9">
      <c r="A57" s="896">
        <v>760</v>
      </c>
      <c r="B57" s="95">
        <v>50000</v>
      </c>
      <c r="C57" s="95" t="s">
        <v>1317</v>
      </c>
      <c r="D57" s="896">
        <v>10000</v>
      </c>
      <c r="E57" s="897">
        <f>E58*0.8</f>
        <v>0.68</v>
      </c>
      <c r="F57" s="897">
        <v>2400</v>
      </c>
      <c r="G57" s="897">
        <f t="shared" si="4"/>
        <v>0.24</v>
      </c>
      <c r="H57" s="993">
        <f t="shared" si="3"/>
        <v>0.92</v>
      </c>
      <c r="I57" s="896">
        <f t="shared" si="5"/>
        <v>9200</v>
      </c>
    </row>
    <row r="58" spans="1:9">
      <c r="A58" s="896">
        <v>760</v>
      </c>
      <c r="B58" s="95">
        <v>50000</v>
      </c>
      <c r="C58" s="95" t="s">
        <v>1318</v>
      </c>
      <c r="D58" s="896">
        <v>10000</v>
      </c>
      <c r="E58" s="897">
        <v>0.85</v>
      </c>
      <c r="F58" s="897">
        <v>2400</v>
      </c>
      <c r="G58" s="897">
        <f t="shared" si="4"/>
        <v>0.24</v>
      </c>
      <c r="H58" s="993">
        <f t="shared" si="3"/>
        <v>1.0899999999999999</v>
      </c>
      <c r="I58" s="896">
        <f t="shared" si="5"/>
        <v>10899.999999999998</v>
      </c>
    </row>
    <row r="59" spans="1:9">
      <c r="A59" s="896">
        <v>760</v>
      </c>
      <c r="B59" s="95">
        <v>50000</v>
      </c>
      <c r="C59" s="95" t="s">
        <v>1319</v>
      </c>
      <c r="D59" s="896">
        <v>10000</v>
      </c>
      <c r="E59" s="897">
        <f>E58*1.1</f>
        <v>0.93500000000000005</v>
      </c>
      <c r="F59" s="897">
        <v>2400</v>
      </c>
      <c r="G59" s="897">
        <f t="shared" si="4"/>
        <v>0.24</v>
      </c>
      <c r="H59" s="993">
        <f t="shared" si="3"/>
        <v>1.175</v>
      </c>
      <c r="I59" s="896">
        <f t="shared" si="5"/>
        <v>11750</v>
      </c>
    </row>
    <row r="60" spans="1:9">
      <c r="A60" s="896">
        <v>760</v>
      </c>
      <c r="B60" s="95">
        <v>100000</v>
      </c>
      <c r="C60" s="95" t="s">
        <v>1215</v>
      </c>
      <c r="D60" s="896">
        <v>20000</v>
      </c>
      <c r="E60" s="897">
        <f>E61*0.9</f>
        <v>0.6120000000000001</v>
      </c>
      <c r="F60" s="897">
        <v>2400</v>
      </c>
      <c r="G60" s="897">
        <f t="shared" si="4"/>
        <v>0.12</v>
      </c>
      <c r="H60" s="993">
        <f t="shared" si="3"/>
        <v>0.7320000000000001</v>
      </c>
      <c r="I60" s="896">
        <f t="shared" si="5"/>
        <v>14640.000000000002</v>
      </c>
    </row>
    <row r="61" spans="1:9">
      <c r="A61" s="896">
        <v>760</v>
      </c>
      <c r="B61" s="95">
        <v>100000</v>
      </c>
      <c r="C61" s="95" t="s">
        <v>1317</v>
      </c>
      <c r="D61" s="896">
        <v>20000</v>
      </c>
      <c r="E61" s="897">
        <f>E62*0.8</f>
        <v>0.68</v>
      </c>
      <c r="F61" s="897">
        <v>2400</v>
      </c>
      <c r="G61" s="897">
        <f t="shared" si="4"/>
        <v>0.12</v>
      </c>
      <c r="H61" s="993">
        <f t="shared" si="3"/>
        <v>0.8</v>
      </c>
      <c r="I61" s="896">
        <f t="shared" si="5"/>
        <v>16000</v>
      </c>
    </row>
    <row r="62" spans="1:9">
      <c r="A62" s="896">
        <v>760</v>
      </c>
      <c r="B62" s="95">
        <v>100000</v>
      </c>
      <c r="C62" s="95" t="s">
        <v>1318</v>
      </c>
      <c r="D62" s="896">
        <v>20000</v>
      </c>
      <c r="E62" s="897">
        <v>0.85</v>
      </c>
      <c r="F62" s="897">
        <v>2400</v>
      </c>
      <c r="G62" s="897">
        <f t="shared" si="4"/>
        <v>0.12</v>
      </c>
      <c r="H62" s="993">
        <f t="shared" si="3"/>
        <v>0.97</v>
      </c>
      <c r="I62" s="896">
        <f t="shared" si="5"/>
        <v>19400</v>
      </c>
    </row>
    <row r="63" spans="1:9">
      <c r="A63" s="896">
        <v>760</v>
      </c>
      <c r="B63" s="95">
        <v>100000</v>
      </c>
      <c r="C63" s="95" t="s">
        <v>1319</v>
      </c>
      <c r="D63" s="896">
        <v>20000</v>
      </c>
      <c r="E63" s="897">
        <f>E62*1.1</f>
        <v>0.93500000000000005</v>
      </c>
      <c r="F63" s="897">
        <v>2400</v>
      </c>
      <c r="G63" s="897">
        <f t="shared" si="4"/>
        <v>0.12</v>
      </c>
      <c r="H63" s="993">
        <f t="shared" si="3"/>
        <v>1.0550000000000002</v>
      </c>
      <c r="I63" s="896">
        <f t="shared" si="5"/>
        <v>21100.000000000004</v>
      </c>
    </row>
    <row r="64" spans="1:9">
      <c r="A64" s="896">
        <v>760</v>
      </c>
      <c r="B64" s="95">
        <v>250000</v>
      </c>
      <c r="C64" s="95" t="s">
        <v>1215</v>
      </c>
      <c r="D64" s="896">
        <v>50000</v>
      </c>
      <c r="E64" s="897">
        <f>E65*0.9</f>
        <v>0.6120000000000001</v>
      </c>
      <c r="F64" s="897">
        <v>2400</v>
      </c>
      <c r="G64" s="897">
        <f t="shared" si="4"/>
        <v>4.8000000000000001E-2</v>
      </c>
      <c r="H64" s="993">
        <f t="shared" ref="H64:H91" si="6">(G64+E64)*QuantumDigitalPriceFactor</f>
        <v>0.66000000000000014</v>
      </c>
      <c r="I64" s="896">
        <f t="shared" si="5"/>
        <v>33000.000000000007</v>
      </c>
    </row>
    <row r="65" spans="1:9">
      <c r="A65" s="896">
        <v>760</v>
      </c>
      <c r="B65" s="95">
        <v>250000</v>
      </c>
      <c r="C65" s="95" t="s">
        <v>1317</v>
      </c>
      <c r="D65" s="896">
        <v>50000</v>
      </c>
      <c r="E65" s="897">
        <f>E66*0.8</f>
        <v>0.68</v>
      </c>
      <c r="F65" s="897">
        <v>2400</v>
      </c>
      <c r="G65" s="897">
        <f t="shared" si="4"/>
        <v>4.8000000000000001E-2</v>
      </c>
      <c r="H65" s="993">
        <f t="shared" si="6"/>
        <v>0.72800000000000009</v>
      </c>
      <c r="I65" s="896">
        <f t="shared" si="5"/>
        <v>36400.000000000007</v>
      </c>
    </row>
    <row r="66" spans="1:9">
      <c r="A66" s="896">
        <v>760</v>
      </c>
      <c r="B66" s="95">
        <v>250000</v>
      </c>
      <c r="C66" s="95" t="s">
        <v>1318</v>
      </c>
      <c r="D66" s="896">
        <v>50000</v>
      </c>
      <c r="E66" s="897">
        <v>0.85</v>
      </c>
      <c r="F66" s="897">
        <v>2400</v>
      </c>
      <c r="G66" s="897">
        <f t="shared" si="4"/>
        <v>4.8000000000000001E-2</v>
      </c>
      <c r="H66" s="993">
        <f t="shared" si="6"/>
        <v>0.89800000000000002</v>
      </c>
      <c r="I66" s="896">
        <f t="shared" si="5"/>
        <v>44900</v>
      </c>
    </row>
    <row r="67" spans="1:9">
      <c r="A67" s="896">
        <v>760</v>
      </c>
      <c r="B67" s="95">
        <v>250000</v>
      </c>
      <c r="C67" s="95" t="s">
        <v>1319</v>
      </c>
      <c r="D67" s="896">
        <v>50000</v>
      </c>
      <c r="E67" s="897">
        <f>E66*1.1</f>
        <v>0.93500000000000005</v>
      </c>
      <c r="F67" s="897">
        <v>2400</v>
      </c>
      <c r="G67" s="897">
        <f t="shared" si="4"/>
        <v>4.8000000000000001E-2</v>
      </c>
      <c r="H67" s="993">
        <f t="shared" si="6"/>
        <v>0.9830000000000001</v>
      </c>
      <c r="I67" s="896">
        <f t="shared" si="5"/>
        <v>49150.000000000007</v>
      </c>
    </row>
    <row r="68" spans="1:9">
      <c r="A68" s="896">
        <v>760</v>
      </c>
      <c r="B68" s="95">
        <v>1000000</v>
      </c>
      <c r="C68" s="95" t="s">
        <v>1215</v>
      </c>
      <c r="D68" s="896">
        <v>200000</v>
      </c>
      <c r="E68" s="897">
        <f>E69*0.9</f>
        <v>0.6120000000000001</v>
      </c>
      <c r="F68" s="897">
        <v>2400</v>
      </c>
      <c r="G68" s="897">
        <f t="shared" si="4"/>
        <v>1.2E-2</v>
      </c>
      <c r="H68" s="993">
        <f t="shared" si="6"/>
        <v>0.62400000000000011</v>
      </c>
      <c r="I68" s="896">
        <f t="shared" si="5"/>
        <v>124800.00000000003</v>
      </c>
    </row>
    <row r="69" spans="1:9">
      <c r="A69" s="896">
        <v>760</v>
      </c>
      <c r="B69" s="95">
        <v>1000000</v>
      </c>
      <c r="C69" s="95" t="s">
        <v>1317</v>
      </c>
      <c r="D69" s="896">
        <v>200000</v>
      </c>
      <c r="E69" s="897">
        <f>E70*0.8</f>
        <v>0.68</v>
      </c>
      <c r="F69" s="897">
        <v>2400</v>
      </c>
      <c r="G69" s="897">
        <f t="shared" si="4"/>
        <v>1.2E-2</v>
      </c>
      <c r="H69" s="993">
        <f t="shared" si="6"/>
        <v>0.69200000000000006</v>
      </c>
      <c r="I69" s="896">
        <f t="shared" si="5"/>
        <v>138400</v>
      </c>
    </row>
    <row r="70" spans="1:9">
      <c r="A70" s="896">
        <v>760</v>
      </c>
      <c r="B70" s="95">
        <v>1000000</v>
      </c>
      <c r="C70" s="95" t="s">
        <v>1318</v>
      </c>
      <c r="D70" s="896">
        <v>200000</v>
      </c>
      <c r="E70" s="897">
        <v>0.85</v>
      </c>
      <c r="F70" s="897">
        <v>2400</v>
      </c>
      <c r="G70" s="897">
        <f t="shared" si="4"/>
        <v>1.2E-2</v>
      </c>
      <c r="H70" s="993">
        <f t="shared" si="6"/>
        <v>0.86199999999999999</v>
      </c>
      <c r="I70" s="896">
        <f t="shared" si="5"/>
        <v>172400</v>
      </c>
    </row>
    <row r="71" spans="1:9">
      <c r="A71" s="896">
        <v>760</v>
      </c>
      <c r="B71" s="95">
        <v>1000000</v>
      </c>
      <c r="C71" s="95" t="s">
        <v>1319</v>
      </c>
      <c r="D71" s="896">
        <v>200000</v>
      </c>
      <c r="E71" s="897">
        <f>E70*1.1</f>
        <v>0.93500000000000005</v>
      </c>
      <c r="F71" s="897">
        <v>2400</v>
      </c>
      <c r="G71" s="897">
        <f t="shared" si="4"/>
        <v>1.2E-2</v>
      </c>
      <c r="H71" s="993">
        <f t="shared" si="6"/>
        <v>0.94700000000000006</v>
      </c>
      <c r="I71" s="896">
        <f t="shared" si="5"/>
        <v>189400</v>
      </c>
    </row>
    <row r="72" spans="1:9">
      <c r="A72" s="896">
        <v>450</v>
      </c>
      <c r="B72" s="95">
        <v>25000</v>
      </c>
      <c r="C72" s="95" t="s">
        <v>1215</v>
      </c>
      <c r="D72" s="896">
        <v>5000</v>
      </c>
      <c r="E72" s="897">
        <f>E73*0.9</f>
        <v>0.6120000000000001</v>
      </c>
      <c r="F72" s="897">
        <v>2400</v>
      </c>
      <c r="G72" s="897">
        <f t="shared" si="4"/>
        <v>0.48</v>
      </c>
      <c r="H72" s="993">
        <f t="shared" si="6"/>
        <v>1.0920000000000001</v>
      </c>
      <c r="I72" s="896">
        <f t="shared" si="5"/>
        <v>5460</v>
      </c>
    </row>
    <row r="73" spans="1:9">
      <c r="A73" s="896">
        <v>450</v>
      </c>
      <c r="B73" s="95">
        <v>25000</v>
      </c>
      <c r="C73" s="95" t="s">
        <v>1317</v>
      </c>
      <c r="D73" s="896">
        <v>5000</v>
      </c>
      <c r="E73" s="897">
        <f>E74*0.8</f>
        <v>0.68</v>
      </c>
      <c r="F73" s="897">
        <v>2400</v>
      </c>
      <c r="G73" s="897">
        <f t="shared" si="4"/>
        <v>0.48</v>
      </c>
      <c r="H73" s="993">
        <f t="shared" si="6"/>
        <v>1.1600000000000001</v>
      </c>
      <c r="I73" s="896">
        <f t="shared" si="5"/>
        <v>5800.0000000000009</v>
      </c>
    </row>
    <row r="74" spans="1:9">
      <c r="A74" s="896">
        <v>450</v>
      </c>
      <c r="B74" s="95">
        <v>25000</v>
      </c>
      <c r="C74" s="95" t="s">
        <v>1318</v>
      </c>
      <c r="D74" s="896">
        <v>5000</v>
      </c>
      <c r="E74" s="897">
        <v>0.85</v>
      </c>
      <c r="F74" s="897">
        <v>2400</v>
      </c>
      <c r="G74" s="897">
        <f t="shared" si="4"/>
        <v>0.48</v>
      </c>
      <c r="H74" s="993">
        <f t="shared" si="6"/>
        <v>1.33</v>
      </c>
      <c r="I74" s="896">
        <f t="shared" si="5"/>
        <v>6650</v>
      </c>
    </row>
    <row r="75" spans="1:9">
      <c r="A75" s="896">
        <v>450</v>
      </c>
      <c r="B75" s="95">
        <v>25000</v>
      </c>
      <c r="C75" s="95" t="s">
        <v>1319</v>
      </c>
      <c r="D75" s="896">
        <v>5000</v>
      </c>
      <c r="E75" s="897">
        <f>E74*1.1</f>
        <v>0.93500000000000005</v>
      </c>
      <c r="F75" s="897">
        <v>2400</v>
      </c>
      <c r="G75" s="897">
        <f t="shared" si="4"/>
        <v>0.48</v>
      </c>
      <c r="H75" s="993">
        <f t="shared" si="6"/>
        <v>1.415</v>
      </c>
      <c r="I75" s="896">
        <f t="shared" si="5"/>
        <v>7075</v>
      </c>
    </row>
    <row r="76" spans="1:9">
      <c r="A76" s="896">
        <v>450</v>
      </c>
      <c r="B76" s="95">
        <v>50000</v>
      </c>
      <c r="C76" s="95" t="s">
        <v>1215</v>
      </c>
      <c r="D76" s="896">
        <v>10000</v>
      </c>
      <c r="E76" s="897">
        <f>E77*0.9</f>
        <v>0.6120000000000001</v>
      </c>
      <c r="F76" s="897">
        <v>2400</v>
      </c>
      <c r="G76" s="897">
        <f t="shared" si="4"/>
        <v>0.24</v>
      </c>
      <c r="H76" s="993">
        <f t="shared" si="6"/>
        <v>0.85200000000000009</v>
      </c>
      <c r="I76" s="896">
        <f t="shared" si="5"/>
        <v>8520</v>
      </c>
    </row>
    <row r="77" spans="1:9">
      <c r="A77" s="896">
        <v>450</v>
      </c>
      <c r="B77" s="95">
        <v>50000</v>
      </c>
      <c r="C77" s="95" t="s">
        <v>1317</v>
      </c>
      <c r="D77" s="896">
        <v>10000</v>
      </c>
      <c r="E77" s="897">
        <f>E78*0.8</f>
        <v>0.68</v>
      </c>
      <c r="F77" s="897">
        <v>2400</v>
      </c>
      <c r="G77" s="897">
        <f t="shared" si="4"/>
        <v>0.24</v>
      </c>
      <c r="H77" s="993">
        <f t="shared" si="6"/>
        <v>0.92</v>
      </c>
      <c r="I77" s="896">
        <f t="shared" si="5"/>
        <v>9200</v>
      </c>
    </row>
    <row r="78" spans="1:9">
      <c r="A78" s="896">
        <v>450</v>
      </c>
      <c r="B78" s="95">
        <v>50000</v>
      </c>
      <c r="C78" s="95" t="s">
        <v>1318</v>
      </c>
      <c r="D78" s="896">
        <v>10000</v>
      </c>
      <c r="E78" s="897">
        <v>0.85</v>
      </c>
      <c r="F78" s="897">
        <v>2400</v>
      </c>
      <c r="G78" s="897">
        <f t="shared" si="4"/>
        <v>0.24</v>
      </c>
      <c r="H78" s="993">
        <f t="shared" si="6"/>
        <v>1.0899999999999999</v>
      </c>
      <c r="I78" s="896">
        <f t="shared" si="5"/>
        <v>10899.999999999998</v>
      </c>
    </row>
    <row r="79" spans="1:9">
      <c r="A79" s="896">
        <v>450</v>
      </c>
      <c r="B79" s="95">
        <v>50000</v>
      </c>
      <c r="C79" s="95" t="s">
        <v>1319</v>
      </c>
      <c r="D79" s="896">
        <v>10000</v>
      </c>
      <c r="E79" s="897">
        <f>E78*1.1</f>
        <v>0.93500000000000005</v>
      </c>
      <c r="F79" s="897">
        <v>2400</v>
      </c>
      <c r="G79" s="897">
        <f t="shared" si="4"/>
        <v>0.24</v>
      </c>
      <c r="H79" s="993">
        <f t="shared" si="6"/>
        <v>1.175</v>
      </c>
      <c r="I79" s="896">
        <f t="shared" si="5"/>
        <v>11750</v>
      </c>
    </row>
    <row r="80" spans="1:9">
      <c r="A80" s="896">
        <v>450</v>
      </c>
      <c r="B80" s="95">
        <v>100000</v>
      </c>
      <c r="C80" s="95" t="s">
        <v>1215</v>
      </c>
      <c r="D80" s="896">
        <v>20000</v>
      </c>
      <c r="E80" s="897">
        <f>E81*0.9</f>
        <v>0.6120000000000001</v>
      </c>
      <c r="F80" s="897">
        <v>2400</v>
      </c>
      <c r="G80" s="897">
        <f t="shared" si="4"/>
        <v>0.12</v>
      </c>
      <c r="H80" s="993">
        <f t="shared" si="6"/>
        <v>0.7320000000000001</v>
      </c>
      <c r="I80" s="896">
        <f t="shared" si="5"/>
        <v>14640.000000000002</v>
      </c>
    </row>
    <row r="81" spans="1:9">
      <c r="A81" s="896">
        <v>450</v>
      </c>
      <c r="B81" s="95">
        <v>100000</v>
      </c>
      <c r="C81" s="95" t="s">
        <v>1317</v>
      </c>
      <c r="D81" s="896">
        <v>20000</v>
      </c>
      <c r="E81" s="897">
        <f>E82*0.8</f>
        <v>0.68</v>
      </c>
      <c r="F81" s="897">
        <v>2400</v>
      </c>
      <c r="G81" s="897">
        <f t="shared" si="4"/>
        <v>0.12</v>
      </c>
      <c r="H81" s="993">
        <f t="shared" si="6"/>
        <v>0.8</v>
      </c>
      <c r="I81" s="896">
        <f t="shared" si="5"/>
        <v>16000</v>
      </c>
    </row>
    <row r="82" spans="1:9">
      <c r="A82" s="896">
        <v>450</v>
      </c>
      <c r="B82" s="95">
        <v>100000</v>
      </c>
      <c r="C82" s="95" t="s">
        <v>1318</v>
      </c>
      <c r="D82" s="896">
        <v>20000</v>
      </c>
      <c r="E82" s="897">
        <v>0.85</v>
      </c>
      <c r="F82" s="897">
        <v>2400</v>
      </c>
      <c r="G82" s="897">
        <f t="shared" si="4"/>
        <v>0.12</v>
      </c>
      <c r="H82" s="993">
        <f t="shared" si="6"/>
        <v>0.97</v>
      </c>
      <c r="I82" s="896">
        <f t="shared" si="5"/>
        <v>19400</v>
      </c>
    </row>
    <row r="83" spans="1:9">
      <c r="A83" s="896">
        <v>450</v>
      </c>
      <c r="B83" s="95">
        <v>100000</v>
      </c>
      <c r="C83" s="95" t="s">
        <v>1319</v>
      </c>
      <c r="D83" s="896">
        <v>20000</v>
      </c>
      <c r="E83" s="897">
        <f>E82*1.1</f>
        <v>0.93500000000000005</v>
      </c>
      <c r="F83" s="897">
        <v>2400</v>
      </c>
      <c r="G83" s="897">
        <f t="shared" si="4"/>
        <v>0.12</v>
      </c>
      <c r="H83" s="993">
        <f t="shared" si="6"/>
        <v>1.0550000000000002</v>
      </c>
      <c r="I83" s="896">
        <f t="shared" si="5"/>
        <v>21100.000000000004</v>
      </c>
    </row>
    <row r="84" spans="1:9">
      <c r="A84" s="896">
        <v>450</v>
      </c>
      <c r="B84" s="95">
        <v>250000</v>
      </c>
      <c r="C84" s="95" t="s">
        <v>1215</v>
      </c>
      <c r="D84" s="896">
        <v>50000</v>
      </c>
      <c r="E84" s="897">
        <f>E85*0.9</f>
        <v>0.6120000000000001</v>
      </c>
      <c r="F84" s="897">
        <v>2400</v>
      </c>
      <c r="G84" s="897">
        <f t="shared" si="4"/>
        <v>4.8000000000000001E-2</v>
      </c>
      <c r="H84" s="993">
        <f t="shared" si="6"/>
        <v>0.66000000000000014</v>
      </c>
      <c r="I84" s="896">
        <f t="shared" si="5"/>
        <v>33000.000000000007</v>
      </c>
    </row>
    <row r="85" spans="1:9">
      <c r="A85" s="896">
        <v>450</v>
      </c>
      <c r="B85" s="95">
        <v>250000</v>
      </c>
      <c r="C85" s="95" t="s">
        <v>1317</v>
      </c>
      <c r="D85" s="896">
        <v>50000</v>
      </c>
      <c r="E85" s="897">
        <f>E86*0.8</f>
        <v>0.68</v>
      </c>
      <c r="F85" s="897">
        <v>2400</v>
      </c>
      <c r="G85" s="897">
        <f t="shared" si="4"/>
        <v>4.8000000000000001E-2</v>
      </c>
      <c r="H85" s="993">
        <f t="shared" si="6"/>
        <v>0.72800000000000009</v>
      </c>
      <c r="I85" s="896">
        <f t="shared" si="5"/>
        <v>36400.000000000007</v>
      </c>
    </row>
    <row r="86" spans="1:9">
      <c r="A86" s="896">
        <v>450</v>
      </c>
      <c r="B86" s="95">
        <v>250000</v>
      </c>
      <c r="C86" s="95" t="s">
        <v>1318</v>
      </c>
      <c r="D86" s="896">
        <v>50000</v>
      </c>
      <c r="E86" s="897">
        <v>0.85</v>
      </c>
      <c r="F86" s="897">
        <v>2400</v>
      </c>
      <c r="G86" s="897">
        <f t="shared" si="4"/>
        <v>4.8000000000000001E-2</v>
      </c>
      <c r="H86" s="993">
        <f t="shared" si="6"/>
        <v>0.89800000000000002</v>
      </c>
      <c r="I86" s="896">
        <f t="shared" si="5"/>
        <v>44900</v>
      </c>
    </row>
    <row r="87" spans="1:9">
      <c r="A87" s="896">
        <v>450</v>
      </c>
      <c r="B87" s="95">
        <v>250000</v>
      </c>
      <c r="C87" s="95" t="s">
        <v>1319</v>
      </c>
      <c r="D87" s="896">
        <v>50000</v>
      </c>
      <c r="E87" s="897">
        <f>E86*1.1</f>
        <v>0.93500000000000005</v>
      </c>
      <c r="F87" s="897">
        <v>2400</v>
      </c>
      <c r="G87" s="897">
        <f t="shared" si="4"/>
        <v>4.8000000000000001E-2</v>
      </c>
      <c r="H87" s="993">
        <f t="shared" si="6"/>
        <v>0.9830000000000001</v>
      </c>
      <c r="I87" s="896">
        <f t="shared" si="5"/>
        <v>49150.000000000007</v>
      </c>
    </row>
    <row r="88" spans="1:9">
      <c r="A88" s="896">
        <v>450</v>
      </c>
      <c r="B88" s="95">
        <v>1000000</v>
      </c>
      <c r="C88" s="95" t="s">
        <v>1215</v>
      </c>
      <c r="D88" s="896">
        <v>200000</v>
      </c>
      <c r="E88" s="897">
        <f>E89*0.9</f>
        <v>0.6120000000000001</v>
      </c>
      <c r="F88" s="897">
        <v>2400</v>
      </c>
      <c r="G88" s="897">
        <f t="shared" si="4"/>
        <v>1.2E-2</v>
      </c>
      <c r="H88" s="993">
        <f t="shared" si="6"/>
        <v>0.62400000000000011</v>
      </c>
      <c r="I88" s="896">
        <f t="shared" si="5"/>
        <v>124800.00000000003</v>
      </c>
    </row>
    <row r="89" spans="1:9">
      <c r="A89" s="896">
        <v>450</v>
      </c>
      <c r="B89" s="95">
        <v>1000000</v>
      </c>
      <c r="C89" s="95" t="s">
        <v>1317</v>
      </c>
      <c r="D89" s="896">
        <v>200000</v>
      </c>
      <c r="E89" s="897">
        <f>E90*0.8</f>
        <v>0.68</v>
      </c>
      <c r="F89" s="897">
        <v>2400</v>
      </c>
      <c r="G89" s="897">
        <f t="shared" si="4"/>
        <v>1.2E-2</v>
      </c>
      <c r="H89" s="993">
        <f t="shared" si="6"/>
        <v>0.69200000000000006</v>
      </c>
      <c r="I89" s="896">
        <f t="shared" si="5"/>
        <v>138400</v>
      </c>
    </row>
    <row r="90" spans="1:9">
      <c r="A90" s="896">
        <v>450</v>
      </c>
      <c r="B90" s="95">
        <v>1000000</v>
      </c>
      <c r="C90" s="95" t="s">
        <v>1318</v>
      </c>
      <c r="D90" s="896">
        <v>200000</v>
      </c>
      <c r="E90" s="897">
        <v>0.85</v>
      </c>
      <c r="F90" s="897">
        <v>2400</v>
      </c>
      <c r="G90" s="897">
        <f t="shared" si="4"/>
        <v>1.2E-2</v>
      </c>
      <c r="H90" s="993">
        <f t="shared" si="6"/>
        <v>0.86199999999999999</v>
      </c>
      <c r="I90" s="896">
        <f t="shared" si="5"/>
        <v>172400</v>
      </c>
    </row>
    <row r="91" spans="1:9">
      <c r="A91" s="896">
        <v>450</v>
      </c>
      <c r="B91" s="95">
        <v>1000000</v>
      </c>
      <c r="C91" s="95" t="s">
        <v>1319</v>
      </c>
      <c r="D91" s="896">
        <v>200000</v>
      </c>
      <c r="E91" s="897">
        <f>E90*1.1</f>
        <v>0.93500000000000005</v>
      </c>
      <c r="F91" s="897">
        <v>2400</v>
      </c>
      <c r="G91" s="897">
        <f t="shared" si="4"/>
        <v>1.2E-2</v>
      </c>
      <c r="H91" s="993">
        <f t="shared" si="6"/>
        <v>0.94700000000000006</v>
      </c>
      <c r="I91" s="896">
        <f t="shared" si="5"/>
        <v>189400</v>
      </c>
    </row>
  </sheetData>
  <autoFilter ref="A31:I91" xr:uid="{00000000-0001-0000-0200-000000000000}"/>
  <mergeCells count="3">
    <mergeCell ref="A1:I1"/>
    <mergeCell ref="A2:I2"/>
    <mergeCell ref="A29:I29"/>
  </mergeCells>
  <conditionalFormatting sqref="A32:I91">
    <cfRule type="expression" dxfId="6" priority="1">
      <formula>COUNTIFS($J$2:$J$10,"Quantum",$K$2:$K$10,$A32,$L$2:$L$10,$D32,$M$2:$M$10,$C32)&gt;0</formula>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2533-FBCE-419B-BB46-1500A5E5A9B9}">
  <dimension ref="A1:AA109"/>
  <sheetViews>
    <sheetView topLeftCell="H1" workbookViewId="0">
      <selection activeCell="P33" sqref="P33"/>
    </sheetView>
  </sheetViews>
  <sheetFormatPr defaultRowHeight="15"/>
  <cols>
    <col min="1" max="1" width="16" bestFit="1" customWidth="1"/>
    <col min="2" max="2" width="15.140625" bestFit="1" customWidth="1"/>
    <col min="3" max="3" width="15.7109375" bestFit="1" customWidth="1"/>
    <col min="4" max="4" width="24.85546875" bestFit="1" customWidth="1"/>
    <col min="5" max="5" width="27.85546875" bestFit="1" customWidth="1"/>
    <col min="6" max="6" width="18.140625" bestFit="1" customWidth="1"/>
    <col min="7" max="7" width="13" bestFit="1" customWidth="1"/>
    <col min="8" max="8" width="27.42578125" bestFit="1" customWidth="1"/>
    <col min="9" max="9" width="28" bestFit="1" customWidth="1"/>
    <col min="10" max="10" width="28.85546875" bestFit="1" customWidth="1"/>
    <col min="11" max="11" width="19.42578125" bestFit="1" customWidth="1"/>
    <col min="12" max="12" width="30.28515625" bestFit="1" customWidth="1"/>
    <col min="13" max="13" width="28" bestFit="1" customWidth="1"/>
    <col min="14" max="14" width="33.42578125" bestFit="1" customWidth="1"/>
    <col min="16" max="16" width="20" customWidth="1"/>
    <col min="17" max="22" width="15.5703125" customWidth="1"/>
  </cols>
  <sheetData>
    <row r="1" spans="1:27" ht="24">
      <c r="A1" s="878" t="s">
        <v>1320</v>
      </c>
      <c r="B1" s="878" t="s">
        <v>1321</v>
      </c>
      <c r="C1" s="878" t="s">
        <v>1329</v>
      </c>
      <c r="D1" s="878" t="s">
        <v>1330</v>
      </c>
      <c r="E1" s="878" t="s">
        <v>1331</v>
      </c>
      <c r="F1" s="878" t="s">
        <v>1327</v>
      </c>
      <c r="G1" s="878" t="s">
        <v>1322</v>
      </c>
      <c r="H1" s="878" t="s">
        <v>1326</v>
      </c>
      <c r="I1" s="878" t="s">
        <v>1332</v>
      </c>
      <c r="J1" s="878" t="s">
        <v>1333</v>
      </c>
      <c r="K1" s="878" t="s">
        <v>1325</v>
      </c>
      <c r="L1" s="878" t="s">
        <v>1334</v>
      </c>
      <c r="M1" s="878" t="s">
        <v>1323</v>
      </c>
      <c r="N1" s="878" t="s">
        <v>1324</v>
      </c>
      <c r="P1" s="1145" t="s">
        <v>1335</v>
      </c>
      <c r="Q1" s="1145"/>
      <c r="R1" s="1145"/>
      <c r="S1" s="1145"/>
      <c r="T1" s="1145"/>
      <c r="U1" s="1145"/>
      <c r="V1" s="1145"/>
      <c r="W1" t="s">
        <v>222</v>
      </c>
      <c r="X1" t="s">
        <v>1364</v>
      </c>
      <c r="Y1" t="s">
        <v>1351</v>
      </c>
      <c r="Z1" t="s">
        <v>1365</v>
      </c>
      <c r="AA1" t="s">
        <v>1354</v>
      </c>
    </row>
    <row r="2" spans="1:27">
      <c r="A2" t="s">
        <v>262</v>
      </c>
      <c r="B2">
        <v>100</v>
      </c>
      <c r="C2">
        <v>200</v>
      </c>
      <c r="D2">
        <v>0.2</v>
      </c>
      <c r="E2">
        <v>9000</v>
      </c>
      <c r="F2">
        <v>8100</v>
      </c>
      <c r="G2">
        <v>25000</v>
      </c>
      <c r="H2">
        <f>G2/F2</f>
        <v>3.0864197530864197</v>
      </c>
      <c r="I2">
        <f>[5]Assumptions!B3</f>
        <v>400</v>
      </c>
      <c r="J2">
        <f>I2*H2</f>
        <v>1234.5679012345679</v>
      </c>
      <c r="K2">
        <f>[5]Assumptions!$B$8</f>
        <v>400</v>
      </c>
      <c r="L2">
        <f>K2/G2</f>
        <v>1.6E-2</v>
      </c>
      <c r="M2">
        <f>K2+J2</f>
        <v>1634.5679012345679</v>
      </c>
      <c r="N2" s="924">
        <f t="shared" ref="N2:N33" si="0">(M2/G2)*QuantumConvertingPriceFactor</f>
        <v>6.5382716049382714E-2</v>
      </c>
      <c r="P2" s="1146" t="s">
        <v>1336</v>
      </c>
      <c r="Q2" s="1146"/>
      <c r="R2" s="1146"/>
      <c r="S2" s="1146"/>
      <c r="T2" s="1146"/>
      <c r="U2" s="1146"/>
      <c r="V2" s="1146"/>
      <c r="W2" t="str">
        <f>Pouches!AH63</f>
        <v>Quantum</v>
      </c>
      <c r="X2" t="str" cm="1">
        <f t="array" ref="X2">_xlfn.SWITCH(LOWER(Pouches!AH51),"zipper bag","Zipper pouch","open bag","Open pouch","sup with zipper","Stand-up pouch","stand-up pouch","Stand-up pouch",Pouches!AH51)</f>
        <v>Zipper pouch</v>
      </c>
      <c r="Y2">
        <f>IF(Pouches!AH55="","",MIN(600,CEILING(Pouches!AH55,100)))</f>
        <v>300</v>
      </c>
      <c r="Z2">
        <f>IF(Pouches!AH58="","",IF(Pouches!AH58&lt;=25000,25000,IF(Pouches!AH58&lt;=50000,50000,IF(Pouches!AH58&lt;=100000,100000,IF(Pouches!AH58&lt;=250000,250000,IF(Pouches!AH58&lt;=500000,500000,1000000))))))</f>
        <v>25000</v>
      </c>
      <c r="AA2" t="s">
        <v>1361</v>
      </c>
    </row>
    <row r="3" spans="1:27">
      <c r="A3" t="s">
        <v>262</v>
      </c>
      <c r="B3">
        <v>100</v>
      </c>
      <c r="C3">
        <v>200</v>
      </c>
      <c r="D3">
        <v>0.2</v>
      </c>
      <c r="E3">
        <v>9000</v>
      </c>
      <c r="F3">
        <v>8100</v>
      </c>
      <c r="G3">
        <v>50000</v>
      </c>
      <c r="H3">
        <f t="shared" ref="H3:H66" si="1">G3/F3</f>
        <v>6.1728395061728394</v>
      </c>
      <c r="I3">
        <v>400</v>
      </c>
      <c r="J3">
        <f t="shared" ref="J3:J66" si="2">I3*H3</f>
        <v>2469.1358024691358</v>
      </c>
      <c r="K3">
        <f>[5]Assumptions!$B$8</f>
        <v>400</v>
      </c>
      <c r="L3">
        <f t="shared" ref="L3:L66" si="3">K3/G3</f>
        <v>8.0000000000000002E-3</v>
      </c>
      <c r="M3">
        <f t="shared" ref="M3:M66" si="4">K3+J3</f>
        <v>2869.1358024691358</v>
      </c>
      <c r="N3" s="924">
        <f t="shared" si="0"/>
        <v>5.7382716049382713E-2</v>
      </c>
      <c r="P3" s="879"/>
      <c r="Q3" s="879"/>
      <c r="R3" s="879"/>
      <c r="S3" s="879"/>
      <c r="T3" s="879"/>
      <c r="U3" s="879"/>
      <c r="V3" s="879"/>
      <c r="W3" t="str">
        <f>Pouches!AL63</f>
        <v>Quantum</v>
      </c>
      <c r="X3" t="str" cm="1">
        <f t="array" ref="X3">_xlfn.SWITCH(LOWER(Pouches!AL51),"zipper bag","Zipper pouch","open bag","Open pouch","sup with zipper","Stand-up pouch","stand-up pouch","Stand-up pouch",Pouches!AL51)</f>
        <v>Stand-up pouch</v>
      </c>
      <c r="Y3">
        <f>IF(Pouches!AL55="","",MIN(600,CEILING(Pouches!AL55,100)))</f>
        <v>300</v>
      </c>
      <c r="Z3">
        <f>IF(Pouches!AL58="","",IF(Pouches!AL58&lt;=25000,25000,IF(Pouches!AL58&lt;=50000,50000,IF(Pouches!AL58&lt;=100000,100000,IF(Pouches!AL58&lt;=250000,250000,IF(Pouches!AL58&lt;=500000,500000,1000000))))))</f>
        <v>25000</v>
      </c>
      <c r="AA3" t="s">
        <v>1362</v>
      </c>
    </row>
    <row r="4" spans="1:27">
      <c r="A4" t="s">
        <v>262</v>
      </c>
      <c r="B4">
        <v>100</v>
      </c>
      <c r="C4">
        <v>200</v>
      </c>
      <c r="D4">
        <v>0.2</v>
      </c>
      <c r="E4">
        <v>9000</v>
      </c>
      <c r="F4">
        <v>8100</v>
      </c>
      <c r="G4">
        <v>100000</v>
      </c>
      <c r="H4">
        <f t="shared" si="1"/>
        <v>12.345679012345679</v>
      </c>
      <c r="I4">
        <v>400</v>
      </c>
      <c r="J4">
        <f t="shared" si="2"/>
        <v>4938.2716049382716</v>
      </c>
      <c r="K4">
        <f>[5]Assumptions!$B$8</f>
        <v>400</v>
      </c>
      <c r="L4">
        <f t="shared" si="3"/>
        <v>4.0000000000000001E-3</v>
      </c>
      <c r="M4">
        <f t="shared" si="4"/>
        <v>5338.2716049382716</v>
      </c>
      <c r="N4" s="924">
        <f t="shared" si="0"/>
        <v>5.3382716049382717E-2</v>
      </c>
      <c r="P4" s="880" t="s">
        <v>262</v>
      </c>
      <c r="Q4" s="880"/>
      <c r="R4" s="880"/>
      <c r="S4" s="880"/>
      <c r="T4" s="880"/>
      <c r="U4" s="880"/>
      <c r="V4" s="880"/>
      <c r="W4" t="str">
        <f>Pouches!AP63</f>
        <v>Quantum</v>
      </c>
      <c r="X4" t="str" cm="1">
        <f t="array" ref="X4">_xlfn.SWITCH(LOWER(Pouches!AP51),"zipper bag","Zipper pouch","open bag","Open pouch","sup with zipper","Stand-up pouch","stand-up pouch","Stand-up pouch",Pouches!AP51)</f>
        <v>Stand-up pouch</v>
      </c>
      <c r="Y4">
        <f>IF(Pouches!AP55="","",MIN(600,CEILING(Pouches!AP55,100)))</f>
        <v>300</v>
      </c>
      <c r="Z4">
        <f>IF(Pouches!AP58="","",IF(Pouches!AP58&lt;=25000,25000,IF(Pouches!AP58&lt;=50000,50000,IF(Pouches!AP58&lt;=100000,100000,IF(Pouches!AP58&lt;=250000,250000,IF(Pouches!AP58&lt;=500000,500000,1000000))))))</f>
        <v>25000</v>
      </c>
      <c r="AA4" t="s">
        <v>1363</v>
      </c>
    </row>
    <row r="5" spans="1:27">
      <c r="A5" t="s">
        <v>262</v>
      </c>
      <c r="B5">
        <v>100</v>
      </c>
      <c r="C5">
        <v>200</v>
      </c>
      <c r="D5">
        <v>0.2</v>
      </c>
      <c r="E5">
        <v>9000</v>
      </c>
      <c r="F5">
        <v>8100</v>
      </c>
      <c r="G5">
        <v>250000</v>
      </c>
      <c r="H5">
        <f t="shared" si="1"/>
        <v>30.864197530864196</v>
      </c>
      <c r="I5">
        <v>400</v>
      </c>
      <c r="J5">
        <f t="shared" si="2"/>
        <v>12345.679012345678</v>
      </c>
      <c r="K5">
        <f>[5]Assumptions!$B$8</f>
        <v>400</v>
      </c>
      <c r="L5">
        <f t="shared" si="3"/>
        <v>1.6000000000000001E-3</v>
      </c>
      <c r="M5">
        <f t="shared" si="4"/>
        <v>12745.679012345678</v>
      </c>
      <c r="N5" s="924">
        <f t="shared" si="0"/>
        <v>5.0982716049382711E-2</v>
      </c>
      <c r="P5" s="881" t="s">
        <v>55</v>
      </c>
      <c r="Q5" s="882">
        <v>25000</v>
      </c>
      <c r="R5" s="882">
        <v>50000</v>
      </c>
      <c r="S5" s="882">
        <v>100000</v>
      </c>
      <c r="T5" s="882">
        <v>250000</v>
      </c>
      <c r="U5" s="882">
        <v>500000</v>
      </c>
      <c r="V5" s="883">
        <v>1000000</v>
      </c>
    </row>
    <row r="6" spans="1:27">
      <c r="A6" t="s">
        <v>262</v>
      </c>
      <c r="B6">
        <v>100</v>
      </c>
      <c r="C6">
        <v>200</v>
      </c>
      <c r="D6">
        <v>0.2</v>
      </c>
      <c r="E6">
        <v>9000</v>
      </c>
      <c r="F6">
        <v>8100</v>
      </c>
      <c r="G6">
        <v>500000</v>
      </c>
      <c r="H6">
        <f t="shared" si="1"/>
        <v>61.728395061728392</v>
      </c>
      <c r="I6">
        <v>400</v>
      </c>
      <c r="J6">
        <f t="shared" si="2"/>
        <v>24691.358024691355</v>
      </c>
      <c r="K6">
        <f>[5]Assumptions!$B$8</f>
        <v>400</v>
      </c>
      <c r="L6">
        <f t="shared" si="3"/>
        <v>8.0000000000000004E-4</v>
      </c>
      <c r="M6">
        <f t="shared" si="4"/>
        <v>25091.358024691355</v>
      </c>
      <c r="N6" s="924">
        <f t="shared" si="0"/>
        <v>5.0182716049382708E-2</v>
      </c>
      <c r="P6" s="884">
        <v>100</v>
      </c>
      <c r="Q6" s="885">
        <f t="shared" ref="Q6:V11" si="5">SUMIFS($N$2:$N$109,$A$2:$A$109,$P$4,$B$2:$B$109,$P6,$G$2:$G$109,Q$5)</f>
        <v>6.5382716049382714E-2</v>
      </c>
      <c r="R6" s="885">
        <f t="shared" si="5"/>
        <v>5.7382716049382713E-2</v>
      </c>
      <c r="S6" s="885">
        <f t="shared" si="5"/>
        <v>5.3382716049382717E-2</v>
      </c>
      <c r="T6" s="885">
        <f t="shared" si="5"/>
        <v>5.0982716049382711E-2</v>
      </c>
      <c r="U6" s="885">
        <f t="shared" si="5"/>
        <v>5.0182716049382708E-2</v>
      </c>
      <c r="V6" s="886">
        <f t="shared" si="5"/>
        <v>4.9782716049382711E-2</v>
      </c>
    </row>
    <row r="7" spans="1:27">
      <c r="A7" t="s">
        <v>262</v>
      </c>
      <c r="B7">
        <v>100</v>
      </c>
      <c r="C7">
        <v>200</v>
      </c>
      <c r="D7">
        <v>0.2</v>
      </c>
      <c r="E7">
        <v>9000</v>
      </c>
      <c r="F7">
        <v>8100</v>
      </c>
      <c r="G7">
        <v>1000000</v>
      </c>
      <c r="H7">
        <f t="shared" si="1"/>
        <v>123.45679012345678</v>
      </c>
      <c r="I7">
        <v>400</v>
      </c>
      <c r="J7">
        <f t="shared" si="2"/>
        <v>49382.71604938271</v>
      </c>
      <c r="K7">
        <f>[5]Assumptions!$B$8</f>
        <v>400</v>
      </c>
      <c r="L7">
        <f t="shared" si="3"/>
        <v>4.0000000000000002E-4</v>
      </c>
      <c r="M7">
        <f t="shared" si="4"/>
        <v>49782.71604938271</v>
      </c>
      <c r="N7" s="924">
        <f t="shared" si="0"/>
        <v>4.9782716049382711E-2</v>
      </c>
      <c r="P7" s="884">
        <v>200</v>
      </c>
      <c r="Q7" s="885">
        <f t="shared" si="5"/>
        <v>0.11476543209876543</v>
      </c>
      <c r="R7" s="885">
        <f t="shared" si="5"/>
        <v>0.10676543209876543</v>
      </c>
      <c r="S7" s="885">
        <f t="shared" si="5"/>
        <v>0.10276543209876543</v>
      </c>
      <c r="T7" s="885">
        <f t="shared" si="5"/>
        <v>0.10036543209876542</v>
      </c>
      <c r="U7" s="885">
        <f t="shared" si="5"/>
        <v>9.9565432098765422E-2</v>
      </c>
      <c r="V7" s="886">
        <f t="shared" si="5"/>
        <v>9.9165432098765424E-2</v>
      </c>
    </row>
    <row r="8" spans="1:27">
      <c r="A8" t="s">
        <v>262</v>
      </c>
      <c r="B8">
        <v>200</v>
      </c>
      <c r="C8">
        <v>300</v>
      </c>
      <c r="D8">
        <v>0.3</v>
      </c>
      <c r="E8">
        <v>9000</v>
      </c>
      <c r="F8">
        <v>4050</v>
      </c>
      <c r="G8">
        <v>25000</v>
      </c>
      <c r="H8">
        <f t="shared" si="1"/>
        <v>6.1728395061728394</v>
      </c>
      <c r="I8">
        <v>400</v>
      </c>
      <c r="J8">
        <f t="shared" si="2"/>
        <v>2469.1358024691358</v>
      </c>
      <c r="K8">
        <f>[5]Assumptions!$B$8</f>
        <v>400</v>
      </c>
      <c r="L8">
        <f t="shared" si="3"/>
        <v>1.6E-2</v>
      </c>
      <c r="M8">
        <f t="shared" si="4"/>
        <v>2869.1358024691358</v>
      </c>
      <c r="N8" s="924">
        <f t="shared" si="0"/>
        <v>0.11476543209876543</v>
      </c>
      <c r="P8" s="884">
        <v>300</v>
      </c>
      <c r="Q8" s="885">
        <f t="shared" si="5"/>
        <v>0.16414814814814818</v>
      </c>
      <c r="R8" s="885">
        <f t="shared" si="5"/>
        <v>0.15614814814814815</v>
      </c>
      <c r="S8" s="885">
        <f t="shared" si="5"/>
        <v>0.15214814814814814</v>
      </c>
      <c r="T8" s="885">
        <f t="shared" si="5"/>
        <v>0.14974814814814816</v>
      </c>
      <c r="U8" s="885">
        <f t="shared" si="5"/>
        <v>0.14894814814814814</v>
      </c>
      <c r="V8" s="886">
        <f t="shared" si="5"/>
        <v>0.14854814814814815</v>
      </c>
    </row>
    <row r="9" spans="1:27">
      <c r="A9" t="s">
        <v>262</v>
      </c>
      <c r="B9">
        <v>200</v>
      </c>
      <c r="C9">
        <v>300</v>
      </c>
      <c r="D9">
        <v>0.3</v>
      </c>
      <c r="E9">
        <v>9000</v>
      </c>
      <c r="F9">
        <v>4050</v>
      </c>
      <c r="G9">
        <v>50000</v>
      </c>
      <c r="H9">
        <f t="shared" si="1"/>
        <v>12.345679012345679</v>
      </c>
      <c r="I9">
        <v>400</v>
      </c>
      <c r="J9">
        <f t="shared" si="2"/>
        <v>4938.2716049382716</v>
      </c>
      <c r="K9">
        <f>[5]Assumptions!$B$8</f>
        <v>400</v>
      </c>
      <c r="L9">
        <f t="shared" si="3"/>
        <v>8.0000000000000002E-3</v>
      </c>
      <c r="M9">
        <f t="shared" si="4"/>
        <v>5338.2716049382716</v>
      </c>
      <c r="N9" s="924">
        <f t="shared" si="0"/>
        <v>0.10676543209876543</v>
      </c>
      <c r="P9" s="884">
        <v>400</v>
      </c>
      <c r="Q9" s="885">
        <f t="shared" si="5"/>
        <v>0.21353086419753087</v>
      </c>
      <c r="R9" s="885">
        <f t="shared" si="5"/>
        <v>0.20553086419753086</v>
      </c>
      <c r="S9" s="885">
        <f t="shared" si="5"/>
        <v>0.20153086419753086</v>
      </c>
      <c r="T9" s="885">
        <f t="shared" si="5"/>
        <v>0.19913086419753084</v>
      </c>
      <c r="U9" s="885">
        <f t="shared" si="5"/>
        <v>0.19833086419753085</v>
      </c>
      <c r="V9" s="886">
        <f t="shared" si="5"/>
        <v>0.19793086419753084</v>
      </c>
    </row>
    <row r="10" spans="1:27">
      <c r="A10" t="s">
        <v>262</v>
      </c>
      <c r="B10">
        <v>200</v>
      </c>
      <c r="C10">
        <v>300</v>
      </c>
      <c r="D10">
        <v>0.3</v>
      </c>
      <c r="E10">
        <v>9000</v>
      </c>
      <c r="F10">
        <v>4050</v>
      </c>
      <c r="G10">
        <v>100000</v>
      </c>
      <c r="H10">
        <f t="shared" si="1"/>
        <v>24.691358024691358</v>
      </c>
      <c r="I10">
        <v>400</v>
      </c>
      <c r="J10">
        <f t="shared" si="2"/>
        <v>9876.5432098765432</v>
      </c>
      <c r="K10">
        <f>[5]Assumptions!$B$8</f>
        <v>400</v>
      </c>
      <c r="L10">
        <f t="shared" si="3"/>
        <v>4.0000000000000001E-3</v>
      </c>
      <c r="M10">
        <f t="shared" si="4"/>
        <v>10276.543209876543</v>
      </c>
      <c r="N10" s="924">
        <f t="shared" si="0"/>
        <v>0.10276543209876543</v>
      </c>
      <c r="P10" s="884">
        <v>500</v>
      </c>
      <c r="Q10" s="885">
        <f t="shared" si="5"/>
        <v>0.26291358024691353</v>
      </c>
      <c r="R10" s="885">
        <f t="shared" si="5"/>
        <v>0.25491358024691357</v>
      </c>
      <c r="S10" s="885">
        <f t="shared" si="5"/>
        <v>0.25091358024691357</v>
      </c>
      <c r="T10" s="885">
        <f t="shared" si="5"/>
        <v>0.24851358024691356</v>
      </c>
      <c r="U10" s="885">
        <f t="shared" si="5"/>
        <v>0.24771358024691356</v>
      </c>
      <c r="V10" s="886">
        <f t="shared" si="5"/>
        <v>0.24731358024691358</v>
      </c>
    </row>
    <row r="11" spans="1:27">
      <c r="A11" t="s">
        <v>262</v>
      </c>
      <c r="B11">
        <v>200</v>
      </c>
      <c r="C11">
        <v>300</v>
      </c>
      <c r="D11">
        <v>0.3</v>
      </c>
      <c r="E11">
        <v>9000</v>
      </c>
      <c r="F11">
        <v>4050</v>
      </c>
      <c r="G11">
        <v>250000</v>
      </c>
      <c r="H11">
        <f t="shared" si="1"/>
        <v>61.728395061728392</v>
      </c>
      <c r="I11">
        <v>400</v>
      </c>
      <c r="J11">
        <f t="shared" si="2"/>
        <v>24691.358024691355</v>
      </c>
      <c r="K11">
        <f>[5]Assumptions!$B$8</f>
        <v>400</v>
      </c>
      <c r="L11">
        <f t="shared" si="3"/>
        <v>1.6000000000000001E-3</v>
      </c>
      <c r="M11">
        <f t="shared" si="4"/>
        <v>25091.358024691355</v>
      </c>
      <c r="N11" s="924">
        <f t="shared" si="0"/>
        <v>0.10036543209876542</v>
      </c>
      <c r="P11" s="887">
        <v>600</v>
      </c>
      <c r="Q11" s="888">
        <f t="shared" si="5"/>
        <v>0.31229629629629629</v>
      </c>
      <c r="R11" s="888">
        <f t="shared" si="5"/>
        <v>0.30429629629629629</v>
      </c>
      <c r="S11" s="888">
        <f t="shared" si="5"/>
        <v>0.30029629629629634</v>
      </c>
      <c r="T11" s="888">
        <f t="shared" si="5"/>
        <v>0.29789629629629627</v>
      </c>
      <c r="U11" s="888">
        <f t="shared" si="5"/>
        <v>0.2970962962962963</v>
      </c>
      <c r="V11" s="889">
        <f t="shared" si="5"/>
        <v>0.29669629629629629</v>
      </c>
    </row>
    <row r="12" spans="1:27">
      <c r="A12" t="s">
        <v>262</v>
      </c>
      <c r="B12">
        <v>200</v>
      </c>
      <c r="C12">
        <v>300</v>
      </c>
      <c r="D12">
        <v>0.3</v>
      </c>
      <c r="E12">
        <v>9000</v>
      </c>
      <c r="F12">
        <v>4050</v>
      </c>
      <c r="G12">
        <v>500000</v>
      </c>
      <c r="H12">
        <f t="shared" si="1"/>
        <v>123.45679012345678</v>
      </c>
      <c r="I12">
        <v>400</v>
      </c>
      <c r="J12">
        <f t="shared" si="2"/>
        <v>49382.71604938271</v>
      </c>
      <c r="K12">
        <f>[5]Assumptions!$B$8</f>
        <v>400</v>
      </c>
      <c r="L12">
        <f t="shared" si="3"/>
        <v>8.0000000000000004E-4</v>
      </c>
      <c r="M12">
        <f t="shared" si="4"/>
        <v>49782.71604938271</v>
      </c>
      <c r="N12" s="924">
        <f t="shared" si="0"/>
        <v>9.9565432098765422E-2</v>
      </c>
      <c r="P12" s="879"/>
      <c r="Q12" s="879"/>
      <c r="R12" s="879"/>
      <c r="S12" s="879"/>
      <c r="T12" s="879"/>
      <c r="U12" s="879"/>
      <c r="V12" s="879"/>
    </row>
    <row r="13" spans="1:27">
      <c r="A13" t="s">
        <v>262</v>
      </c>
      <c r="B13">
        <v>200</v>
      </c>
      <c r="C13">
        <v>300</v>
      </c>
      <c r="D13">
        <v>0.3</v>
      </c>
      <c r="E13">
        <v>9000</v>
      </c>
      <c r="F13">
        <v>4050</v>
      </c>
      <c r="G13">
        <v>1000000</v>
      </c>
      <c r="H13">
        <f t="shared" si="1"/>
        <v>246.91358024691357</v>
      </c>
      <c r="I13">
        <v>400</v>
      </c>
      <c r="J13">
        <f t="shared" si="2"/>
        <v>98765.432098765421</v>
      </c>
      <c r="K13">
        <f>[5]Assumptions!$B$8</f>
        <v>400</v>
      </c>
      <c r="L13">
        <f t="shared" si="3"/>
        <v>4.0000000000000002E-4</v>
      </c>
      <c r="M13">
        <f t="shared" si="4"/>
        <v>99165.432098765421</v>
      </c>
      <c r="N13" s="924">
        <f t="shared" si="0"/>
        <v>9.9165432098765424E-2</v>
      </c>
      <c r="P13" s="880" t="s">
        <v>1328</v>
      </c>
      <c r="Q13" s="880"/>
      <c r="R13" s="880"/>
      <c r="S13" s="880"/>
      <c r="T13" s="880"/>
      <c r="U13" s="880"/>
      <c r="V13" s="880"/>
    </row>
    <row r="14" spans="1:27">
      <c r="A14" t="s">
        <v>262</v>
      </c>
      <c r="B14">
        <v>300</v>
      </c>
      <c r="C14">
        <v>400</v>
      </c>
      <c r="D14">
        <v>0.4</v>
      </c>
      <c r="E14">
        <v>9000</v>
      </c>
      <c r="F14">
        <v>2700</v>
      </c>
      <c r="G14">
        <v>25000</v>
      </c>
      <c r="H14">
        <f t="shared" si="1"/>
        <v>9.2592592592592595</v>
      </c>
      <c r="I14">
        <v>400</v>
      </c>
      <c r="J14">
        <f t="shared" si="2"/>
        <v>3703.7037037037039</v>
      </c>
      <c r="K14">
        <f>[5]Assumptions!$B$8</f>
        <v>400</v>
      </c>
      <c r="L14">
        <f t="shared" si="3"/>
        <v>1.6E-2</v>
      </c>
      <c r="M14">
        <f t="shared" si="4"/>
        <v>4103.7037037037044</v>
      </c>
      <c r="N14" s="924">
        <f t="shared" si="0"/>
        <v>0.16414814814814818</v>
      </c>
      <c r="P14" s="881" t="s">
        <v>55</v>
      </c>
      <c r="Q14" s="882">
        <v>25000</v>
      </c>
      <c r="R14" s="882">
        <v>50000</v>
      </c>
      <c r="S14" s="882">
        <v>100000</v>
      </c>
      <c r="T14" s="882">
        <v>250000</v>
      </c>
      <c r="U14" s="882">
        <v>500000</v>
      </c>
      <c r="V14" s="883">
        <v>1000000</v>
      </c>
    </row>
    <row r="15" spans="1:27">
      <c r="A15" t="s">
        <v>262</v>
      </c>
      <c r="B15">
        <v>300</v>
      </c>
      <c r="C15">
        <v>400</v>
      </c>
      <c r="D15">
        <v>0.4</v>
      </c>
      <c r="E15">
        <v>9000</v>
      </c>
      <c r="F15">
        <v>2700</v>
      </c>
      <c r="G15">
        <v>50000</v>
      </c>
      <c r="H15">
        <f t="shared" si="1"/>
        <v>18.518518518518519</v>
      </c>
      <c r="I15">
        <v>400</v>
      </c>
      <c r="J15">
        <f t="shared" si="2"/>
        <v>7407.4074074074078</v>
      </c>
      <c r="K15">
        <f>[5]Assumptions!$B$8</f>
        <v>400</v>
      </c>
      <c r="L15">
        <f t="shared" si="3"/>
        <v>8.0000000000000002E-3</v>
      </c>
      <c r="M15">
        <f t="shared" si="4"/>
        <v>7807.4074074074078</v>
      </c>
      <c r="N15" s="924">
        <f t="shared" si="0"/>
        <v>0.15614814814814815</v>
      </c>
      <c r="P15" s="884">
        <v>100</v>
      </c>
      <c r="Q15" s="885">
        <f t="shared" ref="Q15:V20" si="6">SUMIFS($N$2:$N$109,$A$2:$A$109,$P$13,$B$2:$B$109,$P15,$G$2:$G$109,Q$14)</f>
        <v>8.5728395061728385E-2</v>
      </c>
      <c r="R15" s="885">
        <f t="shared" si="6"/>
        <v>7.3728395061728388E-2</v>
      </c>
      <c r="S15" s="885">
        <f t="shared" si="6"/>
        <v>6.7728395061728383E-2</v>
      </c>
      <c r="T15" s="885">
        <f t="shared" si="6"/>
        <v>6.4128395061728391E-2</v>
      </c>
      <c r="U15" s="885">
        <f t="shared" si="6"/>
        <v>6.2928395061728398E-2</v>
      </c>
      <c r="V15" s="886">
        <f t="shared" si="6"/>
        <v>6.2328395061728395E-2</v>
      </c>
    </row>
    <row r="16" spans="1:27">
      <c r="A16" t="s">
        <v>262</v>
      </c>
      <c r="B16">
        <v>300</v>
      </c>
      <c r="C16">
        <v>400</v>
      </c>
      <c r="D16">
        <v>0.4</v>
      </c>
      <c r="E16">
        <v>9000</v>
      </c>
      <c r="F16">
        <v>2700</v>
      </c>
      <c r="G16">
        <v>100000</v>
      </c>
      <c r="H16">
        <f t="shared" si="1"/>
        <v>37.037037037037038</v>
      </c>
      <c r="I16">
        <v>400</v>
      </c>
      <c r="J16">
        <f t="shared" si="2"/>
        <v>14814.814814814816</v>
      </c>
      <c r="K16">
        <f>[5]Assumptions!$B$8</f>
        <v>400</v>
      </c>
      <c r="L16">
        <f t="shared" si="3"/>
        <v>4.0000000000000001E-3</v>
      </c>
      <c r="M16">
        <f t="shared" si="4"/>
        <v>15214.814814814816</v>
      </c>
      <c r="N16" s="924">
        <f t="shared" si="0"/>
        <v>0.15214814814814814</v>
      </c>
      <c r="P16" s="884">
        <v>200</v>
      </c>
      <c r="Q16" s="885">
        <f t="shared" si="6"/>
        <v>0.14745679012345678</v>
      </c>
      <c r="R16" s="885">
        <f t="shared" si="6"/>
        <v>0.13545679012345677</v>
      </c>
      <c r="S16" s="885">
        <f t="shared" si="6"/>
        <v>0.12945679012345679</v>
      </c>
      <c r="T16" s="885">
        <f t="shared" si="6"/>
        <v>0.1258567901234568</v>
      </c>
      <c r="U16" s="885">
        <f t="shared" si="6"/>
        <v>0.12465679012345679</v>
      </c>
      <c r="V16" s="886">
        <f t="shared" si="6"/>
        <v>0.12405679012345679</v>
      </c>
    </row>
    <row r="17" spans="1:22">
      <c r="A17" t="s">
        <v>262</v>
      </c>
      <c r="B17">
        <v>300</v>
      </c>
      <c r="C17">
        <v>400</v>
      </c>
      <c r="D17">
        <v>0.4</v>
      </c>
      <c r="E17">
        <v>9000</v>
      </c>
      <c r="F17">
        <v>2700</v>
      </c>
      <c r="G17">
        <v>250000</v>
      </c>
      <c r="H17">
        <f t="shared" si="1"/>
        <v>92.592592592592595</v>
      </c>
      <c r="I17">
        <v>400</v>
      </c>
      <c r="J17">
        <f t="shared" si="2"/>
        <v>37037.037037037036</v>
      </c>
      <c r="K17">
        <f>[5]Assumptions!$B$8</f>
        <v>400</v>
      </c>
      <c r="L17">
        <f t="shared" si="3"/>
        <v>1.6000000000000001E-3</v>
      </c>
      <c r="M17">
        <f t="shared" si="4"/>
        <v>37437.037037037036</v>
      </c>
      <c r="N17" s="924">
        <f t="shared" si="0"/>
        <v>0.14974814814814816</v>
      </c>
      <c r="P17" s="884">
        <v>300</v>
      </c>
      <c r="Q17" s="885">
        <f t="shared" si="6"/>
        <v>0.2091851851851852</v>
      </c>
      <c r="R17" s="885">
        <f t="shared" si="6"/>
        <v>0.19718518518518519</v>
      </c>
      <c r="S17" s="885">
        <f t="shared" si="6"/>
        <v>0.19118518518518518</v>
      </c>
      <c r="T17" s="885">
        <f t="shared" si="6"/>
        <v>0.18758518518518519</v>
      </c>
      <c r="U17" s="885">
        <f t="shared" si="6"/>
        <v>0.18638518518518521</v>
      </c>
      <c r="V17" s="886">
        <f t="shared" si="6"/>
        <v>0.18578518518518519</v>
      </c>
    </row>
    <row r="18" spans="1:22">
      <c r="A18" t="s">
        <v>262</v>
      </c>
      <c r="B18">
        <v>300</v>
      </c>
      <c r="C18">
        <v>400</v>
      </c>
      <c r="D18">
        <v>0.4</v>
      </c>
      <c r="E18">
        <v>9000</v>
      </c>
      <c r="F18">
        <v>2700</v>
      </c>
      <c r="G18">
        <v>500000</v>
      </c>
      <c r="H18">
        <f t="shared" si="1"/>
        <v>185.18518518518519</v>
      </c>
      <c r="I18">
        <v>400</v>
      </c>
      <c r="J18">
        <f t="shared" si="2"/>
        <v>74074.074074074073</v>
      </c>
      <c r="K18">
        <f>[5]Assumptions!$B$8</f>
        <v>400</v>
      </c>
      <c r="L18">
        <f t="shared" si="3"/>
        <v>8.0000000000000004E-4</v>
      </c>
      <c r="M18">
        <f t="shared" si="4"/>
        <v>74474.074074074073</v>
      </c>
      <c r="N18" s="924">
        <f t="shared" si="0"/>
        <v>0.14894814814814814</v>
      </c>
      <c r="P18" s="884">
        <v>400</v>
      </c>
      <c r="Q18" s="885">
        <f t="shared" si="6"/>
        <v>0.27091358024691353</v>
      </c>
      <c r="R18" s="885">
        <f t="shared" si="6"/>
        <v>0.25891358024691358</v>
      </c>
      <c r="S18" s="885">
        <f t="shared" si="6"/>
        <v>0.25291358024691357</v>
      </c>
      <c r="T18" s="885">
        <f t="shared" si="6"/>
        <v>0.24931358024691358</v>
      </c>
      <c r="U18" s="885">
        <f t="shared" si="6"/>
        <v>0.24811358024691357</v>
      </c>
      <c r="V18" s="886">
        <f t="shared" si="6"/>
        <v>0.24751358024691356</v>
      </c>
    </row>
    <row r="19" spans="1:22">
      <c r="A19" t="s">
        <v>262</v>
      </c>
      <c r="B19">
        <v>300</v>
      </c>
      <c r="C19">
        <v>400</v>
      </c>
      <c r="D19">
        <v>0.4</v>
      </c>
      <c r="E19">
        <v>9000</v>
      </c>
      <c r="F19">
        <v>2700</v>
      </c>
      <c r="G19">
        <v>1000000</v>
      </c>
      <c r="H19">
        <f t="shared" si="1"/>
        <v>370.37037037037038</v>
      </c>
      <c r="I19">
        <v>400</v>
      </c>
      <c r="J19">
        <f t="shared" si="2"/>
        <v>148148.14814814815</v>
      </c>
      <c r="K19">
        <f>[5]Assumptions!$B$8</f>
        <v>400</v>
      </c>
      <c r="L19">
        <f t="shared" si="3"/>
        <v>4.0000000000000002E-4</v>
      </c>
      <c r="M19">
        <f t="shared" si="4"/>
        <v>148548.14814814815</v>
      </c>
      <c r="N19" s="924">
        <f t="shared" si="0"/>
        <v>0.14854814814814815</v>
      </c>
      <c r="P19" s="884">
        <v>500</v>
      </c>
      <c r="Q19" s="885">
        <f t="shared" si="6"/>
        <v>0.33264197530864198</v>
      </c>
      <c r="R19" s="885">
        <f t="shared" si="6"/>
        <v>0.32064197530864197</v>
      </c>
      <c r="S19" s="885">
        <f t="shared" si="6"/>
        <v>0.31464197530864196</v>
      </c>
      <c r="T19" s="885">
        <f t="shared" si="6"/>
        <v>0.31104197530864197</v>
      </c>
      <c r="U19" s="885">
        <f t="shared" si="6"/>
        <v>0.30984197530864199</v>
      </c>
      <c r="V19" s="886">
        <f t="shared" si="6"/>
        <v>0.30924197530864195</v>
      </c>
    </row>
    <row r="20" spans="1:22">
      <c r="A20" t="s">
        <v>262</v>
      </c>
      <c r="B20">
        <v>400</v>
      </c>
      <c r="C20">
        <v>500</v>
      </c>
      <c r="D20">
        <v>0.5</v>
      </c>
      <c r="E20">
        <v>9000</v>
      </c>
      <c r="F20">
        <v>2025</v>
      </c>
      <c r="G20">
        <v>25000</v>
      </c>
      <c r="H20">
        <f t="shared" si="1"/>
        <v>12.345679012345679</v>
      </c>
      <c r="I20">
        <v>400</v>
      </c>
      <c r="J20">
        <f t="shared" si="2"/>
        <v>4938.2716049382716</v>
      </c>
      <c r="K20">
        <f>[5]Assumptions!$B$8</f>
        <v>400</v>
      </c>
      <c r="L20">
        <f t="shared" si="3"/>
        <v>1.6E-2</v>
      </c>
      <c r="M20">
        <f t="shared" si="4"/>
        <v>5338.2716049382716</v>
      </c>
      <c r="N20" s="924">
        <f t="shared" si="0"/>
        <v>0.21353086419753087</v>
      </c>
      <c r="P20" s="887">
        <v>600</v>
      </c>
      <c r="Q20" s="888">
        <f t="shared" si="6"/>
        <v>0.39437037037037037</v>
      </c>
      <c r="R20" s="888">
        <f t="shared" si="6"/>
        <v>0.38237037037037036</v>
      </c>
      <c r="S20" s="888">
        <f t="shared" si="6"/>
        <v>0.37637037037037036</v>
      </c>
      <c r="T20" s="888">
        <f t="shared" si="6"/>
        <v>0.37277037037037042</v>
      </c>
      <c r="U20" s="888">
        <f t="shared" si="6"/>
        <v>0.37157037037037038</v>
      </c>
      <c r="V20" s="889">
        <f t="shared" si="6"/>
        <v>0.37097037037037039</v>
      </c>
    </row>
    <row r="21" spans="1:22">
      <c r="A21" t="s">
        <v>262</v>
      </c>
      <c r="B21">
        <v>400</v>
      </c>
      <c r="C21">
        <v>500</v>
      </c>
      <c r="D21">
        <v>0.5</v>
      </c>
      <c r="E21">
        <v>9000</v>
      </c>
      <c r="F21">
        <v>2025</v>
      </c>
      <c r="G21">
        <v>50000</v>
      </c>
      <c r="H21">
        <f t="shared" si="1"/>
        <v>24.691358024691358</v>
      </c>
      <c r="I21">
        <v>400</v>
      </c>
      <c r="J21">
        <f t="shared" si="2"/>
        <v>9876.5432098765432</v>
      </c>
      <c r="K21">
        <f>[5]Assumptions!$B$8</f>
        <v>400</v>
      </c>
      <c r="L21">
        <f t="shared" si="3"/>
        <v>8.0000000000000002E-3</v>
      </c>
      <c r="M21">
        <f t="shared" si="4"/>
        <v>10276.543209876543</v>
      </c>
      <c r="N21" s="924">
        <f t="shared" si="0"/>
        <v>0.20553086419753086</v>
      </c>
      <c r="P21" s="879"/>
      <c r="Q21" s="879"/>
      <c r="R21" s="879"/>
      <c r="S21" s="879"/>
      <c r="T21" s="879"/>
      <c r="U21" s="879"/>
      <c r="V21" s="879"/>
    </row>
    <row r="22" spans="1:22">
      <c r="A22" t="s">
        <v>262</v>
      </c>
      <c r="B22">
        <v>400</v>
      </c>
      <c r="C22">
        <v>500</v>
      </c>
      <c r="D22">
        <v>0.5</v>
      </c>
      <c r="E22">
        <v>9000</v>
      </c>
      <c r="F22">
        <v>2025</v>
      </c>
      <c r="G22">
        <v>100000</v>
      </c>
      <c r="H22">
        <f t="shared" si="1"/>
        <v>49.382716049382715</v>
      </c>
      <c r="I22">
        <v>400</v>
      </c>
      <c r="J22">
        <f t="shared" si="2"/>
        <v>19753.086419753086</v>
      </c>
      <c r="K22">
        <f>[5]Assumptions!$B$8</f>
        <v>400</v>
      </c>
      <c r="L22">
        <f t="shared" si="3"/>
        <v>4.0000000000000001E-3</v>
      </c>
      <c r="M22">
        <f t="shared" si="4"/>
        <v>20153.086419753086</v>
      </c>
      <c r="N22" s="924">
        <f t="shared" si="0"/>
        <v>0.20153086419753086</v>
      </c>
      <c r="P22" s="880" t="s">
        <v>261</v>
      </c>
      <c r="Q22" s="880"/>
      <c r="R22" s="880"/>
      <c r="S22" s="880"/>
      <c r="T22" s="880"/>
      <c r="U22" s="880"/>
      <c r="V22" s="880"/>
    </row>
    <row r="23" spans="1:22">
      <c r="A23" t="s">
        <v>262</v>
      </c>
      <c r="B23">
        <v>400</v>
      </c>
      <c r="C23">
        <v>500</v>
      </c>
      <c r="D23">
        <v>0.5</v>
      </c>
      <c r="E23">
        <v>9000</v>
      </c>
      <c r="F23">
        <v>2025</v>
      </c>
      <c r="G23">
        <v>250000</v>
      </c>
      <c r="H23">
        <f t="shared" si="1"/>
        <v>123.45679012345678</v>
      </c>
      <c r="I23">
        <v>400</v>
      </c>
      <c r="J23">
        <f t="shared" si="2"/>
        <v>49382.71604938271</v>
      </c>
      <c r="K23">
        <f>[5]Assumptions!$B$8</f>
        <v>400</v>
      </c>
      <c r="L23">
        <f t="shared" si="3"/>
        <v>1.6000000000000001E-3</v>
      </c>
      <c r="M23">
        <f t="shared" si="4"/>
        <v>49782.71604938271</v>
      </c>
      <c r="N23" s="924">
        <f t="shared" si="0"/>
        <v>0.19913086419753084</v>
      </c>
      <c r="P23" s="881" t="s">
        <v>55</v>
      </c>
      <c r="Q23" s="882">
        <v>25000</v>
      </c>
      <c r="R23" s="882">
        <v>50000</v>
      </c>
      <c r="S23" s="882">
        <v>100000</v>
      </c>
      <c r="T23" s="882">
        <v>250000</v>
      </c>
      <c r="U23" s="882">
        <v>500000</v>
      </c>
      <c r="V23" s="883">
        <v>1000000</v>
      </c>
    </row>
    <row r="24" spans="1:22">
      <c r="A24" t="s">
        <v>262</v>
      </c>
      <c r="B24">
        <v>400</v>
      </c>
      <c r="C24">
        <v>500</v>
      </c>
      <c r="D24">
        <v>0.5</v>
      </c>
      <c r="E24">
        <v>9000</v>
      </c>
      <c r="F24">
        <v>2025</v>
      </c>
      <c r="G24">
        <v>500000</v>
      </c>
      <c r="H24">
        <f t="shared" si="1"/>
        <v>246.91358024691357</v>
      </c>
      <c r="I24">
        <v>400</v>
      </c>
      <c r="J24">
        <f t="shared" si="2"/>
        <v>98765.432098765421</v>
      </c>
      <c r="K24">
        <f>[5]Assumptions!$B$8</f>
        <v>400</v>
      </c>
      <c r="L24">
        <f t="shared" si="3"/>
        <v>8.0000000000000004E-4</v>
      </c>
      <c r="M24">
        <f t="shared" si="4"/>
        <v>99165.432098765421</v>
      </c>
      <c r="N24" s="924">
        <f t="shared" si="0"/>
        <v>0.19833086419753085</v>
      </c>
      <c r="P24" s="884">
        <v>100</v>
      </c>
      <c r="Q24" s="885">
        <f t="shared" ref="Q24:V29" si="7">SUMIFS($N$2:$N$109,$A$2:$A$109,$P$22,$B$2:$B$109,$P24,$G$2:$G$109,Q$23)</f>
        <v>7.8869684499314127E-2</v>
      </c>
      <c r="R24" s="885">
        <f t="shared" si="7"/>
        <v>6.686968449931413E-2</v>
      </c>
      <c r="S24" s="885">
        <f t="shared" si="7"/>
        <v>6.0869684499314125E-2</v>
      </c>
      <c r="T24" s="885">
        <f t="shared" si="7"/>
        <v>5.7269684499314133E-2</v>
      </c>
      <c r="U24" s="885">
        <f t="shared" si="7"/>
        <v>5.6069684499314133E-2</v>
      </c>
      <c r="V24" s="886">
        <f t="shared" si="7"/>
        <v>5.5469684499314137E-2</v>
      </c>
    </row>
    <row r="25" spans="1:22">
      <c r="A25" t="s">
        <v>262</v>
      </c>
      <c r="B25">
        <v>400</v>
      </c>
      <c r="C25">
        <v>500</v>
      </c>
      <c r="D25">
        <v>0.5</v>
      </c>
      <c r="E25">
        <v>9000</v>
      </c>
      <c r="F25">
        <v>2025</v>
      </c>
      <c r="G25">
        <v>1000000</v>
      </c>
      <c r="H25">
        <f t="shared" si="1"/>
        <v>493.82716049382714</v>
      </c>
      <c r="I25">
        <v>400</v>
      </c>
      <c r="J25">
        <f t="shared" si="2"/>
        <v>197530.86419753084</v>
      </c>
      <c r="K25">
        <f>[5]Assumptions!$B$8</f>
        <v>400</v>
      </c>
      <c r="L25">
        <f t="shared" si="3"/>
        <v>4.0000000000000002E-4</v>
      </c>
      <c r="M25">
        <f t="shared" si="4"/>
        <v>197930.86419753084</v>
      </c>
      <c r="N25" s="924">
        <f t="shared" si="0"/>
        <v>0.19793086419753084</v>
      </c>
      <c r="P25" s="884">
        <v>200</v>
      </c>
      <c r="Q25" s="885">
        <f t="shared" si="7"/>
        <v>0.13373936899862826</v>
      </c>
      <c r="R25" s="885">
        <f t="shared" si="7"/>
        <v>0.12173936899862825</v>
      </c>
      <c r="S25" s="885">
        <f t="shared" si="7"/>
        <v>0.11573936899862824</v>
      </c>
      <c r="T25" s="885">
        <f t="shared" si="7"/>
        <v>0.11213936899862827</v>
      </c>
      <c r="U25" s="885">
        <f t="shared" si="7"/>
        <v>0.11093936899862827</v>
      </c>
      <c r="V25" s="886">
        <f t="shared" si="7"/>
        <v>0.11033936899862827</v>
      </c>
    </row>
    <row r="26" spans="1:22">
      <c r="A26" t="s">
        <v>262</v>
      </c>
      <c r="B26">
        <v>500</v>
      </c>
      <c r="C26">
        <v>600</v>
      </c>
      <c r="D26">
        <v>0.6</v>
      </c>
      <c r="E26">
        <v>9000</v>
      </c>
      <c r="F26">
        <v>1620</v>
      </c>
      <c r="G26">
        <v>25000</v>
      </c>
      <c r="H26">
        <f t="shared" si="1"/>
        <v>15.432098765432098</v>
      </c>
      <c r="I26">
        <v>400</v>
      </c>
      <c r="J26">
        <f t="shared" si="2"/>
        <v>6172.8395061728388</v>
      </c>
      <c r="K26">
        <f>[5]Assumptions!$B$8</f>
        <v>400</v>
      </c>
      <c r="L26">
        <f t="shared" si="3"/>
        <v>1.6E-2</v>
      </c>
      <c r="M26">
        <f t="shared" si="4"/>
        <v>6572.8395061728388</v>
      </c>
      <c r="N26" s="924">
        <f t="shared" si="0"/>
        <v>0.26291358024691353</v>
      </c>
      <c r="P26" s="884">
        <v>300</v>
      </c>
      <c r="Q26" s="885">
        <f t="shared" si="7"/>
        <v>0.18860905349794241</v>
      </c>
      <c r="R26" s="885">
        <f t="shared" si="7"/>
        <v>0.1766090534979424</v>
      </c>
      <c r="S26" s="885">
        <f t="shared" si="7"/>
        <v>0.17060905349794239</v>
      </c>
      <c r="T26" s="885">
        <f t="shared" si="7"/>
        <v>0.1670090534979424</v>
      </c>
      <c r="U26" s="885">
        <f t="shared" si="7"/>
        <v>0.16580905349794239</v>
      </c>
      <c r="V26" s="886">
        <f t="shared" si="7"/>
        <v>0.1652090534979424</v>
      </c>
    </row>
    <row r="27" spans="1:22">
      <c r="A27" t="s">
        <v>262</v>
      </c>
      <c r="B27">
        <v>500</v>
      </c>
      <c r="C27">
        <v>600</v>
      </c>
      <c r="D27">
        <v>0.6</v>
      </c>
      <c r="E27">
        <v>9000</v>
      </c>
      <c r="F27">
        <v>1620</v>
      </c>
      <c r="G27">
        <v>50000</v>
      </c>
      <c r="H27">
        <f t="shared" si="1"/>
        <v>30.864197530864196</v>
      </c>
      <c r="I27">
        <v>400</v>
      </c>
      <c r="J27">
        <f t="shared" si="2"/>
        <v>12345.679012345678</v>
      </c>
      <c r="K27">
        <f>[5]Assumptions!$B$8</f>
        <v>400</v>
      </c>
      <c r="L27">
        <f t="shared" si="3"/>
        <v>8.0000000000000002E-3</v>
      </c>
      <c r="M27">
        <f t="shared" si="4"/>
        <v>12745.679012345678</v>
      </c>
      <c r="N27" s="924">
        <f t="shared" si="0"/>
        <v>0.25491358024691357</v>
      </c>
      <c r="P27" s="884">
        <v>400</v>
      </c>
      <c r="Q27" s="885">
        <f t="shared" si="7"/>
        <v>0.2434787379972565</v>
      </c>
      <c r="R27" s="885">
        <f t="shared" si="7"/>
        <v>0.23147873799725649</v>
      </c>
      <c r="S27" s="885">
        <f t="shared" si="7"/>
        <v>0.22547873799725651</v>
      </c>
      <c r="T27" s="885">
        <f t="shared" si="7"/>
        <v>0.22187873799725655</v>
      </c>
      <c r="U27" s="885">
        <f t="shared" si="7"/>
        <v>0.22067873799725654</v>
      </c>
      <c r="V27" s="886">
        <f t="shared" si="7"/>
        <v>0.22007873799725655</v>
      </c>
    </row>
    <row r="28" spans="1:22">
      <c r="A28" t="s">
        <v>262</v>
      </c>
      <c r="B28">
        <v>500</v>
      </c>
      <c r="C28">
        <v>600</v>
      </c>
      <c r="D28">
        <v>0.6</v>
      </c>
      <c r="E28">
        <v>9000</v>
      </c>
      <c r="F28">
        <v>1620</v>
      </c>
      <c r="G28">
        <v>100000</v>
      </c>
      <c r="H28">
        <f t="shared" si="1"/>
        <v>61.728395061728392</v>
      </c>
      <c r="I28">
        <v>400</v>
      </c>
      <c r="J28">
        <f t="shared" si="2"/>
        <v>24691.358024691355</v>
      </c>
      <c r="K28">
        <f>[5]Assumptions!$B$8</f>
        <v>400</v>
      </c>
      <c r="L28">
        <f t="shared" si="3"/>
        <v>4.0000000000000001E-3</v>
      </c>
      <c r="M28">
        <f t="shared" si="4"/>
        <v>25091.358024691355</v>
      </c>
      <c r="N28" s="924">
        <f t="shared" si="0"/>
        <v>0.25091358024691357</v>
      </c>
      <c r="P28" s="884">
        <v>500</v>
      </c>
      <c r="Q28" s="885">
        <f t="shared" si="7"/>
        <v>0.29834842249657068</v>
      </c>
      <c r="R28" s="885">
        <f t="shared" si="7"/>
        <v>0.28634842249657066</v>
      </c>
      <c r="S28" s="885">
        <f t="shared" si="7"/>
        <v>0.28034842249657066</v>
      </c>
      <c r="T28" s="885">
        <f t="shared" si="7"/>
        <v>0.27674842249657061</v>
      </c>
      <c r="U28" s="885">
        <f t="shared" si="7"/>
        <v>0.27554842249657063</v>
      </c>
      <c r="V28" s="886">
        <f t="shared" si="7"/>
        <v>0.27494842249657064</v>
      </c>
    </row>
    <row r="29" spans="1:22">
      <c r="A29" t="s">
        <v>262</v>
      </c>
      <c r="B29">
        <v>500</v>
      </c>
      <c r="C29">
        <v>600</v>
      </c>
      <c r="D29">
        <v>0.6</v>
      </c>
      <c r="E29">
        <v>9000</v>
      </c>
      <c r="F29">
        <v>1620</v>
      </c>
      <c r="G29">
        <v>250000</v>
      </c>
      <c r="H29">
        <f t="shared" si="1"/>
        <v>154.32098765432099</v>
      </c>
      <c r="I29">
        <v>400</v>
      </c>
      <c r="J29">
        <f t="shared" si="2"/>
        <v>61728.395061728392</v>
      </c>
      <c r="K29">
        <f>[5]Assumptions!$B$8</f>
        <v>400</v>
      </c>
      <c r="L29">
        <f t="shared" si="3"/>
        <v>1.6000000000000001E-3</v>
      </c>
      <c r="M29">
        <f t="shared" si="4"/>
        <v>62128.395061728392</v>
      </c>
      <c r="N29" s="924">
        <f t="shared" si="0"/>
        <v>0.24851358024691356</v>
      </c>
      <c r="P29" s="887">
        <v>600</v>
      </c>
      <c r="Q29" s="888">
        <f t="shared" si="7"/>
        <v>0.3532181069958848</v>
      </c>
      <c r="R29" s="888">
        <f t="shared" si="7"/>
        <v>0.34121810699588478</v>
      </c>
      <c r="S29" s="888">
        <f t="shared" si="7"/>
        <v>0.33521810699588483</v>
      </c>
      <c r="T29" s="888">
        <f t="shared" si="7"/>
        <v>0.33161810699588479</v>
      </c>
      <c r="U29" s="888">
        <f t="shared" si="7"/>
        <v>0.33041810699588481</v>
      </c>
      <c r="V29" s="889">
        <f t="shared" si="7"/>
        <v>0.32981810699588482</v>
      </c>
    </row>
    <row r="30" spans="1:22">
      <c r="A30" t="s">
        <v>262</v>
      </c>
      <c r="B30">
        <v>500</v>
      </c>
      <c r="C30">
        <v>600</v>
      </c>
      <c r="D30">
        <v>0.6</v>
      </c>
      <c r="E30">
        <v>9000</v>
      </c>
      <c r="F30">
        <v>1620</v>
      </c>
      <c r="G30">
        <v>500000</v>
      </c>
      <c r="H30">
        <f t="shared" si="1"/>
        <v>308.64197530864197</v>
      </c>
      <c r="I30">
        <v>400</v>
      </c>
      <c r="J30">
        <f t="shared" si="2"/>
        <v>123456.79012345678</v>
      </c>
      <c r="K30">
        <f>[5]Assumptions!$B$8</f>
        <v>400</v>
      </c>
      <c r="L30">
        <f t="shared" si="3"/>
        <v>8.0000000000000004E-4</v>
      </c>
      <c r="M30">
        <f t="shared" si="4"/>
        <v>123856.79012345678</v>
      </c>
      <c r="N30" s="924">
        <f t="shared" si="0"/>
        <v>0.24771358024691356</v>
      </c>
    </row>
    <row r="31" spans="1:22">
      <c r="A31" t="s">
        <v>262</v>
      </c>
      <c r="B31">
        <v>500</v>
      </c>
      <c r="C31">
        <v>600</v>
      </c>
      <c r="D31">
        <v>0.6</v>
      </c>
      <c r="E31">
        <v>9000</v>
      </c>
      <c r="F31">
        <v>1620</v>
      </c>
      <c r="G31">
        <v>1000000</v>
      </c>
      <c r="H31">
        <f t="shared" si="1"/>
        <v>617.28395061728395</v>
      </c>
      <c r="I31">
        <v>400</v>
      </c>
      <c r="J31">
        <f t="shared" si="2"/>
        <v>246913.58024691357</v>
      </c>
      <c r="K31">
        <f>[5]Assumptions!$B$8</f>
        <v>400</v>
      </c>
      <c r="L31">
        <f t="shared" si="3"/>
        <v>4.0000000000000002E-4</v>
      </c>
      <c r="M31">
        <f t="shared" si="4"/>
        <v>247313.58024691357</v>
      </c>
      <c r="N31" s="924">
        <f t="shared" si="0"/>
        <v>0.24731358024691358</v>
      </c>
    </row>
    <row r="32" spans="1:22">
      <c r="A32" t="s">
        <v>262</v>
      </c>
      <c r="B32">
        <v>600</v>
      </c>
      <c r="C32">
        <v>700</v>
      </c>
      <c r="D32">
        <v>0.7</v>
      </c>
      <c r="E32">
        <v>9000</v>
      </c>
      <c r="F32">
        <v>1350</v>
      </c>
      <c r="G32">
        <v>25000</v>
      </c>
      <c r="H32">
        <f t="shared" si="1"/>
        <v>18.518518518518519</v>
      </c>
      <c r="I32">
        <v>400</v>
      </c>
      <c r="J32">
        <f t="shared" si="2"/>
        <v>7407.4074074074078</v>
      </c>
      <c r="K32">
        <f>[5]Assumptions!$B$8</f>
        <v>400</v>
      </c>
      <c r="L32">
        <f t="shared" si="3"/>
        <v>1.6E-2</v>
      </c>
      <c r="M32">
        <f t="shared" si="4"/>
        <v>7807.4074074074078</v>
      </c>
      <c r="N32" s="924">
        <f t="shared" si="0"/>
        <v>0.31229629629629629</v>
      </c>
    </row>
    <row r="33" spans="1:14">
      <c r="A33" t="s">
        <v>262</v>
      </c>
      <c r="B33">
        <v>600</v>
      </c>
      <c r="C33">
        <v>700</v>
      </c>
      <c r="D33">
        <v>0.7</v>
      </c>
      <c r="E33">
        <v>9000</v>
      </c>
      <c r="F33">
        <v>1350</v>
      </c>
      <c r="G33">
        <v>50000</v>
      </c>
      <c r="H33">
        <f t="shared" si="1"/>
        <v>37.037037037037038</v>
      </c>
      <c r="I33">
        <v>400</v>
      </c>
      <c r="J33">
        <f t="shared" si="2"/>
        <v>14814.814814814816</v>
      </c>
      <c r="K33">
        <f>[5]Assumptions!$B$8</f>
        <v>400</v>
      </c>
      <c r="L33">
        <f t="shared" si="3"/>
        <v>8.0000000000000002E-3</v>
      </c>
      <c r="M33">
        <f t="shared" si="4"/>
        <v>15214.814814814816</v>
      </c>
      <c r="N33" s="924">
        <f t="shared" si="0"/>
        <v>0.30429629629629629</v>
      </c>
    </row>
    <row r="34" spans="1:14">
      <c r="A34" t="s">
        <v>262</v>
      </c>
      <c r="B34">
        <v>600</v>
      </c>
      <c r="C34">
        <v>700</v>
      </c>
      <c r="D34">
        <v>0.7</v>
      </c>
      <c r="E34">
        <v>9000</v>
      </c>
      <c r="F34">
        <v>1350</v>
      </c>
      <c r="G34">
        <v>100000</v>
      </c>
      <c r="H34">
        <f t="shared" si="1"/>
        <v>74.074074074074076</v>
      </c>
      <c r="I34">
        <v>400</v>
      </c>
      <c r="J34">
        <f t="shared" si="2"/>
        <v>29629.629629629631</v>
      </c>
      <c r="K34">
        <f>[5]Assumptions!$B$8</f>
        <v>400</v>
      </c>
      <c r="L34">
        <f t="shared" si="3"/>
        <v>4.0000000000000001E-3</v>
      </c>
      <c r="M34">
        <f t="shared" si="4"/>
        <v>30029.629629629631</v>
      </c>
      <c r="N34" s="924">
        <f t="shared" ref="N34:N65" si="8">(M34/G34)*QuantumConvertingPriceFactor</f>
        <v>0.30029629629629634</v>
      </c>
    </row>
    <row r="35" spans="1:14">
      <c r="A35" t="s">
        <v>262</v>
      </c>
      <c r="B35">
        <v>600</v>
      </c>
      <c r="C35">
        <v>700</v>
      </c>
      <c r="D35">
        <v>0.7</v>
      </c>
      <c r="E35">
        <v>9000</v>
      </c>
      <c r="F35">
        <v>1350</v>
      </c>
      <c r="G35">
        <v>250000</v>
      </c>
      <c r="H35">
        <f t="shared" si="1"/>
        <v>185.18518518518519</v>
      </c>
      <c r="I35">
        <v>400</v>
      </c>
      <c r="J35">
        <f t="shared" si="2"/>
        <v>74074.074074074073</v>
      </c>
      <c r="K35">
        <f>[5]Assumptions!$B$8</f>
        <v>400</v>
      </c>
      <c r="L35">
        <f t="shared" si="3"/>
        <v>1.6000000000000001E-3</v>
      </c>
      <c r="M35">
        <f t="shared" si="4"/>
        <v>74474.074074074073</v>
      </c>
      <c r="N35" s="924">
        <f t="shared" si="8"/>
        <v>0.29789629629629627</v>
      </c>
    </row>
    <row r="36" spans="1:14">
      <c r="A36" t="s">
        <v>262</v>
      </c>
      <c r="B36">
        <v>600</v>
      </c>
      <c r="C36">
        <v>700</v>
      </c>
      <c r="D36">
        <v>0.7</v>
      </c>
      <c r="E36">
        <v>9000</v>
      </c>
      <c r="F36">
        <v>1350</v>
      </c>
      <c r="G36">
        <v>500000</v>
      </c>
      <c r="H36">
        <f t="shared" si="1"/>
        <v>370.37037037037038</v>
      </c>
      <c r="I36">
        <v>400</v>
      </c>
      <c r="J36">
        <f t="shared" si="2"/>
        <v>148148.14814814815</v>
      </c>
      <c r="K36">
        <f>[5]Assumptions!$B$8</f>
        <v>400</v>
      </c>
      <c r="L36">
        <f t="shared" si="3"/>
        <v>8.0000000000000004E-4</v>
      </c>
      <c r="M36">
        <f t="shared" si="4"/>
        <v>148548.14814814815</v>
      </c>
      <c r="N36" s="924">
        <f t="shared" si="8"/>
        <v>0.2970962962962963</v>
      </c>
    </row>
    <row r="37" spans="1:14">
      <c r="A37" t="s">
        <v>262</v>
      </c>
      <c r="B37">
        <v>600</v>
      </c>
      <c r="C37">
        <v>700</v>
      </c>
      <c r="D37">
        <v>0.7</v>
      </c>
      <c r="E37">
        <v>9000</v>
      </c>
      <c r="F37">
        <v>1350</v>
      </c>
      <c r="G37">
        <v>1000000</v>
      </c>
      <c r="H37">
        <f t="shared" si="1"/>
        <v>740.74074074074076</v>
      </c>
      <c r="I37">
        <v>400</v>
      </c>
      <c r="J37">
        <f t="shared" si="2"/>
        <v>296296.29629629629</v>
      </c>
      <c r="K37">
        <f>[5]Assumptions!$B$8</f>
        <v>400</v>
      </c>
      <c r="L37">
        <f t="shared" si="3"/>
        <v>4.0000000000000002E-4</v>
      </c>
      <c r="M37">
        <f t="shared" si="4"/>
        <v>296696.29629629629</v>
      </c>
      <c r="N37" s="924">
        <f t="shared" si="8"/>
        <v>0.29669629629629629</v>
      </c>
    </row>
    <row r="38" spans="1:14">
      <c r="A38" t="s">
        <v>1328</v>
      </c>
      <c r="B38">
        <v>100</v>
      </c>
      <c r="C38">
        <v>200</v>
      </c>
      <c r="D38">
        <v>0.2</v>
      </c>
      <c r="E38">
        <v>4500</v>
      </c>
      <c r="F38">
        <f>F2*0.8</f>
        <v>6480</v>
      </c>
      <c r="G38">
        <v>25000</v>
      </c>
      <c r="H38">
        <f t="shared" si="1"/>
        <v>3.8580246913580245</v>
      </c>
      <c r="I38">
        <v>400</v>
      </c>
      <c r="J38">
        <f t="shared" si="2"/>
        <v>1543.2098765432097</v>
      </c>
      <c r="K38">
        <f>[5]Assumptions!$B$9</f>
        <v>600</v>
      </c>
      <c r="L38">
        <f t="shared" si="3"/>
        <v>2.4E-2</v>
      </c>
      <c r="M38">
        <f t="shared" si="4"/>
        <v>2143.2098765432097</v>
      </c>
      <c r="N38" s="924">
        <f t="shared" si="8"/>
        <v>8.5728395061728385E-2</v>
      </c>
    </row>
    <row r="39" spans="1:14">
      <c r="A39" t="s">
        <v>1328</v>
      </c>
      <c r="B39">
        <v>100</v>
      </c>
      <c r="C39">
        <v>200</v>
      </c>
      <c r="D39">
        <v>0.2</v>
      </c>
      <c r="E39">
        <v>4500</v>
      </c>
      <c r="F39">
        <f t="shared" ref="F39:F73" si="9">F3*0.8</f>
        <v>6480</v>
      </c>
      <c r="G39">
        <v>50000</v>
      </c>
      <c r="H39">
        <f t="shared" si="1"/>
        <v>7.716049382716049</v>
      </c>
      <c r="I39">
        <v>400</v>
      </c>
      <c r="J39">
        <f t="shared" si="2"/>
        <v>3086.4197530864194</v>
      </c>
      <c r="K39">
        <f>[5]Assumptions!$B$9</f>
        <v>600</v>
      </c>
      <c r="L39">
        <f t="shared" si="3"/>
        <v>1.2E-2</v>
      </c>
      <c r="M39">
        <f t="shared" si="4"/>
        <v>3686.4197530864194</v>
      </c>
      <c r="N39" s="924">
        <f t="shared" si="8"/>
        <v>7.3728395061728388E-2</v>
      </c>
    </row>
    <row r="40" spans="1:14">
      <c r="A40" t="s">
        <v>1328</v>
      </c>
      <c r="B40">
        <v>100</v>
      </c>
      <c r="C40">
        <v>200</v>
      </c>
      <c r="D40">
        <v>0.2</v>
      </c>
      <c r="E40">
        <v>4500</v>
      </c>
      <c r="F40">
        <f t="shared" si="9"/>
        <v>6480</v>
      </c>
      <c r="G40">
        <v>100000</v>
      </c>
      <c r="H40">
        <f t="shared" si="1"/>
        <v>15.432098765432098</v>
      </c>
      <c r="I40">
        <v>400</v>
      </c>
      <c r="J40">
        <f t="shared" si="2"/>
        <v>6172.8395061728388</v>
      </c>
      <c r="K40">
        <f>[5]Assumptions!$B$9</f>
        <v>600</v>
      </c>
      <c r="L40">
        <f t="shared" si="3"/>
        <v>6.0000000000000001E-3</v>
      </c>
      <c r="M40">
        <f t="shared" si="4"/>
        <v>6772.8395061728388</v>
      </c>
      <c r="N40" s="924">
        <f t="shared" si="8"/>
        <v>6.7728395061728383E-2</v>
      </c>
    </row>
    <row r="41" spans="1:14">
      <c r="A41" t="s">
        <v>1328</v>
      </c>
      <c r="B41">
        <v>100</v>
      </c>
      <c r="C41">
        <v>200</v>
      </c>
      <c r="D41">
        <v>0.2</v>
      </c>
      <c r="E41">
        <v>4500</v>
      </c>
      <c r="F41">
        <f t="shared" si="9"/>
        <v>6480</v>
      </c>
      <c r="G41">
        <v>250000</v>
      </c>
      <c r="H41">
        <f t="shared" si="1"/>
        <v>38.580246913580247</v>
      </c>
      <c r="I41">
        <v>400</v>
      </c>
      <c r="J41">
        <f t="shared" si="2"/>
        <v>15432.098765432098</v>
      </c>
      <c r="K41">
        <f>[5]Assumptions!$B$9</f>
        <v>600</v>
      </c>
      <c r="L41">
        <f t="shared" si="3"/>
        <v>2.3999999999999998E-3</v>
      </c>
      <c r="M41">
        <f t="shared" si="4"/>
        <v>16032.098765432098</v>
      </c>
      <c r="N41" s="924">
        <f t="shared" si="8"/>
        <v>6.4128395061728391E-2</v>
      </c>
    </row>
    <row r="42" spans="1:14">
      <c r="A42" t="s">
        <v>1328</v>
      </c>
      <c r="B42">
        <v>100</v>
      </c>
      <c r="C42">
        <v>200</v>
      </c>
      <c r="D42">
        <v>0.2</v>
      </c>
      <c r="E42">
        <v>4500</v>
      </c>
      <c r="F42">
        <f t="shared" si="9"/>
        <v>6480</v>
      </c>
      <c r="G42">
        <v>500000</v>
      </c>
      <c r="H42">
        <f t="shared" si="1"/>
        <v>77.160493827160494</v>
      </c>
      <c r="I42">
        <v>400</v>
      </c>
      <c r="J42">
        <f t="shared" si="2"/>
        <v>30864.197530864196</v>
      </c>
      <c r="K42">
        <f>[5]Assumptions!$B$9</f>
        <v>600</v>
      </c>
      <c r="L42">
        <f t="shared" si="3"/>
        <v>1.1999999999999999E-3</v>
      </c>
      <c r="M42">
        <f t="shared" si="4"/>
        <v>31464.197530864196</v>
      </c>
      <c r="N42" s="924">
        <f t="shared" si="8"/>
        <v>6.2928395061728398E-2</v>
      </c>
    </row>
    <row r="43" spans="1:14">
      <c r="A43" t="s">
        <v>1328</v>
      </c>
      <c r="B43">
        <v>100</v>
      </c>
      <c r="C43">
        <v>200</v>
      </c>
      <c r="D43">
        <v>0.2</v>
      </c>
      <c r="E43">
        <v>4500</v>
      </c>
      <c r="F43">
        <f t="shared" si="9"/>
        <v>6480</v>
      </c>
      <c r="G43">
        <v>1000000</v>
      </c>
      <c r="H43">
        <f t="shared" si="1"/>
        <v>154.32098765432099</v>
      </c>
      <c r="I43">
        <v>400</v>
      </c>
      <c r="J43">
        <f t="shared" si="2"/>
        <v>61728.395061728392</v>
      </c>
      <c r="K43">
        <f>[5]Assumptions!$B$9</f>
        <v>600</v>
      </c>
      <c r="L43">
        <f t="shared" si="3"/>
        <v>5.9999999999999995E-4</v>
      </c>
      <c r="M43">
        <f t="shared" si="4"/>
        <v>62328.395061728392</v>
      </c>
      <c r="N43" s="924">
        <f t="shared" si="8"/>
        <v>6.2328395061728395E-2</v>
      </c>
    </row>
    <row r="44" spans="1:14">
      <c r="A44" t="s">
        <v>1328</v>
      </c>
      <c r="B44">
        <v>200</v>
      </c>
      <c r="C44">
        <v>300</v>
      </c>
      <c r="D44">
        <v>0.3</v>
      </c>
      <c r="E44">
        <v>4500</v>
      </c>
      <c r="F44">
        <f t="shared" si="9"/>
        <v>3240</v>
      </c>
      <c r="G44">
        <v>25000</v>
      </c>
      <c r="H44">
        <f t="shared" si="1"/>
        <v>7.716049382716049</v>
      </c>
      <c r="I44">
        <v>400</v>
      </c>
      <c r="J44">
        <f t="shared" si="2"/>
        <v>3086.4197530864194</v>
      </c>
      <c r="K44">
        <f>[5]Assumptions!$B$9</f>
        <v>600</v>
      </c>
      <c r="L44">
        <f t="shared" si="3"/>
        <v>2.4E-2</v>
      </c>
      <c r="M44">
        <f t="shared" si="4"/>
        <v>3686.4197530864194</v>
      </c>
      <c r="N44" s="924">
        <f t="shared" si="8"/>
        <v>0.14745679012345678</v>
      </c>
    </row>
    <row r="45" spans="1:14">
      <c r="A45" t="s">
        <v>1328</v>
      </c>
      <c r="B45">
        <v>200</v>
      </c>
      <c r="C45">
        <v>300</v>
      </c>
      <c r="D45">
        <v>0.3</v>
      </c>
      <c r="E45">
        <v>4500</v>
      </c>
      <c r="F45">
        <f t="shared" si="9"/>
        <v>3240</v>
      </c>
      <c r="G45">
        <v>50000</v>
      </c>
      <c r="H45">
        <f t="shared" si="1"/>
        <v>15.432098765432098</v>
      </c>
      <c r="I45">
        <v>400</v>
      </c>
      <c r="J45">
        <f t="shared" si="2"/>
        <v>6172.8395061728388</v>
      </c>
      <c r="K45">
        <f>[5]Assumptions!$B$9</f>
        <v>600</v>
      </c>
      <c r="L45">
        <f t="shared" si="3"/>
        <v>1.2E-2</v>
      </c>
      <c r="M45">
        <f t="shared" si="4"/>
        <v>6772.8395061728388</v>
      </c>
      <c r="N45" s="924">
        <f t="shared" si="8"/>
        <v>0.13545679012345677</v>
      </c>
    </row>
    <row r="46" spans="1:14">
      <c r="A46" t="s">
        <v>1328</v>
      </c>
      <c r="B46">
        <v>200</v>
      </c>
      <c r="C46">
        <v>300</v>
      </c>
      <c r="D46">
        <v>0.3</v>
      </c>
      <c r="E46">
        <v>4500</v>
      </c>
      <c r="F46">
        <f t="shared" si="9"/>
        <v>3240</v>
      </c>
      <c r="G46">
        <v>100000</v>
      </c>
      <c r="H46">
        <f t="shared" si="1"/>
        <v>30.864197530864196</v>
      </c>
      <c r="I46">
        <v>400</v>
      </c>
      <c r="J46">
        <f t="shared" si="2"/>
        <v>12345.679012345678</v>
      </c>
      <c r="K46">
        <f>[5]Assumptions!$B$9</f>
        <v>600</v>
      </c>
      <c r="L46">
        <f t="shared" si="3"/>
        <v>6.0000000000000001E-3</v>
      </c>
      <c r="M46">
        <f t="shared" si="4"/>
        <v>12945.679012345678</v>
      </c>
      <c r="N46" s="924">
        <f t="shared" si="8"/>
        <v>0.12945679012345679</v>
      </c>
    </row>
    <row r="47" spans="1:14">
      <c r="A47" t="s">
        <v>1328</v>
      </c>
      <c r="B47">
        <v>200</v>
      </c>
      <c r="C47">
        <v>300</v>
      </c>
      <c r="D47">
        <v>0.3</v>
      </c>
      <c r="E47">
        <v>4500</v>
      </c>
      <c r="F47">
        <f t="shared" si="9"/>
        <v>3240</v>
      </c>
      <c r="G47">
        <v>250000</v>
      </c>
      <c r="H47">
        <f t="shared" si="1"/>
        <v>77.160493827160494</v>
      </c>
      <c r="I47">
        <v>400</v>
      </c>
      <c r="J47">
        <f t="shared" si="2"/>
        <v>30864.197530864196</v>
      </c>
      <c r="K47">
        <f>[5]Assumptions!$B$9</f>
        <v>600</v>
      </c>
      <c r="L47">
        <f t="shared" si="3"/>
        <v>2.3999999999999998E-3</v>
      </c>
      <c r="M47">
        <f t="shared" si="4"/>
        <v>31464.197530864196</v>
      </c>
      <c r="N47" s="924">
        <f t="shared" si="8"/>
        <v>0.1258567901234568</v>
      </c>
    </row>
    <row r="48" spans="1:14">
      <c r="A48" t="s">
        <v>1328</v>
      </c>
      <c r="B48">
        <v>200</v>
      </c>
      <c r="C48">
        <v>300</v>
      </c>
      <c r="D48">
        <v>0.3</v>
      </c>
      <c r="E48">
        <v>4500</v>
      </c>
      <c r="F48">
        <f t="shared" si="9"/>
        <v>3240</v>
      </c>
      <c r="G48">
        <v>500000</v>
      </c>
      <c r="H48">
        <f t="shared" si="1"/>
        <v>154.32098765432099</v>
      </c>
      <c r="I48">
        <v>400</v>
      </c>
      <c r="J48">
        <f t="shared" si="2"/>
        <v>61728.395061728392</v>
      </c>
      <c r="K48">
        <f>[5]Assumptions!$B$9</f>
        <v>600</v>
      </c>
      <c r="L48">
        <f t="shared" si="3"/>
        <v>1.1999999999999999E-3</v>
      </c>
      <c r="M48">
        <f t="shared" si="4"/>
        <v>62328.395061728392</v>
      </c>
      <c r="N48" s="924">
        <f t="shared" si="8"/>
        <v>0.12465679012345679</v>
      </c>
    </row>
    <row r="49" spans="1:14">
      <c r="A49" t="s">
        <v>1328</v>
      </c>
      <c r="B49">
        <v>200</v>
      </c>
      <c r="C49">
        <v>300</v>
      </c>
      <c r="D49">
        <v>0.3</v>
      </c>
      <c r="E49">
        <v>4500</v>
      </c>
      <c r="F49">
        <f t="shared" si="9"/>
        <v>3240</v>
      </c>
      <c r="G49">
        <v>1000000</v>
      </c>
      <c r="H49">
        <f t="shared" si="1"/>
        <v>308.64197530864197</v>
      </c>
      <c r="I49">
        <v>400</v>
      </c>
      <c r="J49">
        <f t="shared" si="2"/>
        <v>123456.79012345678</v>
      </c>
      <c r="K49">
        <f>[5]Assumptions!$B$9</f>
        <v>600</v>
      </c>
      <c r="L49">
        <f t="shared" si="3"/>
        <v>5.9999999999999995E-4</v>
      </c>
      <c r="M49">
        <f t="shared" si="4"/>
        <v>124056.79012345678</v>
      </c>
      <c r="N49" s="924">
        <f t="shared" si="8"/>
        <v>0.12405679012345679</v>
      </c>
    </row>
    <row r="50" spans="1:14">
      <c r="A50" t="s">
        <v>1328</v>
      </c>
      <c r="B50">
        <v>300</v>
      </c>
      <c r="C50">
        <v>400</v>
      </c>
      <c r="D50">
        <v>0.4</v>
      </c>
      <c r="E50">
        <v>4500</v>
      </c>
      <c r="F50">
        <f t="shared" si="9"/>
        <v>2160</v>
      </c>
      <c r="G50">
        <v>25000</v>
      </c>
      <c r="H50">
        <f t="shared" si="1"/>
        <v>11.574074074074074</v>
      </c>
      <c r="I50">
        <v>400</v>
      </c>
      <c r="J50">
        <f t="shared" si="2"/>
        <v>4629.6296296296296</v>
      </c>
      <c r="K50">
        <f>[5]Assumptions!$B$9</f>
        <v>600</v>
      </c>
      <c r="L50">
        <f t="shared" si="3"/>
        <v>2.4E-2</v>
      </c>
      <c r="M50">
        <f t="shared" si="4"/>
        <v>5229.6296296296296</v>
      </c>
      <c r="N50" s="924">
        <f t="shared" si="8"/>
        <v>0.2091851851851852</v>
      </c>
    </row>
    <row r="51" spans="1:14">
      <c r="A51" t="s">
        <v>1328</v>
      </c>
      <c r="B51">
        <v>300</v>
      </c>
      <c r="C51">
        <v>400</v>
      </c>
      <c r="D51">
        <v>0.4</v>
      </c>
      <c r="E51">
        <v>4500</v>
      </c>
      <c r="F51">
        <f t="shared" si="9"/>
        <v>2160</v>
      </c>
      <c r="G51">
        <v>50000</v>
      </c>
      <c r="H51">
        <f t="shared" si="1"/>
        <v>23.148148148148149</v>
      </c>
      <c r="I51">
        <v>400</v>
      </c>
      <c r="J51">
        <f t="shared" si="2"/>
        <v>9259.2592592592591</v>
      </c>
      <c r="K51">
        <f>[5]Assumptions!$B$9</f>
        <v>600</v>
      </c>
      <c r="L51">
        <f t="shared" si="3"/>
        <v>1.2E-2</v>
      </c>
      <c r="M51">
        <f t="shared" si="4"/>
        <v>9859.2592592592591</v>
      </c>
      <c r="N51" s="924">
        <f t="shared" si="8"/>
        <v>0.19718518518518519</v>
      </c>
    </row>
    <row r="52" spans="1:14">
      <c r="A52" t="s">
        <v>1328</v>
      </c>
      <c r="B52">
        <v>300</v>
      </c>
      <c r="C52">
        <v>400</v>
      </c>
      <c r="D52">
        <v>0.4</v>
      </c>
      <c r="E52">
        <v>4500</v>
      </c>
      <c r="F52">
        <f t="shared" si="9"/>
        <v>2160</v>
      </c>
      <c r="G52">
        <v>100000</v>
      </c>
      <c r="H52">
        <f t="shared" si="1"/>
        <v>46.296296296296298</v>
      </c>
      <c r="I52">
        <v>400</v>
      </c>
      <c r="J52">
        <f t="shared" si="2"/>
        <v>18518.518518518518</v>
      </c>
      <c r="K52">
        <f>[5]Assumptions!$B$9</f>
        <v>600</v>
      </c>
      <c r="L52">
        <f t="shared" si="3"/>
        <v>6.0000000000000001E-3</v>
      </c>
      <c r="M52">
        <f t="shared" si="4"/>
        <v>19118.518518518518</v>
      </c>
      <c r="N52" s="924">
        <f t="shared" si="8"/>
        <v>0.19118518518518518</v>
      </c>
    </row>
    <row r="53" spans="1:14">
      <c r="A53" t="s">
        <v>1328</v>
      </c>
      <c r="B53">
        <v>300</v>
      </c>
      <c r="C53">
        <v>400</v>
      </c>
      <c r="D53">
        <v>0.4</v>
      </c>
      <c r="E53">
        <v>4500</v>
      </c>
      <c r="F53">
        <f t="shared" si="9"/>
        <v>2160</v>
      </c>
      <c r="G53">
        <v>250000</v>
      </c>
      <c r="H53">
        <f t="shared" si="1"/>
        <v>115.74074074074075</v>
      </c>
      <c r="I53">
        <v>400</v>
      </c>
      <c r="J53">
        <f t="shared" si="2"/>
        <v>46296.296296296299</v>
      </c>
      <c r="K53">
        <f>[5]Assumptions!$B$9</f>
        <v>600</v>
      </c>
      <c r="L53">
        <f t="shared" si="3"/>
        <v>2.3999999999999998E-3</v>
      </c>
      <c r="M53">
        <f t="shared" si="4"/>
        <v>46896.296296296299</v>
      </c>
      <c r="N53" s="924">
        <f t="shared" si="8"/>
        <v>0.18758518518518519</v>
      </c>
    </row>
    <row r="54" spans="1:14">
      <c r="A54" t="s">
        <v>1328</v>
      </c>
      <c r="B54">
        <v>300</v>
      </c>
      <c r="C54">
        <v>400</v>
      </c>
      <c r="D54">
        <v>0.4</v>
      </c>
      <c r="E54">
        <v>4500</v>
      </c>
      <c r="F54">
        <f t="shared" si="9"/>
        <v>2160</v>
      </c>
      <c r="G54">
        <v>500000</v>
      </c>
      <c r="H54">
        <f t="shared" si="1"/>
        <v>231.4814814814815</v>
      </c>
      <c r="I54">
        <v>400</v>
      </c>
      <c r="J54">
        <f t="shared" si="2"/>
        <v>92592.592592592599</v>
      </c>
      <c r="K54">
        <f>[5]Assumptions!$B$9</f>
        <v>600</v>
      </c>
      <c r="L54">
        <f t="shared" si="3"/>
        <v>1.1999999999999999E-3</v>
      </c>
      <c r="M54">
        <f t="shared" si="4"/>
        <v>93192.592592592599</v>
      </c>
      <c r="N54" s="924">
        <f t="shared" si="8"/>
        <v>0.18638518518518521</v>
      </c>
    </row>
    <row r="55" spans="1:14">
      <c r="A55" t="s">
        <v>1328</v>
      </c>
      <c r="B55">
        <v>300</v>
      </c>
      <c r="C55">
        <v>400</v>
      </c>
      <c r="D55">
        <v>0.4</v>
      </c>
      <c r="E55">
        <v>4500</v>
      </c>
      <c r="F55">
        <f t="shared" si="9"/>
        <v>2160</v>
      </c>
      <c r="G55">
        <v>1000000</v>
      </c>
      <c r="H55">
        <f t="shared" si="1"/>
        <v>462.96296296296299</v>
      </c>
      <c r="I55">
        <v>400</v>
      </c>
      <c r="J55">
        <f t="shared" si="2"/>
        <v>185185.1851851852</v>
      </c>
      <c r="K55">
        <f>[5]Assumptions!$B$9</f>
        <v>600</v>
      </c>
      <c r="L55">
        <f t="shared" si="3"/>
        <v>5.9999999999999995E-4</v>
      </c>
      <c r="M55">
        <f t="shared" si="4"/>
        <v>185785.1851851852</v>
      </c>
      <c r="N55" s="924">
        <f t="shared" si="8"/>
        <v>0.18578518518518519</v>
      </c>
    </row>
    <row r="56" spans="1:14">
      <c r="A56" t="s">
        <v>1328</v>
      </c>
      <c r="B56">
        <v>400</v>
      </c>
      <c r="C56">
        <v>500</v>
      </c>
      <c r="D56">
        <v>0.5</v>
      </c>
      <c r="E56">
        <v>4500</v>
      </c>
      <c r="F56">
        <f t="shared" si="9"/>
        <v>1620</v>
      </c>
      <c r="G56">
        <v>25000</v>
      </c>
      <c r="H56">
        <f t="shared" si="1"/>
        <v>15.432098765432098</v>
      </c>
      <c r="I56">
        <v>400</v>
      </c>
      <c r="J56">
        <f t="shared" si="2"/>
        <v>6172.8395061728388</v>
      </c>
      <c r="K56">
        <f>[5]Assumptions!$B$9</f>
        <v>600</v>
      </c>
      <c r="L56">
        <f t="shared" si="3"/>
        <v>2.4E-2</v>
      </c>
      <c r="M56">
        <f t="shared" si="4"/>
        <v>6772.8395061728388</v>
      </c>
      <c r="N56" s="924">
        <f t="shared" si="8"/>
        <v>0.27091358024691353</v>
      </c>
    </row>
    <row r="57" spans="1:14">
      <c r="A57" t="s">
        <v>1328</v>
      </c>
      <c r="B57">
        <v>400</v>
      </c>
      <c r="C57">
        <v>500</v>
      </c>
      <c r="D57">
        <v>0.5</v>
      </c>
      <c r="E57">
        <v>4500</v>
      </c>
      <c r="F57">
        <f t="shared" si="9"/>
        <v>1620</v>
      </c>
      <c r="G57">
        <v>50000</v>
      </c>
      <c r="H57">
        <f t="shared" si="1"/>
        <v>30.864197530864196</v>
      </c>
      <c r="I57">
        <v>400</v>
      </c>
      <c r="J57">
        <f t="shared" si="2"/>
        <v>12345.679012345678</v>
      </c>
      <c r="K57">
        <f>[5]Assumptions!$B$9</f>
        <v>600</v>
      </c>
      <c r="L57">
        <f t="shared" si="3"/>
        <v>1.2E-2</v>
      </c>
      <c r="M57">
        <f t="shared" si="4"/>
        <v>12945.679012345678</v>
      </c>
      <c r="N57" s="924">
        <f t="shared" si="8"/>
        <v>0.25891358024691358</v>
      </c>
    </row>
    <row r="58" spans="1:14">
      <c r="A58" t="s">
        <v>1328</v>
      </c>
      <c r="B58">
        <v>400</v>
      </c>
      <c r="C58">
        <v>500</v>
      </c>
      <c r="D58">
        <v>0.5</v>
      </c>
      <c r="E58">
        <v>4500</v>
      </c>
      <c r="F58">
        <f t="shared" si="9"/>
        <v>1620</v>
      </c>
      <c r="G58">
        <v>100000</v>
      </c>
      <c r="H58">
        <f t="shared" si="1"/>
        <v>61.728395061728392</v>
      </c>
      <c r="I58">
        <v>400</v>
      </c>
      <c r="J58">
        <f t="shared" si="2"/>
        <v>24691.358024691355</v>
      </c>
      <c r="K58">
        <f>[5]Assumptions!$B$9</f>
        <v>600</v>
      </c>
      <c r="L58">
        <f t="shared" si="3"/>
        <v>6.0000000000000001E-3</v>
      </c>
      <c r="M58">
        <f t="shared" si="4"/>
        <v>25291.358024691355</v>
      </c>
      <c r="N58" s="924">
        <f t="shared" si="8"/>
        <v>0.25291358024691357</v>
      </c>
    </row>
    <row r="59" spans="1:14">
      <c r="A59" t="s">
        <v>1328</v>
      </c>
      <c r="B59">
        <v>400</v>
      </c>
      <c r="C59">
        <v>500</v>
      </c>
      <c r="D59">
        <v>0.5</v>
      </c>
      <c r="E59">
        <v>4500</v>
      </c>
      <c r="F59">
        <f t="shared" si="9"/>
        <v>1620</v>
      </c>
      <c r="G59">
        <v>250000</v>
      </c>
      <c r="H59">
        <f t="shared" si="1"/>
        <v>154.32098765432099</v>
      </c>
      <c r="I59">
        <v>400</v>
      </c>
      <c r="J59">
        <f t="shared" si="2"/>
        <v>61728.395061728392</v>
      </c>
      <c r="K59">
        <f>[5]Assumptions!$B$9</f>
        <v>600</v>
      </c>
      <c r="L59">
        <f t="shared" si="3"/>
        <v>2.3999999999999998E-3</v>
      </c>
      <c r="M59">
        <f t="shared" si="4"/>
        <v>62328.395061728392</v>
      </c>
      <c r="N59" s="924">
        <f t="shared" si="8"/>
        <v>0.24931358024691358</v>
      </c>
    </row>
    <row r="60" spans="1:14">
      <c r="A60" t="s">
        <v>1328</v>
      </c>
      <c r="B60">
        <v>400</v>
      </c>
      <c r="C60">
        <v>500</v>
      </c>
      <c r="D60">
        <v>0.5</v>
      </c>
      <c r="E60">
        <v>4500</v>
      </c>
      <c r="F60">
        <f t="shared" si="9"/>
        <v>1620</v>
      </c>
      <c r="G60">
        <v>500000</v>
      </c>
      <c r="H60">
        <f t="shared" si="1"/>
        <v>308.64197530864197</v>
      </c>
      <c r="I60">
        <v>400</v>
      </c>
      <c r="J60">
        <f t="shared" si="2"/>
        <v>123456.79012345678</v>
      </c>
      <c r="K60">
        <f>[5]Assumptions!$B$9</f>
        <v>600</v>
      </c>
      <c r="L60">
        <f t="shared" si="3"/>
        <v>1.1999999999999999E-3</v>
      </c>
      <c r="M60">
        <f t="shared" si="4"/>
        <v>124056.79012345678</v>
      </c>
      <c r="N60" s="924">
        <f t="shared" si="8"/>
        <v>0.24811358024691357</v>
      </c>
    </row>
    <row r="61" spans="1:14">
      <c r="A61" t="s">
        <v>1328</v>
      </c>
      <c r="B61">
        <v>400</v>
      </c>
      <c r="C61">
        <v>500</v>
      </c>
      <c r="D61">
        <v>0.5</v>
      </c>
      <c r="E61">
        <v>4500</v>
      </c>
      <c r="F61">
        <f t="shared" si="9"/>
        <v>1620</v>
      </c>
      <c r="G61">
        <v>1000000</v>
      </c>
      <c r="H61">
        <f t="shared" si="1"/>
        <v>617.28395061728395</v>
      </c>
      <c r="I61">
        <v>400</v>
      </c>
      <c r="J61">
        <f t="shared" si="2"/>
        <v>246913.58024691357</v>
      </c>
      <c r="K61">
        <f>[5]Assumptions!$B$9</f>
        <v>600</v>
      </c>
      <c r="L61">
        <f t="shared" si="3"/>
        <v>5.9999999999999995E-4</v>
      </c>
      <c r="M61">
        <f t="shared" si="4"/>
        <v>247513.58024691357</v>
      </c>
      <c r="N61" s="924">
        <f t="shared" si="8"/>
        <v>0.24751358024691356</v>
      </c>
    </row>
    <row r="62" spans="1:14">
      <c r="A62" t="s">
        <v>1328</v>
      </c>
      <c r="B62">
        <v>500</v>
      </c>
      <c r="C62">
        <v>600</v>
      </c>
      <c r="D62">
        <v>0.6</v>
      </c>
      <c r="E62">
        <v>4500</v>
      </c>
      <c r="F62">
        <f t="shared" si="9"/>
        <v>1296</v>
      </c>
      <c r="G62">
        <v>25000</v>
      </c>
      <c r="H62">
        <f t="shared" si="1"/>
        <v>19.290123456790123</v>
      </c>
      <c r="I62">
        <v>400</v>
      </c>
      <c r="J62">
        <f t="shared" si="2"/>
        <v>7716.049382716049</v>
      </c>
      <c r="K62">
        <f>[5]Assumptions!$B$9</f>
        <v>600</v>
      </c>
      <c r="L62">
        <f t="shared" si="3"/>
        <v>2.4E-2</v>
      </c>
      <c r="M62">
        <f t="shared" si="4"/>
        <v>8316.0493827160499</v>
      </c>
      <c r="N62" s="924">
        <f t="shared" si="8"/>
        <v>0.33264197530864198</v>
      </c>
    </row>
    <row r="63" spans="1:14">
      <c r="A63" t="s">
        <v>1328</v>
      </c>
      <c r="B63">
        <v>500</v>
      </c>
      <c r="C63">
        <v>600</v>
      </c>
      <c r="D63">
        <v>0.6</v>
      </c>
      <c r="E63">
        <v>4500</v>
      </c>
      <c r="F63">
        <f t="shared" si="9"/>
        <v>1296</v>
      </c>
      <c r="G63">
        <v>50000</v>
      </c>
      <c r="H63">
        <f t="shared" si="1"/>
        <v>38.580246913580247</v>
      </c>
      <c r="I63">
        <v>400</v>
      </c>
      <c r="J63">
        <f t="shared" si="2"/>
        <v>15432.098765432098</v>
      </c>
      <c r="K63">
        <f>[5]Assumptions!$B$9</f>
        <v>600</v>
      </c>
      <c r="L63">
        <f t="shared" si="3"/>
        <v>1.2E-2</v>
      </c>
      <c r="M63">
        <f t="shared" si="4"/>
        <v>16032.098765432098</v>
      </c>
      <c r="N63" s="924">
        <f t="shared" si="8"/>
        <v>0.32064197530864197</v>
      </c>
    </row>
    <row r="64" spans="1:14">
      <c r="A64" t="s">
        <v>1328</v>
      </c>
      <c r="B64">
        <v>500</v>
      </c>
      <c r="C64">
        <v>600</v>
      </c>
      <c r="D64">
        <v>0.6</v>
      </c>
      <c r="E64">
        <v>4500</v>
      </c>
      <c r="F64">
        <f t="shared" si="9"/>
        <v>1296</v>
      </c>
      <c r="G64">
        <v>100000</v>
      </c>
      <c r="H64">
        <f t="shared" si="1"/>
        <v>77.160493827160494</v>
      </c>
      <c r="I64">
        <v>400</v>
      </c>
      <c r="J64">
        <f t="shared" si="2"/>
        <v>30864.197530864196</v>
      </c>
      <c r="K64">
        <f>[5]Assumptions!$B$9</f>
        <v>600</v>
      </c>
      <c r="L64">
        <f t="shared" si="3"/>
        <v>6.0000000000000001E-3</v>
      </c>
      <c r="M64">
        <f t="shared" si="4"/>
        <v>31464.197530864196</v>
      </c>
      <c r="N64" s="924">
        <f t="shared" si="8"/>
        <v>0.31464197530864196</v>
      </c>
    </row>
    <row r="65" spans="1:14">
      <c r="A65" t="s">
        <v>1328</v>
      </c>
      <c r="B65">
        <v>500</v>
      </c>
      <c r="C65">
        <v>600</v>
      </c>
      <c r="D65">
        <v>0.6</v>
      </c>
      <c r="E65">
        <v>4500</v>
      </c>
      <c r="F65">
        <f t="shared" si="9"/>
        <v>1296</v>
      </c>
      <c r="G65">
        <v>250000</v>
      </c>
      <c r="H65">
        <f t="shared" si="1"/>
        <v>192.90123456790124</v>
      </c>
      <c r="I65">
        <v>400</v>
      </c>
      <c r="J65">
        <f t="shared" si="2"/>
        <v>77160.493827160491</v>
      </c>
      <c r="K65">
        <f>[5]Assumptions!$B$9</f>
        <v>600</v>
      </c>
      <c r="L65">
        <f t="shared" si="3"/>
        <v>2.3999999999999998E-3</v>
      </c>
      <c r="M65">
        <f t="shared" si="4"/>
        <v>77760.493827160491</v>
      </c>
      <c r="N65" s="924">
        <f t="shared" si="8"/>
        <v>0.31104197530864197</v>
      </c>
    </row>
    <row r="66" spans="1:14">
      <c r="A66" t="s">
        <v>1328</v>
      </c>
      <c r="B66">
        <v>500</v>
      </c>
      <c r="C66">
        <v>600</v>
      </c>
      <c r="D66">
        <v>0.6</v>
      </c>
      <c r="E66">
        <v>4500</v>
      </c>
      <c r="F66">
        <f t="shared" si="9"/>
        <v>1296</v>
      </c>
      <c r="G66">
        <v>500000</v>
      </c>
      <c r="H66">
        <f t="shared" si="1"/>
        <v>385.80246913580248</v>
      </c>
      <c r="I66">
        <v>400</v>
      </c>
      <c r="J66">
        <f t="shared" si="2"/>
        <v>154320.98765432098</v>
      </c>
      <c r="K66">
        <f>[5]Assumptions!$B$9</f>
        <v>600</v>
      </c>
      <c r="L66">
        <f t="shared" si="3"/>
        <v>1.1999999999999999E-3</v>
      </c>
      <c r="M66">
        <f t="shared" si="4"/>
        <v>154920.98765432098</v>
      </c>
      <c r="N66" s="924">
        <f t="shared" ref="N66:N97" si="10">(M66/G66)*QuantumConvertingPriceFactor</f>
        <v>0.30984197530864199</v>
      </c>
    </row>
    <row r="67" spans="1:14">
      <c r="A67" t="s">
        <v>1328</v>
      </c>
      <c r="B67">
        <v>500</v>
      </c>
      <c r="C67">
        <v>600</v>
      </c>
      <c r="D67">
        <v>0.6</v>
      </c>
      <c r="E67">
        <v>4500</v>
      </c>
      <c r="F67">
        <f t="shared" si="9"/>
        <v>1296</v>
      </c>
      <c r="G67">
        <v>1000000</v>
      </c>
      <c r="H67">
        <f t="shared" ref="H67:H109" si="11">G67/F67</f>
        <v>771.60493827160496</v>
      </c>
      <c r="I67">
        <v>400</v>
      </c>
      <c r="J67">
        <f t="shared" ref="J67:J109" si="12">I67*H67</f>
        <v>308641.97530864197</v>
      </c>
      <c r="K67">
        <f>[5]Assumptions!$B$9</f>
        <v>600</v>
      </c>
      <c r="L67">
        <f t="shared" ref="L67:L109" si="13">K67/G67</f>
        <v>5.9999999999999995E-4</v>
      </c>
      <c r="M67">
        <f t="shared" ref="M67:M109" si="14">K67+J67</f>
        <v>309241.97530864197</v>
      </c>
      <c r="N67" s="924">
        <f t="shared" si="10"/>
        <v>0.30924197530864195</v>
      </c>
    </row>
    <row r="68" spans="1:14">
      <c r="A68" t="s">
        <v>1328</v>
      </c>
      <c r="B68">
        <v>600</v>
      </c>
      <c r="C68">
        <v>700</v>
      </c>
      <c r="D68">
        <v>0.7</v>
      </c>
      <c r="E68">
        <v>4500</v>
      </c>
      <c r="F68">
        <f t="shared" si="9"/>
        <v>1080</v>
      </c>
      <c r="G68">
        <v>25000</v>
      </c>
      <c r="H68">
        <f t="shared" si="11"/>
        <v>23.148148148148149</v>
      </c>
      <c r="I68">
        <v>400</v>
      </c>
      <c r="J68">
        <f t="shared" si="12"/>
        <v>9259.2592592592591</v>
      </c>
      <c r="K68">
        <f>[5]Assumptions!$B$9</f>
        <v>600</v>
      </c>
      <c r="L68">
        <f t="shared" si="13"/>
        <v>2.4E-2</v>
      </c>
      <c r="M68">
        <f t="shared" si="14"/>
        <v>9859.2592592592591</v>
      </c>
      <c r="N68" s="924">
        <f t="shared" si="10"/>
        <v>0.39437037037037037</v>
      </c>
    </row>
    <row r="69" spans="1:14">
      <c r="A69" t="s">
        <v>1328</v>
      </c>
      <c r="B69">
        <v>600</v>
      </c>
      <c r="C69">
        <v>700</v>
      </c>
      <c r="D69">
        <v>0.7</v>
      </c>
      <c r="E69">
        <v>4500</v>
      </c>
      <c r="F69">
        <f t="shared" si="9"/>
        <v>1080</v>
      </c>
      <c r="G69">
        <v>50000</v>
      </c>
      <c r="H69">
        <f t="shared" si="11"/>
        <v>46.296296296296298</v>
      </c>
      <c r="I69">
        <v>400</v>
      </c>
      <c r="J69">
        <f t="shared" si="12"/>
        <v>18518.518518518518</v>
      </c>
      <c r="K69">
        <f>[5]Assumptions!$B$9</f>
        <v>600</v>
      </c>
      <c r="L69">
        <f t="shared" si="13"/>
        <v>1.2E-2</v>
      </c>
      <c r="M69">
        <f t="shared" si="14"/>
        <v>19118.518518518518</v>
      </c>
      <c r="N69" s="924">
        <f t="shared" si="10"/>
        <v>0.38237037037037036</v>
      </c>
    </row>
    <row r="70" spans="1:14">
      <c r="A70" t="s">
        <v>1328</v>
      </c>
      <c r="B70">
        <v>600</v>
      </c>
      <c r="C70">
        <v>700</v>
      </c>
      <c r="D70">
        <v>0.7</v>
      </c>
      <c r="E70">
        <v>4500</v>
      </c>
      <c r="F70">
        <f t="shared" si="9"/>
        <v>1080</v>
      </c>
      <c r="G70">
        <v>100000</v>
      </c>
      <c r="H70">
        <f t="shared" si="11"/>
        <v>92.592592592592595</v>
      </c>
      <c r="I70">
        <v>400</v>
      </c>
      <c r="J70">
        <f t="shared" si="12"/>
        <v>37037.037037037036</v>
      </c>
      <c r="K70">
        <f>[5]Assumptions!$B$9</f>
        <v>600</v>
      </c>
      <c r="L70">
        <f t="shared" si="13"/>
        <v>6.0000000000000001E-3</v>
      </c>
      <c r="M70">
        <f t="shared" si="14"/>
        <v>37637.037037037036</v>
      </c>
      <c r="N70" s="924">
        <f t="shared" si="10"/>
        <v>0.37637037037037036</v>
      </c>
    </row>
    <row r="71" spans="1:14">
      <c r="A71" t="s">
        <v>1328</v>
      </c>
      <c r="B71">
        <v>600</v>
      </c>
      <c r="C71">
        <v>700</v>
      </c>
      <c r="D71">
        <v>0.7</v>
      </c>
      <c r="E71">
        <v>4500</v>
      </c>
      <c r="F71">
        <f t="shared" si="9"/>
        <v>1080</v>
      </c>
      <c r="G71">
        <v>250000</v>
      </c>
      <c r="H71">
        <f t="shared" si="11"/>
        <v>231.4814814814815</v>
      </c>
      <c r="I71">
        <v>400</v>
      </c>
      <c r="J71">
        <f t="shared" si="12"/>
        <v>92592.592592592599</v>
      </c>
      <c r="K71">
        <f>[5]Assumptions!$B$9</f>
        <v>600</v>
      </c>
      <c r="L71">
        <f t="shared" si="13"/>
        <v>2.3999999999999998E-3</v>
      </c>
      <c r="M71">
        <f t="shared" si="14"/>
        <v>93192.592592592599</v>
      </c>
      <c r="N71" s="924">
        <f t="shared" si="10"/>
        <v>0.37277037037037042</v>
      </c>
    </row>
    <row r="72" spans="1:14">
      <c r="A72" t="s">
        <v>1328</v>
      </c>
      <c r="B72">
        <v>600</v>
      </c>
      <c r="C72">
        <v>700</v>
      </c>
      <c r="D72">
        <v>0.7</v>
      </c>
      <c r="E72">
        <v>4500</v>
      </c>
      <c r="F72">
        <f t="shared" si="9"/>
        <v>1080</v>
      </c>
      <c r="G72">
        <v>500000</v>
      </c>
      <c r="H72">
        <f t="shared" si="11"/>
        <v>462.96296296296299</v>
      </c>
      <c r="I72">
        <v>400</v>
      </c>
      <c r="J72">
        <f t="shared" si="12"/>
        <v>185185.1851851852</v>
      </c>
      <c r="K72">
        <f>[5]Assumptions!$B$9</f>
        <v>600</v>
      </c>
      <c r="L72">
        <f t="shared" si="13"/>
        <v>1.1999999999999999E-3</v>
      </c>
      <c r="M72">
        <f t="shared" si="14"/>
        <v>185785.1851851852</v>
      </c>
      <c r="N72" s="924">
        <f t="shared" si="10"/>
        <v>0.37157037037037038</v>
      </c>
    </row>
    <row r="73" spans="1:14">
      <c r="A73" t="s">
        <v>1328</v>
      </c>
      <c r="B73">
        <v>600</v>
      </c>
      <c r="C73">
        <v>700</v>
      </c>
      <c r="D73">
        <v>0.7</v>
      </c>
      <c r="E73">
        <v>4500</v>
      </c>
      <c r="F73">
        <f t="shared" si="9"/>
        <v>1080</v>
      </c>
      <c r="G73">
        <v>1000000</v>
      </c>
      <c r="H73">
        <f t="shared" si="11"/>
        <v>925.92592592592598</v>
      </c>
      <c r="I73">
        <v>400</v>
      </c>
      <c r="J73">
        <f t="shared" si="12"/>
        <v>370370.37037037039</v>
      </c>
      <c r="K73">
        <f>[5]Assumptions!$B$9</f>
        <v>600</v>
      </c>
      <c r="L73">
        <f t="shared" si="13"/>
        <v>5.9999999999999995E-4</v>
      </c>
      <c r="M73">
        <f t="shared" si="14"/>
        <v>370970.37037037039</v>
      </c>
      <c r="N73" s="924">
        <f t="shared" si="10"/>
        <v>0.37097037037037039</v>
      </c>
    </row>
    <row r="74" spans="1:14">
      <c r="A74" t="s">
        <v>261</v>
      </c>
      <c r="B74">
        <v>100</v>
      </c>
      <c r="C74">
        <v>200</v>
      </c>
      <c r="D74">
        <v>0.2</v>
      </c>
      <c r="E74">
        <v>3000</v>
      </c>
      <c r="F74">
        <f>F2*0.9</f>
        <v>7290</v>
      </c>
      <c r="G74">
        <v>25000</v>
      </c>
      <c r="H74">
        <f t="shared" si="11"/>
        <v>3.4293552812071328</v>
      </c>
      <c r="I74">
        <f>[5]Assumptions!$B$3</f>
        <v>400</v>
      </c>
      <c r="J74">
        <f t="shared" si="12"/>
        <v>1371.7421124828531</v>
      </c>
      <c r="K74">
        <f>[5]Assumptions!$B$9</f>
        <v>600</v>
      </c>
      <c r="L74">
        <f t="shared" si="13"/>
        <v>2.4E-2</v>
      </c>
      <c r="M74">
        <f t="shared" si="14"/>
        <v>1971.7421124828531</v>
      </c>
      <c r="N74" s="924">
        <f t="shared" si="10"/>
        <v>7.8869684499314127E-2</v>
      </c>
    </row>
    <row r="75" spans="1:14">
      <c r="A75" t="s">
        <v>261</v>
      </c>
      <c r="B75">
        <v>100</v>
      </c>
      <c r="C75">
        <v>200</v>
      </c>
      <c r="D75">
        <v>0.2</v>
      </c>
      <c r="E75">
        <v>3000</v>
      </c>
      <c r="F75">
        <f t="shared" ref="F75:F109" si="15">F3*0.9</f>
        <v>7290</v>
      </c>
      <c r="G75">
        <v>50000</v>
      </c>
      <c r="H75">
        <f t="shared" si="11"/>
        <v>6.8587105624142657</v>
      </c>
      <c r="I75">
        <f>[5]Assumptions!$B$3</f>
        <v>400</v>
      </c>
      <c r="J75">
        <f t="shared" si="12"/>
        <v>2743.4842249657063</v>
      </c>
      <c r="K75">
        <f>[5]Assumptions!$B$9</f>
        <v>600</v>
      </c>
      <c r="L75">
        <f t="shared" si="13"/>
        <v>1.2E-2</v>
      </c>
      <c r="M75">
        <f t="shared" si="14"/>
        <v>3343.4842249657063</v>
      </c>
      <c r="N75" s="924">
        <f t="shared" si="10"/>
        <v>6.686968449931413E-2</v>
      </c>
    </row>
    <row r="76" spans="1:14">
      <c r="A76" t="s">
        <v>261</v>
      </c>
      <c r="B76">
        <v>100</v>
      </c>
      <c r="C76">
        <v>200</v>
      </c>
      <c r="D76">
        <v>0.2</v>
      </c>
      <c r="E76">
        <v>3000</v>
      </c>
      <c r="F76">
        <f t="shared" si="15"/>
        <v>7290</v>
      </c>
      <c r="G76">
        <v>100000</v>
      </c>
      <c r="H76">
        <f t="shared" si="11"/>
        <v>13.717421124828531</v>
      </c>
      <c r="I76">
        <f>[5]Assumptions!$B$3</f>
        <v>400</v>
      </c>
      <c r="J76">
        <f t="shared" si="12"/>
        <v>5486.9684499314126</v>
      </c>
      <c r="K76">
        <f>[5]Assumptions!$B$9</f>
        <v>600</v>
      </c>
      <c r="L76">
        <f t="shared" si="13"/>
        <v>6.0000000000000001E-3</v>
      </c>
      <c r="M76">
        <f t="shared" si="14"/>
        <v>6086.9684499314126</v>
      </c>
      <c r="N76" s="924">
        <f t="shared" si="10"/>
        <v>6.0869684499314125E-2</v>
      </c>
    </row>
    <row r="77" spans="1:14">
      <c r="A77" t="s">
        <v>261</v>
      </c>
      <c r="B77">
        <v>100</v>
      </c>
      <c r="C77">
        <v>200</v>
      </c>
      <c r="D77">
        <v>0.2</v>
      </c>
      <c r="E77">
        <v>3000</v>
      </c>
      <c r="F77">
        <f t="shared" si="15"/>
        <v>7290</v>
      </c>
      <c r="G77">
        <v>250000</v>
      </c>
      <c r="H77">
        <f t="shared" si="11"/>
        <v>34.293552812071333</v>
      </c>
      <c r="I77">
        <f>[5]Assumptions!$B$3</f>
        <v>400</v>
      </c>
      <c r="J77">
        <f t="shared" si="12"/>
        <v>13717.421124828534</v>
      </c>
      <c r="K77">
        <f>[5]Assumptions!$B$9</f>
        <v>600</v>
      </c>
      <c r="L77">
        <f t="shared" si="13"/>
        <v>2.3999999999999998E-3</v>
      </c>
      <c r="M77">
        <f t="shared" si="14"/>
        <v>14317.421124828534</v>
      </c>
      <c r="N77" s="924">
        <f t="shared" si="10"/>
        <v>5.7269684499314133E-2</v>
      </c>
    </row>
    <row r="78" spans="1:14">
      <c r="A78" t="s">
        <v>261</v>
      </c>
      <c r="B78">
        <v>100</v>
      </c>
      <c r="C78">
        <v>200</v>
      </c>
      <c r="D78">
        <v>0.2</v>
      </c>
      <c r="E78">
        <v>3000</v>
      </c>
      <c r="F78">
        <f t="shared" si="15"/>
        <v>7290</v>
      </c>
      <c r="G78">
        <v>500000</v>
      </c>
      <c r="H78">
        <f t="shared" si="11"/>
        <v>68.587105624142666</v>
      </c>
      <c r="I78">
        <f>[5]Assumptions!$B$3</f>
        <v>400</v>
      </c>
      <c r="J78">
        <f t="shared" si="12"/>
        <v>27434.842249657067</v>
      </c>
      <c r="K78">
        <f>[5]Assumptions!$B$9</f>
        <v>600</v>
      </c>
      <c r="L78">
        <f t="shared" si="13"/>
        <v>1.1999999999999999E-3</v>
      </c>
      <c r="M78">
        <f t="shared" si="14"/>
        <v>28034.842249657067</v>
      </c>
      <c r="N78" s="924">
        <f t="shared" si="10"/>
        <v>5.6069684499314133E-2</v>
      </c>
    </row>
    <row r="79" spans="1:14">
      <c r="A79" t="s">
        <v>261</v>
      </c>
      <c r="B79">
        <v>100</v>
      </c>
      <c r="C79">
        <v>200</v>
      </c>
      <c r="D79">
        <v>0.2</v>
      </c>
      <c r="E79">
        <v>3000</v>
      </c>
      <c r="F79">
        <f t="shared" si="15"/>
        <v>7290</v>
      </c>
      <c r="G79">
        <v>1000000</v>
      </c>
      <c r="H79">
        <f t="shared" si="11"/>
        <v>137.17421124828533</v>
      </c>
      <c r="I79">
        <f>[5]Assumptions!$B$3</f>
        <v>400</v>
      </c>
      <c r="J79">
        <f t="shared" si="12"/>
        <v>54869.684499314135</v>
      </c>
      <c r="K79">
        <f>[5]Assumptions!$B$9</f>
        <v>600</v>
      </c>
      <c r="L79">
        <f t="shared" si="13"/>
        <v>5.9999999999999995E-4</v>
      </c>
      <c r="M79">
        <f t="shared" si="14"/>
        <v>55469.684499314135</v>
      </c>
      <c r="N79" s="924">
        <f t="shared" si="10"/>
        <v>5.5469684499314137E-2</v>
      </c>
    </row>
    <row r="80" spans="1:14">
      <c r="A80" t="s">
        <v>261</v>
      </c>
      <c r="B80">
        <v>200</v>
      </c>
      <c r="C80">
        <v>300</v>
      </c>
      <c r="D80">
        <v>0.3</v>
      </c>
      <c r="E80">
        <v>3000</v>
      </c>
      <c r="F80">
        <f t="shared" si="15"/>
        <v>3645</v>
      </c>
      <c r="G80">
        <v>25000</v>
      </c>
      <c r="H80">
        <f t="shared" si="11"/>
        <v>6.8587105624142657</v>
      </c>
      <c r="I80">
        <f>[5]Assumptions!$B$3</f>
        <v>400</v>
      </c>
      <c r="J80">
        <f t="shared" si="12"/>
        <v>2743.4842249657063</v>
      </c>
      <c r="K80">
        <f>[5]Assumptions!$B$9</f>
        <v>600</v>
      </c>
      <c r="L80">
        <f t="shared" si="13"/>
        <v>2.4E-2</v>
      </c>
      <c r="M80">
        <f t="shared" si="14"/>
        <v>3343.4842249657063</v>
      </c>
      <c r="N80" s="924">
        <f t="shared" si="10"/>
        <v>0.13373936899862826</v>
      </c>
    </row>
    <row r="81" spans="1:14">
      <c r="A81" t="s">
        <v>261</v>
      </c>
      <c r="B81">
        <v>200</v>
      </c>
      <c r="C81">
        <v>300</v>
      </c>
      <c r="D81">
        <v>0.3</v>
      </c>
      <c r="E81">
        <v>3000</v>
      </c>
      <c r="F81">
        <f t="shared" si="15"/>
        <v>3645</v>
      </c>
      <c r="G81">
        <v>50000</v>
      </c>
      <c r="H81">
        <f t="shared" si="11"/>
        <v>13.717421124828531</v>
      </c>
      <c r="I81">
        <f>[5]Assumptions!$B$3</f>
        <v>400</v>
      </c>
      <c r="J81">
        <f t="shared" si="12"/>
        <v>5486.9684499314126</v>
      </c>
      <c r="K81">
        <f>[5]Assumptions!$B$9</f>
        <v>600</v>
      </c>
      <c r="L81">
        <f t="shared" si="13"/>
        <v>1.2E-2</v>
      </c>
      <c r="M81">
        <f t="shared" si="14"/>
        <v>6086.9684499314126</v>
      </c>
      <c r="N81" s="924">
        <f t="shared" si="10"/>
        <v>0.12173936899862825</v>
      </c>
    </row>
    <row r="82" spans="1:14">
      <c r="A82" t="s">
        <v>261</v>
      </c>
      <c r="B82">
        <v>200</v>
      </c>
      <c r="C82">
        <v>300</v>
      </c>
      <c r="D82">
        <v>0.3</v>
      </c>
      <c r="E82">
        <v>3000</v>
      </c>
      <c r="F82">
        <f t="shared" si="15"/>
        <v>3645</v>
      </c>
      <c r="G82">
        <v>100000</v>
      </c>
      <c r="H82">
        <f t="shared" si="11"/>
        <v>27.434842249657063</v>
      </c>
      <c r="I82">
        <f>[5]Assumptions!$B$3</f>
        <v>400</v>
      </c>
      <c r="J82">
        <f t="shared" si="12"/>
        <v>10973.936899862825</v>
      </c>
      <c r="K82">
        <f>[5]Assumptions!$B$9</f>
        <v>600</v>
      </c>
      <c r="L82">
        <f t="shared" si="13"/>
        <v>6.0000000000000001E-3</v>
      </c>
      <c r="M82">
        <f t="shared" si="14"/>
        <v>11573.936899862825</v>
      </c>
      <c r="N82" s="924">
        <f t="shared" si="10"/>
        <v>0.11573936899862824</v>
      </c>
    </row>
    <row r="83" spans="1:14">
      <c r="A83" t="s">
        <v>261</v>
      </c>
      <c r="B83">
        <v>200</v>
      </c>
      <c r="C83">
        <v>300</v>
      </c>
      <c r="D83">
        <v>0.3</v>
      </c>
      <c r="E83">
        <v>3000</v>
      </c>
      <c r="F83">
        <f t="shared" si="15"/>
        <v>3645</v>
      </c>
      <c r="G83">
        <v>250000</v>
      </c>
      <c r="H83">
        <f t="shared" si="11"/>
        <v>68.587105624142666</v>
      </c>
      <c r="I83">
        <f>[5]Assumptions!$B$3</f>
        <v>400</v>
      </c>
      <c r="J83">
        <f t="shared" si="12"/>
        <v>27434.842249657067</v>
      </c>
      <c r="K83">
        <f>[5]Assumptions!$B$9</f>
        <v>600</v>
      </c>
      <c r="L83">
        <f t="shared" si="13"/>
        <v>2.3999999999999998E-3</v>
      </c>
      <c r="M83">
        <f t="shared" si="14"/>
        <v>28034.842249657067</v>
      </c>
      <c r="N83" s="924">
        <f t="shared" si="10"/>
        <v>0.11213936899862827</v>
      </c>
    </row>
    <row r="84" spans="1:14">
      <c r="A84" t="s">
        <v>261</v>
      </c>
      <c r="B84">
        <v>200</v>
      </c>
      <c r="C84">
        <v>300</v>
      </c>
      <c r="D84">
        <v>0.3</v>
      </c>
      <c r="E84">
        <v>3000</v>
      </c>
      <c r="F84">
        <f t="shared" si="15"/>
        <v>3645</v>
      </c>
      <c r="G84">
        <v>500000</v>
      </c>
      <c r="H84">
        <f t="shared" si="11"/>
        <v>137.17421124828533</v>
      </c>
      <c r="I84">
        <f>[5]Assumptions!$B$3</f>
        <v>400</v>
      </c>
      <c r="J84">
        <f t="shared" si="12"/>
        <v>54869.684499314135</v>
      </c>
      <c r="K84">
        <f>[5]Assumptions!$B$9</f>
        <v>600</v>
      </c>
      <c r="L84">
        <f t="shared" si="13"/>
        <v>1.1999999999999999E-3</v>
      </c>
      <c r="M84">
        <f t="shared" si="14"/>
        <v>55469.684499314135</v>
      </c>
      <c r="N84" s="924">
        <f t="shared" si="10"/>
        <v>0.11093936899862827</v>
      </c>
    </row>
    <row r="85" spans="1:14">
      <c r="A85" t="s">
        <v>261</v>
      </c>
      <c r="B85">
        <v>200</v>
      </c>
      <c r="C85">
        <v>300</v>
      </c>
      <c r="D85">
        <v>0.3</v>
      </c>
      <c r="E85">
        <v>3000</v>
      </c>
      <c r="F85">
        <f t="shared" si="15"/>
        <v>3645</v>
      </c>
      <c r="G85">
        <v>1000000</v>
      </c>
      <c r="H85">
        <f t="shared" si="11"/>
        <v>274.34842249657066</v>
      </c>
      <c r="I85">
        <f>[5]Assumptions!$B$3</f>
        <v>400</v>
      </c>
      <c r="J85">
        <f t="shared" si="12"/>
        <v>109739.36899862827</v>
      </c>
      <c r="K85">
        <f>[5]Assumptions!$B$9</f>
        <v>600</v>
      </c>
      <c r="L85">
        <f t="shared" si="13"/>
        <v>5.9999999999999995E-4</v>
      </c>
      <c r="M85">
        <f t="shared" si="14"/>
        <v>110339.36899862827</v>
      </c>
      <c r="N85" s="924">
        <f t="shared" si="10"/>
        <v>0.11033936899862827</v>
      </c>
    </row>
    <row r="86" spans="1:14">
      <c r="A86" t="s">
        <v>261</v>
      </c>
      <c r="B86">
        <v>300</v>
      </c>
      <c r="C86">
        <v>400</v>
      </c>
      <c r="D86">
        <v>0.4</v>
      </c>
      <c r="E86">
        <v>3000</v>
      </c>
      <c r="F86">
        <f t="shared" si="15"/>
        <v>2430</v>
      </c>
      <c r="G86">
        <v>25000</v>
      </c>
      <c r="H86">
        <f t="shared" si="11"/>
        <v>10.2880658436214</v>
      </c>
      <c r="I86">
        <f>[5]Assumptions!$B$3</f>
        <v>400</v>
      </c>
      <c r="J86">
        <f t="shared" si="12"/>
        <v>4115.2263374485601</v>
      </c>
      <c r="K86">
        <f>[5]Assumptions!$B$9</f>
        <v>600</v>
      </c>
      <c r="L86">
        <f t="shared" si="13"/>
        <v>2.4E-2</v>
      </c>
      <c r="M86">
        <f t="shared" si="14"/>
        <v>4715.2263374485601</v>
      </c>
      <c r="N86" s="924">
        <f t="shared" si="10"/>
        <v>0.18860905349794241</v>
      </c>
    </row>
    <row r="87" spans="1:14">
      <c r="A87" t="s">
        <v>261</v>
      </c>
      <c r="B87">
        <v>300</v>
      </c>
      <c r="C87">
        <v>400</v>
      </c>
      <c r="D87">
        <v>0.4</v>
      </c>
      <c r="E87">
        <v>3000</v>
      </c>
      <c r="F87">
        <f t="shared" si="15"/>
        <v>2430</v>
      </c>
      <c r="G87">
        <v>50000</v>
      </c>
      <c r="H87">
        <f t="shared" si="11"/>
        <v>20.5761316872428</v>
      </c>
      <c r="I87">
        <f>[5]Assumptions!$B$3</f>
        <v>400</v>
      </c>
      <c r="J87">
        <f t="shared" si="12"/>
        <v>8230.4526748971202</v>
      </c>
      <c r="K87">
        <f>[5]Assumptions!$B$9</f>
        <v>600</v>
      </c>
      <c r="L87">
        <f t="shared" si="13"/>
        <v>1.2E-2</v>
      </c>
      <c r="M87">
        <f t="shared" si="14"/>
        <v>8830.4526748971202</v>
      </c>
      <c r="N87" s="924">
        <f t="shared" si="10"/>
        <v>0.1766090534979424</v>
      </c>
    </row>
    <row r="88" spans="1:14">
      <c r="A88" t="s">
        <v>261</v>
      </c>
      <c r="B88">
        <v>300</v>
      </c>
      <c r="C88">
        <v>400</v>
      </c>
      <c r="D88">
        <v>0.4</v>
      </c>
      <c r="E88">
        <v>3000</v>
      </c>
      <c r="F88">
        <f t="shared" si="15"/>
        <v>2430</v>
      </c>
      <c r="G88">
        <v>100000</v>
      </c>
      <c r="H88">
        <f t="shared" si="11"/>
        <v>41.152263374485599</v>
      </c>
      <c r="I88">
        <f>[5]Assumptions!$B$3</f>
        <v>400</v>
      </c>
      <c r="J88">
        <f t="shared" si="12"/>
        <v>16460.90534979424</v>
      </c>
      <c r="K88">
        <f>[5]Assumptions!$B$9</f>
        <v>600</v>
      </c>
      <c r="L88">
        <f t="shared" si="13"/>
        <v>6.0000000000000001E-3</v>
      </c>
      <c r="M88">
        <f t="shared" si="14"/>
        <v>17060.90534979424</v>
      </c>
      <c r="N88" s="924">
        <f t="shared" si="10"/>
        <v>0.17060905349794239</v>
      </c>
    </row>
    <row r="89" spans="1:14">
      <c r="A89" t="s">
        <v>261</v>
      </c>
      <c r="B89">
        <v>300</v>
      </c>
      <c r="C89">
        <v>400</v>
      </c>
      <c r="D89">
        <v>0.4</v>
      </c>
      <c r="E89">
        <v>3000</v>
      </c>
      <c r="F89">
        <f t="shared" si="15"/>
        <v>2430</v>
      </c>
      <c r="G89">
        <v>250000</v>
      </c>
      <c r="H89">
        <f t="shared" si="11"/>
        <v>102.88065843621399</v>
      </c>
      <c r="I89">
        <f>[5]Assumptions!$B$3</f>
        <v>400</v>
      </c>
      <c r="J89">
        <f t="shared" si="12"/>
        <v>41152.263374485599</v>
      </c>
      <c r="K89">
        <f>[5]Assumptions!$B$9</f>
        <v>600</v>
      </c>
      <c r="L89">
        <f t="shared" si="13"/>
        <v>2.3999999999999998E-3</v>
      </c>
      <c r="M89">
        <f t="shared" si="14"/>
        <v>41752.263374485599</v>
      </c>
      <c r="N89" s="924">
        <f t="shared" si="10"/>
        <v>0.1670090534979424</v>
      </c>
    </row>
    <row r="90" spans="1:14">
      <c r="A90" t="s">
        <v>261</v>
      </c>
      <c r="B90">
        <v>300</v>
      </c>
      <c r="C90">
        <v>400</v>
      </c>
      <c r="D90">
        <v>0.4</v>
      </c>
      <c r="E90">
        <v>3000</v>
      </c>
      <c r="F90">
        <f t="shared" si="15"/>
        <v>2430</v>
      </c>
      <c r="G90">
        <v>500000</v>
      </c>
      <c r="H90">
        <f t="shared" si="11"/>
        <v>205.76131687242798</v>
      </c>
      <c r="I90">
        <f>[5]Assumptions!$B$3</f>
        <v>400</v>
      </c>
      <c r="J90">
        <f t="shared" si="12"/>
        <v>82304.526748971199</v>
      </c>
      <c r="K90">
        <f>[5]Assumptions!$B$9</f>
        <v>600</v>
      </c>
      <c r="L90">
        <f t="shared" si="13"/>
        <v>1.1999999999999999E-3</v>
      </c>
      <c r="M90">
        <f t="shared" si="14"/>
        <v>82904.526748971199</v>
      </c>
      <c r="N90" s="924">
        <f t="shared" si="10"/>
        <v>0.16580905349794239</v>
      </c>
    </row>
    <row r="91" spans="1:14">
      <c r="A91" t="s">
        <v>261</v>
      </c>
      <c r="B91">
        <v>300</v>
      </c>
      <c r="C91">
        <v>400</v>
      </c>
      <c r="D91">
        <v>0.4</v>
      </c>
      <c r="E91">
        <v>3000</v>
      </c>
      <c r="F91">
        <f t="shared" si="15"/>
        <v>2430</v>
      </c>
      <c r="G91">
        <v>1000000</v>
      </c>
      <c r="H91">
        <f t="shared" si="11"/>
        <v>411.52263374485597</v>
      </c>
      <c r="I91">
        <f>[5]Assumptions!$B$3</f>
        <v>400</v>
      </c>
      <c r="J91">
        <f t="shared" si="12"/>
        <v>164609.0534979424</v>
      </c>
      <c r="K91">
        <f>[5]Assumptions!$B$9</f>
        <v>600</v>
      </c>
      <c r="L91">
        <f t="shared" si="13"/>
        <v>5.9999999999999995E-4</v>
      </c>
      <c r="M91">
        <f t="shared" si="14"/>
        <v>165209.0534979424</v>
      </c>
      <c r="N91" s="924">
        <f t="shared" si="10"/>
        <v>0.1652090534979424</v>
      </c>
    </row>
    <row r="92" spans="1:14">
      <c r="A92" t="s">
        <v>261</v>
      </c>
      <c r="B92">
        <v>400</v>
      </c>
      <c r="C92">
        <v>500</v>
      </c>
      <c r="D92">
        <v>0.5</v>
      </c>
      <c r="E92">
        <v>3000</v>
      </c>
      <c r="F92">
        <f t="shared" si="15"/>
        <v>1822.5</v>
      </c>
      <c r="G92">
        <v>25000</v>
      </c>
      <c r="H92">
        <f t="shared" si="11"/>
        <v>13.717421124828531</v>
      </c>
      <c r="I92">
        <f>[5]Assumptions!$B$3</f>
        <v>400</v>
      </c>
      <c r="J92">
        <f t="shared" si="12"/>
        <v>5486.9684499314126</v>
      </c>
      <c r="K92">
        <f>[5]Assumptions!$B$9</f>
        <v>600</v>
      </c>
      <c r="L92">
        <f t="shared" si="13"/>
        <v>2.4E-2</v>
      </c>
      <c r="M92">
        <f t="shared" si="14"/>
        <v>6086.9684499314126</v>
      </c>
      <c r="N92" s="924">
        <f t="shared" si="10"/>
        <v>0.2434787379972565</v>
      </c>
    </row>
    <row r="93" spans="1:14">
      <c r="A93" t="s">
        <v>261</v>
      </c>
      <c r="B93">
        <v>400</v>
      </c>
      <c r="C93">
        <v>500</v>
      </c>
      <c r="D93">
        <v>0.5</v>
      </c>
      <c r="E93">
        <v>3000</v>
      </c>
      <c r="F93">
        <f t="shared" si="15"/>
        <v>1822.5</v>
      </c>
      <c r="G93">
        <v>50000</v>
      </c>
      <c r="H93">
        <f t="shared" si="11"/>
        <v>27.434842249657063</v>
      </c>
      <c r="I93">
        <f>[5]Assumptions!$B$3</f>
        <v>400</v>
      </c>
      <c r="J93">
        <f t="shared" si="12"/>
        <v>10973.936899862825</v>
      </c>
      <c r="K93">
        <f>[5]Assumptions!$B$9</f>
        <v>600</v>
      </c>
      <c r="L93">
        <f t="shared" si="13"/>
        <v>1.2E-2</v>
      </c>
      <c r="M93">
        <f t="shared" si="14"/>
        <v>11573.936899862825</v>
      </c>
      <c r="N93" s="924">
        <f t="shared" si="10"/>
        <v>0.23147873799725649</v>
      </c>
    </row>
    <row r="94" spans="1:14">
      <c r="A94" t="s">
        <v>261</v>
      </c>
      <c r="B94">
        <v>400</v>
      </c>
      <c r="C94">
        <v>500</v>
      </c>
      <c r="D94">
        <v>0.5</v>
      </c>
      <c r="E94">
        <v>3000</v>
      </c>
      <c r="F94">
        <f t="shared" si="15"/>
        <v>1822.5</v>
      </c>
      <c r="G94">
        <v>100000</v>
      </c>
      <c r="H94">
        <f t="shared" si="11"/>
        <v>54.869684499314126</v>
      </c>
      <c r="I94">
        <f>[5]Assumptions!$B$3</f>
        <v>400</v>
      </c>
      <c r="J94">
        <f t="shared" si="12"/>
        <v>21947.87379972565</v>
      </c>
      <c r="K94">
        <f>[5]Assumptions!$B$9</f>
        <v>600</v>
      </c>
      <c r="L94">
        <f t="shared" si="13"/>
        <v>6.0000000000000001E-3</v>
      </c>
      <c r="M94">
        <f t="shared" si="14"/>
        <v>22547.87379972565</v>
      </c>
      <c r="N94" s="924">
        <f t="shared" si="10"/>
        <v>0.22547873799725651</v>
      </c>
    </row>
    <row r="95" spans="1:14">
      <c r="A95" t="s">
        <v>261</v>
      </c>
      <c r="B95">
        <v>400</v>
      </c>
      <c r="C95">
        <v>500</v>
      </c>
      <c r="D95">
        <v>0.5</v>
      </c>
      <c r="E95">
        <v>3000</v>
      </c>
      <c r="F95">
        <f t="shared" si="15"/>
        <v>1822.5</v>
      </c>
      <c r="G95">
        <v>250000</v>
      </c>
      <c r="H95">
        <f t="shared" si="11"/>
        <v>137.17421124828533</v>
      </c>
      <c r="I95">
        <f>[5]Assumptions!$B$3</f>
        <v>400</v>
      </c>
      <c r="J95">
        <f t="shared" si="12"/>
        <v>54869.684499314135</v>
      </c>
      <c r="K95">
        <f>[5]Assumptions!$B$9</f>
        <v>600</v>
      </c>
      <c r="L95">
        <f t="shared" si="13"/>
        <v>2.3999999999999998E-3</v>
      </c>
      <c r="M95">
        <f t="shared" si="14"/>
        <v>55469.684499314135</v>
      </c>
      <c r="N95" s="924">
        <f t="shared" si="10"/>
        <v>0.22187873799725655</v>
      </c>
    </row>
    <row r="96" spans="1:14">
      <c r="A96" t="s">
        <v>261</v>
      </c>
      <c r="B96">
        <v>400</v>
      </c>
      <c r="C96">
        <v>500</v>
      </c>
      <c r="D96">
        <v>0.5</v>
      </c>
      <c r="E96">
        <v>3000</v>
      </c>
      <c r="F96">
        <f t="shared" si="15"/>
        <v>1822.5</v>
      </c>
      <c r="G96">
        <v>500000</v>
      </c>
      <c r="H96">
        <f t="shared" si="11"/>
        <v>274.34842249657066</v>
      </c>
      <c r="I96">
        <f>[5]Assumptions!$B$3</f>
        <v>400</v>
      </c>
      <c r="J96">
        <f t="shared" si="12"/>
        <v>109739.36899862827</v>
      </c>
      <c r="K96">
        <f>[5]Assumptions!$B$9</f>
        <v>600</v>
      </c>
      <c r="L96">
        <f t="shared" si="13"/>
        <v>1.1999999999999999E-3</v>
      </c>
      <c r="M96">
        <f t="shared" si="14"/>
        <v>110339.36899862827</v>
      </c>
      <c r="N96" s="924">
        <f t="shared" si="10"/>
        <v>0.22067873799725654</v>
      </c>
    </row>
    <row r="97" spans="1:14">
      <c r="A97" t="s">
        <v>261</v>
      </c>
      <c r="B97">
        <v>400</v>
      </c>
      <c r="C97">
        <v>500</v>
      </c>
      <c r="D97">
        <v>0.5</v>
      </c>
      <c r="E97">
        <v>3000</v>
      </c>
      <c r="F97">
        <f t="shared" si="15"/>
        <v>1822.5</v>
      </c>
      <c r="G97">
        <v>1000000</v>
      </c>
      <c r="H97">
        <f t="shared" si="11"/>
        <v>548.69684499314133</v>
      </c>
      <c r="I97">
        <f>[5]Assumptions!$B$3</f>
        <v>400</v>
      </c>
      <c r="J97">
        <f t="shared" si="12"/>
        <v>219478.73799725654</v>
      </c>
      <c r="K97">
        <f>[5]Assumptions!$B$9</f>
        <v>600</v>
      </c>
      <c r="L97">
        <f t="shared" si="13"/>
        <v>5.9999999999999995E-4</v>
      </c>
      <c r="M97">
        <f t="shared" si="14"/>
        <v>220078.73799725654</v>
      </c>
      <c r="N97" s="924">
        <f t="shared" si="10"/>
        <v>0.22007873799725655</v>
      </c>
    </row>
    <row r="98" spans="1:14">
      <c r="A98" t="s">
        <v>261</v>
      </c>
      <c r="B98">
        <v>500</v>
      </c>
      <c r="C98">
        <v>600</v>
      </c>
      <c r="D98">
        <v>0.6</v>
      </c>
      <c r="E98">
        <v>3000</v>
      </c>
      <c r="F98">
        <f t="shared" si="15"/>
        <v>1458</v>
      </c>
      <c r="G98">
        <v>25000</v>
      </c>
      <c r="H98">
        <f t="shared" si="11"/>
        <v>17.146776406035666</v>
      </c>
      <c r="I98">
        <f>[5]Assumptions!$B$3</f>
        <v>400</v>
      </c>
      <c r="J98">
        <f t="shared" si="12"/>
        <v>6858.7105624142669</v>
      </c>
      <c r="K98">
        <f>[5]Assumptions!$B$9</f>
        <v>600</v>
      </c>
      <c r="L98">
        <f t="shared" si="13"/>
        <v>2.4E-2</v>
      </c>
      <c r="M98">
        <f t="shared" si="14"/>
        <v>7458.7105624142669</v>
      </c>
      <c r="N98" s="924">
        <f t="shared" ref="N98:N109" si="16">(M98/G98)*QuantumConvertingPriceFactor</f>
        <v>0.29834842249657068</v>
      </c>
    </row>
    <row r="99" spans="1:14">
      <c r="A99" t="s">
        <v>261</v>
      </c>
      <c r="B99">
        <v>500</v>
      </c>
      <c r="C99">
        <v>600</v>
      </c>
      <c r="D99">
        <v>0.6</v>
      </c>
      <c r="E99">
        <v>3000</v>
      </c>
      <c r="F99">
        <f t="shared" si="15"/>
        <v>1458</v>
      </c>
      <c r="G99">
        <v>50000</v>
      </c>
      <c r="H99">
        <f t="shared" si="11"/>
        <v>34.293552812071333</v>
      </c>
      <c r="I99">
        <f>[5]Assumptions!$B$3</f>
        <v>400</v>
      </c>
      <c r="J99">
        <f t="shared" si="12"/>
        <v>13717.421124828534</v>
      </c>
      <c r="K99">
        <f>[5]Assumptions!$B$9</f>
        <v>600</v>
      </c>
      <c r="L99">
        <f t="shared" si="13"/>
        <v>1.2E-2</v>
      </c>
      <c r="M99">
        <f t="shared" si="14"/>
        <v>14317.421124828534</v>
      </c>
      <c r="N99" s="924">
        <f t="shared" si="16"/>
        <v>0.28634842249657066</v>
      </c>
    </row>
    <row r="100" spans="1:14">
      <c r="A100" t="s">
        <v>261</v>
      </c>
      <c r="B100">
        <v>500</v>
      </c>
      <c r="C100">
        <v>600</v>
      </c>
      <c r="D100">
        <v>0.6</v>
      </c>
      <c r="E100">
        <v>3000</v>
      </c>
      <c r="F100">
        <f t="shared" si="15"/>
        <v>1458</v>
      </c>
      <c r="G100">
        <v>100000</v>
      </c>
      <c r="H100">
        <f t="shared" si="11"/>
        <v>68.587105624142666</v>
      </c>
      <c r="I100">
        <f>[5]Assumptions!$B$3</f>
        <v>400</v>
      </c>
      <c r="J100">
        <f t="shared" si="12"/>
        <v>27434.842249657067</v>
      </c>
      <c r="K100">
        <f>[5]Assumptions!$B$9</f>
        <v>600</v>
      </c>
      <c r="L100">
        <f t="shared" si="13"/>
        <v>6.0000000000000001E-3</v>
      </c>
      <c r="M100">
        <f t="shared" si="14"/>
        <v>28034.842249657067</v>
      </c>
      <c r="N100" s="924">
        <f t="shared" si="16"/>
        <v>0.28034842249657066</v>
      </c>
    </row>
    <row r="101" spans="1:14">
      <c r="A101" t="s">
        <v>261</v>
      </c>
      <c r="B101">
        <v>500</v>
      </c>
      <c r="C101">
        <v>600</v>
      </c>
      <c r="D101">
        <v>0.6</v>
      </c>
      <c r="E101">
        <v>3000</v>
      </c>
      <c r="F101">
        <f t="shared" si="15"/>
        <v>1458</v>
      </c>
      <c r="G101">
        <v>250000</v>
      </c>
      <c r="H101">
        <f t="shared" si="11"/>
        <v>171.46776406035664</v>
      </c>
      <c r="I101">
        <f>[5]Assumptions!$B$3</f>
        <v>400</v>
      </c>
      <c r="J101">
        <f t="shared" si="12"/>
        <v>68587.105624142656</v>
      </c>
      <c r="K101">
        <f>[5]Assumptions!$B$9</f>
        <v>600</v>
      </c>
      <c r="L101">
        <f t="shared" si="13"/>
        <v>2.3999999999999998E-3</v>
      </c>
      <c r="M101">
        <f t="shared" si="14"/>
        <v>69187.105624142656</v>
      </c>
      <c r="N101" s="924">
        <f t="shared" si="16"/>
        <v>0.27674842249657061</v>
      </c>
    </row>
    <row r="102" spans="1:14">
      <c r="A102" t="s">
        <v>261</v>
      </c>
      <c r="B102">
        <v>500</v>
      </c>
      <c r="C102">
        <v>600</v>
      </c>
      <c r="D102">
        <v>0.6</v>
      </c>
      <c r="E102">
        <v>3000</v>
      </c>
      <c r="F102">
        <f t="shared" si="15"/>
        <v>1458</v>
      </c>
      <c r="G102">
        <v>500000</v>
      </c>
      <c r="H102">
        <f t="shared" si="11"/>
        <v>342.93552812071329</v>
      </c>
      <c r="I102">
        <f>[5]Assumptions!$B$3</f>
        <v>400</v>
      </c>
      <c r="J102">
        <f t="shared" si="12"/>
        <v>137174.21124828531</v>
      </c>
      <c r="K102">
        <f>[5]Assumptions!$B$9</f>
        <v>600</v>
      </c>
      <c r="L102">
        <f t="shared" si="13"/>
        <v>1.1999999999999999E-3</v>
      </c>
      <c r="M102">
        <f t="shared" si="14"/>
        <v>137774.21124828531</v>
      </c>
      <c r="N102" s="924">
        <f t="shared" si="16"/>
        <v>0.27554842249657063</v>
      </c>
    </row>
    <row r="103" spans="1:14">
      <c r="A103" t="s">
        <v>261</v>
      </c>
      <c r="B103">
        <v>500</v>
      </c>
      <c r="C103">
        <v>600</v>
      </c>
      <c r="D103">
        <v>0.6</v>
      </c>
      <c r="E103">
        <v>3000</v>
      </c>
      <c r="F103">
        <f t="shared" si="15"/>
        <v>1458</v>
      </c>
      <c r="G103">
        <v>1000000</v>
      </c>
      <c r="H103">
        <f t="shared" si="11"/>
        <v>685.87105624142657</v>
      </c>
      <c r="I103">
        <f>[5]Assumptions!$B$3</f>
        <v>400</v>
      </c>
      <c r="J103">
        <f t="shared" si="12"/>
        <v>274348.42249657062</v>
      </c>
      <c r="K103">
        <f>[5]Assumptions!$B$9</f>
        <v>600</v>
      </c>
      <c r="L103">
        <f t="shared" si="13"/>
        <v>5.9999999999999995E-4</v>
      </c>
      <c r="M103">
        <f t="shared" si="14"/>
        <v>274948.42249657062</v>
      </c>
      <c r="N103" s="924">
        <f t="shared" si="16"/>
        <v>0.27494842249657064</v>
      </c>
    </row>
    <row r="104" spans="1:14">
      <c r="A104" t="s">
        <v>261</v>
      </c>
      <c r="B104">
        <v>600</v>
      </c>
      <c r="C104">
        <v>700</v>
      </c>
      <c r="D104">
        <v>0.7</v>
      </c>
      <c r="E104">
        <v>3000</v>
      </c>
      <c r="F104">
        <f t="shared" si="15"/>
        <v>1215</v>
      </c>
      <c r="G104">
        <v>25000</v>
      </c>
      <c r="H104">
        <f t="shared" si="11"/>
        <v>20.5761316872428</v>
      </c>
      <c r="I104">
        <f>[5]Assumptions!$B$3</f>
        <v>400</v>
      </c>
      <c r="J104">
        <f t="shared" si="12"/>
        <v>8230.4526748971202</v>
      </c>
      <c r="K104">
        <f>[5]Assumptions!$B$9</f>
        <v>600</v>
      </c>
      <c r="L104">
        <f t="shared" si="13"/>
        <v>2.4E-2</v>
      </c>
      <c r="M104">
        <f t="shared" si="14"/>
        <v>8830.4526748971202</v>
      </c>
      <c r="N104" s="924">
        <f t="shared" si="16"/>
        <v>0.3532181069958848</v>
      </c>
    </row>
    <row r="105" spans="1:14">
      <c r="A105" t="s">
        <v>261</v>
      </c>
      <c r="B105">
        <v>600</v>
      </c>
      <c r="C105">
        <v>700</v>
      </c>
      <c r="D105">
        <v>0.7</v>
      </c>
      <c r="E105">
        <v>3000</v>
      </c>
      <c r="F105">
        <f t="shared" si="15"/>
        <v>1215</v>
      </c>
      <c r="G105">
        <v>50000</v>
      </c>
      <c r="H105">
        <f t="shared" si="11"/>
        <v>41.152263374485599</v>
      </c>
      <c r="I105">
        <f>[5]Assumptions!$B$3</f>
        <v>400</v>
      </c>
      <c r="J105">
        <f t="shared" si="12"/>
        <v>16460.90534979424</v>
      </c>
      <c r="K105">
        <f>[5]Assumptions!$B$9</f>
        <v>600</v>
      </c>
      <c r="L105">
        <f t="shared" si="13"/>
        <v>1.2E-2</v>
      </c>
      <c r="M105">
        <f t="shared" si="14"/>
        <v>17060.90534979424</v>
      </c>
      <c r="N105" s="924">
        <f t="shared" si="16"/>
        <v>0.34121810699588478</v>
      </c>
    </row>
    <row r="106" spans="1:14">
      <c r="A106" t="s">
        <v>261</v>
      </c>
      <c r="B106">
        <v>600</v>
      </c>
      <c r="C106">
        <v>700</v>
      </c>
      <c r="D106">
        <v>0.7</v>
      </c>
      <c r="E106">
        <v>3000</v>
      </c>
      <c r="F106">
        <f t="shared" si="15"/>
        <v>1215</v>
      </c>
      <c r="G106">
        <v>100000</v>
      </c>
      <c r="H106">
        <f t="shared" si="11"/>
        <v>82.304526748971199</v>
      </c>
      <c r="I106">
        <f>[5]Assumptions!$B$3</f>
        <v>400</v>
      </c>
      <c r="J106">
        <f t="shared" si="12"/>
        <v>32921.810699588481</v>
      </c>
      <c r="K106">
        <f>[5]Assumptions!$B$9</f>
        <v>600</v>
      </c>
      <c r="L106">
        <f t="shared" si="13"/>
        <v>6.0000000000000001E-3</v>
      </c>
      <c r="M106">
        <f t="shared" si="14"/>
        <v>33521.810699588481</v>
      </c>
      <c r="N106" s="924">
        <f t="shared" si="16"/>
        <v>0.33521810699588483</v>
      </c>
    </row>
    <row r="107" spans="1:14">
      <c r="A107" t="s">
        <v>261</v>
      </c>
      <c r="B107">
        <v>600</v>
      </c>
      <c r="C107">
        <v>700</v>
      </c>
      <c r="D107">
        <v>0.7</v>
      </c>
      <c r="E107">
        <v>3000</v>
      </c>
      <c r="F107">
        <f t="shared" si="15"/>
        <v>1215</v>
      </c>
      <c r="G107">
        <v>250000</v>
      </c>
      <c r="H107">
        <f t="shared" si="11"/>
        <v>205.76131687242798</v>
      </c>
      <c r="I107">
        <f>[5]Assumptions!$B$3</f>
        <v>400</v>
      </c>
      <c r="J107">
        <f t="shared" si="12"/>
        <v>82304.526748971199</v>
      </c>
      <c r="K107">
        <f>[5]Assumptions!$B$9</f>
        <v>600</v>
      </c>
      <c r="L107">
        <f t="shared" si="13"/>
        <v>2.3999999999999998E-3</v>
      </c>
      <c r="M107">
        <f t="shared" si="14"/>
        <v>82904.526748971199</v>
      </c>
      <c r="N107" s="924">
        <f t="shared" si="16"/>
        <v>0.33161810699588479</v>
      </c>
    </row>
    <row r="108" spans="1:14">
      <c r="A108" t="s">
        <v>261</v>
      </c>
      <c r="B108">
        <v>600</v>
      </c>
      <c r="C108">
        <v>700</v>
      </c>
      <c r="D108">
        <v>0.7</v>
      </c>
      <c r="E108">
        <v>3000</v>
      </c>
      <c r="F108">
        <f t="shared" si="15"/>
        <v>1215</v>
      </c>
      <c r="G108">
        <v>500000</v>
      </c>
      <c r="H108">
        <f t="shared" si="11"/>
        <v>411.52263374485597</v>
      </c>
      <c r="I108">
        <f>[5]Assumptions!$B$3</f>
        <v>400</v>
      </c>
      <c r="J108">
        <f t="shared" si="12"/>
        <v>164609.0534979424</v>
      </c>
      <c r="K108">
        <f>[5]Assumptions!$B$9</f>
        <v>600</v>
      </c>
      <c r="L108">
        <f t="shared" si="13"/>
        <v>1.1999999999999999E-3</v>
      </c>
      <c r="M108">
        <f t="shared" si="14"/>
        <v>165209.0534979424</v>
      </c>
      <c r="N108" s="924">
        <f t="shared" si="16"/>
        <v>0.33041810699588481</v>
      </c>
    </row>
    <row r="109" spans="1:14">
      <c r="A109" t="s">
        <v>261</v>
      </c>
      <c r="B109">
        <v>600</v>
      </c>
      <c r="C109">
        <v>700</v>
      </c>
      <c r="D109">
        <v>0.7</v>
      </c>
      <c r="E109">
        <v>3000</v>
      </c>
      <c r="F109">
        <f t="shared" si="15"/>
        <v>1215</v>
      </c>
      <c r="G109">
        <v>1000000</v>
      </c>
      <c r="H109">
        <f t="shared" si="11"/>
        <v>823.04526748971193</v>
      </c>
      <c r="I109">
        <f>[5]Assumptions!$B$3</f>
        <v>400</v>
      </c>
      <c r="J109">
        <f t="shared" si="12"/>
        <v>329218.10699588479</v>
      </c>
      <c r="K109">
        <f>[5]Assumptions!$B$9</f>
        <v>600</v>
      </c>
      <c r="L109">
        <f t="shared" si="13"/>
        <v>5.9999999999999995E-4</v>
      </c>
      <c r="M109">
        <f t="shared" si="14"/>
        <v>329818.10699588479</v>
      </c>
      <c r="N109" s="924">
        <f t="shared" si="16"/>
        <v>0.32981810699588482</v>
      </c>
    </row>
  </sheetData>
  <autoFilter ref="A1:N109" xr:uid="{00000000-0001-0000-0100-000000000000}"/>
  <mergeCells count="2">
    <mergeCell ref="P1:V1"/>
    <mergeCell ref="P2:V2"/>
  </mergeCells>
  <conditionalFormatting sqref="A2:N109">
    <cfRule type="expression" dxfId="5" priority="1">
      <formula>COUNTIFS($W$2:$W$4,"Quantum",$X$2:$X$4,$A2,$Y$2:$Y$4,$B2,$Z$2:$Z$4,$G2)&gt;0</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9EDD-4C36-44BE-B30B-04FFCCCF42BE}">
  <dimension ref="A2:AE22"/>
  <sheetViews>
    <sheetView zoomScaleNormal="100" workbookViewId="0">
      <selection activeCell="F5" sqref="F5"/>
    </sheetView>
  </sheetViews>
  <sheetFormatPr defaultRowHeight="15" outlineLevelCol="1"/>
  <cols>
    <col min="1" max="1" width="9.5703125" bestFit="1" customWidth="1"/>
    <col min="2" max="2" width="35.7109375" bestFit="1" customWidth="1"/>
    <col min="3" max="3" width="33.140625" bestFit="1" customWidth="1"/>
    <col min="4" max="4" width="38.85546875" bestFit="1" customWidth="1"/>
    <col min="5" max="5" width="16.7109375" bestFit="1" customWidth="1"/>
    <col min="6" max="6" width="14.42578125" bestFit="1" customWidth="1"/>
    <col min="7" max="8" width="10.85546875" bestFit="1" customWidth="1"/>
    <col min="9" max="9" width="12.5703125" bestFit="1" customWidth="1"/>
    <col min="10" max="11" width="10.42578125" bestFit="1" customWidth="1"/>
    <col min="13" max="13" width="23.5703125" bestFit="1" customWidth="1"/>
    <col min="14" max="14" width="50.42578125" bestFit="1" customWidth="1"/>
    <col min="15" max="15" width="16.7109375" hidden="1" customWidth="1" outlineLevel="1"/>
    <col min="16" max="17" width="16.42578125" hidden="1" customWidth="1" outlineLevel="1"/>
    <col min="18" max="19" width="16.7109375" hidden="1" customWidth="1" outlineLevel="1"/>
    <col min="20" max="20" width="16" hidden="1" customWidth="1" outlineLevel="1"/>
    <col min="21" max="21" width="16.140625" hidden="1" customWidth="1" outlineLevel="1"/>
    <col min="22" max="22" width="16.5703125" hidden="1" customWidth="1" outlineLevel="1"/>
    <col min="23" max="23" width="15.28515625" hidden="1" customWidth="1" outlineLevel="1"/>
    <col min="24" max="25" width="15" hidden="1" customWidth="1" outlineLevel="1"/>
    <col min="26" max="27" width="15.28515625" hidden="1" customWidth="1" outlineLevel="1"/>
    <col min="28" max="28" width="14.5703125" hidden="1" customWidth="1" outlineLevel="1"/>
    <col min="29" max="29" width="14.7109375" hidden="1" customWidth="1" outlineLevel="1"/>
    <col min="30" max="30" width="15.140625" hidden="1" customWidth="1" outlineLevel="1"/>
    <col min="31" max="31" width="9.140625" collapsed="1"/>
  </cols>
  <sheetData>
    <row r="2" spans="1:30">
      <c r="A2" s="75" t="s">
        <v>222</v>
      </c>
      <c r="B2" s="75" t="s">
        <v>204</v>
      </c>
      <c r="C2" s="75" t="s">
        <v>223</v>
      </c>
      <c r="D2" s="76" t="s">
        <v>224</v>
      </c>
      <c r="E2" s="76" t="s">
        <v>225</v>
      </c>
      <c r="F2" s="76" t="s">
        <v>226</v>
      </c>
      <c r="G2" s="76" t="s">
        <v>227</v>
      </c>
      <c r="H2" s="76" t="s">
        <v>228</v>
      </c>
      <c r="I2" s="76" t="s">
        <v>229</v>
      </c>
      <c r="J2" s="76" t="s">
        <v>230</v>
      </c>
      <c r="K2" s="76" t="s">
        <v>231</v>
      </c>
      <c r="M2" s="38" t="s">
        <v>232</v>
      </c>
      <c r="O2" t="s">
        <v>1158</v>
      </c>
      <c r="P2" t="s">
        <v>1159</v>
      </c>
      <c r="Q2" t="s">
        <v>1160</v>
      </c>
      <c r="R2" t="s">
        <v>1161</v>
      </c>
      <c r="S2" t="s">
        <v>1162</v>
      </c>
      <c r="T2" t="s">
        <v>1163</v>
      </c>
      <c r="U2" t="s">
        <v>1164</v>
      </c>
      <c r="V2" t="s">
        <v>1165</v>
      </c>
      <c r="W2" t="s">
        <v>1166</v>
      </c>
      <c r="X2" t="s">
        <v>1167</v>
      </c>
      <c r="Y2" t="s">
        <v>1168</v>
      </c>
      <c r="Z2" t="s">
        <v>1169</v>
      </c>
      <c r="AA2" t="s">
        <v>1170</v>
      </c>
      <c r="AB2" t="s">
        <v>1171</v>
      </c>
      <c r="AC2" t="s">
        <v>1172</v>
      </c>
      <c r="AD2" t="s">
        <v>1173</v>
      </c>
    </row>
    <row r="3" spans="1:30">
      <c r="A3" s="1147" t="s">
        <v>250</v>
      </c>
      <c r="B3" s="103" t="s">
        <v>275</v>
      </c>
      <c r="C3" s="104" t="s">
        <v>234</v>
      </c>
      <c r="D3" s="105">
        <v>0.11673</v>
      </c>
      <c r="E3" s="105">
        <v>0.10413</v>
      </c>
      <c r="F3" s="105">
        <v>9.153E-2</v>
      </c>
      <c r="G3" s="609">
        <v>8.6489999999999997E-2</v>
      </c>
      <c r="H3" s="611">
        <v>8.4809999999999997E-2</v>
      </c>
      <c r="I3" s="611">
        <v>8.3970000000000003E-2</v>
      </c>
      <c r="J3" s="610">
        <v>8.3459999999999993E-2</v>
      </c>
      <c r="K3" s="105">
        <v>8.3140000000000006E-2</v>
      </c>
      <c r="M3" s="77">
        <v>1.3</v>
      </c>
      <c r="N3" s="10" t="s">
        <v>233</v>
      </c>
      <c r="O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4" spans="1:30">
      <c r="A4" s="1148"/>
      <c r="B4" s="103" t="s">
        <v>275</v>
      </c>
      <c r="C4" s="104" t="s">
        <v>236</v>
      </c>
      <c r="D4" s="105">
        <v>0.19644</v>
      </c>
      <c r="E4" s="105">
        <v>0.15437000000000001</v>
      </c>
      <c r="F4" s="105">
        <v>0.11229</v>
      </c>
      <c r="G4" s="105">
        <v>9.5459999999999989E-2</v>
      </c>
      <c r="H4" s="611">
        <v>8.9849999999999999E-2</v>
      </c>
      <c r="I4" s="611">
        <v>8.7050000000000002E-2</v>
      </c>
      <c r="J4" s="105">
        <v>8.5360000000000005E-2</v>
      </c>
      <c r="K4" s="105">
        <v>8.43E-2</v>
      </c>
      <c r="M4" s="77">
        <v>1.5</v>
      </c>
      <c r="N4" s="10" t="s">
        <v>235</v>
      </c>
      <c r="O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5" spans="1:30">
      <c r="A5" s="1148"/>
      <c r="B5" s="103" t="s">
        <v>275</v>
      </c>
      <c r="C5" s="104" t="s">
        <v>237</v>
      </c>
      <c r="D5" s="105">
        <v>0.22741999999999998</v>
      </c>
      <c r="E5" s="105">
        <v>0.17702000000000001</v>
      </c>
      <c r="F5" s="105">
        <v>0.12662000000000001</v>
      </c>
      <c r="G5" s="105">
        <v>0.10646</v>
      </c>
      <c r="H5" s="105">
        <v>9.9739999999999995E-2</v>
      </c>
      <c r="I5" s="105">
        <v>9.6379999999999993E-2</v>
      </c>
      <c r="J5" s="105">
        <v>9.4359999999999999E-2</v>
      </c>
      <c r="K5" s="105">
        <v>9.3090000000000006E-2</v>
      </c>
      <c r="O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1</v>
      </c>
      <c r="R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6" spans="1:30">
      <c r="A6" s="1148"/>
      <c r="B6" s="103" t="s">
        <v>275</v>
      </c>
      <c r="C6" s="104" t="s">
        <v>238</v>
      </c>
      <c r="D6" s="105">
        <v>0.27620999999999996</v>
      </c>
      <c r="E6" s="105">
        <v>0.20915999999999998</v>
      </c>
      <c r="F6" s="105">
        <v>0.14211000000000001</v>
      </c>
      <c r="G6" s="105">
        <v>0.11529</v>
      </c>
      <c r="H6" s="105">
        <v>0.10635</v>
      </c>
      <c r="I6" s="105">
        <v>0.10188</v>
      </c>
      <c r="J6" s="105">
        <v>9.9199999999999997E-2</v>
      </c>
      <c r="K6" s="105">
        <v>9.7500000000000003E-2</v>
      </c>
      <c r="M6" s="446" t="s">
        <v>1155</v>
      </c>
      <c r="N6" s="446"/>
      <c r="O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7" spans="1:30">
      <c r="A7" s="1148"/>
      <c r="B7" s="103" t="s">
        <v>275</v>
      </c>
      <c r="C7" s="104" t="s">
        <v>239</v>
      </c>
      <c r="D7" s="105">
        <v>3.492E-2</v>
      </c>
      <c r="E7" s="105">
        <v>3.0420000000000003E-2</v>
      </c>
      <c r="F7" s="105">
        <v>2.5920000000000002E-2</v>
      </c>
      <c r="G7" s="105">
        <v>2.4120000000000003E-2</v>
      </c>
      <c r="H7" s="105">
        <v>2.3519999999999999E-2</v>
      </c>
      <c r="I7" s="105">
        <v>2.3219999999999998E-2</v>
      </c>
      <c r="J7" s="105">
        <v>2.3039999999999998E-2</v>
      </c>
      <c r="K7" s="105">
        <v>2.2920000000000003E-2</v>
      </c>
      <c r="M7" s="632" t="s">
        <v>1174</v>
      </c>
      <c r="N7" s="50" t="s">
        <v>1156</v>
      </c>
      <c r="O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1</v>
      </c>
      <c r="Z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8" spans="1:30">
      <c r="A8" s="1148"/>
      <c r="B8" s="106" t="s">
        <v>276</v>
      </c>
      <c r="C8" s="107" t="s">
        <v>234</v>
      </c>
      <c r="D8" s="108">
        <v>0.11673</v>
      </c>
      <c r="E8" s="108">
        <v>0.10413</v>
      </c>
      <c r="F8" s="108">
        <v>9.153E-2</v>
      </c>
      <c r="G8" s="108">
        <v>8.6489999999999997E-2</v>
      </c>
      <c r="H8" s="108">
        <v>8.4809999999999997E-2</v>
      </c>
      <c r="I8" s="108">
        <v>8.3970000000000003E-2</v>
      </c>
      <c r="J8" s="108">
        <v>8.3459999999999993E-2</v>
      </c>
      <c r="K8" s="108">
        <v>8.3140000000000006E-2</v>
      </c>
      <c r="M8" s="633" t="s">
        <v>1175</v>
      </c>
      <c r="N8" s="50" t="s">
        <v>1157</v>
      </c>
      <c r="O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9" spans="1:30">
      <c r="A9" s="1148"/>
      <c r="B9" s="106" t="s">
        <v>276</v>
      </c>
      <c r="C9" s="107" t="s">
        <v>236</v>
      </c>
      <c r="D9" s="108">
        <v>0.21503701851851853</v>
      </c>
      <c r="E9" s="108">
        <v>0.1729620185185185</v>
      </c>
      <c r="F9" s="108">
        <v>0.13088701851851853</v>
      </c>
      <c r="G9" s="108">
        <v>0.1140570185185185</v>
      </c>
      <c r="H9" s="108">
        <v>0.10844701851851851</v>
      </c>
      <c r="I9" s="108">
        <v>0.10564201851851851</v>
      </c>
      <c r="J9" s="108">
        <v>0.10395901851851852</v>
      </c>
      <c r="K9" s="108">
        <v>0.10289311851851853</v>
      </c>
      <c r="O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0" spans="1:30">
      <c r="A10" s="1148"/>
      <c r="B10" s="106" t="s">
        <v>276</v>
      </c>
      <c r="C10" s="107" t="s">
        <v>237</v>
      </c>
      <c r="D10" s="108">
        <v>0.25132801851851849</v>
      </c>
      <c r="E10" s="108">
        <v>0.20092801851851855</v>
      </c>
      <c r="F10" s="108">
        <v>0.15052801851851855</v>
      </c>
      <c r="G10" s="108">
        <v>0.13036801851851851</v>
      </c>
      <c r="H10" s="108">
        <v>0.12364801851851852</v>
      </c>
      <c r="I10" s="108">
        <v>0.12028801851851853</v>
      </c>
      <c r="J10" s="108">
        <v>0.11827201851851853</v>
      </c>
      <c r="K10" s="108">
        <v>0.11699521851851853</v>
      </c>
      <c r="O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1" spans="1:30">
      <c r="A11" s="1148"/>
      <c r="B11" s="106" t="s">
        <v>276</v>
      </c>
      <c r="C11" s="107" t="s">
        <v>238</v>
      </c>
      <c r="D11" s="108">
        <v>0.30277351851851847</v>
      </c>
      <c r="E11" s="108">
        <v>0.23572351851851853</v>
      </c>
      <c r="F11" s="108">
        <v>0.1686735185185185</v>
      </c>
      <c r="G11" s="108">
        <v>0.14185351851851852</v>
      </c>
      <c r="H11" s="108">
        <v>0.13291351851851851</v>
      </c>
      <c r="I11" s="108">
        <v>0.12844351851851851</v>
      </c>
      <c r="J11" s="108">
        <v>0.12576151851851852</v>
      </c>
      <c r="K11" s="108">
        <v>0.12406291851851851</v>
      </c>
      <c r="O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2" spans="1:30">
      <c r="A12" s="1148"/>
      <c r="B12" s="106" t="s">
        <v>276</v>
      </c>
      <c r="C12" s="107" t="s">
        <v>239</v>
      </c>
      <c r="D12" s="108">
        <v>3.4916666666666672E-2</v>
      </c>
      <c r="E12" s="108">
        <v>3.0416666666666668E-2</v>
      </c>
      <c r="F12" s="108">
        <v>2.5916666666666668E-2</v>
      </c>
      <c r="G12" s="108">
        <v>2.4116666666666668E-2</v>
      </c>
      <c r="H12" s="108">
        <v>2.3516666666666665E-2</v>
      </c>
      <c r="I12" s="108">
        <v>2.321666666666667E-2</v>
      </c>
      <c r="J12" s="108">
        <v>2.3036666666666671E-2</v>
      </c>
      <c r="K12" s="108">
        <v>2.2922666666666668E-2</v>
      </c>
      <c r="M12" s="9"/>
      <c r="O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3" spans="1:30">
      <c r="A13" s="1149" t="s">
        <v>240</v>
      </c>
      <c r="B13" s="109" t="s">
        <v>275</v>
      </c>
      <c r="C13" s="110" t="s">
        <v>234</v>
      </c>
      <c r="D13" s="111">
        <f t="shared" ref="D13:K13" si="0">D3*$M$3</f>
        <v>0.151749</v>
      </c>
      <c r="E13" s="112">
        <f t="shared" si="0"/>
        <v>0.13536900000000002</v>
      </c>
      <c r="F13" s="111">
        <f t="shared" si="0"/>
        <v>0.118989</v>
      </c>
      <c r="G13" s="111">
        <f t="shared" si="0"/>
        <v>0.112437</v>
      </c>
      <c r="H13" s="111">
        <f t="shared" si="0"/>
        <v>0.110253</v>
      </c>
      <c r="I13" s="111">
        <f t="shared" si="0"/>
        <v>0.10916100000000001</v>
      </c>
      <c r="J13" s="111">
        <f t="shared" si="0"/>
        <v>0.108498</v>
      </c>
      <c r="K13" s="111">
        <f t="shared" si="0"/>
        <v>0.10808200000000001</v>
      </c>
      <c r="O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4" spans="1:30">
      <c r="A14" s="1149"/>
      <c r="B14" s="109" t="s">
        <v>275</v>
      </c>
      <c r="C14" s="110" t="s">
        <v>236</v>
      </c>
      <c r="D14" s="111">
        <f t="shared" ref="D14:K16" si="1">D4*$M$4</f>
        <v>0.29466000000000003</v>
      </c>
      <c r="E14" s="111">
        <f t="shared" si="1"/>
        <v>0.23155500000000001</v>
      </c>
      <c r="F14" s="111">
        <f t="shared" si="1"/>
        <v>0.168435</v>
      </c>
      <c r="G14" s="111">
        <f t="shared" si="1"/>
        <v>0.14318999999999998</v>
      </c>
      <c r="H14" s="111">
        <f t="shared" si="1"/>
        <v>0.13477500000000001</v>
      </c>
      <c r="I14" s="111">
        <f t="shared" si="1"/>
        <v>0.130575</v>
      </c>
      <c r="J14" s="111">
        <f t="shared" si="1"/>
        <v>0.12804000000000001</v>
      </c>
      <c r="K14" s="111">
        <f t="shared" si="1"/>
        <v>0.12645000000000001</v>
      </c>
      <c r="O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5" spans="1:30">
      <c r="A15" s="1149"/>
      <c r="B15" s="109" t="s">
        <v>275</v>
      </c>
      <c r="C15" s="110" t="s">
        <v>237</v>
      </c>
      <c r="D15" s="111">
        <f t="shared" si="1"/>
        <v>0.34112999999999999</v>
      </c>
      <c r="E15" s="111">
        <f t="shared" si="1"/>
        <v>0.26553000000000004</v>
      </c>
      <c r="F15" s="111">
        <f t="shared" si="1"/>
        <v>0.18993000000000002</v>
      </c>
      <c r="G15" s="111">
        <f t="shared" si="1"/>
        <v>0.15969</v>
      </c>
      <c r="H15" s="111">
        <f t="shared" si="1"/>
        <v>0.14960999999999999</v>
      </c>
      <c r="I15" s="111">
        <f t="shared" si="1"/>
        <v>0.14456999999999998</v>
      </c>
      <c r="J15" s="111">
        <f t="shared" si="1"/>
        <v>0.14154</v>
      </c>
      <c r="K15" s="111">
        <f t="shared" si="1"/>
        <v>0.13963500000000001</v>
      </c>
      <c r="O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6" spans="1:30">
      <c r="A16" s="1149"/>
      <c r="B16" s="109" t="s">
        <v>275</v>
      </c>
      <c r="C16" s="110" t="s">
        <v>238</v>
      </c>
      <c r="D16" s="111">
        <f t="shared" si="1"/>
        <v>0.41431499999999993</v>
      </c>
      <c r="E16" s="111">
        <f t="shared" si="1"/>
        <v>0.31373999999999996</v>
      </c>
      <c r="F16" s="111">
        <f t="shared" si="1"/>
        <v>0.21316500000000002</v>
      </c>
      <c r="G16" s="111">
        <f t="shared" si="1"/>
        <v>0.17293500000000001</v>
      </c>
      <c r="H16" s="111">
        <f t="shared" si="1"/>
        <v>0.159525</v>
      </c>
      <c r="I16" s="111">
        <f t="shared" si="1"/>
        <v>0.15282000000000001</v>
      </c>
      <c r="J16" s="111">
        <f t="shared" si="1"/>
        <v>0.14879999999999999</v>
      </c>
      <c r="K16" s="111">
        <f t="shared" si="1"/>
        <v>0.14624999999999999</v>
      </c>
      <c r="O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7" spans="1:30">
      <c r="A17" s="1149"/>
      <c r="B17" s="109" t="s">
        <v>275</v>
      </c>
      <c r="C17" s="110" t="s">
        <v>239</v>
      </c>
      <c r="D17" s="111">
        <f t="shared" ref="D17:K18" si="2">D7*$M$3</f>
        <v>4.5395999999999999E-2</v>
      </c>
      <c r="E17" s="112">
        <f t="shared" si="2"/>
        <v>3.9546000000000005E-2</v>
      </c>
      <c r="F17" s="111">
        <f t="shared" si="2"/>
        <v>3.3696000000000004E-2</v>
      </c>
      <c r="G17" s="111">
        <f t="shared" si="2"/>
        <v>3.1356000000000002E-2</v>
      </c>
      <c r="H17" s="111">
        <f t="shared" si="2"/>
        <v>3.0575999999999999E-2</v>
      </c>
      <c r="I17" s="111">
        <f t="shared" si="2"/>
        <v>3.0185999999999998E-2</v>
      </c>
      <c r="J17" s="111">
        <f t="shared" si="2"/>
        <v>2.9951999999999999E-2</v>
      </c>
      <c r="K17" s="111">
        <f t="shared" si="2"/>
        <v>2.9796000000000003E-2</v>
      </c>
      <c r="O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8" spans="1:30">
      <c r="A18" s="1149"/>
      <c r="B18" s="113" t="s">
        <v>276</v>
      </c>
      <c r="C18" s="114" t="s">
        <v>234</v>
      </c>
      <c r="D18" s="115">
        <f t="shared" si="2"/>
        <v>0.151749</v>
      </c>
      <c r="E18" s="116">
        <f t="shared" si="2"/>
        <v>0.13536900000000002</v>
      </c>
      <c r="F18" s="115">
        <f t="shared" si="2"/>
        <v>0.118989</v>
      </c>
      <c r="G18" s="115">
        <f t="shared" si="2"/>
        <v>0.112437</v>
      </c>
      <c r="H18" s="115">
        <f t="shared" si="2"/>
        <v>0.110253</v>
      </c>
      <c r="I18" s="115">
        <f>I8*$M$3</f>
        <v>0.10916100000000001</v>
      </c>
      <c r="J18" s="115">
        <f t="shared" si="2"/>
        <v>0.108498</v>
      </c>
      <c r="K18" s="115">
        <f t="shared" si="2"/>
        <v>0.10808200000000001</v>
      </c>
      <c r="O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9" spans="1:30">
      <c r="A19" s="1149"/>
      <c r="B19" s="113" t="s">
        <v>276</v>
      </c>
      <c r="C19" s="114" t="s">
        <v>236</v>
      </c>
      <c r="D19" s="115">
        <f t="shared" ref="D19:K21" si="3">D9*$M$4</f>
        <v>0.3225555277777778</v>
      </c>
      <c r="E19" s="115">
        <f t="shared" si="3"/>
        <v>0.25944302777777772</v>
      </c>
      <c r="F19" s="115">
        <f t="shared" si="3"/>
        <v>0.19633052777777779</v>
      </c>
      <c r="G19" s="115">
        <f t="shared" si="3"/>
        <v>0.17108552777777775</v>
      </c>
      <c r="H19" s="115">
        <f t="shared" si="3"/>
        <v>0.16267052777777777</v>
      </c>
      <c r="I19" s="115">
        <f t="shared" si="3"/>
        <v>0.15846302777777777</v>
      </c>
      <c r="J19" s="115">
        <f t="shared" si="3"/>
        <v>0.15593852777777778</v>
      </c>
      <c r="K19" s="115">
        <f t="shared" si="3"/>
        <v>0.1543396777777778</v>
      </c>
      <c r="O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0" spans="1:30">
      <c r="A20" s="1149"/>
      <c r="B20" s="113" t="s">
        <v>276</v>
      </c>
      <c r="C20" s="114" t="s">
        <v>237</v>
      </c>
      <c r="D20" s="115">
        <f t="shared" si="3"/>
        <v>0.37699202777777774</v>
      </c>
      <c r="E20" s="115">
        <f t="shared" si="3"/>
        <v>0.30139202777777785</v>
      </c>
      <c r="F20" s="115">
        <f t="shared" si="3"/>
        <v>0.22579202777777782</v>
      </c>
      <c r="G20" s="115">
        <f t="shared" si="3"/>
        <v>0.19555202777777775</v>
      </c>
      <c r="H20" s="115">
        <f t="shared" si="3"/>
        <v>0.18547202777777777</v>
      </c>
      <c r="I20" s="115">
        <f t="shared" si="3"/>
        <v>0.18043202777777778</v>
      </c>
      <c r="J20" s="115">
        <f t="shared" si="3"/>
        <v>0.17740802777777778</v>
      </c>
      <c r="K20" s="115">
        <f t="shared" si="3"/>
        <v>0.1754928277777778</v>
      </c>
      <c r="O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1" spans="1:30">
      <c r="A21" s="1149"/>
      <c r="B21" s="113" t="s">
        <v>276</v>
      </c>
      <c r="C21" s="114" t="s">
        <v>238</v>
      </c>
      <c r="D21" s="115">
        <f t="shared" si="3"/>
        <v>0.45416027777777768</v>
      </c>
      <c r="E21" s="115">
        <f t="shared" si="3"/>
        <v>0.35358527777777782</v>
      </c>
      <c r="F21" s="115">
        <f t="shared" si="3"/>
        <v>0.25301027777777774</v>
      </c>
      <c r="G21" s="115">
        <f t="shared" si="3"/>
        <v>0.21278027777777778</v>
      </c>
      <c r="H21" s="115">
        <f t="shared" si="3"/>
        <v>0.19937027777777777</v>
      </c>
      <c r="I21" s="115">
        <f t="shared" si="3"/>
        <v>0.19266527777777775</v>
      </c>
      <c r="J21" s="115">
        <f t="shared" si="3"/>
        <v>0.18864227777777778</v>
      </c>
      <c r="K21" s="115">
        <f t="shared" si="3"/>
        <v>0.18609437777777776</v>
      </c>
      <c r="O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2" spans="1:30">
      <c r="A22" s="1149"/>
      <c r="B22" s="113" t="s">
        <v>276</v>
      </c>
      <c r="C22" s="114" t="s">
        <v>239</v>
      </c>
      <c r="D22" s="115">
        <f t="shared" ref="D22:K22" si="4">D12*$M$3</f>
        <v>4.5391666666666677E-2</v>
      </c>
      <c r="E22" s="115">
        <f t="shared" si="4"/>
        <v>3.9541666666666669E-2</v>
      </c>
      <c r="F22" s="115">
        <f t="shared" si="4"/>
        <v>3.3691666666666668E-2</v>
      </c>
      <c r="G22" s="115">
        <f t="shared" si="4"/>
        <v>3.1351666666666667E-2</v>
      </c>
      <c r="H22" s="115">
        <f t="shared" si="4"/>
        <v>3.0571666666666667E-2</v>
      </c>
      <c r="I22" s="115">
        <f t="shared" si="4"/>
        <v>3.0181666666666673E-2</v>
      </c>
      <c r="J22" s="115">
        <f t="shared" si="4"/>
        <v>2.9947666666666671E-2</v>
      </c>
      <c r="K22" s="115">
        <f t="shared" si="4"/>
        <v>2.979946666666667E-2</v>
      </c>
      <c r="O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sheetData>
  <mergeCells count="2">
    <mergeCell ref="A3:A12"/>
    <mergeCell ref="A13:A22"/>
  </mergeCells>
  <conditionalFormatting sqref="D3:K22">
    <cfRule type="expression" dxfId="4" priority="1">
      <formula>O3=TRUE</formula>
    </cfRule>
    <cfRule type="expression" dxfId="3" priority="2">
      <formula>W3=TRUE</formula>
    </cfRule>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3B93-9A8D-4AC2-B6F0-8A96DD2CB01F}">
  <dimension ref="A1:R38"/>
  <sheetViews>
    <sheetView workbookViewId="0">
      <selection activeCell="M4" sqref="M4"/>
    </sheetView>
  </sheetViews>
  <sheetFormatPr defaultRowHeight="15"/>
  <cols>
    <col min="1" max="2" width="15" bestFit="1" customWidth="1"/>
    <col min="3" max="3" width="18.42578125" customWidth="1"/>
    <col min="4" max="4" width="12.140625" bestFit="1" customWidth="1"/>
    <col min="5" max="8" width="9.42578125" bestFit="1" customWidth="1"/>
    <col min="9" max="9" width="10.42578125" bestFit="1" customWidth="1"/>
    <col min="10" max="10" width="9.42578125" bestFit="1" customWidth="1"/>
    <col min="13" max="13" width="11" bestFit="1" customWidth="1"/>
  </cols>
  <sheetData>
    <row r="1" spans="1:18">
      <c r="M1" s="38" t="s">
        <v>232</v>
      </c>
    </row>
    <row r="2" spans="1:18">
      <c r="A2" s="78" t="s">
        <v>222</v>
      </c>
      <c r="B2" s="78" t="s">
        <v>109</v>
      </c>
      <c r="C2" s="78" t="s">
        <v>241</v>
      </c>
      <c r="D2" s="79" t="s">
        <v>242</v>
      </c>
      <c r="E2" s="79" t="s">
        <v>243</v>
      </c>
      <c r="F2" s="79" t="s">
        <v>244</v>
      </c>
      <c r="G2" s="79" t="s">
        <v>245</v>
      </c>
      <c r="H2" s="79" t="s">
        <v>246</v>
      </c>
      <c r="I2" s="79" t="s">
        <v>247</v>
      </c>
      <c r="J2" s="79" t="s">
        <v>248</v>
      </c>
      <c r="M2" s="80" t="s">
        <v>249</v>
      </c>
    </row>
    <row r="3" spans="1:18">
      <c r="A3" s="98" t="s">
        <v>250</v>
      </c>
      <c r="B3" s="98" t="s">
        <v>251</v>
      </c>
      <c r="C3" s="98" t="s">
        <v>252</v>
      </c>
      <c r="D3" s="100">
        <v>4.2880992430613968E-2</v>
      </c>
      <c r="E3" s="100">
        <v>3.8198065601345678E-2</v>
      </c>
      <c r="F3" s="100">
        <v>3.4555789178581452E-2</v>
      </c>
      <c r="G3" s="100">
        <v>3.2474488365573317E-2</v>
      </c>
      <c r="H3" s="100">
        <v>3.1641968040370061E-2</v>
      </c>
      <c r="I3" s="100">
        <v>3.1017577796467626E-2</v>
      </c>
      <c r="J3" s="100">
        <v>3.0705382674516408E-2</v>
      </c>
      <c r="M3" s="80" t="s">
        <v>253</v>
      </c>
    </row>
    <row r="4" spans="1:18">
      <c r="A4" s="98" t="s">
        <v>250</v>
      </c>
      <c r="B4" s="98" t="s">
        <v>251</v>
      </c>
      <c r="C4" s="98" t="s">
        <v>254</v>
      </c>
      <c r="D4" s="100">
        <v>4.8113821138211395E-2</v>
      </c>
      <c r="E4" s="100">
        <v>4.3430894308943098E-2</v>
      </c>
      <c r="F4" s="100">
        <v>3.9788617886178865E-2</v>
      </c>
      <c r="G4" s="100">
        <v>3.7707317073170744E-2</v>
      </c>
      <c r="H4" s="100">
        <v>3.6874796747967481E-2</v>
      </c>
      <c r="I4" s="100">
        <v>3.6250406504065039E-2</v>
      </c>
      <c r="J4" s="100">
        <v>3.5938211382113817E-2</v>
      </c>
      <c r="M4" s="80" t="s">
        <v>255</v>
      </c>
    </row>
    <row r="5" spans="1:18">
      <c r="A5" s="98" t="s">
        <v>250</v>
      </c>
      <c r="B5" s="98" t="s">
        <v>251</v>
      </c>
      <c r="C5" s="98" t="s">
        <v>256</v>
      </c>
      <c r="D5" s="100">
        <v>5.4713414634146348E-2</v>
      </c>
      <c r="E5" s="100">
        <v>5.0030487804878059E-2</v>
      </c>
      <c r="F5" s="100">
        <v>4.6388211382113825E-2</v>
      </c>
      <c r="G5" s="100">
        <v>4.4306910569105698E-2</v>
      </c>
      <c r="H5" s="100">
        <v>4.3474390243902442E-2</v>
      </c>
      <c r="I5" s="100">
        <v>4.2849999999999999E-2</v>
      </c>
      <c r="J5" s="100">
        <v>4.2537804878048785E-2</v>
      </c>
      <c r="M5" s="81">
        <v>1.3</v>
      </c>
      <c r="N5" s="80" t="s">
        <v>257</v>
      </c>
      <c r="O5" s="80"/>
      <c r="P5" s="80"/>
      <c r="Q5" s="80"/>
      <c r="R5" s="80"/>
    </row>
    <row r="6" spans="1:18">
      <c r="A6" s="98" t="s">
        <v>250</v>
      </c>
      <c r="B6" s="98" t="s">
        <v>251</v>
      </c>
      <c r="C6" s="98" t="s">
        <v>258</v>
      </c>
      <c r="D6" s="100">
        <v>6.5816355810616928E-2</v>
      </c>
      <c r="E6" s="100">
        <v>6.1133428981348638E-2</v>
      </c>
      <c r="F6" s="100">
        <v>5.7491152558584412E-2</v>
      </c>
      <c r="G6" s="100">
        <v>5.5409851745576277E-2</v>
      </c>
      <c r="H6" s="100">
        <v>5.4577331420373028E-2</v>
      </c>
      <c r="I6" s="100">
        <v>5.3952941176470585E-2</v>
      </c>
      <c r="J6" s="100">
        <v>5.3640746054519371E-2</v>
      </c>
    </row>
    <row r="7" spans="1:18">
      <c r="A7" s="98" t="s">
        <v>250</v>
      </c>
      <c r="B7" s="98" t="s">
        <v>251</v>
      </c>
      <c r="C7" s="98" t="s">
        <v>259</v>
      </c>
      <c r="D7" s="100">
        <v>8.5771106941838648E-2</v>
      </c>
      <c r="E7" s="100">
        <v>8.1088180112570352E-2</v>
      </c>
      <c r="F7" s="100">
        <v>7.7445903689806125E-2</v>
      </c>
      <c r="G7" s="100">
        <v>7.5364602876797998E-2</v>
      </c>
      <c r="H7" s="100">
        <v>7.4532082551594755E-2</v>
      </c>
      <c r="I7" s="100">
        <v>7.3907692307692313E-2</v>
      </c>
      <c r="J7" s="100">
        <v>7.3595497185741085E-2</v>
      </c>
      <c r="M7" s="97"/>
    </row>
    <row r="8" spans="1:18">
      <c r="A8" s="98" t="s">
        <v>250</v>
      </c>
      <c r="B8" s="98" t="s">
        <v>251</v>
      </c>
      <c r="C8" s="98" t="s">
        <v>260</v>
      </c>
      <c r="D8" s="100">
        <v>0.11634959349593499</v>
      </c>
      <c r="E8" s="100">
        <v>0.11166666666666669</v>
      </c>
      <c r="F8" s="100">
        <v>0.10802439024390247</v>
      </c>
      <c r="G8" s="100">
        <v>0.10594308943089432</v>
      </c>
      <c r="H8" s="100">
        <v>0.10511056910569107</v>
      </c>
      <c r="I8" s="100">
        <v>0.10448617886178863</v>
      </c>
      <c r="J8" s="100">
        <v>0.10417398373983741</v>
      </c>
    </row>
    <row r="9" spans="1:18">
      <c r="A9" s="98" t="s">
        <v>250</v>
      </c>
      <c r="B9" s="98" t="s">
        <v>261</v>
      </c>
      <c r="C9" s="98" t="s">
        <v>252</v>
      </c>
      <c r="D9" s="100">
        <v>4.0311988684150167E-2</v>
      </c>
      <c r="E9" s="100">
        <v>3.5629061854881877E-2</v>
      </c>
      <c r="F9" s="100">
        <v>3.1986785432117644E-2</v>
      </c>
      <c r="G9" s="100">
        <v>2.9905484619109513E-2</v>
      </c>
      <c r="H9" s="100">
        <v>2.9072964293906264E-2</v>
      </c>
      <c r="I9" s="100">
        <v>2.8448574050003825E-2</v>
      </c>
      <c r="J9" s="100">
        <v>2.8136378928052604E-2</v>
      </c>
    </row>
    <row r="10" spans="1:18">
      <c r="A10" s="98" t="s">
        <v>250</v>
      </c>
      <c r="B10" s="98" t="s">
        <v>261</v>
      </c>
      <c r="C10" s="98" t="s">
        <v>254</v>
      </c>
      <c r="D10" s="100">
        <v>4.5133776792313382E-2</v>
      </c>
      <c r="E10" s="100">
        <v>4.0450849963045085E-2</v>
      </c>
      <c r="F10" s="100">
        <v>3.6808573540280859E-2</v>
      </c>
      <c r="G10" s="100">
        <v>3.4727272727272725E-2</v>
      </c>
      <c r="H10" s="100">
        <v>3.3894752402069475E-2</v>
      </c>
      <c r="I10" s="100">
        <v>3.327036215816704E-2</v>
      </c>
      <c r="J10" s="100">
        <v>3.2958167036215819E-2</v>
      </c>
    </row>
    <row r="11" spans="1:18">
      <c r="A11" s="98" t="s">
        <v>250</v>
      </c>
      <c r="B11" s="98" t="s">
        <v>261</v>
      </c>
      <c r="C11" s="98" t="s">
        <v>256</v>
      </c>
      <c r="D11" s="100">
        <v>5.1165742793791574E-2</v>
      </c>
      <c r="E11" s="100">
        <v>4.6482815964523277E-2</v>
      </c>
      <c r="F11" s="100">
        <v>4.2840539541759044E-2</v>
      </c>
      <c r="G11" s="100">
        <v>4.0759238728750917E-2</v>
      </c>
      <c r="H11" s="100">
        <v>3.9926718403547667E-2</v>
      </c>
      <c r="I11" s="100">
        <v>3.9302328159645225E-2</v>
      </c>
      <c r="J11" s="100">
        <v>3.8990133037694011E-2</v>
      </c>
    </row>
    <row r="12" spans="1:18">
      <c r="A12" s="98" t="s">
        <v>250</v>
      </c>
      <c r="B12" s="98" t="s">
        <v>261</v>
      </c>
      <c r="C12" s="98" t="s">
        <v>258</v>
      </c>
      <c r="D12" s="100">
        <v>6.1433937654884571E-2</v>
      </c>
      <c r="E12" s="100">
        <v>5.6751010825616281E-2</v>
      </c>
      <c r="F12" s="100">
        <v>5.3108734402852055E-2</v>
      </c>
      <c r="G12" s="100">
        <v>5.1027433589843921E-2</v>
      </c>
      <c r="H12" s="100">
        <v>5.0194913264640678E-2</v>
      </c>
      <c r="I12" s="100">
        <v>4.9570523020738236E-2</v>
      </c>
      <c r="J12" s="100">
        <v>4.9258327898787015E-2</v>
      </c>
    </row>
    <row r="13" spans="1:18">
      <c r="A13" s="98" t="s">
        <v>250</v>
      </c>
      <c r="B13" s="98" t="s">
        <v>261</v>
      </c>
      <c r="C13" s="98" t="s">
        <v>259</v>
      </c>
      <c r="D13" s="100">
        <v>8.0040252430496325E-2</v>
      </c>
      <c r="E13" s="100">
        <v>7.5357325601228042E-2</v>
      </c>
      <c r="F13" s="100">
        <v>7.1715049178463816E-2</v>
      </c>
      <c r="G13" s="100">
        <v>6.9633748365455689E-2</v>
      </c>
      <c r="H13" s="100">
        <v>6.8801228040252432E-2</v>
      </c>
      <c r="I13" s="100">
        <v>6.817683779634999E-2</v>
      </c>
      <c r="J13" s="100">
        <v>6.7864642674398776E-2</v>
      </c>
    </row>
    <row r="14" spans="1:18">
      <c r="A14" s="98" t="s">
        <v>250</v>
      </c>
      <c r="B14" s="98" t="s">
        <v>261</v>
      </c>
      <c r="C14" s="98" t="s">
        <v>260</v>
      </c>
      <c r="D14" s="100">
        <v>0.10807169253510719</v>
      </c>
      <c r="E14" s="100">
        <v>0.10338876570583889</v>
      </c>
      <c r="F14" s="100">
        <v>9.9746489283074669E-2</v>
      </c>
      <c r="G14" s="100">
        <v>9.7665188470066541E-2</v>
      </c>
      <c r="H14" s="100">
        <v>9.6832668144863285E-2</v>
      </c>
      <c r="I14" s="100">
        <v>9.6208277900960856E-2</v>
      </c>
      <c r="J14" s="100">
        <v>9.5896082779009628E-2</v>
      </c>
    </row>
    <row r="15" spans="1:18">
      <c r="A15" s="98" t="s">
        <v>250</v>
      </c>
      <c r="B15" s="98" t="s">
        <v>262</v>
      </c>
      <c r="C15" s="98" t="s">
        <v>252</v>
      </c>
      <c r="D15" s="100">
        <v>3.7484035423250961E-2</v>
      </c>
      <c r="E15" s="100">
        <v>3.2801108593982664E-2</v>
      </c>
      <c r="F15" s="100">
        <v>2.9158832171218434E-2</v>
      </c>
      <c r="G15" s="100">
        <v>2.7077531358210304E-2</v>
      </c>
      <c r="H15" s="100">
        <v>2.6245011033007054E-2</v>
      </c>
      <c r="I15" s="100">
        <v>2.5620620789104612E-2</v>
      </c>
      <c r="J15" s="100">
        <v>2.5308425667153394E-2</v>
      </c>
    </row>
    <row r="16" spans="1:18">
      <c r="A16" s="98" t="s">
        <v>250</v>
      </c>
      <c r="B16" s="98" t="s">
        <v>262</v>
      </c>
      <c r="C16" s="98" t="s">
        <v>254</v>
      </c>
      <c r="D16" s="100">
        <v>4.176798515601176E-2</v>
      </c>
      <c r="E16" s="100">
        <v>3.708505832674347E-2</v>
      </c>
      <c r="F16" s="100">
        <v>3.3442781903979237E-2</v>
      </c>
      <c r="G16" s="100">
        <v>3.1361481090971109E-2</v>
      </c>
      <c r="H16" s="100">
        <v>3.052896076576786E-2</v>
      </c>
      <c r="I16" s="100">
        <v>2.9904570521865421E-2</v>
      </c>
      <c r="J16" s="100">
        <v>2.95923753999142E-2</v>
      </c>
    </row>
    <row r="17" spans="1:10">
      <c r="A17" s="98" t="s">
        <v>250</v>
      </c>
      <c r="B17" s="98" t="s">
        <v>262</v>
      </c>
      <c r="C17" s="98" t="s">
        <v>256</v>
      </c>
      <c r="D17" s="100">
        <v>4.7201843610934525E-2</v>
      </c>
      <c r="E17" s="100">
        <v>4.2518916781666229E-2</v>
      </c>
      <c r="F17" s="100">
        <v>3.8876640358901995E-2</v>
      </c>
      <c r="G17" s="100">
        <v>3.6795339545893868E-2</v>
      </c>
      <c r="H17" s="100">
        <v>3.5962819220690619E-2</v>
      </c>
      <c r="I17" s="100">
        <v>3.5338428976788176E-2</v>
      </c>
      <c r="J17" s="100">
        <v>3.5026233854836962E-2</v>
      </c>
    </row>
    <row r="18" spans="1:10">
      <c r="A18" s="98" t="s">
        <v>250</v>
      </c>
      <c r="B18" s="98" t="s">
        <v>262</v>
      </c>
      <c r="C18" s="98" t="s">
        <v>258</v>
      </c>
      <c r="D18" s="100">
        <v>5.6267932406708986E-2</v>
      </c>
      <c r="E18" s="100">
        <v>5.1585005577440696E-2</v>
      </c>
      <c r="F18" s="100">
        <v>4.7942729154676469E-2</v>
      </c>
      <c r="G18" s="100">
        <v>4.5861428341668335E-2</v>
      </c>
      <c r="H18" s="100">
        <v>4.5028908016465086E-2</v>
      </c>
      <c r="I18" s="100">
        <v>4.440451777256265E-2</v>
      </c>
      <c r="J18" s="100">
        <v>4.4092322650611429E-2</v>
      </c>
    </row>
    <row r="19" spans="1:10">
      <c r="A19" s="98" t="s">
        <v>250</v>
      </c>
      <c r="B19" s="98" t="s">
        <v>262</v>
      </c>
      <c r="C19" s="98" t="s">
        <v>259</v>
      </c>
      <c r="D19" s="100">
        <v>7.2466407206983705E-2</v>
      </c>
      <c r="E19" s="100">
        <v>6.7783480377715408E-2</v>
      </c>
      <c r="F19" s="100">
        <v>6.4141203954951181E-2</v>
      </c>
      <c r="G19" s="100">
        <v>6.2059903141943047E-2</v>
      </c>
      <c r="H19" s="100">
        <v>6.1227382816739798E-2</v>
      </c>
      <c r="I19" s="100">
        <v>6.0602992572837362E-2</v>
      </c>
      <c r="J19" s="100">
        <v>6.0290797450886141E-2</v>
      </c>
    </row>
    <row r="20" spans="1:10">
      <c r="A20" s="98" t="s">
        <v>250</v>
      </c>
      <c r="B20" s="98" t="s">
        <v>262</v>
      </c>
      <c r="C20" s="98" t="s">
        <v>260</v>
      </c>
      <c r="D20" s="100">
        <v>9.7591356167852847E-2</v>
      </c>
      <c r="E20" s="100">
        <v>9.290842933858455E-2</v>
      </c>
      <c r="F20" s="100">
        <v>8.9266152915820338E-2</v>
      </c>
      <c r="G20" s="100">
        <v>8.7184852102812196E-2</v>
      </c>
      <c r="H20" s="100">
        <v>8.635233177760894E-2</v>
      </c>
      <c r="I20" s="100">
        <v>8.5727941533706511E-2</v>
      </c>
      <c r="J20" s="100">
        <v>8.5415746411755297E-2</v>
      </c>
    </row>
    <row r="21" spans="1:10">
      <c r="A21" s="99" t="s">
        <v>240</v>
      </c>
      <c r="B21" s="99" t="s">
        <v>251</v>
      </c>
      <c r="C21" s="99" t="s">
        <v>252</v>
      </c>
      <c r="D21" s="101">
        <f t="shared" ref="D21:J36" si="0">D3*$M$5</f>
        <v>5.5745290159798157E-2</v>
      </c>
      <c r="E21" s="101">
        <f t="shared" si="0"/>
        <v>4.9657485281749382E-2</v>
      </c>
      <c r="F21" s="101">
        <f t="shared" si="0"/>
        <v>4.4922525932155892E-2</v>
      </c>
      <c r="G21" s="101">
        <f t="shared" si="0"/>
        <v>4.2216834875245315E-2</v>
      </c>
      <c r="H21" s="101">
        <f t="shared" si="0"/>
        <v>4.1134558452481082E-2</v>
      </c>
      <c r="I21" s="101">
        <f t="shared" si="0"/>
        <v>4.0322851135407914E-2</v>
      </c>
      <c r="J21" s="101">
        <f t="shared" si="0"/>
        <v>3.991699747687133E-2</v>
      </c>
    </row>
    <row r="22" spans="1:10">
      <c r="A22" s="99" t="s">
        <v>240</v>
      </c>
      <c r="B22" s="99" t="s">
        <v>251</v>
      </c>
      <c r="C22" s="99" t="s">
        <v>254</v>
      </c>
      <c r="D22" s="101">
        <f t="shared" si="0"/>
        <v>6.254796747967481E-2</v>
      </c>
      <c r="E22" s="101">
        <f t="shared" si="0"/>
        <v>5.6460162601626028E-2</v>
      </c>
      <c r="F22" s="101">
        <f t="shared" si="0"/>
        <v>5.1725203252032524E-2</v>
      </c>
      <c r="G22" s="101">
        <f t="shared" si="0"/>
        <v>4.9019512195121968E-2</v>
      </c>
      <c r="H22" s="101">
        <f t="shared" si="0"/>
        <v>4.7937235772357728E-2</v>
      </c>
      <c r="I22" s="101">
        <f t="shared" si="0"/>
        <v>4.7125528455284553E-2</v>
      </c>
      <c r="J22" s="101">
        <f t="shared" si="0"/>
        <v>4.6719674796747962E-2</v>
      </c>
    </row>
    <row r="23" spans="1:10">
      <c r="A23" s="99" t="s">
        <v>240</v>
      </c>
      <c r="B23" s="99" t="s">
        <v>251</v>
      </c>
      <c r="C23" s="99" t="s">
        <v>256</v>
      </c>
      <c r="D23" s="101">
        <f t="shared" si="0"/>
        <v>7.1127439024390254E-2</v>
      </c>
      <c r="E23" s="101">
        <f t="shared" si="0"/>
        <v>6.503963414634148E-2</v>
      </c>
      <c r="F23" s="101">
        <f t="shared" si="0"/>
        <v>6.0304674796747976E-2</v>
      </c>
      <c r="G23" s="101">
        <f t="shared" si="0"/>
        <v>5.7598983739837406E-2</v>
      </c>
      <c r="H23" s="101">
        <f t="shared" si="0"/>
        <v>5.6516707317073173E-2</v>
      </c>
      <c r="I23" s="101">
        <f t="shared" si="0"/>
        <v>5.5704999999999998E-2</v>
      </c>
      <c r="J23" s="101">
        <f t="shared" si="0"/>
        <v>5.529914634146342E-2</v>
      </c>
    </row>
    <row r="24" spans="1:10">
      <c r="A24" s="99" t="s">
        <v>240</v>
      </c>
      <c r="B24" s="99" t="s">
        <v>251</v>
      </c>
      <c r="C24" s="99" t="s">
        <v>258</v>
      </c>
      <c r="D24" s="101">
        <f t="shared" si="0"/>
        <v>8.5561262553802003E-2</v>
      </c>
      <c r="E24" s="101">
        <f t="shared" si="0"/>
        <v>7.9473457675753229E-2</v>
      </c>
      <c r="F24" s="101">
        <f t="shared" si="0"/>
        <v>7.4738498326159739E-2</v>
      </c>
      <c r="G24" s="101">
        <f t="shared" si="0"/>
        <v>7.2032807269249169E-2</v>
      </c>
      <c r="H24" s="101">
        <f t="shared" si="0"/>
        <v>7.0950530846484935E-2</v>
      </c>
      <c r="I24" s="101">
        <f t="shared" si="0"/>
        <v>7.0138823529411767E-2</v>
      </c>
      <c r="J24" s="101">
        <f t="shared" si="0"/>
        <v>6.9732969870875183E-2</v>
      </c>
    </row>
    <row r="25" spans="1:10">
      <c r="A25" s="99" t="s">
        <v>240</v>
      </c>
      <c r="B25" s="99" t="s">
        <v>251</v>
      </c>
      <c r="C25" s="99" t="s">
        <v>259</v>
      </c>
      <c r="D25" s="101">
        <f t="shared" si="0"/>
        <v>0.11150243902439025</v>
      </c>
      <c r="E25" s="101">
        <f t="shared" si="0"/>
        <v>0.10541463414634146</v>
      </c>
      <c r="F25" s="101">
        <f t="shared" si="0"/>
        <v>0.10067967479674797</v>
      </c>
      <c r="G25" s="101">
        <f t="shared" si="0"/>
        <v>9.79739837398374E-2</v>
      </c>
      <c r="H25" s="101">
        <f t="shared" si="0"/>
        <v>9.6891707317073181E-2</v>
      </c>
      <c r="I25" s="101">
        <f t="shared" si="0"/>
        <v>9.6080000000000013E-2</v>
      </c>
      <c r="J25" s="101">
        <f t="shared" si="0"/>
        <v>9.5674146341463415E-2</v>
      </c>
    </row>
    <row r="26" spans="1:10">
      <c r="A26" s="99" t="s">
        <v>240</v>
      </c>
      <c r="B26" s="99" t="s">
        <v>251</v>
      </c>
      <c r="C26" s="99" t="s">
        <v>260</v>
      </c>
      <c r="D26" s="101">
        <f t="shared" si="0"/>
        <v>0.1512544715447155</v>
      </c>
      <c r="E26" s="101">
        <f t="shared" si="0"/>
        <v>0.14516666666666669</v>
      </c>
      <c r="F26" s="101">
        <f t="shared" si="0"/>
        <v>0.14043170731707322</v>
      </c>
      <c r="G26" s="101">
        <f t="shared" si="0"/>
        <v>0.13772601626016262</v>
      </c>
      <c r="H26" s="101">
        <f t="shared" si="0"/>
        <v>0.13664373983739839</v>
      </c>
      <c r="I26" s="101">
        <f t="shared" si="0"/>
        <v>0.13583203252032522</v>
      </c>
      <c r="J26" s="101">
        <f t="shared" si="0"/>
        <v>0.13542617886178865</v>
      </c>
    </row>
    <row r="27" spans="1:10">
      <c r="A27" s="99" t="s">
        <v>240</v>
      </c>
      <c r="B27" s="99" t="s">
        <v>261</v>
      </c>
      <c r="C27" s="99" t="s">
        <v>252</v>
      </c>
      <c r="D27" s="101">
        <f t="shared" si="0"/>
        <v>5.2405585289395221E-2</v>
      </c>
      <c r="E27" s="101">
        <f t="shared" si="0"/>
        <v>4.6317780411346439E-2</v>
      </c>
      <c r="F27" s="101">
        <f t="shared" si="0"/>
        <v>4.1582821061752942E-2</v>
      </c>
      <c r="G27" s="101">
        <f t="shared" si="0"/>
        <v>3.8877130004842365E-2</v>
      </c>
      <c r="H27" s="101">
        <f t="shared" si="0"/>
        <v>3.7794853582078146E-2</v>
      </c>
      <c r="I27" s="101">
        <f t="shared" si="0"/>
        <v>3.6983146265004971E-2</v>
      </c>
      <c r="J27" s="101">
        <f t="shared" si="0"/>
        <v>3.6577292606468387E-2</v>
      </c>
    </row>
    <row r="28" spans="1:10">
      <c r="A28" s="99" t="s">
        <v>240</v>
      </c>
      <c r="B28" s="99" t="s">
        <v>261</v>
      </c>
      <c r="C28" s="99" t="s">
        <v>254</v>
      </c>
      <c r="D28" s="101">
        <f t="shared" si="0"/>
        <v>5.8673909830007399E-2</v>
      </c>
      <c r="E28" s="101">
        <f t="shared" si="0"/>
        <v>5.2586104951958611E-2</v>
      </c>
      <c r="F28" s="101">
        <f t="shared" si="0"/>
        <v>4.7851145602365121E-2</v>
      </c>
      <c r="G28" s="101">
        <f t="shared" si="0"/>
        <v>4.5145454545454544E-2</v>
      </c>
      <c r="H28" s="101">
        <f t="shared" si="0"/>
        <v>4.4063178122690318E-2</v>
      </c>
      <c r="I28" s="101">
        <f t="shared" si="0"/>
        <v>4.3251470805617157E-2</v>
      </c>
      <c r="J28" s="101">
        <f t="shared" si="0"/>
        <v>4.2845617147080566E-2</v>
      </c>
    </row>
    <row r="29" spans="1:10">
      <c r="A29" s="99" t="s">
        <v>240</v>
      </c>
      <c r="B29" s="99" t="s">
        <v>261</v>
      </c>
      <c r="C29" s="99" t="s">
        <v>256</v>
      </c>
      <c r="D29" s="101">
        <f t="shared" si="0"/>
        <v>6.6515465631929047E-2</v>
      </c>
      <c r="E29" s="101">
        <f t="shared" si="0"/>
        <v>6.0427660753880265E-2</v>
      </c>
      <c r="F29" s="101">
        <f t="shared" si="0"/>
        <v>5.5692701404286761E-2</v>
      </c>
      <c r="G29" s="101">
        <f t="shared" si="0"/>
        <v>5.2987010347376191E-2</v>
      </c>
      <c r="H29" s="101">
        <f t="shared" si="0"/>
        <v>5.1904733924611972E-2</v>
      </c>
      <c r="I29" s="101">
        <f t="shared" si="0"/>
        <v>5.1093026607538797E-2</v>
      </c>
      <c r="J29" s="101">
        <f t="shared" si="0"/>
        <v>5.0687172949002213E-2</v>
      </c>
    </row>
    <row r="30" spans="1:10">
      <c r="A30" s="99" t="s">
        <v>240</v>
      </c>
      <c r="B30" s="99" t="s">
        <v>261</v>
      </c>
      <c r="C30" s="99" t="s">
        <v>258</v>
      </c>
      <c r="D30" s="101">
        <f t="shared" si="0"/>
        <v>7.9864118951349941E-2</v>
      </c>
      <c r="E30" s="101">
        <f t="shared" si="0"/>
        <v>7.3776314073301166E-2</v>
      </c>
      <c r="F30" s="101">
        <f t="shared" si="0"/>
        <v>6.9041354723707676E-2</v>
      </c>
      <c r="G30" s="101">
        <f t="shared" si="0"/>
        <v>6.6335663666797093E-2</v>
      </c>
      <c r="H30" s="101">
        <f t="shared" si="0"/>
        <v>6.5253387244032887E-2</v>
      </c>
      <c r="I30" s="101">
        <f t="shared" si="0"/>
        <v>6.4441679926959705E-2</v>
      </c>
      <c r="J30" s="101">
        <f t="shared" si="0"/>
        <v>6.4035826268423121E-2</v>
      </c>
    </row>
    <row r="31" spans="1:10">
      <c r="A31" s="99" t="s">
        <v>240</v>
      </c>
      <c r="B31" s="99" t="s">
        <v>261</v>
      </c>
      <c r="C31" s="99" t="s">
        <v>259</v>
      </c>
      <c r="D31" s="101">
        <f t="shared" si="0"/>
        <v>0.10405232815964523</v>
      </c>
      <c r="E31" s="101">
        <f t="shared" si="0"/>
        <v>9.7964523281596452E-2</v>
      </c>
      <c r="F31" s="101">
        <f t="shared" si="0"/>
        <v>9.3229563932002962E-2</v>
      </c>
      <c r="G31" s="101">
        <f t="shared" si="0"/>
        <v>9.0523872875092393E-2</v>
      </c>
      <c r="H31" s="101">
        <f t="shared" si="0"/>
        <v>8.9441596452328159E-2</v>
      </c>
      <c r="I31" s="101">
        <f t="shared" si="0"/>
        <v>8.8629889135254991E-2</v>
      </c>
      <c r="J31" s="101">
        <f t="shared" si="0"/>
        <v>8.8224035476718407E-2</v>
      </c>
    </row>
    <row r="32" spans="1:10">
      <c r="A32" s="99" t="s">
        <v>240</v>
      </c>
      <c r="B32" s="99" t="s">
        <v>261</v>
      </c>
      <c r="C32" s="99" t="s">
        <v>260</v>
      </c>
      <c r="D32" s="101">
        <f t="shared" si="0"/>
        <v>0.14049320029563936</v>
      </c>
      <c r="E32" s="101">
        <f t="shared" si="0"/>
        <v>0.13440539541759056</v>
      </c>
      <c r="F32" s="101">
        <f t="shared" si="0"/>
        <v>0.12967043606799708</v>
      </c>
      <c r="G32" s="101">
        <f t="shared" si="0"/>
        <v>0.12696474501108651</v>
      </c>
      <c r="H32" s="101">
        <f t="shared" si="0"/>
        <v>0.12588246858832228</v>
      </c>
      <c r="I32" s="101">
        <f t="shared" si="0"/>
        <v>0.12507076127124911</v>
      </c>
      <c r="J32" s="101">
        <f t="shared" si="0"/>
        <v>0.12466490761271252</v>
      </c>
    </row>
    <row r="33" spans="1:10">
      <c r="A33" s="99" t="s">
        <v>240</v>
      </c>
      <c r="B33" s="99" t="s">
        <v>262</v>
      </c>
      <c r="C33" s="99" t="s">
        <v>252</v>
      </c>
      <c r="D33" s="101">
        <f t="shared" si="0"/>
        <v>4.8729246050226251E-2</v>
      </c>
      <c r="E33" s="101">
        <f t="shared" si="0"/>
        <v>4.2641441172177462E-2</v>
      </c>
      <c r="F33" s="101">
        <f t="shared" si="0"/>
        <v>3.7906481822583965E-2</v>
      </c>
      <c r="G33" s="101">
        <f t="shared" si="0"/>
        <v>3.5200790765673395E-2</v>
      </c>
      <c r="H33" s="101">
        <f t="shared" si="0"/>
        <v>3.4118514342909169E-2</v>
      </c>
      <c r="I33" s="101">
        <f t="shared" si="0"/>
        <v>3.3306807025835994E-2</v>
      </c>
      <c r="J33" s="101">
        <f t="shared" si="0"/>
        <v>3.2900953367299417E-2</v>
      </c>
    </row>
    <row r="34" spans="1:10">
      <c r="A34" s="99" t="s">
        <v>240</v>
      </c>
      <c r="B34" s="99" t="s">
        <v>262</v>
      </c>
      <c r="C34" s="99" t="s">
        <v>254</v>
      </c>
      <c r="D34" s="101">
        <f t="shared" si="0"/>
        <v>5.4298380702815292E-2</v>
      </c>
      <c r="E34" s="101">
        <f t="shared" si="0"/>
        <v>4.8210575824766511E-2</v>
      </c>
      <c r="F34" s="101">
        <f t="shared" si="0"/>
        <v>4.3475616475173007E-2</v>
      </c>
      <c r="G34" s="101">
        <f t="shared" si="0"/>
        <v>4.0769925418262444E-2</v>
      </c>
      <c r="H34" s="101">
        <f t="shared" si="0"/>
        <v>3.9687648995498218E-2</v>
      </c>
      <c r="I34" s="101">
        <f t="shared" si="0"/>
        <v>3.8875941678425049E-2</v>
      </c>
      <c r="J34" s="101">
        <f t="shared" si="0"/>
        <v>3.8470088019888458E-2</v>
      </c>
    </row>
    <row r="35" spans="1:10">
      <c r="A35" s="99" t="s">
        <v>240</v>
      </c>
      <c r="B35" s="99" t="s">
        <v>262</v>
      </c>
      <c r="C35" s="99" t="s">
        <v>256</v>
      </c>
      <c r="D35" s="101">
        <f t="shared" si="0"/>
        <v>6.1362396694214887E-2</v>
      </c>
      <c r="E35" s="101">
        <f t="shared" si="0"/>
        <v>5.5274591816166098E-2</v>
      </c>
      <c r="F35" s="101">
        <f t="shared" si="0"/>
        <v>5.0539632466572594E-2</v>
      </c>
      <c r="G35" s="101">
        <f t="shared" si="0"/>
        <v>4.7833941409662031E-2</v>
      </c>
      <c r="H35" s="101">
        <f t="shared" si="0"/>
        <v>4.6751664986897805E-2</v>
      </c>
      <c r="I35" s="101">
        <f t="shared" si="0"/>
        <v>4.593995766982463E-2</v>
      </c>
      <c r="J35" s="101">
        <f t="shared" si="0"/>
        <v>4.5534104011288053E-2</v>
      </c>
    </row>
    <row r="36" spans="1:10">
      <c r="A36" s="99" t="s">
        <v>240</v>
      </c>
      <c r="B36" s="99" t="s">
        <v>262</v>
      </c>
      <c r="C36" s="99" t="s">
        <v>258</v>
      </c>
      <c r="D36" s="101">
        <f t="shared" si="0"/>
        <v>7.3148312128721679E-2</v>
      </c>
      <c r="E36" s="101">
        <f t="shared" si="0"/>
        <v>6.7060507250672904E-2</v>
      </c>
      <c r="F36" s="101">
        <f t="shared" si="0"/>
        <v>6.2325547901079414E-2</v>
      </c>
      <c r="G36" s="101">
        <f t="shared" si="0"/>
        <v>5.9619856844168838E-2</v>
      </c>
      <c r="H36" s="101">
        <f t="shared" si="0"/>
        <v>5.8537580421404611E-2</v>
      </c>
      <c r="I36" s="101">
        <f t="shared" si="0"/>
        <v>5.772587310433145E-2</v>
      </c>
      <c r="J36" s="101">
        <f t="shared" si="0"/>
        <v>5.7320019445794859E-2</v>
      </c>
    </row>
    <row r="37" spans="1:10">
      <c r="A37" s="99" t="s">
        <v>240</v>
      </c>
      <c r="B37" s="99" t="s">
        <v>262</v>
      </c>
      <c r="C37" s="99" t="s">
        <v>259</v>
      </c>
      <c r="D37" s="102">
        <f t="shared" ref="D37:J38" si="1">D19*$M$5</f>
        <v>9.4206329369078814E-2</v>
      </c>
      <c r="E37" s="101">
        <f t="shared" si="1"/>
        <v>8.811852449103004E-2</v>
      </c>
      <c r="F37" s="101">
        <f t="shared" si="1"/>
        <v>8.3383565141436536E-2</v>
      </c>
      <c r="G37" s="101">
        <f t="shared" si="1"/>
        <v>8.0677874084525966E-2</v>
      </c>
      <c r="H37" s="101">
        <f t="shared" si="1"/>
        <v>7.9595597661761733E-2</v>
      </c>
      <c r="I37" s="101">
        <f t="shared" si="1"/>
        <v>7.8783890344688579E-2</v>
      </c>
      <c r="J37" s="101">
        <f t="shared" si="1"/>
        <v>7.8378036686151981E-2</v>
      </c>
    </row>
    <row r="38" spans="1:10">
      <c r="A38" s="99" t="s">
        <v>240</v>
      </c>
      <c r="B38" s="99" t="s">
        <v>262</v>
      </c>
      <c r="C38" s="99" t="s">
        <v>260</v>
      </c>
      <c r="D38" s="101">
        <f t="shared" si="1"/>
        <v>0.12686876301820871</v>
      </c>
      <c r="E38" s="101">
        <f t="shared" si="1"/>
        <v>0.12078095814015992</v>
      </c>
      <c r="F38" s="101">
        <f t="shared" si="1"/>
        <v>0.11604599879056644</v>
      </c>
      <c r="G38" s="101">
        <f t="shared" si="1"/>
        <v>0.11334030773365586</v>
      </c>
      <c r="H38" s="101">
        <f t="shared" si="1"/>
        <v>0.11225803131089163</v>
      </c>
      <c r="I38" s="101">
        <f t="shared" si="1"/>
        <v>0.11144632399381847</v>
      </c>
      <c r="J38" s="101">
        <f t="shared" si="1"/>
        <v>0.11104047033528189</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DF92-1610-416E-9E83-C082598FDB17}">
  <sheetPr>
    <pageSetUpPr fitToPage="1"/>
  </sheetPr>
  <dimension ref="A1:F122"/>
  <sheetViews>
    <sheetView zoomScale="80" zoomScaleNormal="80" workbookViewId="0">
      <selection activeCell="B16" sqref="B16"/>
    </sheetView>
  </sheetViews>
  <sheetFormatPr defaultColWidth="9.140625" defaultRowHeight="15"/>
  <cols>
    <col min="1" max="1" width="70.140625" style="120" customWidth="1"/>
    <col min="2" max="2" width="84.7109375" style="120" customWidth="1"/>
    <col min="3" max="3" width="39.42578125" style="120" bestFit="1" customWidth="1"/>
    <col min="4" max="4" width="22.42578125" style="120" bestFit="1" customWidth="1"/>
    <col min="5" max="5" width="23.28515625" style="120" bestFit="1" customWidth="1"/>
    <col min="6" max="6" width="57.42578125" style="120" customWidth="1"/>
    <col min="7" max="16384" width="9.140625" style="120"/>
  </cols>
  <sheetData>
    <row r="1" spans="1:6" ht="18.75">
      <c r="A1" s="1150" t="s">
        <v>277</v>
      </c>
      <c r="B1" s="1150"/>
      <c r="C1" s="1150"/>
      <c r="D1" s="1150"/>
      <c r="E1" s="1150"/>
      <c r="F1" s="1150"/>
    </row>
    <row r="2" spans="1:6" ht="37.5">
      <c r="A2" s="121" t="s">
        <v>278</v>
      </c>
      <c r="B2" s="122" t="s">
        <v>279</v>
      </c>
      <c r="C2" s="123" t="s">
        <v>280</v>
      </c>
      <c r="D2" s="123" t="s">
        <v>281</v>
      </c>
      <c r="E2" s="123" t="s">
        <v>282</v>
      </c>
      <c r="F2" s="123" t="s">
        <v>90</v>
      </c>
    </row>
    <row r="3" spans="1:6">
      <c r="A3" s="124" t="s">
        <v>283</v>
      </c>
      <c r="B3" s="125" t="s">
        <v>284</v>
      </c>
      <c r="C3" s="126" t="s">
        <v>285</v>
      </c>
      <c r="D3" s="127" t="s">
        <v>286</v>
      </c>
      <c r="E3" s="126"/>
      <c r="F3" s="126"/>
    </row>
    <row r="4" spans="1:6">
      <c r="A4" s="124" t="s">
        <v>287</v>
      </c>
      <c r="B4" s="125" t="s">
        <v>288</v>
      </c>
      <c r="C4" s="126" t="s">
        <v>285</v>
      </c>
      <c r="D4" s="127" t="s">
        <v>286</v>
      </c>
      <c r="E4" s="126"/>
      <c r="F4" s="126"/>
    </row>
    <row r="5" spans="1:6">
      <c r="A5" s="124" t="s">
        <v>289</v>
      </c>
      <c r="B5" s="125" t="s">
        <v>290</v>
      </c>
      <c r="C5" s="126" t="s">
        <v>285</v>
      </c>
      <c r="D5" s="127" t="s">
        <v>286</v>
      </c>
      <c r="E5" s="126"/>
      <c r="F5" s="126"/>
    </row>
    <row r="6" spans="1:6">
      <c r="A6" s="124"/>
      <c r="B6" s="128" t="s">
        <v>291</v>
      </c>
      <c r="C6" s="126"/>
      <c r="D6" s="127"/>
      <c r="E6" s="126"/>
      <c r="F6" s="126"/>
    </row>
    <row r="7" spans="1:6">
      <c r="A7" s="124"/>
      <c r="B7" s="128" t="s">
        <v>292</v>
      </c>
      <c r="C7" s="126"/>
      <c r="D7" s="127"/>
      <c r="E7" s="126"/>
      <c r="F7" s="126"/>
    </row>
    <row r="8" spans="1:6">
      <c r="A8" s="124" t="s">
        <v>293</v>
      </c>
      <c r="B8" s="125" t="s">
        <v>294</v>
      </c>
      <c r="C8" s="126" t="s">
        <v>285</v>
      </c>
      <c r="D8" s="127" t="s">
        <v>286</v>
      </c>
      <c r="E8" s="126"/>
      <c r="F8" s="126"/>
    </row>
    <row r="9" spans="1:6">
      <c r="A9" s="124" t="s">
        <v>295</v>
      </c>
      <c r="B9" s="125" t="s">
        <v>296</v>
      </c>
      <c r="C9" s="126" t="s">
        <v>285</v>
      </c>
      <c r="D9" s="127" t="s">
        <v>286</v>
      </c>
      <c r="E9" s="126"/>
      <c r="F9" s="126"/>
    </row>
    <row r="10" spans="1:6" ht="18.75" customHeight="1">
      <c r="A10" s="129" t="s">
        <v>297</v>
      </c>
      <c r="B10" s="128" t="s">
        <v>298</v>
      </c>
      <c r="C10" s="126" t="s">
        <v>299</v>
      </c>
      <c r="D10" s="127"/>
      <c r="E10" s="126"/>
      <c r="F10" s="126"/>
    </row>
    <row r="11" spans="1:6">
      <c r="A11" s="124" t="s">
        <v>300</v>
      </c>
      <c r="B11" s="128" t="s">
        <v>301</v>
      </c>
      <c r="C11" s="130" t="s">
        <v>299</v>
      </c>
      <c r="D11" s="127"/>
      <c r="E11" s="126"/>
      <c r="F11" s="126"/>
    </row>
    <row r="12" spans="1:6">
      <c r="A12" s="124" t="s">
        <v>302</v>
      </c>
      <c r="B12" s="125" t="s">
        <v>303</v>
      </c>
      <c r="C12" s="126" t="s">
        <v>285</v>
      </c>
      <c r="D12" s="127" t="s">
        <v>286</v>
      </c>
      <c r="E12" s="126"/>
      <c r="F12" s="126"/>
    </row>
    <row r="13" spans="1:6">
      <c r="A13" s="124"/>
      <c r="B13" s="128" t="s">
        <v>304</v>
      </c>
      <c r="C13" s="126"/>
      <c r="D13" s="127"/>
      <c r="E13" s="126"/>
      <c r="F13" s="126"/>
    </row>
    <row r="14" spans="1:6">
      <c r="A14" s="124"/>
      <c r="B14" s="128" t="s">
        <v>305</v>
      </c>
      <c r="C14" s="126" t="s">
        <v>306</v>
      </c>
      <c r="D14" s="127"/>
      <c r="E14" s="126"/>
      <c r="F14" s="126"/>
    </row>
    <row r="15" spans="1:6">
      <c r="A15" s="124"/>
      <c r="B15" s="128" t="s">
        <v>307</v>
      </c>
      <c r="C15" s="131" t="s">
        <v>308</v>
      </c>
      <c r="D15" s="127"/>
      <c r="E15" s="126"/>
      <c r="F15" s="126"/>
    </row>
    <row r="16" spans="1:6">
      <c r="A16" s="124" t="s">
        <v>309</v>
      </c>
      <c r="B16" s="128" t="s">
        <v>310</v>
      </c>
      <c r="C16" s="126" t="s">
        <v>311</v>
      </c>
      <c r="D16" s="127" t="s">
        <v>286</v>
      </c>
      <c r="E16" s="126"/>
      <c r="F16" s="126"/>
    </row>
    <row r="17" spans="1:6">
      <c r="A17" s="124" t="s">
        <v>312</v>
      </c>
      <c r="B17" s="125" t="s">
        <v>313</v>
      </c>
      <c r="C17" s="126" t="s">
        <v>285</v>
      </c>
      <c r="D17" s="127" t="s">
        <v>314</v>
      </c>
      <c r="E17" s="127"/>
      <c r="F17" s="126"/>
    </row>
    <row r="18" spans="1:6">
      <c r="A18" s="124"/>
      <c r="B18" s="132" t="s">
        <v>315</v>
      </c>
      <c r="C18" s="133" t="s">
        <v>316</v>
      </c>
      <c r="D18" s="127" t="s">
        <v>286</v>
      </c>
      <c r="E18" s="126"/>
      <c r="F18" s="126"/>
    </row>
    <row r="19" spans="1:6">
      <c r="A19" s="124" t="s">
        <v>317</v>
      </c>
      <c r="B19" s="128" t="s">
        <v>318</v>
      </c>
      <c r="C19" s="126" t="s">
        <v>285</v>
      </c>
      <c r="D19" s="127" t="s">
        <v>319</v>
      </c>
      <c r="E19" s="127"/>
      <c r="F19" s="126"/>
    </row>
    <row r="20" spans="1:6">
      <c r="A20" s="124"/>
      <c r="B20" s="128" t="s">
        <v>320</v>
      </c>
      <c r="C20" s="131" t="s">
        <v>308</v>
      </c>
      <c r="D20" s="127"/>
      <c r="E20" s="127"/>
      <c r="F20" s="126"/>
    </row>
    <row r="21" spans="1:6">
      <c r="A21" s="124"/>
      <c r="B21" s="134" t="s">
        <v>321</v>
      </c>
      <c r="C21" s="133" t="s">
        <v>316</v>
      </c>
      <c r="D21" s="127" t="s">
        <v>286</v>
      </c>
      <c r="E21" s="126"/>
      <c r="F21" s="126"/>
    </row>
    <row r="22" spans="1:6">
      <c r="A22" s="124"/>
      <c r="B22" s="135" t="s">
        <v>322</v>
      </c>
      <c r="C22" s="131" t="s">
        <v>308</v>
      </c>
      <c r="D22" s="126"/>
      <c r="E22" s="126"/>
      <c r="F22" s="126"/>
    </row>
    <row r="23" spans="1:6">
      <c r="A23" s="124"/>
      <c r="B23" s="136" t="s">
        <v>323</v>
      </c>
      <c r="C23" s="131" t="s">
        <v>308</v>
      </c>
      <c r="D23" s="126"/>
      <c r="E23" s="126"/>
      <c r="F23" s="126"/>
    </row>
    <row r="24" spans="1:6">
      <c r="A24" s="124"/>
      <c r="B24" s="136" t="s">
        <v>323</v>
      </c>
      <c r="C24" s="131" t="s">
        <v>308</v>
      </c>
      <c r="D24" s="126"/>
      <c r="E24" s="126"/>
      <c r="F24" s="126"/>
    </row>
    <row r="25" spans="1:6">
      <c r="A25" s="124"/>
      <c r="B25" s="135" t="s">
        <v>324</v>
      </c>
      <c r="C25" s="131" t="s">
        <v>308</v>
      </c>
      <c r="D25" s="126"/>
      <c r="E25" s="126"/>
      <c r="F25" s="126"/>
    </row>
    <row r="26" spans="1:6">
      <c r="A26" s="124"/>
      <c r="B26" s="137" t="s">
        <v>325</v>
      </c>
      <c r="C26" s="133" t="s">
        <v>316</v>
      </c>
      <c r="D26" s="126"/>
      <c r="E26" s="126"/>
      <c r="F26" s="126"/>
    </row>
    <row r="27" spans="1:6">
      <c r="A27" s="124" t="s">
        <v>326</v>
      </c>
      <c r="B27" s="128" t="s">
        <v>327</v>
      </c>
      <c r="C27" s="126" t="s">
        <v>285</v>
      </c>
      <c r="D27" s="127" t="s">
        <v>328</v>
      </c>
      <c r="E27" s="127"/>
      <c r="F27" s="126"/>
    </row>
    <row r="28" spans="1:6" ht="15" customHeight="1">
      <c r="A28" s="124"/>
      <c r="B28" s="134" t="s">
        <v>329</v>
      </c>
      <c r="C28" s="138" t="s">
        <v>316</v>
      </c>
      <c r="D28" s="127" t="s">
        <v>330</v>
      </c>
      <c r="E28" s="127" t="s">
        <v>331</v>
      </c>
      <c r="F28" s="126" t="s">
        <v>332</v>
      </c>
    </row>
    <row r="29" spans="1:6" ht="15" customHeight="1">
      <c r="A29" s="124"/>
      <c r="B29" s="135" t="s">
        <v>333</v>
      </c>
      <c r="C29" s="126" t="s">
        <v>308</v>
      </c>
      <c r="D29" s="126"/>
      <c r="E29" s="126"/>
      <c r="F29" s="126"/>
    </row>
    <row r="30" spans="1:6" ht="15" customHeight="1">
      <c r="A30" s="124"/>
      <c r="B30" s="135" t="s">
        <v>334</v>
      </c>
      <c r="C30" s="126" t="s">
        <v>308</v>
      </c>
      <c r="D30" s="126"/>
      <c r="E30" s="126"/>
      <c r="F30" s="126"/>
    </row>
    <row r="31" spans="1:6" ht="13.5" customHeight="1">
      <c r="A31" s="124" t="s">
        <v>335</v>
      </c>
      <c r="B31" s="125" t="s">
        <v>336</v>
      </c>
      <c r="C31" s="139" t="s">
        <v>285</v>
      </c>
      <c r="D31" s="127" t="s">
        <v>286</v>
      </c>
      <c r="E31" s="126"/>
      <c r="F31" s="126"/>
    </row>
    <row r="32" spans="1:6">
      <c r="A32" s="124" t="s">
        <v>337</v>
      </c>
      <c r="B32" s="125" t="s">
        <v>338</v>
      </c>
      <c r="C32" s="139" t="s">
        <v>285</v>
      </c>
      <c r="D32" s="127" t="s">
        <v>286</v>
      </c>
      <c r="E32" s="126"/>
      <c r="F32" s="126"/>
    </row>
    <row r="33" spans="1:6">
      <c r="A33" s="124" t="s">
        <v>339</v>
      </c>
      <c r="B33" s="125" t="s">
        <v>340</v>
      </c>
      <c r="C33" s="139" t="s">
        <v>285</v>
      </c>
      <c r="D33" s="127" t="s">
        <v>286</v>
      </c>
      <c r="E33" s="126"/>
      <c r="F33" s="126"/>
    </row>
    <row r="34" spans="1:6">
      <c r="A34" s="124" t="s">
        <v>341</v>
      </c>
      <c r="B34" s="125" t="s">
        <v>342</v>
      </c>
      <c r="C34" s="126" t="s">
        <v>285</v>
      </c>
      <c r="D34" s="127" t="s">
        <v>286</v>
      </c>
      <c r="E34" s="127"/>
      <c r="F34" s="126" t="s">
        <v>343</v>
      </c>
    </row>
    <row r="35" spans="1:6">
      <c r="A35" s="124" t="s">
        <v>344</v>
      </c>
      <c r="B35" s="125" t="s">
        <v>345</v>
      </c>
      <c r="C35" s="126" t="s">
        <v>285</v>
      </c>
      <c r="D35" s="127" t="s">
        <v>286</v>
      </c>
      <c r="E35" s="126"/>
      <c r="F35" s="126"/>
    </row>
    <row r="36" spans="1:6">
      <c r="A36" s="124" t="s">
        <v>346</v>
      </c>
      <c r="B36" s="125" t="s">
        <v>347</v>
      </c>
      <c r="C36" s="126" t="s">
        <v>285</v>
      </c>
      <c r="D36" s="127" t="s">
        <v>286</v>
      </c>
      <c r="E36" s="126"/>
      <c r="F36" s="126"/>
    </row>
    <row r="37" spans="1:6">
      <c r="A37" s="124" t="s">
        <v>348</v>
      </c>
      <c r="B37" s="125" t="s">
        <v>349</v>
      </c>
      <c r="C37" s="126" t="s">
        <v>285</v>
      </c>
      <c r="D37" s="127" t="s">
        <v>286</v>
      </c>
      <c r="E37" s="126"/>
      <c r="F37" s="126"/>
    </row>
    <row r="38" spans="1:6">
      <c r="A38" s="124" t="s">
        <v>350</v>
      </c>
      <c r="B38" s="125" t="s">
        <v>351</v>
      </c>
      <c r="C38" s="126" t="s">
        <v>285</v>
      </c>
      <c r="D38" s="127" t="s">
        <v>286</v>
      </c>
      <c r="E38" s="126"/>
      <c r="F38" s="126"/>
    </row>
    <row r="39" spans="1:6">
      <c r="A39" s="124" t="s">
        <v>352</v>
      </c>
      <c r="B39" s="125" t="s">
        <v>353</v>
      </c>
      <c r="C39" s="126" t="s">
        <v>285</v>
      </c>
      <c r="D39" s="127" t="s">
        <v>286</v>
      </c>
      <c r="E39" s="127"/>
      <c r="F39" s="126" t="s">
        <v>354</v>
      </c>
    </row>
    <row r="40" spans="1:6">
      <c r="A40" s="124" t="s">
        <v>355</v>
      </c>
      <c r="B40" s="125" t="s">
        <v>356</v>
      </c>
      <c r="C40" s="126" t="s">
        <v>285</v>
      </c>
      <c r="D40" s="127" t="s">
        <v>286</v>
      </c>
      <c r="E40" s="126"/>
      <c r="F40" s="126" t="s">
        <v>357</v>
      </c>
    </row>
    <row r="41" spans="1:6" ht="17.25" customHeight="1">
      <c r="A41" s="124" t="s">
        <v>358</v>
      </c>
      <c r="B41" s="125" t="s">
        <v>359</v>
      </c>
      <c r="C41" s="126" t="s">
        <v>285</v>
      </c>
      <c r="D41" s="127" t="s">
        <v>286</v>
      </c>
      <c r="E41" s="127"/>
      <c r="F41" s="126" t="s">
        <v>360</v>
      </c>
    </row>
    <row r="42" spans="1:6">
      <c r="A42" s="124" t="s">
        <v>361</v>
      </c>
      <c r="B42" s="125" t="s">
        <v>362</v>
      </c>
      <c r="C42" s="126" t="s">
        <v>285</v>
      </c>
      <c r="D42" s="127" t="s">
        <v>286</v>
      </c>
      <c r="E42" s="127"/>
      <c r="F42" s="126" t="s">
        <v>363</v>
      </c>
    </row>
    <row r="43" spans="1:6">
      <c r="A43" s="124" t="s">
        <v>364</v>
      </c>
      <c r="B43" s="125" t="s">
        <v>365</v>
      </c>
      <c r="C43" s="126" t="s">
        <v>285</v>
      </c>
      <c r="D43" s="127" t="s">
        <v>286</v>
      </c>
      <c r="E43" s="126"/>
      <c r="F43" s="126" t="s">
        <v>366</v>
      </c>
    </row>
    <row r="44" spans="1:6">
      <c r="A44" s="124" t="s">
        <v>367</v>
      </c>
      <c r="B44" s="125" t="s">
        <v>368</v>
      </c>
      <c r="C44" s="126" t="s">
        <v>285</v>
      </c>
      <c r="D44" s="127" t="s">
        <v>286</v>
      </c>
      <c r="E44" s="126"/>
      <c r="F44" s="126" t="s">
        <v>369</v>
      </c>
    </row>
    <row r="45" spans="1:6">
      <c r="A45" s="124" t="s">
        <v>370</v>
      </c>
      <c r="B45" s="128" t="s">
        <v>371</v>
      </c>
      <c r="C45" s="126"/>
      <c r="D45" s="127"/>
      <c r="E45" s="126"/>
      <c r="F45" s="126"/>
    </row>
    <row r="46" spans="1:6">
      <c r="A46" s="124" t="s">
        <v>372</v>
      </c>
      <c r="B46" s="128" t="s">
        <v>373</v>
      </c>
      <c r="C46" s="126" t="s">
        <v>285</v>
      </c>
      <c r="D46" s="127" t="s">
        <v>286</v>
      </c>
      <c r="E46" s="126"/>
      <c r="F46" s="126" t="s">
        <v>374</v>
      </c>
    </row>
    <row r="47" spans="1:6">
      <c r="A47" s="124" t="s">
        <v>375</v>
      </c>
      <c r="B47" s="128" t="s">
        <v>376</v>
      </c>
      <c r="C47" s="126" t="s">
        <v>308</v>
      </c>
      <c r="D47" s="130"/>
      <c r="E47" s="127"/>
      <c r="F47" s="126" t="s">
        <v>377</v>
      </c>
    </row>
    <row r="48" spans="1:6">
      <c r="A48" s="124" t="s">
        <v>378</v>
      </c>
      <c r="B48" s="128" t="s">
        <v>379</v>
      </c>
      <c r="C48" s="126" t="s">
        <v>308</v>
      </c>
      <c r="D48" s="130"/>
      <c r="E48" s="127"/>
      <c r="F48" s="126" t="s">
        <v>377</v>
      </c>
    </row>
    <row r="49" spans="1:6">
      <c r="A49" s="124"/>
      <c r="B49" s="128" t="s">
        <v>380</v>
      </c>
      <c r="C49" s="126" t="s">
        <v>308</v>
      </c>
      <c r="D49" s="130"/>
      <c r="E49" s="127"/>
      <c r="F49" s="126"/>
    </row>
    <row r="50" spans="1:6">
      <c r="A50" s="124" t="s">
        <v>381</v>
      </c>
      <c r="B50" s="128" t="s">
        <v>382</v>
      </c>
      <c r="C50" s="126" t="s">
        <v>308</v>
      </c>
      <c r="D50" s="130"/>
      <c r="E50" s="127" t="s">
        <v>383</v>
      </c>
      <c r="F50" s="126"/>
    </row>
    <row r="51" spans="1:6">
      <c r="A51" s="124" t="s">
        <v>384</v>
      </c>
      <c r="B51" s="135" t="s">
        <v>385</v>
      </c>
      <c r="C51" s="126" t="s">
        <v>308</v>
      </c>
      <c r="D51" s="130"/>
      <c r="E51" s="127" t="s">
        <v>383</v>
      </c>
      <c r="F51" s="126"/>
    </row>
    <row r="52" spans="1:6">
      <c r="A52" s="124" t="s">
        <v>361</v>
      </c>
      <c r="B52" s="135" t="s">
        <v>386</v>
      </c>
      <c r="C52" s="126" t="s">
        <v>308</v>
      </c>
      <c r="D52" s="130"/>
      <c r="E52" s="127" t="s">
        <v>387</v>
      </c>
      <c r="F52" s="126"/>
    </row>
    <row r="53" spans="1:6">
      <c r="A53" s="124" t="s">
        <v>361</v>
      </c>
      <c r="B53" s="135" t="s">
        <v>388</v>
      </c>
      <c r="C53" s="126" t="s">
        <v>308</v>
      </c>
      <c r="D53" s="130"/>
      <c r="E53" s="127"/>
      <c r="F53" s="126"/>
    </row>
    <row r="54" spans="1:6">
      <c r="A54" s="124"/>
      <c r="B54" s="128" t="s">
        <v>389</v>
      </c>
      <c r="C54" s="126" t="s">
        <v>308</v>
      </c>
      <c r="D54" s="130"/>
      <c r="E54" s="126"/>
      <c r="F54" s="126"/>
    </row>
    <row r="55" spans="1:6">
      <c r="A55" s="124"/>
      <c r="B55" s="128" t="s">
        <v>390</v>
      </c>
      <c r="C55" s="126" t="s">
        <v>308</v>
      </c>
      <c r="D55" s="130"/>
      <c r="E55" s="126"/>
      <c r="F55" s="126"/>
    </row>
    <row r="56" spans="1:6">
      <c r="A56" s="124"/>
      <c r="B56" s="128" t="s">
        <v>391</v>
      </c>
      <c r="C56" s="126" t="s">
        <v>308</v>
      </c>
      <c r="D56" s="130"/>
      <c r="E56" s="126"/>
      <c r="F56" s="126"/>
    </row>
    <row r="57" spans="1:6">
      <c r="A57" s="124"/>
      <c r="B57" s="128" t="s">
        <v>392</v>
      </c>
      <c r="C57" s="126" t="s">
        <v>308</v>
      </c>
      <c r="D57" s="130"/>
      <c r="E57" s="126"/>
      <c r="F57" s="126"/>
    </row>
    <row r="58" spans="1:6">
      <c r="A58" s="124"/>
      <c r="B58" s="128" t="s">
        <v>393</v>
      </c>
      <c r="C58" s="126" t="s">
        <v>308</v>
      </c>
      <c r="D58" s="130"/>
      <c r="E58" s="126"/>
      <c r="F58" s="126"/>
    </row>
    <row r="59" spans="1:6">
      <c r="A59" s="124" t="s">
        <v>394</v>
      </c>
      <c r="B59" s="128" t="s">
        <v>395</v>
      </c>
      <c r="C59" s="126" t="s">
        <v>308</v>
      </c>
      <c r="D59" s="130"/>
      <c r="E59" s="126"/>
      <c r="F59" s="126"/>
    </row>
    <row r="60" spans="1:6">
      <c r="A60" s="124" t="s">
        <v>396</v>
      </c>
      <c r="B60" s="128" t="s">
        <v>397</v>
      </c>
      <c r="C60" s="126" t="s">
        <v>308</v>
      </c>
      <c r="D60" s="130"/>
      <c r="E60" s="126"/>
      <c r="F60" s="126"/>
    </row>
    <row r="61" spans="1:6">
      <c r="A61" s="124"/>
      <c r="B61" s="140" t="s">
        <v>398</v>
      </c>
      <c r="C61" s="126" t="s">
        <v>308</v>
      </c>
      <c r="D61" s="126"/>
      <c r="E61" s="126"/>
      <c r="F61" s="126"/>
    </row>
    <row r="62" spans="1:6">
      <c r="A62" s="124"/>
      <c r="B62" s="128" t="s">
        <v>399</v>
      </c>
      <c r="C62" s="126" t="s">
        <v>308</v>
      </c>
      <c r="D62" s="130"/>
      <c r="E62" s="126"/>
      <c r="F62" s="126"/>
    </row>
    <row r="63" spans="1:6">
      <c r="A63" s="124"/>
      <c r="B63" s="128" t="s">
        <v>400</v>
      </c>
      <c r="C63" s="126" t="s">
        <v>308</v>
      </c>
      <c r="D63" s="130"/>
      <c r="E63" s="126"/>
      <c r="F63" s="126"/>
    </row>
    <row r="64" spans="1:6">
      <c r="A64" s="124"/>
      <c r="B64" s="128" t="s">
        <v>401</v>
      </c>
      <c r="C64" s="126" t="s">
        <v>308</v>
      </c>
      <c r="D64" s="130"/>
      <c r="E64" s="126"/>
      <c r="F64" s="126"/>
    </row>
    <row r="65" spans="1:6">
      <c r="A65" s="124"/>
      <c r="B65" s="128" t="s">
        <v>402</v>
      </c>
      <c r="C65" s="126" t="s">
        <v>308</v>
      </c>
      <c r="D65" s="130"/>
      <c r="E65" s="126"/>
      <c r="F65" s="126"/>
    </row>
    <row r="66" spans="1:6">
      <c r="A66" s="124"/>
      <c r="B66" s="128" t="s">
        <v>403</v>
      </c>
      <c r="C66" s="126" t="s">
        <v>308</v>
      </c>
      <c r="D66" s="130"/>
      <c r="E66" s="126"/>
      <c r="F66" s="126"/>
    </row>
    <row r="67" spans="1:6">
      <c r="A67" s="124"/>
      <c r="B67" s="128" t="s">
        <v>404</v>
      </c>
      <c r="C67" s="126" t="s">
        <v>308</v>
      </c>
      <c r="D67" s="130"/>
      <c r="E67" s="126"/>
      <c r="F67" s="126"/>
    </row>
    <row r="68" spans="1:6">
      <c r="A68" s="124"/>
      <c r="B68" s="128" t="s">
        <v>405</v>
      </c>
      <c r="C68" s="126" t="s">
        <v>308</v>
      </c>
      <c r="D68" s="130"/>
      <c r="E68" s="126"/>
      <c r="F68" s="126"/>
    </row>
    <row r="69" spans="1:6">
      <c r="A69" s="124"/>
      <c r="B69" s="128" t="s">
        <v>406</v>
      </c>
      <c r="C69" s="126" t="s">
        <v>308</v>
      </c>
      <c r="D69" s="130"/>
      <c r="E69" s="126"/>
      <c r="F69" s="126"/>
    </row>
    <row r="70" spans="1:6">
      <c r="A70" s="124"/>
      <c r="B70" s="128" t="s">
        <v>407</v>
      </c>
      <c r="C70" s="126" t="s">
        <v>308</v>
      </c>
      <c r="D70" s="130"/>
      <c r="E70" s="126"/>
      <c r="F70" s="126"/>
    </row>
    <row r="71" spans="1:6">
      <c r="A71" s="124"/>
      <c r="B71" s="128" t="s">
        <v>408</v>
      </c>
      <c r="C71" s="126" t="s">
        <v>308</v>
      </c>
      <c r="D71" s="130"/>
      <c r="E71" s="126"/>
      <c r="F71" s="126"/>
    </row>
    <row r="72" spans="1:6" ht="15" customHeight="1">
      <c r="A72" s="124" t="s">
        <v>409</v>
      </c>
      <c r="B72" s="140" t="s">
        <v>410</v>
      </c>
      <c r="C72" s="126" t="s">
        <v>308</v>
      </c>
      <c r="D72" s="130"/>
      <c r="E72" s="126"/>
      <c r="F72" s="126"/>
    </row>
    <row r="73" spans="1:6" ht="15.75">
      <c r="A73" s="124" t="s">
        <v>411</v>
      </c>
      <c r="B73" s="135" t="s">
        <v>412</v>
      </c>
      <c r="C73" s="126" t="s">
        <v>308</v>
      </c>
      <c r="D73" s="130"/>
      <c r="E73" s="126"/>
      <c r="F73" s="126"/>
    </row>
    <row r="74" spans="1:6">
      <c r="A74" s="124"/>
      <c r="B74" s="128" t="s">
        <v>413</v>
      </c>
      <c r="C74" s="126" t="s">
        <v>308</v>
      </c>
      <c r="D74" s="130"/>
      <c r="E74" s="126"/>
      <c r="F74" s="126"/>
    </row>
    <row r="75" spans="1:6">
      <c r="A75" s="124"/>
      <c r="B75" s="128" t="s">
        <v>414</v>
      </c>
      <c r="C75" s="126" t="s">
        <v>308</v>
      </c>
      <c r="D75" s="130"/>
      <c r="E75" s="126"/>
      <c r="F75" s="126"/>
    </row>
    <row r="76" spans="1:6">
      <c r="A76" s="124"/>
      <c r="B76" s="128" t="s">
        <v>415</v>
      </c>
      <c r="C76" s="126" t="s">
        <v>308</v>
      </c>
      <c r="D76" s="130"/>
      <c r="E76" s="126"/>
      <c r="F76" s="126"/>
    </row>
    <row r="77" spans="1:6">
      <c r="A77" s="124"/>
      <c r="B77" s="128" t="s">
        <v>416</v>
      </c>
      <c r="C77" s="126" t="s">
        <v>308</v>
      </c>
      <c r="D77" s="126"/>
      <c r="E77" s="126"/>
      <c r="F77" s="126"/>
    </row>
    <row r="78" spans="1:6">
      <c r="A78" s="124"/>
      <c r="B78" s="128" t="s">
        <v>417</v>
      </c>
      <c r="C78" s="126" t="s">
        <v>308</v>
      </c>
      <c r="D78" s="126"/>
      <c r="E78" s="126"/>
      <c r="F78" s="126"/>
    </row>
    <row r="79" spans="1:6">
      <c r="A79" s="124"/>
      <c r="B79" s="128" t="s">
        <v>418</v>
      </c>
      <c r="C79" s="126" t="s">
        <v>308</v>
      </c>
      <c r="D79" s="126"/>
      <c r="E79" s="126"/>
      <c r="F79" s="126"/>
    </row>
    <row r="80" spans="1:6">
      <c r="A80" s="124"/>
      <c r="B80" s="128" t="s">
        <v>419</v>
      </c>
      <c r="C80" s="126" t="s">
        <v>308</v>
      </c>
      <c r="D80" s="126"/>
      <c r="E80" s="126"/>
      <c r="F80" s="126"/>
    </row>
    <row r="81" spans="1:6">
      <c r="A81" s="124"/>
      <c r="B81" s="140" t="s">
        <v>420</v>
      </c>
      <c r="C81" s="126" t="s">
        <v>308</v>
      </c>
      <c r="D81" s="126"/>
      <c r="E81" s="126"/>
      <c r="F81" s="126"/>
    </row>
    <row r="82" spans="1:6">
      <c r="A82" s="124"/>
      <c r="B82" s="140" t="s">
        <v>421</v>
      </c>
      <c r="C82" s="126" t="s">
        <v>308</v>
      </c>
      <c r="D82" s="126"/>
      <c r="E82" s="126"/>
      <c r="F82" s="126"/>
    </row>
    <row r="83" spans="1:6">
      <c r="A83" s="124"/>
      <c r="B83" s="140" t="s">
        <v>422</v>
      </c>
      <c r="C83" s="126" t="s">
        <v>308</v>
      </c>
      <c r="D83" s="126"/>
      <c r="E83" s="126"/>
      <c r="F83" s="126"/>
    </row>
    <row r="84" spans="1:6">
      <c r="A84" s="124"/>
      <c r="B84" s="140" t="s">
        <v>423</v>
      </c>
      <c r="C84" s="126" t="s">
        <v>308</v>
      </c>
      <c r="D84" s="126"/>
      <c r="E84" s="126"/>
      <c r="F84" s="126"/>
    </row>
    <row r="85" spans="1:6">
      <c r="A85" s="124"/>
      <c r="B85" s="140" t="s">
        <v>424</v>
      </c>
      <c r="C85" s="126" t="s">
        <v>308</v>
      </c>
      <c r="D85" s="126"/>
      <c r="E85" s="126"/>
      <c r="F85" s="126"/>
    </row>
    <row r="86" spans="1:6">
      <c r="A86" s="124"/>
      <c r="B86" s="140" t="s">
        <v>425</v>
      </c>
      <c r="C86" s="126" t="s">
        <v>308</v>
      </c>
      <c r="D86" s="126"/>
      <c r="E86" s="126"/>
      <c r="F86" s="126"/>
    </row>
    <row r="87" spans="1:6">
      <c r="A87" s="124"/>
      <c r="B87" s="140" t="s">
        <v>426</v>
      </c>
      <c r="C87" s="126" t="s">
        <v>308</v>
      </c>
      <c r="D87" s="126"/>
      <c r="E87" s="126"/>
      <c r="F87" s="126"/>
    </row>
    <row r="88" spans="1:6">
      <c r="A88" s="124"/>
      <c r="B88" s="140" t="s">
        <v>427</v>
      </c>
      <c r="C88" s="126" t="s">
        <v>308</v>
      </c>
      <c r="D88" s="126"/>
      <c r="E88" s="126"/>
      <c r="F88" s="126"/>
    </row>
    <row r="89" spans="1:6">
      <c r="A89" s="124"/>
      <c r="B89" s="140" t="s">
        <v>428</v>
      </c>
      <c r="C89" s="126" t="s">
        <v>308</v>
      </c>
      <c r="D89" s="126"/>
      <c r="E89" s="126"/>
      <c r="F89" s="126"/>
    </row>
    <row r="90" spans="1:6">
      <c r="A90" s="124"/>
      <c r="B90" s="140" t="s">
        <v>429</v>
      </c>
      <c r="C90" s="126" t="s">
        <v>308</v>
      </c>
      <c r="D90" s="126"/>
      <c r="E90" s="126"/>
      <c r="F90" s="126"/>
    </row>
    <row r="91" spans="1:6">
      <c r="A91" s="124"/>
      <c r="B91" s="140" t="s">
        <v>430</v>
      </c>
      <c r="C91" s="126" t="s">
        <v>308</v>
      </c>
      <c r="D91" s="126"/>
      <c r="E91" s="126"/>
      <c r="F91" s="126"/>
    </row>
    <row r="92" spans="1:6">
      <c r="A92" s="124"/>
      <c r="B92" s="140" t="s">
        <v>431</v>
      </c>
      <c r="C92" s="126" t="s">
        <v>308</v>
      </c>
      <c r="D92" s="126"/>
      <c r="E92" s="126"/>
      <c r="F92" s="126"/>
    </row>
    <row r="93" spans="1:6">
      <c r="A93" s="124"/>
      <c r="B93" s="140" t="s">
        <v>432</v>
      </c>
      <c r="C93" s="126" t="s">
        <v>308</v>
      </c>
      <c r="D93" s="126"/>
      <c r="E93" s="126"/>
      <c r="F93" s="126"/>
    </row>
    <row r="94" spans="1:6">
      <c r="A94" s="124"/>
      <c r="B94" s="140" t="s">
        <v>433</v>
      </c>
      <c r="C94" s="126" t="s">
        <v>308</v>
      </c>
      <c r="D94" s="126"/>
      <c r="E94" s="126"/>
      <c r="F94" s="126"/>
    </row>
    <row r="95" spans="1:6">
      <c r="A95" s="124"/>
      <c r="B95" s="140" t="s">
        <v>434</v>
      </c>
      <c r="C95" s="126" t="s">
        <v>308</v>
      </c>
      <c r="D95" s="126"/>
      <c r="E95" s="126"/>
      <c r="F95" s="126"/>
    </row>
    <row r="96" spans="1:6">
      <c r="A96" s="124"/>
      <c r="B96" s="140" t="s">
        <v>435</v>
      </c>
      <c r="C96" s="126" t="s">
        <v>308</v>
      </c>
      <c r="D96" s="126"/>
      <c r="E96" s="126"/>
      <c r="F96" s="126"/>
    </row>
    <row r="97" spans="1:6">
      <c r="A97" s="124"/>
      <c r="B97" s="140" t="s">
        <v>436</v>
      </c>
      <c r="C97" s="126" t="s">
        <v>308</v>
      </c>
      <c r="D97" s="126"/>
      <c r="E97" s="126"/>
      <c r="F97" s="126"/>
    </row>
    <row r="98" spans="1:6">
      <c r="A98" s="124"/>
      <c r="B98" s="140" t="s">
        <v>437</v>
      </c>
      <c r="C98" s="126" t="s">
        <v>308</v>
      </c>
      <c r="D98" s="126"/>
      <c r="E98" s="126"/>
      <c r="F98" s="126"/>
    </row>
    <row r="99" spans="1:6">
      <c r="A99" s="124"/>
      <c r="B99" s="140" t="s">
        <v>438</v>
      </c>
      <c r="C99" s="126" t="s">
        <v>308</v>
      </c>
      <c r="D99" s="126"/>
      <c r="E99" s="126"/>
      <c r="F99" s="126"/>
    </row>
    <row r="100" spans="1:6">
      <c r="A100" s="124"/>
      <c r="B100" s="140" t="s">
        <v>439</v>
      </c>
      <c r="C100" s="126" t="s">
        <v>308</v>
      </c>
      <c r="D100" s="126"/>
      <c r="E100" s="126"/>
      <c r="F100" s="126"/>
    </row>
    <row r="101" spans="1:6">
      <c r="A101" s="124"/>
      <c r="B101" s="140" t="s">
        <v>440</v>
      </c>
      <c r="C101" s="126" t="s">
        <v>308</v>
      </c>
      <c r="D101" s="126"/>
      <c r="E101" s="126"/>
      <c r="F101" s="126"/>
    </row>
    <row r="102" spans="1:6">
      <c r="A102" s="124"/>
      <c r="B102" s="140" t="s">
        <v>441</v>
      </c>
      <c r="C102" s="126" t="s">
        <v>308</v>
      </c>
      <c r="D102" s="126"/>
      <c r="E102" s="126"/>
      <c r="F102" s="126"/>
    </row>
    <row r="103" spans="1:6" ht="15" customHeight="1">
      <c r="A103" s="124"/>
      <c r="B103" s="140" t="s">
        <v>442</v>
      </c>
      <c r="C103" s="126" t="s">
        <v>308</v>
      </c>
      <c r="D103" s="126"/>
      <c r="E103" s="126"/>
      <c r="F103" s="126"/>
    </row>
    <row r="104" spans="1:6">
      <c r="A104" s="124"/>
      <c r="B104" s="140" t="s">
        <v>443</v>
      </c>
      <c r="C104" s="126" t="s">
        <v>308</v>
      </c>
      <c r="D104" s="126"/>
      <c r="E104" s="126"/>
      <c r="F104" s="126"/>
    </row>
    <row r="105" spans="1:6">
      <c r="A105" s="124"/>
      <c r="B105" s="140" t="s">
        <v>444</v>
      </c>
      <c r="C105" s="126" t="s">
        <v>308</v>
      </c>
      <c r="D105" s="126"/>
      <c r="E105" s="126"/>
      <c r="F105" s="126"/>
    </row>
    <row r="106" spans="1:6">
      <c r="A106" s="124"/>
      <c r="B106" s="140" t="s">
        <v>445</v>
      </c>
      <c r="C106" s="126" t="s">
        <v>308</v>
      </c>
      <c r="D106" s="126"/>
      <c r="E106" s="126"/>
      <c r="F106" s="126"/>
    </row>
    <row r="107" spans="1:6">
      <c r="A107" s="124"/>
      <c r="B107" s="140" t="s">
        <v>446</v>
      </c>
      <c r="C107" s="126" t="s">
        <v>308</v>
      </c>
      <c r="D107" s="126"/>
      <c r="E107" s="126"/>
      <c r="F107" s="126"/>
    </row>
    <row r="108" spans="1:6">
      <c r="A108" s="124"/>
      <c r="B108" s="140" t="s">
        <v>447</v>
      </c>
      <c r="C108" s="126" t="s">
        <v>308</v>
      </c>
      <c r="D108" s="126"/>
      <c r="E108" s="126"/>
      <c r="F108" s="126"/>
    </row>
    <row r="109" spans="1:6">
      <c r="A109" s="124"/>
      <c r="B109" s="140" t="s">
        <v>448</v>
      </c>
      <c r="C109" s="126" t="s">
        <v>308</v>
      </c>
      <c r="D109" s="126"/>
      <c r="E109" s="126"/>
      <c r="F109" s="126"/>
    </row>
    <row r="110" spans="1:6">
      <c r="A110" s="124"/>
      <c r="B110" s="140" t="s">
        <v>449</v>
      </c>
      <c r="C110" s="126" t="s">
        <v>308</v>
      </c>
      <c r="D110" s="126"/>
      <c r="E110" s="126"/>
      <c r="F110" s="126"/>
    </row>
    <row r="111" spans="1:6">
      <c r="A111" s="124"/>
      <c r="B111" s="140" t="s">
        <v>450</v>
      </c>
      <c r="C111" s="126" t="s">
        <v>308</v>
      </c>
      <c r="D111" s="126"/>
      <c r="E111" s="126"/>
      <c r="F111" s="126"/>
    </row>
    <row r="112" spans="1:6" ht="15.75">
      <c r="A112" s="124"/>
      <c r="B112" s="140" t="s">
        <v>451</v>
      </c>
      <c r="C112" s="126" t="s">
        <v>308</v>
      </c>
      <c r="D112" s="126"/>
      <c r="E112" s="126"/>
      <c r="F112" s="126"/>
    </row>
    <row r="113" spans="1:6">
      <c r="A113" s="124"/>
      <c r="B113" s="141" t="s">
        <v>452</v>
      </c>
      <c r="C113" s="126" t="s">
        <v>308</v>
      </c>
      <c r="D113" s="126"/>
      <c r="E113" s="126"/>
      <c r="F113" s="126"/>
    </row>
    <row r="114" spans="1:6">
      <c r="A114" s="124"/>
      <c r="B114" s="141" t="s">
        <v>453</v>
      </c>
      <c r="C114" s="126" t="s">
        <v>308</v>
      </c>
      <c r="D114" s="126"/>
      <c r="E114" s="126"/>
      <c r="F114" s="126"/>
    </row>
    <row r="115" spans="1:6">
      <c r="A115" s="124"/>
      <c r="B115" s="141" t="s">
        <v>454</v>
      </c>
      <c r="C115" s="126" t="s">
        <v>308</v>
      </c>
      <c r="D115" s="126"/>
      <c r="E115" s="126"/>
      <c r="F115" s="126"/>
    </row>
    <row r="116" spans="1:6">
      <c r="A116" s="124"/>
      <c r="B116" s="142" t="s">
        <v>455</v>
      </c>
      <c r="C116" s="126" t="s">
        <v>456</v>
      </c>
      <c r="D116" s="126"/>
      <c r="E116" s="126"/>
      <c r="F116" s="126"/>
    </row>
    <row r="117" spans="1:6">
      <c r="A117" s="124"/>
      <c r="B117" s="143" t="s">
        <v>457</v>
      </c>
      <c r="C117" s="126" t="s">
        <v>456</v>
      </c>
      <c r="D117" s="126"/>
      <c r="E117" s="126"/>
      <c r="F117" s="126"/>
    </row>
    <row r="118" spans="1:6">
      <c r="A118" s="124"/>
      <c r="B118" s="143" t="s">
        <v>458</v>
      </c>
      <c r="C118" s="126" t="s">
        <v>456</v>
      </c>
      <c r="D118" s="126"/>
      <c r="E118" s="126"/>
      <c r="F118" s="126"/>
    </row>
    <row r="119" spans="1:6">
      <c r="A119" s="124"/>
      <c r="B119" s="142" t="s">
        <v>459</v>
      </c>
      <c r="C119" s="126" t="s">
        <v>456</v>
      </c>
      <c r="D119" s="126"/>
      <c r="E119" s="126"/>
      <c r="F119" s="126"/>
    </row>
    <row r="120" spans="1:6">
      <c r="A120" s="124"/>
      <c r="B120" s="142" t="s">
        <v>460</v>
      </c>
      <c r="C120" s="126" t="s">
        <v>456</v>
      </c>
      <c r="D120" s="126"/>
      <c r="E120" s="126"/>
      <c r="F120" s="126"/>
    </row>
    <row r="121" spans="1:6">
      <c r="A121" s="124"/>
      <c r="B121" s="143" t="s">
        <v>461</v>
      </c>
      <c r="C121" s="126" t="s">
        <v>462</v>
      </c>
      <c r="D121" s="126"/>
      <c r="E121" s="126"/>
      <c r="F121" s="126"/>
    </row>
    <row r="122" spans="1:6">
      <c r="A122" s="124"/>
      <c r="B122" s="143" t="s">
        <v>463</v>
      </c>
      <c r="C122" s="126" t="s">
        <v>464</v>
      </c>
      <c r="D122" s="126"/>
      <c r="E122" s="126"/>
      <c r="F122" s="126"/>
    </row>
  </sheetData>
  <sheetProtection formatCells="0" formatColumns="0" formatRows="0" insertColumns="0" insertRows="0" insertHyperlinks="0" deleteColumns="0" deleteRows="0" sort="0" autoFilter="0" pivotTables="0"/>
  <autoFilter ref="A2:F122" xr:uid="{AE1387C0-CA45-4384-9C8C-BD2F28EF3527}">
    <sortState xmlns:xlrd2="http://schemas.microsoft.com/office/spreadsheetml/2017/richdata2" ref="A3:F112">
      <sortCondition ref="B2:B75"/>
    </sortState>
  </autoFilter>
  <mergeCells count="1">
    <mergeCell ref="A1:F1"/>
  </mergeCells>
  <pageMargins left="0.25" right="0.25" top="0.75" bottom="0.75" header="0.3" footer="0.3"/>
  <pageSetup scale="42"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432D-F18F-4BD1-A95E-62D4078FB326}">
  <dimension ref="B1:F204"/>
  <sheetViews>
    <sheetView workbookViewId="0">
      <pane ySplit="3" topLeftCell="A123" activePane="bottomLeft" state="frozen"/>
      <selection pane="bottomLeft" activeCell="B138" sqref="B138:F138"/>
    </sheetView>
  </sheetViews>
  <sheetFormatPr defaultRowHeight="15"/>
  <cols>
    <col min="1" max="1" width="4.7109375" customWidth="1"/>
    <col min="2" max="2" width="24.5703125" bestFit="1" customWidth="1"/>
    <col min="3" max="3" width="61.7109375" bestFit="1" customWidth="1"/>
    <col min="4" max="4" width="60.140625" bestFit="1" customWidth="1"/>
    <col min="5" max="5" width="35.5703125" bestFit="1" customWidth="1"/>
    <col min="6" max="6" width="40" bestFit="1" customWidth="1"/>
  </cols>
  <sheetData>
    <row r="1" spans="2:6" ht="9.9499999999999993" customHeight="1">
      <c r="B1" s="40"/>
      <c r="C1" s="40"/>
      <c r="D1" s="40"/>
      <c r="E1" s="40"/>
      <c r="F1" s="40"/>
    </row>
    <row r="2" spans="2:6" ht="24.95" customHeight="1">
      <c r="B2" s="1152" t="s">
        <v>600</v>
      </c>
      <c r="C2" s="1152"/>
      <c r="D2" s="1152"/>
      <c r="E2" s="1152"/>
      <c r="F2" s="1152"/>
    </row>
    <row r="3" spans="2:6" ht="15.75">
      <c r="B3" s="1153" t="s">
        <v>601</v>
      </c>
      <c r="C3" s="1153"/>
      <c r="D3" s="1153"/>
      <c r="E3" s="1153"/>
      <c r="F3" s="1153"/>
    </row>
    <row r="4" spans="2:6" ht="9.9499999999999993" customHeight="1">
      <c r="B4" s="40"/>
      <c r="C4" s="40"/>
      <c r="D4" s="40"/>
      <c r="E4" s="40"/>
      <c r="F4" s="40"/>
    </row>
    <row r="5" spans="2:6" ht="24.95" customHeight="1">
      <c r="B5" s="1154" t="s">
        <v>504</v>
      </c>
      <c r="C5" s="1154"/>
      <c r="D5" s="1154"/>
      <c r="E5" s="1154"/>
      <c r="F5" s="1154"/>
    </row>
    <row r="6" spans="2:6">
      <c r="B6" s="40"/>
      <c r="C6" s="40"/>
      <c r="D6" s="40"/>
      <c r="E6" s="40"/>
      <c r="F6" s="40"/>
    </row>
    <row r="7" spans="2:6" ht="18.75">
      <c r="B7" s="176" t="s">
        <v>130</v>
      </c>
      <c r="C7" s="177" t="s">
        <v>505</v>
      </c>
      <c r="D7" s="178" t="s">
        <v>131</v>
      </c>
      <c r="E7" s="177" t="s">
        <v>505</v>
      </c>
      <c r="F7" s="179" t="s">
        <v>132</v>
      </c>
    </row>
    <row r="8" spans="2:6">
      <c r="B8" s="180" t="s">
        <v>602</v>
      </c>
      <c r="C8" s="40"/>
      <c r="D8" s="180" t="s">
        <v>603</v>
      </c>
      <c r="E8" s="40"/>
      <c r="F8" s="180" t="s">
        <v>512</v>
      </c>
    </row>
    <row r="9" spans="2:6" ht="9.9499999999999993" customHeight="1">
      <c r="B9" s="40"/>
      <c r="C9" s="40"/>
      <c r="D9" s="40"/>
      <c r="E9" s="40"/>
      <c r="F9" s="40"/>
    </row>
    <row r="10" spans="2:6" ht="24.95" customHeight="1">
      <c r="B10" s="1155" t="s">
        <v>513</v>
      </c>
      <c r="C10" s="1155"/>
      <c r="D10" s="1155"/>
      <c r="E10" s="1155"/>
      <c r="F10" s="1155"/>
    </row>
    <row r="11" spans="2:6">
      <c r="B11" s="40"/>
      <c r="C11" s="40"/>
      <c r="D11" s="40"/>
      <c r="E11" s="40"/>
      <c r="F11" s="40"/>
    </row>
    <row r="12" spans="2:6">
      <c r="B12" s="181" t="s">
        <v>134</v>
      </c>
      <c r="C12" s="181" t="s">
        <v>135</v>
      </c>
      <c r="D12" s="181" t="s">
        <v>604</v>
      </c>
      <c r="E12" s="181" t="s">
        <v>514</v>
      </c>
      <c r="F12" s="181" t="s">
        <v>201</v>
      </c>
    </row>
    <row r="13" spans="2:6">
      <c r="B13" s="182" t="s">
        <v>136</v>
      </c>
      <c r="C13" s="40" t="s">
        <v>605</v>
      </c>
      <c r="D13" s="40" t="s">
        <v>606</v>
      </c>
      <c r="E13" s="40">
        <v>823</v>
      </c>
      <c r="F13" s="40" t="s">
        <v>607</v>
      </c>
    </row>
    <row r="14" spans="2:6">
      <c r="B14" s="182" t="s">
        <v>137</v>
      </c>
      <c r="C14" s="40" t="s">
        <v>608</v>
      </c>
      <c r="D14" s="40" t="s">
        <v>609</v>
      </c>
      <c r="E14" s="40" t="s">
        <v>610</v>
      </c>
      <c r="F14" s="40" t="s">
        <v>611</v>
      </c>
    </row>
    <row r="15" spans="2:6">
      <c r="B15" s="182" t="s">
        <v>138</v>
      </c>
      <c r="C15" s="40" t="s">
        <v>612</v>
      </c>
      <c r="D15" s="40" t="s">
        <v>613</v>
      </c>
      <c r="E15" s="40" t="s">
        <v>614</v>
      </c>
      <c r="F15" s="40" t="s">
        <v>615</v>
      </c>
    </row>
    <row r="16" spans="2:6">
      <c r="B16" s="182" t="s">
        <v>139</v>
      </c>
      <c r="C16" s="40" t="s">
        <v>616</v>
      </c>
      <c r="D16" s="40" t="s">
        <v>617</v>
      </c>
      <c r="E16" s="40" t="s">
        <v>618</v>
      </c>
      <c r="F16" s="40" t="s">
        <v>619</v>
      </c>
    </row>
    <row r="17" spans="2:6">
      <c r="B17" s="182" t="s">
        <v>140</v>
      </c>
      <c r="C17" s="40" t="s">
        <v>620</v>
      </c>
      <c r="D17" s="40" t="s">
        <v>621</v>
      </c>
      <c r="E17" s="183">
        <v>46150</v>
      </c>
      <c r="F17" s="40" t="s">
        <v>622</v>
      </c>
    </row>
    <row r="18" spans="2:6">
      <c r="B18" s="182" t="s">
        <v>141</v>
      </c>
      <c r="C18" s="40" t="s">
        <v>623</v>
      </c>
      <c r="D18" s="40" t="s">
        <v>624</v>
      </c>
      <c r="E18" s="40" t="s">
        <v>550</v>
      </c>
      <c r="F18" s="40" t="s">
        <v>625</v>
      </c>
    </row>
    <row r="19" spans="2:6">
      <c r="B19" s="182" t="s">
        <v>142</v>
      </c>
      <c r="C19" s="40" t="s">
        <v>626</v>
      </c>
      <c r="D19" s="40" t="s">
        <v>627</v>
      </c>
      <c r="E19" s="40" t="s">
        <v>628</v>
      </c>
      <c r="F19" s="40" t="s">
        <v>629</v>
      </c>
    </row>
    <row r="20" spans="2:6">
      <c r="B20" s="182" t="s">
        <v>199</v>
      </c>
      <c r="C20" s="40" t="s">
        <v>630</v>
      </c>
      <c r="D20" s="40" t="s">
        <v>631</v>
      </c>
      <c r="E20" s="184">
        <v>0.25</v>
      </c>
      <c r="F20" s="40" t="s">
        <v>632</v>
      </c>
    </row>
    <row r="21" spans="2:6">
      <c r="B21" s="182" t="s">
        <v>633</v>
      </c>
      <c r="C21" s="40" t="s">
        <v>634</v>
      </c>
      <c r="D21" s="40" t="s">
        <v>635</v>
      </c>
      <c r="E21" s="40" t="s">
        <v>529</v>
      </c>
      <c r="F21" s="40" t="s">
        <v>636</v>
      </c>
    </row>
    <row r="22" spans="2:6" ht="9.9499999999999993" customHeight="1">
      <c r="B22" s="40"/>
      <c r="C22" s="40"/>
      <c r="D22" s="40"/>
      <c r="E22" s="40"/>
      <c r="F22" s="40"/>
    </row>
    <row r="23" spans="2:6" ht="24.95" customHeight="1">
      <c r="B23" s="1156" t="s">
        <v>535</v>
      </c>
      <c r="C23" s="1156"/>
      <c r="D23" s="1156"/>
      <c r="E23" s="1156"/>
      <c r="F23" s="1156"/>
    </row>
    <row r="24" spans="2:6">
      <c r="B24" s="40"/>
      <c r="C24" s="40"/>
      <c r="D24" s="40"/>
      <c r="E24" s="40"/>
      <c r="F24" s="40"/>
    </row>
    <row r="25" spans="2:6">
      <c r="B25" s="185" t="s">
        <v>125</v>
      </c>
      <c r="C25" s="185" t="s">
        <v>200</v>
      </c>
      <c r="D25" s="40"/>
      <c r="E25" s="40"/>
      <c r="F25" s="40"/>
    </row>
    <row r="26" spans="2:6">
      <c r="B26" s="40" t="s">
        <v>637</v>
      </c>
      <c r="C26" s="40" t="s">
        <v>638</v>
      </c>
      <c r="D26" s="40"/>
      <c r="E26" s="40"/>
      <c r="F26" s="40"/>
    </row>
    <row r="27" spans="2:6">
      <c r="B27" s="40" t="s">
        <v>639</v>
      </c>
      <c r="C27" s="40" t="s">
        <v>640</v>
      </c>
      <c r="D27" s="40"/>
      <c r="E27" s="40"/>
      <c r="F27" s="40"/>
    </row>
    <row r="28" spans="2:6">
      <c r="B28" s="40" t="s">
        <v>641</v>
      </c>
      <c r="C28" s="40" t="s">
        <v>642</v>
      </c>
      <c r="D28" s="40"/>
      <c r="E28" s="40"/>
      <c r="F28" s="40"/>
    </row>
    <row r="29" spans="2:6">
      <c r="B29" s="40" t="s">
        <v>643</v>
      </c>
      <c r="C29" s="40" t="s">
        <v>644</v>
      </c>
      <c r="D29" s="40"/>
      <c r="E29" s="40"/>
      <c r="F29" s="40"/>
    </row>
    <row r="30" spans="2:6">
      <c r="B30" s="40" t="s">
        <v>645</v>
      </c>
      <c r="C30" s="40" t="s">
        <v>646</v>
      </c>
      <c r="D30" s="40"/>
      <c r="E30" s="40"/>
      <c r="F30" s="40"/>
    </row>
    <row r="31" spans="2:6">
      <c r="B31" s="40" t="s">
        <v>647</v>
      </c>
      <c r="C31" s="40" t="s">
        <v>648</v>
      </c>
      <c r="D31" s="40"/>
      <c r="E31" s="40"/>
      <c r="F31" s="40"/>
    </row>
    <row r="32" spans="2:6">
      <c r="B32" s="40" t="s">
        <v>649</v>
      </c>
      <c r="C32" s="40" t="s">
        <v>650</v>
      </c>
      <c r="D32" s="40"/>
      <c r="E32" s="40"/>
      <c r="F32" s="40"/>
    </row>
    <row r="33" spans="2:6">
      <c r="B33" s="40" t="s">
        <v>651</v>
      </c>
      <c r="C33" s="40" t="s">
        <v>652</v>
      </c>
      <c r="D33" s="40"/>
      <c r="E33" s="40"/>
      <c r="F33" s="40"/>
    </row>
    <row r="34" spans="2:6">
      <c r="B34" s="40" t="s">
        <v>653</v>
      </c>
      <c r="C34" s="40" t="s">
        <v>654</v>
      </c>
      <c r="D34" s="40"/>
      <c r="E34" s="40"/>
      <c r="F34" s="40"/>
    </row>
    <row r="35" spans="2:6" ht="9.9499999999999993" customHeight="1">
      <c r="B35" s="40"/>
      <c r="C35" s="40"/>
      <c r="D35" s="40"/>
      <c r="E35" s="40"/>
      <c r="F35" s="40"/>
    </row>
    <row r="36" spans="2:6" ht="24.95" customHeight="1">
      <c r="B36" s="1157" t="s">
        <v>655</v>
      </c>
      <c r="C36" s="1157"/>
      <c r="D36" s="1157"/>
      <c r="E36" s="1157"/>
      <c r="F36" s="1157"/>
    </row>
    <row r="37" spans="2:6">
      <c r="B37" s="40"/>
      <c r="C37" s="40"/>
      <c r="D37" s="40"/>
      <c r="E37" s="40"/>
      <c r="F37" s="40"/>
    </row>
    <row r="38" spans="2:6">
      <c r="B38" s="186" t="s">
        <v>656</v>
      </c>
      <c r="C38" s="186" t="s">
        <v>125</v>
      </c>
      <c r="D38" s="40"/>
      <c r="E38" s="40"/>
      <c r="F38" s="40"/>
    </row>
    <row r="39" spans="2:6">
      <c r="B39" s="40" t="s">
        <v>657</v>
      </c>
      <c r="C39" s="40" t="s">
        <v>658</v>
      </c>
      <c r="D39" s="40"/>
      <c r="E39" s="40"/>
      <c r="F39" s="40"/>
    </row>
    <row r="40" spans="2:6">
      <c r="B40" s="40" t="s">
        <v>659</v>
      </c>
      <c r="C40" s="40" t="s">
        <v>660</v>
      </c>
      <c r="D40" s="40"/>
      <c r="E40" s="40"/>
      <c r="F40" s="40"/>
    </row>
    <row r="41" spans="2:6">
      <c r="B41" s="40" t="s">
        <v>661</v>
      </c>
      <c r="C41" s="40" t="s">
        <v>662</v>
      </c>
      <c r="D41" s="40"/>
      <c r="E41" s="40"/>
      <c r="F41" s="40"/>
    </row>
    <row r="42" spans="2:6">
      <c r="B42" s="40" t="s">
        <v>663</v>
      </c>
      <c r="C42" s="40" t="s">
        <v>664</v>
      </c>
      <c r="D42" s="40"/>
      <c r="E42" s="40"/>
      <c r="F42" s="40"/>
    </row>
    <row r="43" spans="2:6">
      <c r="B43" s="40" t="s">
        <v>665</v>
      </c>
      <c r="C43" s="40" t="s">
        <v>666</v>
      </c>
      <c r="D43" s="40"/>
      <c r="E43" s="40"/>
      <c r="F43" s="40"/>
    </row>
    <row r="44" spans="2:6" ht="9.9499999999999993" customHeight="1">
      <c r="B44" s="40"/>
      <c r="C44" s="40"/>
      <c r="D44" s="40"/>
      <c r="E44" s="40"/>
      <c r="F44" s="40"/>
    </row>
    <row r="45" spans="2:6" ht="24.95" customHeight="1">
      <c r="B45" s="1158" t="s">
        <v>667</v>
      </c>
      <c r="C45" s="1158"/>
      <c r="D45" s="1158"/>
      <c r="E45" s="1158"/>
      <c r="F45" s="1158"/>
    </row>
    <row r="46" spans="2:6">
      <c r="B46" s="40"/>
      <c r="C46" s="40"/>
      <c r="D46" s="40"/>
      <c r="E46" s="40"/>
      <c r="F46" s="40"/>
    </row>
    <row r="47" spans="2:6">
      <c r="B47" s="1159" t="s">
        <v>668</v>
      </c>
      <c r="C47" s="1151"/>
      <c r="D47" s="1151"/>
      <c r="E47" s="1151"/>
      <c r="F47" s="1151"/>
    </row>
    <row r="48" spans="2:6">
      <c r="B48" s="40"/>
      <c r="C48" s="40"/>
      <c r="D48" s="40"/>
      <c r="E48" s="40"/>
      <c r="F48" s="40"/>
    </row>
    <row r="49" spans="2:6">
      <c r="B49" s="187" t="s">
        <v>669</v>
      </c>
      <c r="C49" s="187" t="s">
        <v>514</v>
      </c>
      <c r="D49" s="187" t="s">
        <v>670</v>
      </c>
      <c r="E49" s="187" t="s">
        <v>671</v>
      </c>
      <c r="F49" s="40"/>
    </row>
    <row r="50" spans="2:6">
      <c r="B50" s="40" t="s">
        <v>672</v>
      </c>
      <c r="C50" s="40" t="s">
        <v>673</v>
      </c>
      <c r="D50" s="40" t="s">
        <v>674</v>
      </c>
      <c r="E50" s="40" t="s">
        <v>675</v>
      </c>
      <c r="F50" s="40"/>
    </row>
    <row r="51" spans="2:6">
      <c r="B51" s="40" t="s">
        <v>676</v>
      </c>
      <c r="C51" s="40" t="s">
        <v>677</v>
      </c>
      <c r="D51" s="40" t="s">
        <v>678</v>
      </c>
      <c r="E51" s="40" t="s">
        <v>679</v>
      </c>
      <c r="F51" s="40"/>
    </row>
    <row r="52" spans="2:6">
      <c r="B52" s="40" t="s">
        <v>182</v>
      </c>
      <c r="C52" s="40" t="s">
        <v>680</v>
      </c>
      <c r="D52" s="40" t="s">
        <v>681</v>
      </c>
      <c r="E52" s="40" t="s">
        <v>682</v>
      </c>
      <c r="F52" s="40"/>
    </row>
    <row r="53" spans="2:6">
      <c r="B53" s="40" t="s">
        <v>178</v>
      </c>
      <c r="C53" s="40" t="s">
        <v>683</v>
      </c>
      <c r="D53" s="40" t="s">
        <v>684</v>
      </c>
      <c r="E53" s="40" t="s">
        <v>685</v>
      </c>
      <c r="F53" s="40"/>
    </row>
    <row r="54" spans="2:6">
      <c r="B54" s="40" t="s">
        <v>14</v>
      </c>
      <c r="C54" s="40" t="s">
        <v>686</v>
      </c>
      <c r="D54" s="40" t="s">
        <v>687</v>
      </c>
      <c r="E54" s="40" t="s">
        <v>688</v>
      </c>
      <c r="F54" s="40"/>
    </row>
    <row r="55" spans="2:6" ht="9.9499999999999993" customHeight="1">
      <c r="B55" s="40"/>
      <c r="C55" s="40"/>
      <c r="D55" s="40"/>
      <c r="E55" s="40"/>
      <c r="F55" s="40"/>
    </row>
    <row r="56" spans="2:6" ht="24.95" customHeight="1">
      <c r="B56" s="1160" t="s">
        <v>689</v>
      </c>
      <c r="C56" s="1160"/>
      <c r="D56" s="1160"/>
      <c r="E56" s="1160"/>
      <c r="F56" s="1160"/>
    </row>
    <row r="57" spans="2:6">
      <c r="B57" s="40"/>
      <c r="C57" s="40"/>
      <c r="D57" s="40"/>
      <c r="E57" s="40"/>
      <c r="F57" s="40"/>
    </row>
    <row r="58" spans="2:6">
      <c r="B58" s="188" t="s">
        <v>222</v>
      </c>
      <c r="C58" s="188" t="s">
        <v>690</v>
      </c>
      <c r="D58" s="188" t="s">
        <v>691</v>
      </c>
      <c r="E58" s="188" t="s">
        <v>692</v>
      </c>
      <c r="F58" s="40"/>
    </row>
    <row r="59" spans="2:6">
      <c r="B59" s="40" t="s">
        <v>240</v>
      </c>
      <c r="C59" s="40" t="s">
        <v>693</v>
      </c>
      <c r="D59" s="40" t="s">
        <v>694</v>
      </c>
      <c r="E59" s="40" t="s">
        <v>695</v>
      </c>
      <c r="F59" s="40"/>
    </row>
    <row r="60" spans="2:6">
      <c r="B60" s="40" t="s">
        <v>250</v>
      </c>
      <c r="C60" s="40" t="s">
        <v>696</v>
      </c>
      <c r="D60" s="40" t="s">
        <v>697</v>
      </c>
      <c r="E60" s="40" t="s">
        <v>698</v>
      </c>
      <c r="F60" s="40"/>
    </row>
    <row r="61" spans="2:6" ht="9.9499999999999993" customHeight="1">
      <c r="B61" s="40"/>
      <c r="C61" s="40"/>
      <c r="D61" s="40"/>
      <c r="E61" s="40"/>
      <c r="F61" s="40"/>
    </row>
    <row r="62" spans="2:6" ht="24.95" customHeight="1">
      <c r="B62" s="1161" t="s">
        <v>699</v>
      </c>
      <c r="C62" s="1161"/>
      <c r="D62" s="1161"/>
      <c r="E62" s="1161"/>
      <c r="F62" s="1161"/>
    </row>
    <row r="63" spans="2:6">
      <c r="B63" s="40"/>
      <c r="C63" s="40"/>
      <c r="D63" s="40"/>
      <c r="E63" s="40"/>
      <c r="F63" s="40"/>
    </row>
    <row r="64" spans="2:6">
      <c r="B64" s="189" t="s">
        <v>700</v>
      </c>
      <c r="C64" s="189" t="s">
        <v>701</v>
      </c>
      <c r="D64" s="40"/>
      <c r="E64" s="40"/>
      <c r="F64" s="40"/>
    </row>
    <row r="65" spans="2:6">
      <c r="B65" s="40" t="s">
        <v>549</v>
      </c>
      <c r="C65" s="40">
        <v>0.2</v>
      </c>
      <c r="D65" s="40"/>
      <c r="E65" s="40"/>
      <c r="F65" s="40"/>
    </row>
    <row r="66" spans="2:6">
      <c r="B66" s="40" t="s">
        <v>550</v>
      </c>
      <c r="C66" s="40">
        <v>4.25</v>
      </c>
      <c r="D66" s="40"/>
      <c r="E66" s="40"/>
      <c r="F66" s="40"/>
    </row>
    <row r="67" spans="2:6">
      <c r="B67" s="40" t="s">
        <v>548</v>
      </c>
      <c r="C67" s="40">
        <v>3.45</v>
      </c>
      <c r="D67" s="40"/>
      <c r="E67" s="40"/>
      <c r="F67" s="40"/>
    </row>
    <row r="68" spans="2:6">
      <c r="B68" s="40" t="s">
        <v>702</v>
      </c>
      <c r="C68" s="40">
        <v>1.5</v>
      </c>
      <c r="D68" s="40"/>
      <c r="E68" s="40"/>
      <c r="F68" s="40"/>
    </row>
    <row r="69" spans="2:6" ht="9.9499999999999993" customHeight="1">
      <c r="B69" s="40"/>
      <c r="C69" s="40"/>
      <c r="D69" s="40"/>
      <c r="E69" s="40"/>
      <c r="F69" s="40"/>
    </row>
    <row r="70" spans="2:6" ht="24.95" customHeight="1">
      <c r="B70" s="1162" t="s">
        <v>541</v>
      </c>
      <c r="C70" s="1162"/>
      <c r="D70" s="1162"/>
      <c r="E70" s="1162"/>
      <c r="F70" s="1162"/>
    </row>
    <row r="71" spans="2:6">
      <c r="B71" s="40"/>
      <c r="C71" s="40"/>
      <c r="D71" s="40"/>
      <c r="E71" s="40"/>
      <c r="F71" s="40"/>
    </row>
    <row r="72" spans="2:6">
      <c r="B72" s="1151" t="s">
        <v>703</v>
      </c>
      <c r="C72" s="1151"/>
      <c r="D72" s="1151"/>
      <c r="E72" s="1151"/>
      <c r="F72" s="1151"/>
    </row>
    <row r="73" spans="2:6">
      <c r="B73" s="1151" t="s">
        <v>704</v>
      </c>
      <c r="C73" s="1151"/>
      <c r="D73" s="1151"/>
      <c r="E73" s="1151"/>
      <c r="F73" s="1151"/>
    </row>
    <row r="74" spans="2:6">
      <c r="B74" s="1151" t="s">
        <v>705</v>
      </c>
      <c r="C74" s="1151"/>
      <c r="D74" s="1151"/>
      <c r="E74" s="1151"/>
      <c r="F74" s="1151"/>
    </row>
    <row r="75" spans="2:6">
      <c r="B75" s="1151" t="s">
        <v>706</v>
      </c>
      <c r="C75" s="1151"/>
      <c r="D75" s="1151"/>
      <c r="E75" s="1151"/>
      <c r="F75" s="1151"/>
    </row>
    <row r="76" spans="2:6">
      <c r="B76" s="1151" t="s">
        <v>707</v>
      </c>
      <c r="C76" s="1151"/>
      <c r="D76" s="1151"/>
      <c r="E76" s="1151"/>
      <c r="F76" s="1151"/>
    </row>
    <row r="77" spans="2:6">
      <c r="B77" s="1151" t="s">
        <v>708</v>
      </c>
      <c r="C77" s="1151"/>
      <c r="D77" s="1151"/>
      <c r="E77" s="1151"/>
      <c r="F77" s="1151"/>
    </row>
    <row r="78" spans="2:6">
      <c r="B78" s="1151" t="s">
        <v>709</v>
      </c>
      <c r="C78" s="1151"/>
      <c r="D78" s="1151"/>
      <c r="E78" s="1151"/>
      <c r="F78" s="1151"/>
    </row>
    <row r="79" spans="2:6">
      <c r="B79" s="1151" t="s">
        <v>710</v>
      </c>
      <c r="C79" s="1151"/>
      <c r="D79" s="1151"/>
      <c r="E79" s="1151"/>
      <c r="F79" s="1151"/>
    </row>
    <row r="80" spans="2:6" ht="9.9499999999999993" customHeight="1">
      <c r="B80" s="40"/>
      <c r="C80" s="40"/>
      <c r="D80" s="40"/>
      <c r="E80" s="40"/>
      <c r="F80" s="40"/>
    </row>
    <row r="81" spans="2:6" ht="24.95" customHeight="1">
      <c r="B81" s="1164" t="s">
        <v>711</v>
      </c>
      <c r="C81" s="1164"/>
      <c r="D81" s="1164"/>
      <c r="E81" s="1164"/>
      <c r="F81" s="1164"/>
    </row>
    <row r="82" spans="2:6">
      <c r="B82" s="40"/>
      <c r="C82" s="40"/>
      <c r="D82" s="40"/>
      <c r="E82" s="40"/>
      <c r="F82" s="40"/>
    </row>
    <row r="83" spans="2:6">
      <c r="B83" s="190" t="s">
        <v>154</v>
      </c>
      <c r="C83" s="190" t="s">
        <v>712</v>
      </c>
      <c r="D83" s="190" t="s">
        <v>713</v>
      </c>
      <c r="E83" s="190" t="s">
        <v>714</v>
      </c>
      <c r="F83" s="40"/>
    </row>
    <row r="84" spans="2:6">
      <c r="B84" s="40" t="s">
        <v>194</v>
      </c>
      <c r="C84" s="40" t="s">
        <v>216</v>
      </c>
      <c r="D84" s="40" t="s">
        <v>69</v>
      </c>
      <c r="E84" s="40" t="s">
        <v>715</v>
      </c>
      <c r="F84" s="40"/>
    </row>
    <row r="85" spans="2:6">
      <c r="B85" s="40" t="s">
        <v>195</v>
      </c>
      <c r="C85" s="40" t="s">
        <v>205</v>
      </c>
      <c r="D85" s="40" t="s">
        <v>70</v>
      </c>
      <c r="E85" s="40" t="s">
        <v>716</v>
      </c>
      <c r="F85" s="40"/>
    </row>
    <row r="86" spans="2:6">
      <c r="B86" s="40" t="s">
        <v>197</v>
      </c>
      <c r="C86" s="40" t="s">
        <v>158</v>
      </c>
      <c r="D86" s="40" t="s">
        <v>69</v>
      </c>
      <c r="E86" s="40" t="s">
        <v>717</v>
      </c>
      <c r="F86" s="40"/>
    </row>
    <row r="87" spans="2:6">
      <c r="B87" s="40" t="s">
        <v>718</v>
      </c>
      <c r="C87" s="40" t="s">
        <v>159</v>
      </c>
      <c r="D87" s="40" t="s">
        <v>529</v>
      </c>
      <c r="E87" s="40" t="s">
        <v>719</v>
      </c>
      <c r="F87" s="40"/>
    </row>
    <row r="88" spans="2:6">
      <c r="B88" s="40" t="s">
        <v>521</v>
      </c>
      <c r="C88" s="40" t="s">
        <v>202</v>
      </c>
      <c r="D88" s="40" t="s">
        <v>70</v>
      </c>
      <c r="E88" s="40" t="s">
        <v>517</v>
      </c>
      <c r="F88" s="40"/>
    </row>
    <row r="89" spans="2:6">
      <c r="B89" s="40" t="s">
        <v>198</v>
      </c>
      <c r="C89" s="40" t="s">
        <v>217</v>
      </c>
      <c r="D89" s="40" t="s">
        <v>70</v>
      </c>
      <c r="E89" s="40" t="s">
        <v>720</v>
      </c>
      <c r="F89" s="40"/>
    </row>
    <row r="90" spans="2:6">
      <c r="B90" s="40" t="s">
        <v>721</v>
      </c>
      <c r="C90" s="40" t="s">
        <v>722</v>
      </c>
      <c r="D90" s="40" t="s">
        <v>723</v>
      </c>
      <c r="E90" s="40" t="s">
        <v>724</v>
      </c>
      <c r="F90" s="40"/>
    </row>
    <row r="91" spans="2:6">
      <c r="B91" s="40" t="s">
        <v>725</v>
      </c>
      <c r="C91" s="40" t="s">
        <v>726</v>
      </c>
      <c r="D91" s="40" t="s">
        <v>727</v>
      </c>
      <c r="E91" s="40" t="s">
        <v>728</v>
      </c>
      <c r="F91" s="40"/>
    </row>
    <row r="92" spans="2:6">
      <c r="B92" s="40" t="s">
        <v>729</v>
      </c>
      <c r="C92" s="40" t="s">
        <v>585</v>
      </c>
      <c r="D92" s="40" t="s">
        <v>727</v>
      </c>
      <c r="E92" s="40" t="s">
        <v>730</v>
      </c>
      <c r="F92" s="40"/>
    </row>
    <row r="93" spans="2:6">
      <c r="B93" s="40" t="s">
        <v>731</v>
      </c>
      <c r="C93" s="40" t="s">
        <v>732</v>
      </c>
      <c r="D93" s="40" t="s">
        <v>529</v>
      </c>
      <c r="E93" s="40" t="s">
        <v>733</v>
      </c>
      <c r="F93" s="40"/>
    </row>
    <row r="94" spans="2:6">
      <c r="B94" s="40" t="s">
        <v>734</v>
      </c>
      <c r="C94" s="40" t="s">
        <v>4</v>
      </c>
      <c r="D94" s="40" t="s">
        <v>529</v>
      </c>
      <c r="E94" s="40" t="s">
        <v>735</v>
      </c>
      <c r="F94" s="40"/>
    </row>
    <row r="95" spans="2:6">
      <c r="B95" s="40" t="s">
        <v>736</v>
      </c>
      <c r="C95" s="40" t="s">
        <v>57</v>
      </c>
      <c r="D95" s="40" t="s">
        <v>529</v>
      </c>
      <c r="E95" s="40" t="s">
        <v>737</v>
      </c>
      <c r="F95" s="40"/>
    </row>
    <row r="96" spans="2:6">
      <c r="B96" s="40" t="s">
        <v>738</v>
      </c>
      <c r="C96" s="40" t="s">
        <v>165</v>
      </c>
      <c r="D96" s="40" t="s">
        <v>723</v>
      </c>
      <c r="E96" s="40" t="s">
        <v>739</v>
      </c>
      <c r="F96" s="40"/>
    </row>
    <row r="97" spans="2:6">
      <c r="B97" s="40" t="s">
        <v>740</v>
      </c>
      <c r="C97" s="40" t="s">
        <v>166</v>
      </c>
      <c r="D97" s="40" t="s">
        <v>741</v>
      </c>
      <c r="E97" s="40" t="s">
        <v>742</v>
      </c>
      <c r="F97" s="40"/>
    </row>
    <row r="98" spans="2:6">
      <c r="B98" s="40" t="s">
        <v>743</v>
      </c>
      <c r="C98" s="40" t="s">
        <v>128</v>
      </c>
      <c r="D98" s="40" t="s">
        <v>69</v>
      </c>
      <c r="E98" s="40" t="s">
        <v>744</v>
      </c>
      <c r="F98" s="40"/>
    </row>
    <row r="99" spans="2:6">
      <c r="B99" s="40" t="s">
        <v>745</v>
      </c>
      <c r="C99" s="40" t="s">
        <v>113</v>
      </c>
      <c r="D99" s="40" t="s">
        <v>529</v>
      </c>
      <c r="E99" s="40" t="s">
        <v>746</v>
      </c>
      <c r="F99" s="40"/>
    </row>
    <row r="100" spans="2:6">
      <c r="B100" s="40" t="s">
        <v>747</v>
      </c>
      <c r="C100" s="40" t="s">
        <v>167</v>
      </c>
      <c r="D100" s="40" t="s">
        <v>723</v>
      </c>
      <c r="E100" s="40" t="s">
        <v>748</v>
      </c>
      <c r="F100" s="40"/>
    </row>
    <row r="101" spans="2:6">
      <c r="B101" s="40" t="s">
        <v>749</v>
      </c>
      <c r="C101" s="40" t="s">
        <v>750</v>
      </c>
      <c r="D101" s="40" t="s">
        <v>723</v>
      </c>
      <c r="E101" s="40" t="s">
        <v>751</v>
      </c>
      <c r="F101" s="40"/>
    </row>
    <row r="102" spans="2:6">
      <c r="B102" s="40" t="s">
        <v>526</v>
      </c>
      <c r="C102" s="40" t="s">
        <v>222</v>
      </c>
      <c r="D102" s="40" t="s">
        <v>69</v>
      </c>
      <c r="E102" s="40" t="s">
        <v>752</v>
      </c>
      <c r="F102" s="40"/>
    </row>
    <row r="103" spans="2:6">
      <c r="B103" s="40" t="s">
        <v>753</v>
      </c>
      <c r="C103" s="40" t="s">
        <v>754</v>
      </c>
      <c r="D103" s="40" t="s">
        <v>529</v>
      </c>
      <c r="E103" s="40" t="s">
        <v>755</v>
      </c>
      <c r="F103" s="40"/>
    </row>
    <row r="104" spans="2:6">
      <c r="B104" s="40"/>
      <c r="C104" s="40"/>
      <c r="D104" s="40"/>
      <c r="E104" s="40"/>
      <c r="F104" s="40"/>
    </row>
    <row r="105" spans="2:6">
      <c r="B105" s="40" t="s">
        <v>155</v>
      </c>
      <c r="C105" s="40" t="s">
        <v>272</v>
      </c>
      <c r="D105" s="40" t="s">
        <v>723</v>
      </c>
      <c r="E105" s="40" t="s">
        <v>756</v>
      </c>
      <c r="F105" s="40"/>
    </row>
    <row r="106" spans="2:6">
      <c r="B106" s="40" t="s">
        <v>757</v>
      </c>
      <c r="C106" s="40" t="s">
        <v>758</v>
      </c>
      <c r="D106" s="40" t="s">
        <v>723</v>
      </c>
      <c r="E106" s="40" t="s">
        <v>759</v>
      </c>
      <c r="F106" s="40"/>
    </row>
    <row r="107" spans="2:6">
      <c r="B107" s="40" t="s">
        <v>156</v>
      </c>
      <c r="C107" s="40" t="s">
        <v>68</v>
      </c>
      <c r="D107" s="40" t="s">
        <v>723</v>
      </c>
      <c r="E107" s="40" t="s">
        <v>760</v>
      </c>
      <c r="F107" s="40"/>
    </row>
    <row r="108" spans="2:6" ht="9.9499999999999993" customHeight="1">
      <c r="B108" s="40"/>
      <c r="C108" s="40"/>
      <c r="D108" s="40"/>
      <c r="E108" s="40"/>
      <c r="F108" s="40"/>
    </row>
    <row r="109" spans="2:6" ht="24.95" customHeight="1">
      <c r="B109" s="1165" t="s">
        <v>761</v>
      </c>
      <c r="C109" s="1165"/>
      <c r="D109" s="1165"/>
      <c r="E109" s="1165"/>
      <c r="F109" s="1165"/>
    </row>
    <row r="110" spans="2:6">
      <c r="B110" s="40"/>
      <c r="C110" s="40"/>
      <c r="D110" s="40"/>
      <c r="E110" s="40"/>
      <c r="F110" s="40"/>
    </row>
    <row r="111" spans="2:6">
      <c r="B111" s="191" t="s">
        <v>762</v>
      </c>
      <c r="C111" s="191" t="s">
        <v>763</v>
      </c>
      <c r="D111" s="191" t="s">
        <v>714</v>
      </c>
      <c r="E111" s="40"/>
      <c r="F111" s="40"/>
    </row>
    <row r="112" spans="2:6">
      <c r="B112" s="183">
        <v>46092</v>
      </c>
      <c r="C112" s="40" t="s">
        <v>764</v>
      </c>
      <c r="D112" s="40" t="s">
        <v>765</v>
      </c>
      <c r="E112" s="40"/>
      <c r="F112" s="40"/>
    </row>
    <row r="113" spans="2:6">
      <c r="B113" s="40">
        <v>12</v>
      </c>
      <c r="C113" s="40" t="s">
        <v>574</v>
      </c>
      <c r="D113" s="40" t="s">
        <v>766</v>
      </c>
      <c r="E113" s="40"/>
      <c r="F113" s="40"/>
    </row>
    <row r="114" spans="2:6">
      <c r="B114" s="40">
        <v>13</v>
      </c>
      <c r="C114" s="40" t="s">
        <v>575</v>
      </c>
      <c r="D114" s="40" t="s">
        <v>767</v>
      </c>
      <c r="E114" s="40"/>
      <c r="F114" s="40"/>
    </row>
    <row r="115" spans="2:6">
      <c r="B115" s="40">
        <v>14</v>
      </c>
      <c r="C115" s="40" t="s">
        <v>576</v>
      </c>
      <c r="D115" s="40" t="s">
        <v>768</v>
      </c>
      <c r="E115" s="40"/>
      <c r="F115" s="40"/>
    </row>
    <row r="116" spans="2:6">
      <c r="B116" s="40">
        <v>15</v>
      </c>
      <c r="C116" s="40" t="s">
        <v>577</v>
      </c>
      <c r="D116" s="40" t="s">
        <v>769</v>
      </c>
      <c r="E116" s="40"/>
      <c r="F116" s="40"/>
    </row>
    <row r="117" spans="2:6">
      <c r="B117" s="40">
        <v>16</v>
      </c>
      <c r="C117" s="40" t="s">
        <v>578</v>
      </c>
      <c r="D117" s="40" t="s">
        <v>770</v>
      </c>
      <c r="E117" s="40"/>
      <c r="F117" s="40"/>
    </row>
    <row r="118" spans="2:6">
      <c r="B118" s="40">
        <v>17</v>
      </c>
      <c r="C118" s="40" t="s">
        <v>579</v>
      </c>
      <c r="D118" s="40" t="s">
        <v>771</v>
      </c>
      <c r="E118" s="40"/>
      <c r="F118" s="40"/>
    </row>
    <row r="119" spans="2:6">
      <c r="B119" s="40" t="s">
        <v>772</v>
      </c>
      <c r="C119" s="40" t="s">
        <v>498</v>
      </c>
      <c r="D119" s="40" t="s">
        <v>773</v>
      </c>
      <c r="E119" s="40"/>
      <c r="F119" s="40"/>
    </row>
    <row r="120" spans="2:6" ht="9.9499999999999993" customHeight="1">
      <c r="B120" s="40"/>
      <c r="C120" s="40"/>
      <c r="D120" s="40"/>
      <c r="E120" s="40"/>
      <c r="F120" s="40"/>
    </row>
    <row r="121" spans="2:6" ht="24.95" customHeight="1">
      <c r="B121" s="1166" t="s">
        <v>774</v>
      </c>
      <c r="C121" s="1166"/>
      <c r="D121" s="1166"/>
      <c r="E121" s="1166"/>
      <c r="F121" s="1166"/>
    </row>
    <row r="122" spans="2:6">
      <c r="B122" s="40"/>
      <c r="C122" s="40"/>
      <c r="D122" s="40"/>
      <c r="E122" s="40"/>
      <c r="F122" s="40"/>
    </row>
    <row r="123" spans="2:6">
      <c r="B123" s="1167" t="s">
        <v>775</v>
      </c>
      <c r="C123" s="1151"/>
      <c r="D123" s="1151"/>
      <c r="E123" s="1151"/>
      <c r="F123" s="1151"/>
    </row>
    <row r="124" spans="2:6">
      <c r="B124" s="40"/>
      <c r="C124" s="40"/>
      <c r="D124" s="40"/>
      <c r="E124" s="40"/>
      <c r="F124" s="40"/>
    </row>
    <row r="125" spans="2:6">
      <c r="B125" s="192" t="s">
        <v>134</v>
      </c>
      <c r="C125" s="192" t="s">
        <v>125</v>
      </c>
      <c r="D125" s="40"/>
      <c r="E125" s="40"/>
      <c r="F125" s="40"/>
    </row>
    <row r="126" spans="2:6">
      <c r="B126" s="40" t="s">
        <v>776</v>
      </c>
      <c r="C126" s="40" t="s">
        <v>777</v>
      </c>
      <c r="D126" s="40"/>
      <c r="E126" s="40"/>
      <c r="F126" s="40"/>
    </row>
    <row r="127" spans="2:6">
      <c r="B127" s="40" t="s">
        <v>778</v>
      </c>
      <c r="C127" s="40" t="s">
        <v>779</v>
      </c>
      <c r="D127" s="40"/>
      <c r="E127" s="40"/>
      <c r="F127" s="40"/>
    </row>
    <row r="128" spans="2:6">
      <c r="B128" s="40" t="s">
        <v>780</v>
      </c>
      <c r="C128" s="40" t="s">
        <v>781</v>
      </c>
      <c r="D128" s="40"/>
      <c r="E128" s="40"/>
      <c r="F128" s="40"/>
    </row>
    <row r="129" spans="2:6">
      <c r="B129" s="40" t="s">
        <v>782</v>
      </c>
      <c r="C129" s="40" t="s">
        <v>783</v>
      </c>
      <c r="D129" s="40"/>
      <c r="E129" s="40"/>
      <c r="F129" s="40"/>
    </row>
    <row r="130" spans="2:6">
      <c r="B130" s="40" t="s">
        <v>784</v>
      </c>
      <c r="C130" s="40" t="s">
        <v>785</v>
      </c>
      <c r="D130" s="40"/>
      <c r="E130" s="40"/>
      <c r="F130" s="40"/>
    </row>
    <row r="131" spans="2:6">
      <c r="B131" s="40" t="s">
        <v>786</v>
      </c>
      <c r="C131" s="40" t="s">
        <v>787</v>
      </c>
      <c r="D131" s="40"/>
      <c r="E131" s="40"/>
      <c r="F131" s="40"/>
    </row>
    <row r="132" spans="2:6">
      <c r="B132" s="40" t="s">
        <v>788</v>
      </c>
      <c r="C132" s="40" t="s">
        <v>789</v>
      </c>
      <c r="D132" s="40"/>
      <c r="E132" s="40"/>
      <c r="F132" s="40"/>
    </row>
    <row r="133" spans="2:6">
      <c r="B133" s="40" t="s">
        <v>790</v>
      </c>
      <c r="C133" s="40" t="s">
        <v>791</v>
      </c>
      <c r="D133" s="40"/>
      <c r="E133" s="40"/>
      <c r="F133" s="40"/>
    </row>
    <row r="134" spans="2:6">
      <c r="B134" s="40" t="s">
        <v>792</v>
      </c>
      <c r="C134" s="40" t="s">
        <v>793</v>
      </c>
      <c r="D134" s="40"/>
      <c r="E134" s="40"/>
      <c r="F134" s="40"/>
    </row>
    <row r="135" spans="2:6">
      <c r="B135" s="40" t="s">
        <v>794</v>
      </c>
      <c r="C135" s="40" t="s">
        <v>795</v>
      </c>
      <c r="D135" s="40"/>
      <c r="E135" s="40"/>
      <c r="F135" s="40"/>
    </row>
    <row r="136" spans="2:6">
      <c r="B136" s="40" t="s">
        <v>796</v>
      </c>
      <c r="C136" s="40" t="s">
        <v>797</v>
      </c>
      <c r="D136" s="40"/>
      <c r="E136" s="40"/>
      <c r="F136" s="40"/>
    </row>
    <row r="137" spans="2:6">
      <c r="B137" s="40"/>
      <c r="C137" s="40"/>
      <c r="D137" s="40"/>
      <c r="E137" s="40"/>
      <c r="F137" s="40"/>
    </row>
    <row r="138" spans="2:6">
      <c r="B138" s="1163"/>
      <c r="C138" s="1151"/>
      <c r="D138" s="1151"/>
      <c r="E138" s="1151"/>
      <c r="F138" s="1151"/>
    </row>
    <row r="140" spans="2:6">
      <c r="B140" s="38" t="s">
        <v>806</v>
      </c>
    </row>
    <row r="141" spans="2:6" ht="18.75">
      <c r="B141" s="199" t="s">
        <v>801</v>
      </c>
    </row>
    <row r="142" spans="2:6">
      <c r="B142" t="s">
        <v>806</v>
      </c>
    </row>
    <row r="144" spans="2:6">
      <c r="B144" t="s">
        <v>807</v>
      </c>
    </row>
    <row r="145" spans="2:2">
      <c r="B145" s="198" t="s">
        <v>802</v>
      </c>
    </row>
    <row r="147" spans="2:2">
      <c r="B147" t="s">
        <v>808</v>
      </c>
    </row>
    <row r="148" spans="2:2">
      <c r="B148" t="s">
        <v>809</v>
      </c>
    </row>
    <row r="150" spans="2:2">
      <c r="B150" t="s">
        <v>810</v>
      </c>
    </row>
    <row r="152" spans="2:2">
      <c r="B152" s="38" t="s">
        <v>803</v>
      </c>
    </row>
    <row r="153" spans="2:2">
      <c r="B153" t="s">
        <v>804</v>
      </c>
    </row>
    <row r="155" spans="2:2">
      <c r="B155" t="s">
        <v>811</v>
      </c>
    </row>
    <row r="157" spans="2:2">
      <c r="B157" t="s">
        <v>812</v>
      </c>
    </row>
    <row r="158" spans="2:2">
      <c r="B158" t="s">
        <v>813</v>
      </c>
    </row>
    <row r="159" spans="2:2">
      <c r="B159" t="s">
        <v>833</v>
      </c>
    </row>
    <row r="160" spans="2:2">
      <c r="B160" t="s">
        <v>814</v>
      </c>
    </row>
    <row r="161" spans="2:2">
      <c r="B161" t="s">
        <v>815</v>
      </c>
    </row>
    <row r="163" spans="2:2">
      <c r="B163" t="s">
        <v>816</v>
      </c>
    </row>
    <row r="164" spans="2:2">
      <c r="B164" t="s">
        <v>817</v>
      </c>
    </row>
    <row r="166" spans="2:2">
      <c r="B166" t="s">
        <v>810</v>
      </c>
    </row>
    <row r="168" spans="2:2">
      <c r="B168" s="38" t="s">
        <v>805</v>
      </c>
    </row>
    <row r="169" spans="2:2">
      <c r="B169" t="s">
        <v>804</v>
      </c>
    </row>
    <row r="171" spans="2:2">
      <c r="B171" t="s">
        <v>818</v>
      </c>
    </row>
    <row r="172" spans="2:2">
      <c r="B172" t="s">
        <v>819</v>
      </c>
    </row>
    <row r="174" spans="2:2">
      <c r="B174" t="s">
        <v>810</v>
      </c>
    </row>
    <row r="176" spans="2:2">
      <c r="B176" s="38" t="s">
        <v>820</v>
      </c>
    </row>
    <row r="177" spans="2:2">
      <c r="B177" t="s">
        <v>804</v>
      </c>
    </row>
    <row r="179" spans="2:2">
      <c r="B179" t="s">
        <v>821</v>
      </c>
    </row>
    <row r="180" spans="2:2">
      <c r="B180" t="s">
        <v>822</v>
      </c>
    </row>
    <row r="182" spans="2:2">
      <c r="B182" t="s">
        <v>810</v>
      </c>
    </row>
    <row r="184" spans="2:2">
      <c r="B184" s="38" t="s">
        <v>823</v>
      </c>
    </row>
    <row r="185" spans="2:2">
      <c r="B185" t="s">
        <v>804</v>
      </c>
    </row>
    <row r="187" spans="2:2">
      <c r="B187" t="s">
        <v>809</v>
      </c>
    </row>
    <row r="189" spans="2:2">
      <c r="B189" t="s">
        <v>810</v>
      </c>
    </row>
    <row r="191" spans="2:2">
      <c r="B191" s="38" t="s">
        <v>824</v>
      </c>
    </row>
    <row r="193" spans="2:2">
      <c r="B193" t="s">
        <v>825</v>
      </c>
    </row>
    <row r="194" spans="2:2">
      <c r="B194" t="s">
        <v>834</v>
      </c>
    </row>
    <row r="195" spans="2:2">
      <c r="B195" t="s">
        <v>826</v>
      </c>
    </row>
    <row r="196" spans="2:2">
      <c r="B196" t="s">
        <v>835</v>
      </c>
    </row>
    <row r="197" spans="2:2">
      <c r="B197" t="s">
        <v>827</v>
      </c>
    </row>
    <row r="199" spans="2:2">
      <c r="B199" s="38" t="s">
        <v>828</v>
      </c>
    </row>
    <row r="201" spans="2:2">
      <c r="B201" t="s">
        <v>829</v>
      </c>
    </row>
    <row r="202" spans="2:2">
      <c r="B202" t="s">
        <v>830</v>
      </c>
    </row>
    <row r="203" spans="2:2">
      <c r="B203" t="s">
        <v>831</v>
      </c>
    </row>
    <row r="204" spans="2:2">
      <c r="B204" t="s">
        <v>832</v>
      </c>
    </row>
  </sheetData>
  <mergeCells count="24">
    <mergeCell ref="B138:F138"/>
    <mergeCell ref="B73:F73"/>
    <mergeCell ref="B74:F74"/>
    <mergeCell ref="B75:F75"/>
    <mergeCell ref="B76:F76"/>
    <mergeCell ref="B77:F77"/>
    <mergeCell ref="B78:F78"/>
    <mergeCell ref="B79:F79"/>
    <mergeCell ref="B81:F81"/>
    <mergeCell ref="B109:F109"/>
    <mergeCell ref="B121:F121"/>
    <mergeCell ref="B123:F123"/>
    <mergeCell ref="B72:F72"/>
    <mergeCell ref="B2:F2"/>
    <mergeCell ref="B3:F3"/>
    <mergeCell ref="B5:F5"/>
    <mergeCell ref="B10:F10"/>
    <mergeCell ref="B23:F23"/>
    <mergeCell ref="B36:F36"/>
    <mergeCell ref="B45:F45"/>
    <mergeCell ref="B47:F47"/>
    <mergeCell ref="B56:F56"/>
    <mergeCell ref="B62:F62"/>
    <mergeCell ref="B70:F7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E5ED-99E8-4482-A6C4-6188A7F14EED}">
  <dimension ref="A1:P77"/>
  <sheetViews>
    <sheetView topLeftCell="A23" workbookViewId="0">
      <selection activeCell="K10" sqref="K10"/>
    </sheetView>
  </sheetViews>
  <sheetFormatPr defaultRowHeight="15"/>
  <cols>
    <col min="1" max="1" width="14" bestFit="1" customWidth="1"/>
    <col min="2" max="2" width="13.42578125" bestFit="1" customWidth="1"/>
    <col min="3" max="3" width="17.5703125" bestFit="1" customWidth="1"/>
    <col min="4" max="4" width="18.5703125" bestFit="1" customWidth="1"/>
    <col min="5" max="5" width="10.7109375" bestFit="1" customWidth="1"/>
    <col min="6" max="6" width="20.42578125" bestFit="1" customWidth="1"/>
    <col min="7" max="7" width="20.5703125" bestFit="1" customWidth="1"/>
  </cols>
  <sheetData>
    <row r="1" spans="1:16" ht="32.1" customHeight="1">
      <c r="A1" s="994" t="s">
        <v>1101</v>
      </c>
      <c r="B1" s="994"/>
      <c r="C1" s="994"/>
      <c r="D1" s="994"/>
      <c r="E1" s="994"/>
      <c r="F1" s="994"/>
    </row>
    <row r="2" spans="1:16">
      <c r="A2" s="995" t="s">
        <v>1102</v>
      </c>
      <c r="B2" s="995"/>
      <c r="C2" s="995"/>
      <c r="D2" s="995"/>
      <c r="E2" s="995"/>
      <c r="F2" s="995"/>
    </row>
    <row r="4" spans="1:16">
      <c r="A4" s="599" t="s">
        <v>1</v>
      </c>
      <c r="B4" s="599" t="s">
        <v>3</v>
      </c>
      <c r="C4" s="599" t="s">
        <v>22</v>
      </c>
      <c r="D4" s="599" t="s">
        <v>72</v>
      </c>
      <c r="E4" s="599" t="s">
        <v>21</v>
      </c>
      <c r="F4" s="599" t="s">
        <v>1103</v>
      </c>
      <c r="G4" s="599" t="s">
        <v>1104</v>
      </c>
    </row>
    <row r="5" spans="1:16">
      <c r="A5" s="2" t="s">
        <v>46</v>
      </c>
      <c r="B5" s="2" t="s">
        <v>19</v>
      </c>
      <c r="C5" s="2" t="s">
        <v>30</v>
      </c>
      <c r="D5" s="2" t="s">
        <v>30</v>
      </c>
      <c r="E5" s="2" t="s">
        <v>30</v>
      </c>
      <c r="F5" s="600" cm="1">
        <f t="array" ref="F5">SUMPRODUCT((BOM!$A$2:$A$404=A5)*(BOM!$F$2:$F$404=E5)*BOM!$H$2:$H$404*BOM!$G$2:$G$404)/SUMPRODUCT((BOM!$A$2:$A$404=A5)*BOM!$H$2:$H$404*BOM!$G$2:$G$404)</f>
        <v>0.25400000000000006</v>
      </c>
      <c r="G5" s="601">
        <f>SUMIF(tblResinWeightedQty[Film],tblResinWeightedQty[[#This Row],[Film]],tblResinWeightedQty[Weighted QTY %])</f>
        <v>1.0000000000000002</v>
      </c>
    </row>
    <row r="6" spans="1:16">
      <c r="A6" s="2" t="s">
        <v>46</v>
      </c>
      <c r="B6" s="2" t="s">
        <v>13</v>
      </c>
      <c r="C6" s="2" t="s">
        <v>73</v>
      </c>
      <c r="D6" s="2" t="s">
        <v>74</v>
      </c>
      <c r="E6" s="2" t="s">
        <v>33</v>
      </c>
      <c r="F6" s="600" cm="1">
        <f t="array" ref="F6">SUMPRODUCT((BOM!$A$2:$A$404=A6)*(BOM!$F$2:$F$404=E6)*BOM!$H$2:$H$404*BOM!$G$2:$G$404)/SUMPRODUCT((BOM!$A$2:$A$404=A6)*BOM!$H$2:$H$404*BOM!$G$2:$G$404)</f>
        <v>8.5199999999999998E-2</v>
      </c>
      <c r="G6" s="601">
        <f>SUMIF(tblResinWeightedQty[Film],tblResinWeightedQty[[#This Row],[Film]],tblResinWeightedQty[Weighted QTY %])</f>
        <v>1.0000000000000002</v>
      </c>
    </row>
    <row r="7" spans="1:16">
      <c r="A7" s="2" t="s">
        <v>46</v>
      </c>
      <c r="B7" s="2" t="s">
        <v>14</v>
      </c>
      <c r="C7" s="2" t="s">
        <v>23</v>
      </c>
      <c r="D7" s="2" t="s">
        <v>76</v>
      </c>
      <c r="E7" s="2" t="s">
        <v>35</v>
      </c>
      <c r="F7" s="600" cm="1">
        <f t="array" ref="F7">SUMPRODUCT((BOM!$A$2:$A$404=A7)*(BOM!$F$2:$F$404=E7)*BOM!$H$2:$H$404*BOM!$G$2:$G$404)/SUMPRODUCT((BOM!$A$2:$A$404=A7)*BOM!$H$2:$H$404*BOM!$G$2:$G$404)</f>
        <v>0.13800000000000001</v>
      </c>
      <c r="G7" s="601">
        <f>SUMIF(tblResinWeightedQty[Film],tblResinWeightedQty[[#This Row],[Film]],tblResinWeightedQty[Weighted QTY %])</f>
        <v>1.0000000000000002</v>
      </c>
    </row>
    <row r="8" spans="1:16">
      <c r="A8" s="2" t="s">
        <v>46</v>
      </c>
      <c r="B8" s="2" t="s">
        <v>16</v>
      </c>
      <c r="C8" s="2" t="s">
        <v>10</v>
      </c>
      <c r="D8" s="2" t="s">
        <v>80</v>
      </c>
      <c r="E8" s="2" t="s">
        <v>38</v>
      </c>
      <c r="F8" s="600" cm="1">
        <f t="array" ref="F8">SUMPRODUCT((BOM!$A$2:$A$404=A8)*(BOM!$F$2:$F$404=E8)*BOM!$H$2:$H$404*BOM!$G$2:$G$404)/SUMPRODUCT((BOM!$A$2:$A$404=A8)*BOM!$H$2:$H$404*BOM!$G$2:$G$404)</f>
        <v>2.0000000000000004E-2</v>
      </c>
      <c r="G8" s="601">
        <f>SUMIF(tblResinWeightedQty[Film],tblResinWeightedQty[[#This Row],[Film]],tblResinWeightedQty[Weighted QTY %])</f>
        <v>1.0000000000000002</v>
      </c>
    </row>
    <row r="9" spans="1:16">
      <c r="A9" s="2" t="s">
        <v>46</v>
      </c>
      <c r="B9" s="2" t="s">
        <v>17</v>
      </c>
      <c r="C9" s="2" t="s">
        <v>11</v>
      </c>
      <c r="D9" s="2" t="s">
        <v>81</v>
      </c>
      <c r="E9" s="2" t="s">
        <v>39</v>
      </c>
      <c r="F9" s="600" cm="1">
        <f t="array" ref="F9">SUMPRODUCT((BOM!$A$2:$A$404=A9)*(BOM!$F$2:$F$404=E9)*BOM!$H$2:$H$404*BOM!$G$2:$G$404)/SUMPRODUCT((BOM!$A$2:$A$404=A9)*BOM!$H$2:$H$404*BOM!$G$2:$G$404)</f>
        <v>1.2000000000000002E-2</v>
      </c>
      <c r="G9" s="601">
        <f>SUMIF(tblResinWeightedQty[Film],tblResinWeightedQty[[#This Row],[Film]],tblResinWeightedQty[Weighted QTY %])</f>
        <v>1.0000000000000002</v>
      </c>
    </row>
    <row r="10" spans="1:16">
      <c r="A10" s="2" t="s">
        <v>46</v>
      </c>
      <c r="B10" s="2" t="s">
        <v>18</v>
      </c>
      <c r="C10" s="2" t="s">
        <v>9</v>
      </c>
      <c r="D10" s="2" t="s">
        <v>82</v>
      </c>
      <c r="E10" s="2" t="s">
        <v>40</v>
      </c>
      <c r="F10" s="600" cm="1">
        <f t="array" ref="F10">SUMPRODUCT((BOM!$A$2:$A$404=A10)*(BOM!$F$2:$F$404=E10)*BOM!$H$2:$H$404*BOM!$G$2:$G$404)/SUMPRODUCT((BOM!$A$2:$A$404=A10)*BOM!$H$2:$H$404*BOM!$G$2:$G$404)</f>
        <v>9.0000000000000011E-3</v>
      </c>
      <c r="G10" s="601">
        <f>SUMIF(tblResinWeightedQty[Film],tblResinWeightedQty[[#This Row],[Film]],tblResinWeightedQty[Weighted QTY %])</f>
        <v>1.0000000000000002</v>
      </c>
    </row>
    <row r="11" spans="1:16">
      <c r="A11" s="2" t="s">
        <v>46</v>
      </c>
      <c r="B11" s="2" t="s">
        <v>12</v>
      </c>
      <c r="C11" s="2" t="s">
        <v>8</v>
      </c>
      <c r="D11" s="2" t="s">
        <v>83</v>
      </c>
      <c r="E11" s="2" t="s">
        <v>42</v>
      </c>
      <c r="F11" s="600" cm="1">
        <f t="array" ref="F11">SUMPRODUCT((BOM!$A$2:$A$404=A11)*(BOM!$F$2:$F$404=E11)*BOM!$H$2:$H$404*BOM!$G$2:$G$404)/SUMPRODUCT((BOM!$A$2:$A$404=A11)*BOM!$H$2:$H$404*BOM!$G$2:$G$404)</f>
        <v>0.48180000000000012</v>
      </c>
      <c r="G11" s="601">
        <f>SUMIF(tblResinWeightedQty[Film],tblResinWeightedQty[[#This Row],[Film]],tblResinWeightedQty[Weighted QTY %])</f>
        <v>1.0000000000000002</v>
      </c>
    </row>
    <row r="12" spans="1:16">
      <c r="A12" s="2" t="s">
        <v>47</v>
      </c>
      <c r="B12" s="2" t="s">
        <v>19</v>
      </c>
      <c r="C12" s="2" t="s">
        <v>30</v>
      </c>
      <c r="D12" s="2" t="s">
        <v>30</v>
      </c>
      <c r="E12" s="2" t="s">
        <v>30</v>
      </c>
      <c r="F12" s="600" cm="1">
        <f t="array" ref="F12">SUMPRODUCT((BOM!$A$2:$A$404=A12)*(BOM!$F$2:$F$404=E12)*BOM!$H$2:$H$404*BOM!$G$2:$G$404)/SUMPRODUCT((BOM!$A$2:$A$404=A12)*BOM!$H$2:$H$404*BOM!$G$2:$G$404)</f>
        <v>0.25400000000000006</v>
      </c>
      <c r="G12" s="601">
        <f>SUMIF(tblResinWeightedQty[Film],tblResinWeightedQty[[#This Row],[Film]],tblResinWeightedQty[Weighted QTY %])</f>
        <v>1.0000000000000002</v>
      </c>
    </row>
    <row r="13" spans="1:16">
      <c r="A13" s="2" t="s">
        <v>47</v>
      </c>
      <c r="B13" s="2" t="s">
        <v>13</v>
      </c>
      <c r="C13" s="2" t="s">
        <v>73</v>
      </c>
      <c r="D13" s="2" t="s">
        <v>74</v>
      </c>
      <c r="E13" s="2" t="s">
        <v>33</v>
      </c>
      <c r="F13" s="600" cm="1">
        <f t="array" ref="F13">SUMPRODUCT((BOM!$A$2:$A$404=A13)*(BOM!$F$2:$F$404=E13)*BOM!$H$2:$H$404*BOM!$G$2:$G$404)/SUMPRODUCT((BOM!$A$2:$A$404=A13)*BOM!$H$2:$H$404*BOM!$G$2:$G$404)</f>
        <v>0.47400000000000009</v>
      </c>
      <c r="G13" s="601">
        <f>SUMIF(tblResinWeightedQty[Film],tblResinWeightedQty[[#This Row],[Film]],tblResinWeightedQty[Weighted QTY %])</f>
        <v>1.0000000000000002</v>
      </c>
    </row>
    <row r="14" spans="1:16">
      <c r="A14" s="2" t="s">
        <v>47</v>
      </c>
      <c r="B14" s="2" t="s">
        <v>14</v>
      </c>
      <c r="C14" s="2" t="s">
        <v>23</v>
      </c>
      <c r="D14" s="2" t="s">
        <v>76</v>
      </c>
      <c r="E14" s="2" t="s">
        <v>35</v>
      </c>
      <c r="F14" s="600" cm="1">
        <f t="array" ref="F14">SUMPRODUCT((BOM!$A$2:$A$404=A14)*(BOM!$F$2:$F$404=E14)*BOM!$H$2:$H$404*BOM!$G$2:$G$404)/SUMPRODUCT((BOM!$A$2:$A$404=A14)*BOM!$H$2:$H$404*BOM!$G$2:$G$404)</f>
        <v>0.13800000000000001</v>
      </c>
      <c r="G14" s="601">
        <f>SUMIF(tblResinWeightedQty[Film],tblResinWeightedQty[[#This Row],[Film]],tblResinWeightedQty[Weighted QTY %])</f>
        <v>1.0000000000000002</v>
      </c>
    </row>
    <row r="15" spans="1:16">
      <c r="A15" s="2" t="s">
        <v>47</v>
      </c>
      <c r="B15" s="2" t="s">
        <v>15</v>
      </c>
      <c r="C15" s="2" t="s">
        <v>24</v>
      </c>
      <c r="D15" s="2" t="s">
        <v>79</v>
      </c>
      <c r="E15" s="2" t="s">
        <v>37</v>
      </c>
      <c r="F15" s="600" cm="1">
        <f t="array" ref="F15">SUMPRODUCT((BOM!$A$2:$A$404=A15)*(BOM!$F$2:$F$404=E15)*BOM!$H$2:$H$404*BOM!$G$2:$G$404)/SUMPRODUCT((BOM!$A$2:$A$404=A15)*BOM!$H$2:$H$404*BOM!$G$2:$G$404)</f>
        <v>0.11400000000000003</v>
      </c>
      <c r="G15" s="601">
        <f>SUMIF(tblResinWeightedQty[Film],tblResinWeightedQty[[#This Row],[Film]],tblResinWeightedQty[Weighted QTY %])</f>
        <v>1.0000000000000002</v>
      </c>
    </row>
    <row r="16" spans="1:16">
      <c r="A16" s="2" t="s">
        <v>47</v>
      </c>
      <c r="B16" s="2" t="s">
        <v>16</v>
      </c>
      <c r="C16" s="2" t="s">
        <v>10</v>
      </c>
      <c r="D16" s="2" t="s">
        <v>80</v>
      </c>
      <c r="E16" s="2" t="s">
        <v>38</v>
      </c>
      <c r="F16" s="600" cm="1">
        <f t="array" ref="F16">SUMPRODUCT((BOM!$A$2:$A$404=A16)*(BOM!$F$2:$F$404=E16)*BOM!$H$2:$H$404*BOM!$G$2:$G$404)/SUMPRODUCT((BOM!$A$2:$A$404=A16)*BOM!$H$2:$H$404*BOM!$G$2:$G$404)</f>
        <v>2.0000000000000004E-2</v>
      </c>
      <c r="G16" s="601">
        <f>SUMIF(tblResinWeightedQty[Film],tblResinWeightedQty[[#This Row],[Film]],tblResinWeightedQty[Weighted QTY %])</f>
        <v>1.0000000000000002</v>
      </c>
      <c r="O16" t="s">
        <v>1292</v>
      </c>
      <c r="P16">
        <v>2442</v>
      </c>
    </row>
    <row r="17" spans="1:15">
      <c r="A17" s="2" t="s">
        <v>48</v>
      </c>
      <c r="B17" s="2" t="s">
        <v>19</v>
      </c>
      <c r="C17" s="2" t="s">
        <v>30</v>
      </c>
      <c r="D17" s="2" t="s">
        <v>30</v>
      </c>
      <c r="E17" s="2" t="s">
        <v>30</v>
      </c>
      <c r="F17" s="600" cm="1">
        <f t="array" ref="F17">SUMPRODUCT((BOM!$A$2:$A$404=A17)*(BOM!$F$2:$F$404=E17)*BOM!$H$2:$H$404*BOM!$G$2:$G$404)/SUMPRODUCT((BOM!$A$2:$A$404=A17)*BOM!$H$2:$H$404*BOM!$G$2:$G$404)</f>
        <v>0.19600000000000001</v>
      </c>
      <c r="G17" s="601">
        <f>SUMIF(tblResinWeightedQty[Film],tblResinWeightedQty[[#This Row],[Film]],tblResinWeightedQty[Weighted QTY %])</f>
        <v>1</v>
      </c>
    </row>
    <row r="18" spans="1:15">
      <c r="A18" s="2" t="s">
        <v>48</v>
      </c>
      <c r="B18" s="2" t="s">
        <v>13</v>
      </c>
      <c r="C18" s="2" t="s">
        <v>73</v>
      </c>
      <c r="D18" s="2" t="s">
        <v>74</v>
      </c>
      <c r="E18" s="2" t="s">
        <v>33</v>
      </c>
      <c r="F18" s="600" cm="1">
        <f t="array" ref="F18">SUMPRODUCT((BOM!$A$2:$A$404=A18)*(BOM!$F$2:$F$404=E18)*BOM!$H$2:$H$404*BOM!$G$2:$G$404)/SUMPRODUCT((BOM!$A$2:$A$404=A18)*BOM!$H$2:$H$404*BOM!$G$2:$G$404)</f>
        <v>0.47400000000000003</v>
      </c>
      <c r="G18" s="601">
        <f>SUMIF(tblResinWeightedQty[Film],tblResinWeightedQty[[#This Row],[Film]],tblResinWeightedQty[Weighted QTY %])</f>
        <v>1</v>
      </c>
      <c r="I18" t="s">
        <v>1288</v>
      </c>
      <c r="J18">
        <v>302</v>
      </c>
      <c r="K18" t="s">
        <v>1290</v>
      </c>
      <c r="L18">
        <v>0.5</v>
      </c>
      <c r="M18" s="807">
        <v>0.02</v>
      </c>
    </row>
    <row r="19" spans="1:15">
      <c r="A19" s="2" t="s">
        <v>48</v>
      </c>
      <c r="B19" s="2" t="s">
        <v>14</v>
      </c>
      <c r="C19" s="2" t="s">
        <v>23</v>
      </c>
      <c r="D19" s="2" t="s">
        <v>76</v>
      </c>
      <c r="E19" s="2" t="s">
        <v>35</v>
      </c>
      <c r="F19" s="600" cm="1">
        <f t="array" ref="F19">SUMPRODUCT((BOM!$A$2:$A$404=A19)*(BOM!$F$2:$F$404=E19)*BOM!$H$2:$H$404*BOM!$G$2:$G$404)/SUMPRODUCT((BOM!$A$2:$A$404=A19)*BOM!$H$2:$H$404*BOM!$G$2:$G$404)</f>
        <v>0.19600000000000001</v>
      </c>
      <c r="G19" s="601">
        <f>SUMIF(tblResinWeightedQty[Film],tblResinWeightedQty[[#This Row],[Film]],tblResinWeightedQty[Weighted QTY %])</f>
        <v>1</v>
      </c>
      <c r="K19" t="s">
        <v>1291</v>
      </c>
      <c r="L19">
        <v>0.2</v>
      </c>
      <c r="M19">
        <v>10</v>
      </c>
    </row>
    <row r="20" spans="1:15">
      <c r="A20" s="2" t="s">
        <v>48</v>
      </c>
      <c r="B20" s="2" t="s">
        <v>15</v>
      </c>
      <c r="C20" s="2" t="s">
        <v>24</v>
      </c>
      <c r="D20" s="2" t="s">
        <v>79</v>
      </c>
      <c r="E20" s="2" t="s">
        <v>37</v>
      </c>
      <c r="F20" s="600" cm="1">
        <f t="array" ref="F20">SUMPRODUCT((BOM!$A$2:$A$404=A20)*(BOM!$F$2:$F$404=E20)*BOM!$H$2:$H$404*BOM!$G$2:$G$404)/SUMPRODUCT((BOM!$A$2:$A$404=A20)*BOM!$H$2:$H$404*BOM!$G$2:$G$404)</f>
        <v>0.11400000000000002</v>
      </c>
      <c r="G20" s="601">
        <f>SUMIF(tblResinWeightedQty[Film],tblResinWeightedQty[[#This Row],[Film]],tblResinWeightedQty[Weighted QTY %])</f>
        <v>1</v>
      </c>
      <c r="J20" t="s">
        <v>1289</v>
      </c>
      <c r="K20" t="s">
        <v>1289</v>
      </c>
      <c r="L20">
        <v>6</v>
      </c>
      <c r="M20" s="807">
        <v>0.88</v>
      </c>
    </row>
    <row r="21" spans="1:15">
      <c r="A21" s="2" t="s">
        <v>48</v>
      </c>
      <c r="B21" s="2" t="s">
        <v>16</v>
      </c>
      <c r="C21" s="2" t="s">
        <v>10</v>
      </c>
      <c r="D21" s="2" t="s">
        <v>80</v>
      </c>
      <c r="E21" s="2" t="s">
        <v>38</v>
      </c>
      <c r="F21" s="600" cm="1">
        <f t="array" ref="F21">SUMPRODUCT((BOM!$A$2:$A$404=A21)*(BOM!$F$2:$F$404=E21)*BOM!$H$2:$H$404*BOM!$G$2:$G$404)/SUMPRODUCT((BOM!$A$2:$A$404=A21)*BOM!$H$2:$H$404*BOM!$G$2:$G$404)</f>
        <v>0.02</v>
      </c>
      <c r="G21" s="601">
        <f>SUMIF(tblResinWeightedQty[Film],tblResinWeightedQty[[#This Row],[Film]],tblResinWeightedQty[Weighted QTY %])</f>
        <v>1</v>
      </c>
    </row>
    <row r="22" spans="1:15">
      <c r="A22" s="2" t="s">
        <v>0</v>
      </c>
      <c r="B22" s="2" t="s">
        <v>13</v>
      </c>
      <c r="C22" s="2" t="s">
        <v>73</v>
      </c>
      <c r="D22" s="2" t="s">
        <v>74</v>
      </c>
      <c r="E22" s="2" t="s">
        <v>33</v>
      </c>
      <c r="F22" s="600" cm="1">
        <f t="array" ref="F22">SUMPRODUCT((BOM!$A$2:$A$404=A22)*(BOM!$F$2:$F$404=E22)*BOM!$H$2:$H$404*BOM!$G$2:$G$404)/SUMPRODUCT((BOM!$A$2:$A$404=A22)*BOM!$H$2:$H$404*BOM!$G$2:$G$404)</f>
        <v>5.7600000000000005E-2</v>
      </c>
      <c r="G22" s="601">
        <f>SUMIF(tblResinWeightedQty[Film],tblResinWeightedQty[[#This Row],[Film]],tblResinWeightedQty[Weighted QTY %])</f>
        <v>1.0000000000000002</v>
      </c>
    </row>
    <row r="23" spans="1:15">
      <c r="A23" s="2" t="s">
        <v>0</v>
      </c>
      <c r="B23" s="2" t="s">
        <v>14</v>
      </c>
      <c r="C23" s="2" t="s">
        <v>23</v>
      </c>
      <c r="D23" s="2" t="s">
        <v>76</v>
      </c>
      <c r="E23" s="2" t="s">
        <v>35</v>
      </c>
      <c r="F23" s="600" cm="1">
        <f t="array" ref="F23">SUMPRODUCT((BOM!$A$2:$A$404=A23)*(BOM!$F$2:$F$404=E23)*BOM!$H$2:$H$404*BOM!$G$2:$G$404)/SUMPRODUCT((BOM!$A$2:$A$404=A23)*BOM!$H$2:$H$404*BOM!$G$2:$G$404)</f>
        <v>0.59100000000000008</v>
      </c>
      <c r="G23" s="601">
        <f>SUMIF(tblResinWeightedQty[Film],tblResinWeightedQty[[#This Row],[Film]],tblResinWeightedQty[Weighted QTY %])</f>
        <v>1.0000000000000002</v>
      </c>
      <c r="M23" t="s">
        <v>1293</v>
      </c>
      <c r="N23" t="s">
        <v>1294</v>
      </c>
      <c r="O23" t="s">
        <v>1295</v>
      </c>
    </row>
    <row r="24" spans="1:15">
      <c r="A24" s="2" t="s">
        <v>0</v>
      </c>
      <c r="B24" s="2" t="s">
        <v>16</v>
      </c>
      <c r="C24" s="2" t="s">
        <v>10</v>
      </c>
      <c r="D24" s="2" t="s">
        <v>80</v>
      </c>
      <c r="E24" s="2" t="s">
        <v>38</v>
      </c>
      <c r="F24" s="600" cm="1">
        <f t="array" ref="F24">SUMPRODUCT((BOM!$A$2:$A$404=A24)*(BOM!$F$2:$F$404=E24)*BOM!$H$2:$H$404*BOM!$G$2:$G$404)/SUMPRODUCT((BOM!$A$2:$A$404=A24)*BOM!$H$2:$H$404*BOM!$G$2:$G$404)</f>
        <v>1.5000000000000003E-2</v>
      </c>
      <c r="G24" s="601">
        <f>SUMIF(tblResinWeightedQty[Film],tblResinWeightedQty[[#This Row],[Film]],tblResinWeightedQty[Weighted QTY %])</f>
        <v>1.0000000000000002</v>
      </c>
      <c r="L24">
        <v>648</v>
      </c>
      <c r="M24">
        <v>1</v>
      </c>
      <c r="N24">
        <v>2</v>
      </c>
      <c r="O24">
        <v>1.5</v>
      </c>
    </row>
    <row r="25" spans="1:15">
      <c r="A25" s="2" t="s">
        <v>0</v>
      </c>
      <c r="B25" s="2" t="s">
        <v>17</v>
      </c>
      <c r="C25" s="2" t="s">
        <v>11</v>
      </c>
      <c r="D25" s="2" t="s">
        <v>81</v>
      </c>
      <c r="E25" s="2" t="s">
        <v>39</v>
      </c>
      <c r="F25" s="600" cm="1">
        <f t="array" ref="F25">SUMPRODUCT((BOM!$A$2:$A$404=A25)*(BOM!$F$2:$F$404=E25)*BOM!$H$2:$H$404*BOM!$G$2:$G$404)/SUMPRODUCT((BOM!$A$2:$A$404=A25)*BOM!$H$2:$H$404*BOM!$G$2:$G$404)</f>
        <v>1.6000000000000003E-3</v>
      </c>
      <c r="G25" s="601">
        <f>SUMIF(tblResinWeightedQty[Film],tblResinWeightedQty[[#This Row],[Film]],tblResinWeightedQty[Weighted QTY %])</f>
        <v>1.0000000000000002</v>
      </c>
    </row>
    <row r="26" spans="1:15">
      <c r="A26" s="2" t="s">
        <v>0</v>
      </c>
      <c r="B26" s="2" t="s">
        <v>18</v>
      </c>
      <c r="C26" s="2" t="s">
        <v>9</v>
      </c>
      <c r="D26" s="2" t="s">
        <v>82</v>
      </c>
      <c r="E26" s="2" t="s">
        <v>40</v>
      </c>
      <c r="F26" s="600" cm="1">
        <f t="array" ref="F26">SUMPRODUCT((BOM!$A$2:$A$404=A26)*(BOM!$F$2:$F$404=E26)*BOM!$H$2:$H$404*BOM!$G$2:$G$404)/SUMPRODUCT((BOM!$A$2:$A$404=A26)*BOM!$H$2:$H$404*BOM!$G$2:$G$404)</f>
        <v>6.000000000000001E-3</v>
      </c>
      <c r="G26" s="601">
        <f>SUMIF(tblResinWeightedQty[Film],tblResinWeightedQty[[#This Row],[Film]],tblResinWeightedQty[Weighted QTY %])</f>
        <v>1.0000000000000002</v>
      </c>
    </row>
    <row r="27" spans="1:15">
      <c r="A27" s="2" t="s">
        <v>0</v>
      </c>
      <c r="B27" s="2" t="s">
        <v>12</v>
      </c>
      <c r="C27" s="2" t="s">
        <v>8</v>
      </c>
      <c r="D27" s="2" t="s">
        <v>83</v>
      </c>
      <c r="E27" s="2" t="s">
        <v>42</v>
      </c>
      <c r="F27" s="600" cm="1">
        <f t="array" ref="F27">SUMPRODUCT((BOM!$A$2:$A$404=A27)*(BOM!$F$2:$F$404=E27)*BOM!$H$2:$H$404*BOM!$G$2:$G$404)/SUMPRODUCT((BOM!$A$2:$A$404=A27)*BOM!$H$2:$H$404*BOM!$G$2:$G$404)</f>
        <v>0.32880000000000004</v>
      </c>
      <c r="G27" s="601">
        <f>SUMIF(tblResinWeightedQty[Film],tblResinWeightedQty[[#This Row],[Film]],tblResinWeightedQty[Weighted QTY %])</f>
        <v>1.0000000000000002</v>
      </c>
    </row>
    <row r="28" spans="1:15">
      <c r="A28" s="2" t="s">
        <v>43</v>
      </c>
      <c r="B28" s="2" t="s">
        <v>41</v>
      </c>
      <c r="C28" s="2" t="s">
        <v>26</v>
      </c>
      <c r="D28" s="2" t="s">
        <v>26</v>
      </c>
      <c r="E28" s="2" t="s">
        <v>53</v>
      </c>
      <c r="F28" s="600" cm="1">
        <f t="array" ref="F28">SUMPRODUCT((BOM!$A$2:$A$404=A28)*(BOM!$F$2:$F$404=E28)*BOM!$H$2:$H$404*BOM!$G$2:$G$404)/SUMPRODUCT((BOM!$A$2:$A$404=A28)*BOM!$H$2:$H$404*BOM!$G$2:$G$404)</f>
        <v>6.0000000000000012E-2</v>
      </c>
      <c r="G28" s="601">
        <f>SUMIF(tblResinWeightedQty[Film],tblResinWeightedQty[[#This Row],[Film]],tblResinWeightedQty[Weighted QTY %])</f>
        <v>1</v>
      </c>
    </row>
    <row r="29" spans="1:15">
      <c r="A29" s="2" t="s">
        <v>43</v>
      </c>
      <c r="B29" s="2" t="s">
        <v>13</v>
      </c>
      <c r="C29" s="2" t="s">
        <v>73</v>
      </c>
      <c r="D29" s="2" t="s">
        <v>74</v>
      </c>
      <c r="E29" s="2" t="s">
        <v>33</v>
      </c>
      <c r="F29" s="600" cm="1">
        <f t="array" ref="F29">SUMPRODUCT((BOM!$A$2:$A$404=A29)*(BOM!$F$2:$F$404=E29)*BOM!$H$2:$H$404*BOM!$G$2:$G$404)/SUMPRODUCT((BOM!$A$2:$A$404=A29)*BOM!$H$2:$H$404*BOM!$G$2:$G$404)</f>
        <v>5.7599999999999998E-2</v>
      </c>
      <c r="G29" s="601">
        <f>SUMIF(tblResinWeightedQty[Film],tblResinWeightedQty[[#This Row],[Film]],tblResinWeightedQty[Weighted QTY %])</f>
        <v>1</v>
      </c>
    </row>
    <row r="30" spans="1:15">
      <c r="A30" s="2" t="s">
        <v>43</v>
      </c>
      <c r="B30" s="2" t="s">
        <v>14</v>
      </c>
      <c r="C30" s="2" t="s">
        <v>23</v>
      </c>
      <c r="D30" s="2" t="s">
        <v>76</v>
      </c>
      <c r="E30" s="2" t="s">
        <v>35</v>
      </c>
      <c r="F30" s="600" cm="1">
        <f t="array" ref="F30">SUMPRODUCT((BOM!$A$2:$A$404=A30)*(BOM!$F$2:$F$404=E30)*BOM!$H$2:$H$404*BOM!$G$2:$G$404)/SUMPRODUCT((BOM!$A$2:$A$404=A30)*BOM!$H$2:$H$404*BOM!$G$2:$G$404)</f>
        <v>0.53100000000000003</v>
      </c>
      <c r="G30" s="601">
        <f>SUMIF(tblResinWeightedQty[Film],tblResinWeightedQty[[#This Row],[Film]],tblResinWeightedQty[Weighted QTY %])</f>
        <v>1</v>
      </c>
    </row>
    <row r="31" spans="1:15">
      <c r="A31" s="2" t="s">
        <v>43</v>
      </c>
      <c r="B31" s="2" t="s">
        <v>16</v>
      </c>
      <c r="C31" s="2" t="s">
        <v>10</v>
      </c>
      <c r="D31" s="2" t="s">
        <v>80</v>
      </c>
      <c r="E31" s="2" t="s">
        <v>38</v>
      </c>
      <c r="F31" s="600" cm="1">
        <f t="array" ref="F31">SUMPRODUCT((BOM!$A$2:$A$404=A31)*(BOM!$F$2:$F$404=E31)*BOM!$H$2:$H$404*BOM!$G$2:$G$404)/SUMPRODUCT((BOM!$A$2:$A$404=A31)*BOM!$H$2:$H$404*BOM!$G$2:$G$404)</f>
        <v>1.4999999999999999E-2</v>
      </c>
      <c r="G31" s="601">
        <f>SUMIF(tblResinWeightedQty[Film],tblResinWeightedQty[[#This Row],[Film]],tblResinWeightedQty[Weighted QTY %])</f>
        <v>1</v>
      </c>
    </row>
    <row r="32" spans="1:15">
      <c r="A32" s="2" t="s">
        <v>43</v>
      </c>
      <c r="B32" s="2" t="s">
        <v>17</v>
      </c>
      <c r="C32" s="2" t="s">
        <v>11</v>
      </c>
      <c r="D32" s="2" t="s">
        <v>81</v>
      </c>
      <c r="E32" s="2" t="s">
        <v>39</v>
      </c>
      <c r="F32" s="600" cm="1">
        <f t="array" ref="F32">SUMPRODUCT((BOM!$A$2:$A$404=A32)*(BOM!$F$2:$F$404=E32)*BOM!$H$2:$H$404*BOM!$G$2:$G$404)/SUMPRODUCT((BOM!$A$2:$A$404=A32)*BOM!$H$2:$H$404*BOM!$G$2:$G$404)</f>
        <v>6.4000000000000003E-3</v>
      </c>
      <c r="G32" s="601">
        <f>SUMIF(tblResinWeightedQty[Film],tblResinWeightedQty[[#This Row],[Film]],tblResinWeightedQty[Weighted QTY %])</f>
        <v>1</v>
      </c>
    </row>
    <row r="33" spans="1:7">
      <c r="A33" s="2" t="s">
        <v>43</v>
      </c>
      <c r="B33" s="2" t="s">
        <v>18</v>
      </c>
      <c r="C33" s="2" t="s">
        <v>9</v>
      </c>
      <c r="D33" s="2" t="s">
        <v>82</v>
      </c>
      <c r="E33" s="2" t="s">
        <v>40</v>
      </c>
      <c r="F33" s="600" cm="1">
        <f t="array" ref="F33">SUMPRODUCT((BOM!$A$2:$A$404=A33)*(BOM!$F$2:$F$404=E33)*BOM!$H$2:$H$404*BOM!$G$2:$G$404)/SUMPRODUCT((BOM!$A$2:$A$404=A33)*BOM!$H$2:$H$404*BOM!$G$2:$G$404)</f>
        <v>6.0000000000000001E-3</v>
      </c>
      <c r="G33" s="601">
        <f>SUMIF(tblResinWeightedQty[Film],tblResinWeightedQty[[#This Row],[Film]],tblResinWeightedQty[Weighted QTY %])</f>
        <v>1</v>
      </c>
    </row>
    <row r="34" spans="1:7">
      <c r="A34" s="2" t="s">
        <v>43</v>
      </c>
      <c r="B34" s="2" t="s">
        <v>12</v>
      </c>
      <c r="C34" s="2" t="s">
        <v>8</v>
      </c>
      <c r="D34" s="2" t="s">
        <v>83</v>
      </c>
      <c r="E34" s="2" t="s">
        <v>42</v>
      </c>
      <c r="F34" s="600" cm="1">
        <f t="array" ref="F34">SUMPRODUCT((BOM!$A$2:$A$404=A34)*(BOM!$F$2:$F$404=E34)*BOM!$H$2:$H$404*BOM!$G$2:$G$404)/SUMPRODUCT((BOM!$A$2:$A$404=A34)*BOM!$H$2:$H$404*BOM!$G$2:$G$404)</f>
        <v>0.32400000000000001</v>
      </c>
      <c r="G34" s="601">
        <f>SUMIF(tblResinWeightedQty[Film],tblResinWeightedQty[[#This Row],[Film]],tblResinWeightedQty[Weighted QTY %])</f>
        <v>1</v>
      </c>
    </row>
    <row r="35" spans="1:7">
      <c r="A35" s="2" t="s">
        <v>44</v>
      </c>
      <c r="B35" s="2" t="s">
        <v>13</v>
      </c>
      <c r="C35" s="2" t="s">
        <v>73</v>
      </c>
      <c r="D35" s="2" t="s">
        <v>74</v>
      </c>
      <c r="E35" s="2" t="s">
        <v>33</v>
      </c>
      <c r="F35" s="600" cm="1">
        <f t="array" ref="F35">SUMPRODUCT((BOM!$A$2:$A$404=A35)*(BOM!$F$2:$F$404=E35)*BOM!$H$2:$H$404*BOM!$G$2:$G$404)/SUMPRODUCT((BOM!$A$2:$A$404=A35)*BOM!$H$2:$H$404*BOM!$G$2:$G$404)</f>
        <v>0.6644000000000001</v>
      </c>
      <c r="G35" s="601">
        <f>SUMIF(tblResinWeightedQty[Film],tblResinWeightedQty[[#This Row],[Film]],tblResinWeightedQty[Weighted QTY %])</f>
        <v>1.0000000000000002</v>
      </c>
    </row>
    <row r="36" spans="1:7">
      <c r="A36" s="2" t="s">
        <v>44</v>
      </c>
      <c r="B36" s="2" t="s">
        <v>15</v>
      </c>
      <c r="C36" s="2" t="s">
        <v>24</v>
      </c>
      <c r="D36" s="2" t="s">
        <v>79</v>
      </c>
      <c r="E36" s="2" t="s">
        <v>37</v>
      </c>
      <c r="F36" s="600" cm="1">
        <f t="array" ref="F36">SUMPRODUCT((BOM!$A$2:$A$404=A36)*(BOM!$F$2:$F$404=E36)*BOM!$H$2:$H$404*BOM!$G$2:$G$404)/SUMPRODUCT((BOM!$A$2:$A$404=A36)*BOM!$H$2:$H$404*BOM!$G$2:$G$404)</f>
        <v>0.15200000000000002</v>
      </c>
      <c r="G36" s="601">
        <f>SUMIF(tblResinWeightedQty[Film],tblResinWeightedQty[[#This Row],[Film]],tblResinWeightedQty[Weighted QTY %])</f>
        <v>1.0000000000000002</v>
      </c>
    </row>
    <row r="37" spans="1:7">
      <c r="A37" s="2" t="s">
        <v>44</v>
      </c>
      <c r="B37" s="2" t="s">
        <v>16</v>
      </c>
      <c r="C37" s="2" t="s">
        <v>10</v>
      </c>
      <c r="D37" s="2" t="s">
        <v>80</v>
      </c>
      <c r="E37" s="2" t="s">
        <v>38</v>
      </c>
      <c r="F37" s="600" cm="1">
        <f t="array" ref="F37">SUMPRODUCT((BOM!$A$2:$A$404=A37)*(BOM!$F$2:$F$404=E37)*BOM!$H$2:$H$404*BOM!$G$2:$G$404)/SUMPRODUCT((BOM!$A$2:$A$404=A37)*BOM!$H$2:$H$404*BOM!$G$2:$G$404)</f>
        <v>1.5000000000000003E-2</v>
      </c>
      <c r="G37" s="601">
        <f>SUMIF(tblResinWeightedQty[Film],tblResinWeightedQty[[#This Row],[Film]],tblResinWeightedQty[Weighted QTY %])</f>
        <v>1.0000000000000002</v>
      </c>
    </row>
    <row r="38" spans="1:7">
      <c r="A38" s="2" t="s">
        <v>44</v>
      </c>
      <c r="B38" s="2" t="s">
        <v>17</v>
      </c>
      <c r="C38" s="2" t="s">
        <v>11</v>
      </c>
      <c r="D38" s="2" t="s">
        <v>81</v>
      </c>
      <c r="E38" s="2" t="s">
        <v>39</v>
      </c>
      <c r="F38" s="600" cm="1">
        <f t="array" ref="F38">SUMPRODUCT((BOM!$A$2:$A$404=A38)*(BOM!$F$2:$F$404=E38)*BOM!$H$2:$H$404*BOM!$G$2:$G$404)/SUMPRODUCT((BOM!$A$2:$A$404=A38)*BOM!$H$2:$H$404*BOM!$G$2:$G$404)</f>
        <v>4.000000000000001E-3</v>
      </c>
      <c r="G38" s="601">
        <f>SUMIF(tblResinWeightedQty[Film],tblResinWeightedQty[[#This Row],[Film]],tblResinWeightedQty[Weighted QTY %])</f>
        <v>1.0000000000000002</v>
      </c>
    </row>
    <row r="39" spans="1:7">
      <c r="A39" s="2" t="s">
        <v>44</v>
      </c>
      <c r="B39" s="2" t="s">
        <v>18</v>
      </c>
      <c r="C39" s="2" t="s">
        <v>9</v>
      </c>
      <c r="D39" s="2" t="s">
        <v>82</v>
      </c>
      <c r="E39" s="2" t="s">
        <v>40</v>
      </c>
      <c r="F39" s="600" cm="1">
        <f t="array" ref="F39">SUMPRODUCT((BOM!$A$2:$A$404=A39)*(BOM!$F$2:$F$404=E39)*BOM!$H$2:$H$404*BOM!$G$2:$G$404)/SUMPRODUCT((BOM!$A$2:$A$404=A39)*BOM!$H$2:$H$404*BOM!$G$2:$G$404)</f>
        <v>3.0000000000000005E-3</v>
      </c>
      <c r="G39" s="601">
        <f>SUMIF(tblResinWeightedQty[Film],tblResinWeightedQty[[#This Row],[Film]],tblResinWeightedQty[Weighted QTY %])</f>
        <v>1.0000000000000002</v>
      </c>
    </row>
    <row r="40" spans="1:7">
      <c r="A40" s="2" t="s">
        <v>44</v>
      </c>
      <c r="B40" s="2" t="s">
        <v>12</v>
      </c>
      <c r="C40" s="2" t="s">
        <v>8</v>
      </c>
      <c r="D40" s="2" t="s">
        <v>83</v>
      </c>
      <c r="E40" s="2" t="s">
        <v>42</v>
      </c>
      <c r="F40" s="600" cm="1">
        <f t="array" ref="F40">SUMPRODUCT((BOM!$A$2:$A$404=A40)*(BOM!$F$2:$F$404=E40)*BOM!$H$2:$H$404*BOM!$G$2:$G$404)/SUMPRODUCT((BOM!$A$2:$A$404=A40)*BOM!$H$2:$H$404*BOM!$G$2:$G$404)</f>
        <v>0.16160000000000005</v>
      </c>
      <c r="G40" s="601">
        <f>SUMIF(tblResinWeightedQty[Film],tblResinWeightedQty[[#This Row],[Film]],tblResinWeightedQty[Weighted QTY %])</f>
        <v>1.0000000000000002</v>
      </c>
    </row>
    <row r="41" spans="1:7">
      <c r="A41" s="2" t="s">
        <v>45</v>
      </c>
      <c r="B41" s="2" t="s">
        <v>41</v>
      </c>
      <c r="C41" s="2" t="s">
        <v>26</v>
      </c>
      <c r="D41" s="2" t="s">
        <v>26</v>
      </c>
      <c r="E41" s="2" t="s">
        <v>53</v>
      </c>
      <c r="F41" s="600" cm="1">
        <f t="array" ref="F41">SUMPRODUCT((BOM!$A$2:$A$404=A41)*(BOM!$F$2:$F$404=E41)*BOM!$H$2:$H$404*BOM!$G$2:$G$404)/SUMPRODUCT((BOM!$A$2:$A$404=A41)*BOM!$H$2:$H$404*BOM!$G$2:$G$404)</f>
        <v>6.0000000000000019E-2</v>
      </c>
      <c r="G41" s="601">
        <f>SUMIF(tblResinWeightedQty[Film],tblResinWeightedQty[[#This Row],[Film]],tblResinWeightedQty[Weighted QTY %])</f>
        <v>1.0000000000000002</v>
      </c>
    </row>
    <row r="42" spans="1:7">
      <c r="A42" s="2" t="s">
        <v>45</v>
      </c>
      <c r="B42" s="2" t="s">
        <v>13</v>
      </c>
      <c r="C42" s="2" t="s">
        <v>73</v>
      </c>
      <c r="D42" s="2" t="s">
        <v>74</v>
      </c>
      <c r="E42" s="2" t="s">
        <v>33</v>
      </c>
      <c r="F42" s="600" cm="1">
        <f t="array" ref="F42">SUMPRODUCT((BOM!$A$2:$A$404=A42)*(BOM!$F$2:$F$404=E42)*BOM!$H$2:$H$404*BOM!$G$2:$G$404)/SUMPRODUCT((BOM!$A$2:$A$404=A42)*BOM!$H$2:$H$404*BOM!$G$2:$G$404)</f>
        <v>0.61220000000000008</v>
      </c>
      <c r="G42" s="601">
        <f>SUMIF(tblResinWeightedQty[Film],tblResinWeightedQty[[#This Row],[Film]],tblResinWeightedQty[Weighted QTY %])</f>
        <v>1.0000000000000002</v>
      </c>
    </row>
    <row r="43" spans="1:7">
      <c r="A43" s="2" t="s">
        <v>45</v>
      </c>
      <c r="B43" s="2" t="s">
        <v>15</v>
      </c>
      <c r="C43" s="2" t="s">
        <v>24</v>
      </c>
      <c r="D43" s="2" t="s">
        <v>79</v>
      </c>
      <c r="E43" s="2" t="s">
        <v>37</v>
      </c>
      <c r="F43" s="600" cm="1">
        <f t="array" ref="F43">SUMPRODUCT((BOM!$A$2:$A$404=A43)*(BOM!$F$2:$F$404=E43)*BOM!$H$2:$H$404*BOM!$G$2:$G$404)/SUMPRODUCT((BOM!$A$2:$A$404=A43)*BOM!$H$2:$H$404*BOM!$G$2:$G$404)</f>
        <v>0.13720000000000002</v>
      </c>
      <c r="G43" s="601">
        <f>SUMIF(tblResinWeightedQty[Film],tblResinWeightedQty[[#This Row],[Film]],tblResinWeightedQty[Weighted QTY %])</f>
        <v>1.0000000000000002</v>
      </c>
    </row>
    <row r="44" spans="1:7">
      <c r="A44" s="2" t="s">
        <v>45</v>
      </c>
      <c r="B44" s="2" t="s">
        <v>16</v>
      </c>
      <c r="C44" s="2" t="s">
        <v>10</v>
      </c>
      <c r="D44" s="2" t="s">
        <v>80</v>
      </c>
      <c r="E44" s="2" t="s">
        <v>38</v>
      </c>
      <c r="F44" s="600" cm="1">
        <f t="array" ref="F44">SUMPRODUCT((BOM!$A$2:$A$404=A44)*(BOM!$F$2:$F$404=E44)*BOM!$H$2:$H$404*BOM!$G$2:$G$404)/SUMPRODUCT((BOM!$A$2:$A$404=A44)*BOM!$H$2:$H$404*BOM!$G$2:$G$404)</f>
        <v>1.5000000000000003E-2</v>
      </c>
      <c r="G44" s="601">
        <f>SUMIF(tblResinWeightedQty[Film],tblResinWeightedQty[[#This Row],[Film]],tblResinWeightedQty[Weighted QTY %])</f>
        <v>1.0000000000000002</v>
      </c>
    </row>
    <row r="45" spans="1:7">
      <c r="A45" s="2" t="s">
        <v>45</v>
      </c>
      <c r="B45" s="2" t="s">
        <v>17</v>
      </c>
      <c r="C45" s="2" t="s">
        <v>11</v>
      </c>
      <c r="D45" s="2" t="s">
        <v>81</v>
      </c>
      <c r="E45" s="2" t="s">
        <v>39</v>
      </c>
      <c r="F45" s="600" cm="1">
        <f t="array" ref="F45">SUMPRODUCT((BOM!$A$2:$A$404=A45)*(BOM!$F$2:$F$404=E45)*BOM!$H$2:$H$404*BOM!$G$2:$G$404)/SUMPRODUCT((BOM!$A$2:$A$404=A45)*BOM!$H$2:$H$404*BOM!$G$2:$G$404)</f>
        <v>8.0000000000000019E-3</v>
      </c>
      <c r="G45" s="601">
        <f>SUMIF(tblResinWeightedQty[Film],tblResinWeightedQty[[#This Row],[Film]],tblResinWeightedQty[Weighted QTY %])</f>
        <v>1.0000000000000002</v>
      </c>
    </row>
    <row r="46" spans="1:7">
      <c r="A46" s="2" t="s">
        <v>45</v>
      </c>
      <c r="B46" s="2" t="s">
        <v>18</v>
      </c>
      <c r="C46" s="2" t="s">
        <v>9</v>
      </c>
      <c r="D46" s="2" t="s">
        <v>82</v>
      </c>
      <c r="E46" s="2" t="s">
        <v>40</v>
      </c>
      <c r="F46" s="600" cm="1">
        <f t="array" ref="F46">SUMPRODUCT((BOM!$A$2:$A$404=A46)*(BOM!$F$2:$F$404=E46)*BOM!$H$2:$H$404*BOM!$G$2:$G$404)/SUMPRODUCT((BOM!$A$2:$A$404=A46)*BOM!$H$2:$H$404*BOM!$G$2:$G$404)</f>
        <v>6.000000000000001E-3</v>
      </c>
      <c r="G46" s="601">
        <f>SUMIF(tblResinWeightedQty[Film],tblResinWeightedQty[[#This Row],[Film]],tblResinWeightedQty[Weighted QTY %])</f>
        <v>1.0000000000000002</v>
      </c>
    </row>
    <row r="47" spans="1:7">
      <c r="A47" s="2" t="s">
        <v>45</v>
      </c>
      <c r="B47" s="2" t="s">
        <v>12</v>
      </c>
      <c r="C47" s="2" t="s">
        <v>8</v>
      </c>
      <c r="D47" s="2" t="s">
        <v>83</v>
      </c>
      <c r="E47" s="2" t="s">
        <v>42</v>
      </c>
      <c r="F47" s="600" cm="1">
        <f t="array" ref="F47">SUMPRODUCT((BOM!$A$2:$A$404=A47)*(BOM!$F$2:$F$404=E47)*BOM!$H$2:$H$404*BOM!$G$2:$G$404)/SUMPRODUCT((BOM!$A$2:$A$404=A47)*BOM!$H$2:$H$404*BOM!$G$2:$G$404)</f>
        <v>0.16160000000000005</v>
      </c>
      <c r="G47" s="601">
        <f>SUMIF(tblResinWeightedQty[Film],tblResinWeightedQty[[#This Row],[Film]],tblResinWeightedQty[Weighted QTY %])</f>
        <v>1.0000000000000002</v>
      </c>
    </row>
    <row r="48" spans="1:7">
      <c r="A48" s="2" t="s">
        <v>179</v>
      </c>
      <c r="B48" s="2" t="s">
        <v>13</v>
      </c>
      <c r="C48" s="2" t="s">
        <v>73</v>
      </c>
      <c r="D48" s="2" t="s">
        <v>74</v>
      </c>
      <c r="E48" s="2" t="s">
        <v>33</v>
      </c>
      <c r="F48" s="600" cm="1">
        <f t="array" ref="F48">SUMPRODUCT((BOM!$A$2:$A$404=A48)*(BOM!$F$2:$F$404=E48)*BOM!$H$2:$H$404*BOM!$G$2:$G$404)/SUMPRODUCT((BOM!$A$2:$A$404=A48)*BOM!$H$2:$H$404*BOM!$G$2:$G$404)</f>
        <v>0.18740000000000004</v>
      </c>
      <c r="G48" s="601">
        <f>SUMIF(tblResinWeightedQty[Film],tblResinWeightedQty[[#This Row],[Film]],tblResinWeightedQty[Weighted QTY %])</f>
        <v>1.0000000000000002</v>
      </c>
    </row>
    <row r="49" spans="1:7">
      <c r="A49" s="2" t="s">
        <v>179</v>
      </c>
      <c r="B49" s="2" t="s">
        <v>14</v>
      </c>
      <c r="C49" s="2" t="s">
        <v>23</v>
      </c>
      <c r="D49" s="2" t="s">
        <v>76</v>
      </c>
      <c r="E49" s="2" t="s">
        <v>35</v>
      </c>
      <c r="F49" s="600" cm="1">
        <f t="array" ref="F49">SUMPRODUCT((BOM!$A$2:$A$404=A49)*(BOM!$F$2:$F$404=E49)*BOM!$H$2:$H$404*BOM!$G$2:$G$404)/SUMPRODUCT((BOM!$A$2:$A$404=A49)*BOM!$H$2:$H$404*BOM!$G$2:$G$404)</f>
        <v>0.59100000000000008</v>
      </c>
      <c r="G49" s="601">
        <f>SUMIF(tblResinWeightedQty[Film],tblResinWeightedQty[[#This Row],[Film]],tblResinWeightedQty[Weighted QTY %])</f>
        <v>1.0000000000000002</v>
      </c>
    </row>
    <row r="50" spans="1:7">
      <c r="A50" s="2" t="s">
        <v>179</v>
      </c>
      <c r="B50" s="2" t="s">
        <v>15</v>
      </c>
      <c r="C50" s="2" t="s">
        <v>24</v>
      </c>
      <c r="D50" s="2" t="s">
        <v>79</v>
      </c>
      <c r="E50" s="2" t="s">
        <v>37</v>
      </c>
      <c r="F50" s="600" cm="1">
        <f t="array" ref="F50">SUMPRODUCT((BOM!$A$2:$A$404=A50)*(BOM!$F$2:$F$404=E50)*BOM!$H$2:$H$404*BOM!$G$2:$G$404)/SUMPRODUCT((BOM!$A$2:$A$404=A50)*BOM!$H$2:$H$404*BOM!$G$2:$G$404)</f>
        <v>3.8000000000000006E-2</v>
      </c>
      <c r="G50" s="601">
        <f>SUMIF(tblResinWeightedQty[Film],tblResinWeightedQty[[#This Row],[Film]],tblResinWeightedQty[Weighted QTY %])</f>
        <v>1.0000000000000002</v>
      </c>
    </row>
    <row r="51" spans="1:7">
      <c r="A51" s="2" t="s">
        <v>179</v>
      </c>
      <c r="B51" s="2" t="s">
        <v>16</v>
      </c>
      <c r="C51" s="2" t="s">
        <v>10</v>
      </c>
      <c r="D51" s="2" t="s">
        <v>80</v>
      </c>
      <c r="E51" s="2" t="s">
        <v>38</v>
      </c>
      <c r="F51" s="600" cm="1">
        <f t="array" ref="F51">SUMPRODUCT((BOM!$A$2:$A$404=A51)*(BOM!$F$2:$F$404=E51)*BOM!$H$2:$H$404*BOM!$G$2:$G$404)/SUMPRODUCT((BOM!$A$2:$A$404=A51)*BOM!$H$2:$H$404*BOM!$G$2:$G$404)</f>
        <v>1.5000000000000003E-2</v>
      </c>
      <c r="G51" s="601">
        <f>SUMIF(tblResinWeightedQty[Film],tblResinWeightedQty[[#This Row],[Film]],tblResinWeightedQty[Weighted QTY %])</f>
        <v>1.0000000000000002</v>
      </c>
    </row>
    <row r="52" spans="1:7">
      <c r="A52" s="2" t="s">
        <v>179</v>
      </c>
      <c r="B52" s="2" t="s">
        <v>17</v>
      </c>
      <c r="C52" s="2" t="s">
        <v>11</v>
      </c>
      <c r="D52" s="2" t="s">
        <v>81</v>
      </c>
      <c r="E52" s="2" t="s">
        <v>39</v>
      </c>
      <c r="F52" s="600" cm="1">
        <f t="array" ref="F52">SUMPRODUCT((BOM!$A$2:$A$404=A52)*(BOM!$F$2:$F$404=E52)*BOM!$H$2:$H$404*BOM!$G$2:$G$404)/SUMPRODUCT((BOM!$A$2:$A$404=A52)*BOM!$H$2:$H$404*BOM!$G$2:$G$404)</f>
        <v>4.6000000000000008E-3</v>
      </c>
      <c r="G52" s="601">
        <f>SUMIF(tblResinWeightedQty[Film],tblResinWeightedQty[[#This Row],[Film]],tblResinWeightedQty[Weighted QTY %])</f>
        <v>1.0000000000000002</v>
      </c>
    </row>
    <row r="53" spans="1:7">
      <c r="A53" s="2" t="s">
        <v>179</v>
      </c>
      <c r="B53" s="2" t="s">
        <v>18</v>
      </c>
      <c r="C53" s="2" t="s">
        <v>9</v>
      </c>
      <c r="D53" s="2" t="s">
        <v>82</v>
      </c>
      <c r="E53" s="2" t="s">
        <v>40</v>
      </c>
      <c r="F53" s="600" cm="1">
        <f t="array" ref="F53">SUMPRODUCT((BOM!$A$2:$A$404=A53)*(BOM!$F$2:$F$404=E53)*BOM!$H$2:$H$404*BOM!$G$2:$G$404)/SUMPRODUCT((BOM!$A$2:$A$404=A53)*BOM!$H$2:$H$404*BOM!$G$2:$G$404)</f>
        <v>3.0000000000000005E-3</v>
      </c>
      <c r="G53" s="601">
        <f>SUMIF(tblResinWeightedQty[Film],tblResinWeightedQty[[#This Row],[Film]],tblResinWeightedQty[Weighted QTY %])</f>
        <v>1.0000000000000002</v>
      </c>
    </row>
    <row r="54" spans="1:7">
      <c r="A54" s="2" t="s">
        <v>179</v>
      </c>
      <c r="B54" s="2" t="s">
        <v>12</v>
      </c>
      <c r="C54" s="2" t="s">
        <v>8</v>
      </c>
      <c r="D54" s="2" t="s">
        <v>83</v>
      </c>
      <c r="E54" s="2" t="s">
        <v>42</v>
      </c>
      <c r="F54" s="600" cm="1">
        <f t="array" ref="F54">SUMPRODUCT((BOM!$A$2:$A$404=A54)*(BOM!$F$2:$F$404=E54)*BOM!$H$2:$H$404*BOM!$G$2:$G$404)/SUMPRODUCT((BOM!$A$2:$A$404=A54)*BOM!$H$2:$H$404*BOM!$G$2:$G$404)</f>
        <v>0.16100000000000003</v>
      </c>
      <c r="G54" s="601">
        <f>SUMIF(tblResinWeightedQty[Film],tblResinWeightedQty[[#This Row],[Film]],tblResinWeightedQty[Weighted QTY %])</f>
        <v>1.0000000000000002</v>
      </c>
    </row>
    <row r="55" spans="1:7">
      <c r="A55" s="2" t="s">
        <v>51</v>
      </c>
      <c r="B55" s="2" t="s">
        <v>41</v>
      </c>
      <c r="C55" s="2" t="s">
        <v>26</v>
      </c>
      <c r="D55" s="2" t="s">
        <v>26</v>
      </c>
      <c r="E55" s="2" t="s">
        <v>53</v>
      </c>
      <c r="F55" s="600" cm="1">
        <f t="array" ref="F55">SUMPRODUCT((BOM!$A$2:$A$404=A55)*(BOM!$F$2:$F$404=E55)*BOM!$H$2:$H$404*BOM!$G$2:$G$404)/SUMPRODUCT((BOM!$A$2:$A$404=A55)*BOM!$H$2:$H$404*BOM!$G$2:$G$404)</f>
        <v>6.0000000000000019E-2</v>
      </c>
      <c r="G55" s="601">
        <f>SUMIF(tblResinWeightedQty[Film],tblResinWeightedQty[[#This Row],[Film]],tblResinWeightedQty[Weighted QTY %])</f>
        <v>1.0000000000000004</v>
      </c>
    </row>
    <row r="56" spans="1:7">
      <c r="A56" s="2" t="s">
        <v>51</v>
      </c>
      <c r="B56" s="2" t="s">
        <v>13</v>
      </c>
      <c r="C56" s="2" t="s">
        <v>73</v>
      </c>
      <c r="D56" s="2" t="s">
        <v>74</v>
      </c>
      <c r="E56" s="2" t="s">
        <v>33</v>
      </c>
      <c r="F56" s="600" cm="1">
        <f t="array" ref="F56">SUMPRODUCT((BOM!$A$2:$A$404=A56)*(BOM!$F$2:$F$404=E56)*BOM!$H$2:$H$404*BOM!$G$2:$G$404)/SUMPRODUCT((BOM!$A$2:$A$404=A56)*BOM!$H$2:$H$404*BOM!$G$2:$G$404)</f>
        <v>0.18740000000000004</v>
      </c>
      <c r="G56" s="601">
        <f>SUMIF(tblResinWeightedQty[Film],tblResinWeightedQty[[#This Row],[Film]],tblResinWeightedQty[Weighted QTY %])</f>
        <v>1.0000000000000004</v>
      </c>
    </row>
    <row r="57" spans="1:7">
      <c r="A57" s="2" t="s">
        <v>51</v>
      </c>
      <c r="B57" s="2" t="s">
        <v>14</v>
      </c>
      <c r="C57" s="2" t="s">
        <v>23</v>
      </c>
      <c r="D57" s="2" t="s">
        <v>76</v>
      </c>
      <c r="E57" s="2" t="s">
        <v>35</v>
      </c>
      <c r="F57" s="600" cm="1">
        <f t="array" ref="F57">SUMPRODUCT((BOM!$A$2:$A$404=A57)*(BOM!$F$2:$F$404=E57)*BOM!$H$2:$H$404*BOM!$G$2:$G$404)/SUMPRODUCT((BOM!$A$2:$A$404=A57)*BOM!$H$2:$H$404*BOM!$G$2:$G$404)</f>
        <v>0.53100000000000014</v>
      </c>
      <c r="G57" s="601">
        <f>SUMIF(tblResinWeightedQty[Film],tblResinWeightedQty[[#This Row],[Film]],tblResinWeightedQty[Weighted QTY %])</f>
        <v>1.0000000000000004</v>
      </c>
    </row>
    <row r="58" spans="1:7">
      <c r="A58" s="2" t="s">
        <v>51</v>
      </c>
      <c r="B58" s="2" t="s">
        <v>15</v>
      </c>
      <c r="C58" s="2" t="s">
        <v>24</v>
      </c>
      <c r="D58" s="2" t="s">
        <v>79</v>
      </c>
      <c r="E58" s="2" t="s">
        <v>37</v>
      </c>
      <c r="F58" s="600" cm="1">
        <f t="array" ref="F58">SUMPRODUCT((BOM!$A$2:$A$404=A58)*(BOM!$F$2:$F$404=E58)*BOM!$H$2:$H$404*BOM!$G$2:$G$404)/SUMPRODUCT((BOM!$A$2:$A$404=A58)*BOM!$H$2:$H$404*BOM!$G$2:$G$404)</f>
        <v>3.8000000000000006E-2</v>
      </c>
      <c r="G58" s="601">
        <f>SUMIF(tblResinWeightedQty[Film],tblResinWeightedQty[[#This Row],[Film]],tblResinWeightedQty[Weighted QTY %])</f>
        <v>1.0000000000000004</v>
      </c>
    </row>
    <row r="59" spans="1:7">
      <c r="A59" s="2" t="s">
        <v>51</v>
      </c>
      <c r="B59" s="2" t="s">
        <v>16</v>
      </c>
      <c r="C59" s="2" t="s">
        <v>10</v>
      </c>
      <c r="D59" s="2" t="s">
        <v>80</v>
      </c>
      <c r="E59" s="2" t="s">
        <v>38</v>
      </c>
      <c r="F59" s="600" cm="1">
        <f t="array" ref="F59">SUMPRODUCT((BOM!$A$2:$A$404=A59)*(BOM!$F$2:$F$404=E59)*BOM!$H$2:$H$404*BOM!$G$2:$G$404)/SUMPRODUCT((BOM!$A$2:$A$404=A59)*BOM!$H$2:$H$404*BOM!$G$2:$G$404)</f>
        <v>1.5000000000000003E-2</v>
      </c>
      <c r="G59" s="601">
        <f>SUMIF(tblResinWeightedQty[Film],tblResinWeightedQty[[#This Row],[Film]],tblResinWeightedQty[Weighted QTY %])</f>
        <v>1.0000000000000004</v>
      </c>
    </row>
    <row r="60" spans="1:7">
      <c r="A60" s="2" t="s">
        <v>51</v>
      </c>
      <c r="B60" s="2" t="s">
        <v>17</v>
      </c>
      <c r="C60" s="2" t="s">
        <v>11</v>
      </c>
      <c r="D60" s="2" t="s">
        <v>81</v>
      </c>
      <c r="E60" s="2" t="s">
        <v>39</v>
      </c>
      <c r="F60" s="600" cm="1">
        <f t="array" ref="F60">SUMPRODUCT((BOM!$A$2:$A$404=A60)*(BOM!$F$2:$F$404=E60)*BOM!$H$2:$H$404*BOM!$G$2:$G$404)/SUMPRODUCT((BOM!$A$2:$A$404=A60)*BOM!$H$2:$H$404*BOM!$G$2:$G$404)</f>
        <v>4.6000000000000008E-3</v>
      </c>
      <c r="G60" s="601">
        <f>SUMIF(tblResinWeightedQty[Film],tblResinWeightedQty[[#This Row],[Film]],tblResinWeightedQty[Weighted QTY %])</f>
        <v>1.0000000000000004</v>
      </c>
    </row>
    <row r="61" spans="1:7">
      <c r="A61" s="2" t="s">
        <v>51</v>
      </c>
      <c r="B61" s="2" t="s">
        <v>18</v>
      </c>
      <c r="C61" s="2" t="s">
        <v>9</v>
      </c>
      <c r="D61" s="2" t="s">
        <v>82</v>
      </c>
      <c r="E61" s="2" t="s">
        <v>40</v>
      </c>
      <c r="F61" s="600" cm="1">
        <f t="array" ref="F61">SUMPRODUCT((BOM!$A$2:$A$404=A61)*(BOM!$F$2:$F$404=E61)*BOM!$H$2:$H$404*BOM!$G$2:$G$404)/SUMPRODUCT((BOM!$A$2:$A$404=A61)*BOM!$H$2:$H$404*BOM!$G$2:$G$404)</f>
        <v>3.0000000000000005E-3</v>
      </c>
      <c r="G61" s="601">
        <f>SUMIF(tblResinWeightedQty[Film],tblResinWeightedQty[[#This Row],[Film]],tblResinWeightedQty[Weighted QTY %])</f>
        <v>1.0000000000000004</v>
      </c>
    </row>
    <row r="62" spans="1:7">
      <c r="A62" s="2" t="s">
        <v>51</v>
      </c>
      <c r="B62" s="2" t="s">
        <v>12</v>
      </c>
      <c r="C62" s="2" t="s">
        <v>8</v>
      </c>
      <c r="D62" s="2" t="s">
        <v>83</v>
      </c>
      <c r="E62" s="2" t="s">
        <v>42</v>
      </c>
      <c r="F62" s="600" cm="1">
        <f t="array" ref="F62">SUMPRODUCT((BOM!$A$2:$A$404=A62)*(BOM!$F$2:$F$404=E62)*BOM!$H$2:$H$404*BOM!$G$2:$G$404)/SUMPRODUCT((BOM!$A$2:$A$404=A62)*BOM!$H$2:$H$404*BOM!$G$2:$G$404)</f>
        <v>0.16100000000000003</v>
      </c>
      <c r="G62" s="601">
        <f>SUMIF(tblResinWeightedQty[Film],tblResinWeightedQty[[#This Row],[Film]],tblResinWeightedQty[Weighted QTY %])</f>
        <v>1.0000000000000004</v>
      </c>
    </row>
    <row r="63" spans="1:7">
      <c r="A63" s="2" t="s">
        <v>2337</v>
      </c>
      <c r="B63" s="2" t="s">
        <v>12</v>
      </c>
      <c r="C63" s="2" t="s">
        <v>8</v>
      </c>
      <c r="D63" s="2" t="s">
        <v>83</v>
      </c>
      <c r="E63" s="2" t="s">
        <v>42</v>
      </c>
      <c r="F63" s="600" cm="1">
        <f t="array" ref="F63">SUMPRODUCT((BOM!$A$2:$A$404=A63)*(BOM!$F$2:$F$404=E63)*BOM!$H$2:$H$404*BOM!$G$2:$G$404)/SUMPRODUCT((BOM!$A$2:$A$404=A63)*BOM!$H$2:$H$404*BOM!$G$2:$G$404)</f>
        <v>0.13147028154327425</v>
      </c>
      <c r="G63" s="601">
        <f>SUMIF(tblResinWeightedQty[Film],tblResinWeightedQty[[#This Row],[Film]],tblResinWeightedQty[Weighted QTY %])</f>
        <v>0.99999999999999989</v>
      </c>
    </row>
    <row r="64" spans="1:7">
      <c r="A64" s="2" t="s">
        <v>2337</v>
      </c>
      <c r="B64" s="2" t="s">
        <v>13</v>
      </c>
      <c r="C64" s="2" t="s">
        <v>73</v>
      </c>
      <c r="D64" s="2" t="s">
        <v>74</v>
      </c>
      <c r="E64" s="2" t="s">
        <v>33</v>
      </c>
      <c r="F64" s="600" cm="1">
        <f t="array" ref="F64">SUMPRODUCT((BOM!$A$2:$A$404=A64)*(BOM!$F$2:$F$404=E64)*BOM!$H$2:$H$404*BOM!$G$2:$G$404)/SUMPRODUCT((BOM!$A$2:$A$404=A64)*BOM!$H$2:$H$404*BOM!$G$2:$G$404)</f>
        <v>0.28846715328467154</v>
      </c>
      <c r="G64" s="601">
        <f>SUMIF(tblResinWeightedQty[Film],tblResinWeightedQty[[#This Row],[Film]],tblResinWeightedQty[Weighted QTY %])</f>
        <v>0.99999999999999989</v>
      </c>
    </row>
    <row r="65" spans="1:7">
      <c r="A65" s="2" t="s">
        <v>2337</v>
      </c>
      <c r="B65" s="2" t="s">
        <v>18</v>
      </c>
      <c r="C65" s="2" t="s">
        <v>9</v>
      </c>
      <c r="D65" s="2" t="s">
        <v>82</v>
      </c>
      <c r="E65" s="2" t="s">
        <v>40</v>
      </c>
      <c r="F65" s="600" cm="1">
        <f t="array" ref="F65">SUMPRODUCT((BOM!$A$2:$A$404=A65)*(BOM!$F$2:$F$404=E65)*BOM!$H$2:$H$404*BOM!$G$2:$G$404)/SUMPRODUCT((BOM!$A$2:$A$404=A65)*BOM!$H$2:$H$404*BOM!$G$2:$G$404)</f>
        <v>2.5026068821689257E-3</v>
      </c>
      <c r="G65" s="601">
        <f>SUMIF(tblResinWeightedQty[Film],tblResinWeightedQty[[#This Row],[Film]],tblResinWeightedQty[Weighted QTY %])</f>
        <v>0.99999999999999989</v>
      </c>
    </row>
    <row r="66" spans="1:7">
      <c r="A66" s="2" t="s">
        <v>2337</v>
      </c>
      <c r="B66" s="2" t="s">
        <v>16</v>
      </c>
      <c r="C66" s="2" t="s">
        <v>10</v>
      </c>
      <c r="D66" s="2" t="s">
        <v>80</v>
      </c>
      <c r="E66" s="2" t="s">
        <v>38</v>
      </c>
      <c r="F66" s="600" cm="1">
        <f t="array" ref="F66">SUMPRODUCT((BOM!$A$2:$A$404=A66)*(BOM!$F$2:$F$404=E66)*BOM!$H$2:$H$404*BOM!$G$2:$G$404)/SUMPRODUCT((BOM!$A$2:$A$404=A66)*BOM!$H$2:$H$404*BOM!$G$2:$G$404)</f>
        <v>1.251303441084463E-2</v>
      </c>
      <c r="G66" s="601">
        <f>SUMIF(tblResinWeightedQty[Film],tblResinWeightedQty[[#This Row],[Film]],tblResinWeightedQty[Weighted QTY %])</f>
        <v>0.99999999999999989</v>
      </c>
    </row>
    <row r="67" spans="1:7">
      <c r="A67" s="2" t="s">
        <v>2337</v>
      </c>
      <c r="B67" s="2" t="s">
        <v>17</v>
      </c>
      <c r="C67" s="2" t="s">
        <v>11</v>
      </c>
      <c r="D67" s="2" t="s">
        <v>81</v>
      </c>
      <c r="E67" s="2" t="s">
        <v>39</v>
      </c>
      <c r="F67" s="600" cm="1">
        <f t="array" ref="F67">SUMPRODUCT((BOM!$A$2:$A$404=A67)*(BOM!$F$2:$F$404=E67)*BOM!$H$2:$H$404*BOM!$G$2:$G$404)/SUMPRODUCT((BOM!$A$2:$A$404=A67)*BOM!$H$2:$H$404*BOM!$G$2:$G$404)</f>
        <v>7.1741397288842537E-3</v>
      </c>
      <c r="G67" s="601">
        <f>SUMIF(tblResinWeightedQty[Film],tblResinWeightedQty[[#This Row],[Film]],tblResinWeightedQty[Weighted QTY %])</f>
        <v>0.99999999999999989</v>
      </c>
    </row>
    <row r="68" spans="1:7">
      <c r="A68" s="2" t="s">
        <v>2337</v>
      </c>
      <c r="B68" s="2" t="s">
        <v>14</v>
      </c>
      <c r="C68" s="2" t="s">
        <v>23</v>
      </c>
      <c r="D68" s="2" t="s">
        <v>76</v>
      </c>
      <c r="E68" s="2" t="s">
        <v>35</v>
      </c>
      <c r="F68" s="600" cm="1">
        <f t="array" ref="F68">SUMPRODUCT((BOM!$A$2:$A$404=A68)*(BOM!$F$2:$F$404=E68)*BOM!$H$2:$H$404*BOM!$G$2:$G$404)/SUMPRODUCT((BOM!$A$2:$A$404=A68)*BOM!$H$2:$H$404*BOM!$G$2:$G$404)</f>
        <v>0.53409801876955154</v>
      </c>
      <c r="G68" s="601">
        <f>SUMIF(tblResinWeightedQty[Film],tblResinWeightedQty[[#This Row],[Film]],tblResinWeightedQty[Weighted QTY %])</f>
        <v>0.99999999999999989</v>
      </c>
    </row>
    <row r="69" spans="1:7">
      <c r="A69" s="2" t="s">
        <v>2337</v>
      </c>
      <c r="B69" s="2" t="s">
        <v>15</v>
      </c>
      <c r="C69" s="2" t="s">
        <v>24</v>
      </c>
      <c r="D69" s="2" t="s">
        <v>79</v>
      </c>
      <c r="E69" s="2" t="s">
        <v>37</v>
      </c>
      <c r="F69" s="600" cm="1">
        <f t="array" ref="F69">SUMPRODUCT((BOM!$A$2:$A$404=A69)*(BOM!$F$2:$F$404=E69)*BOM!$H$2:$H$404*BOM!$G$2:$G$404)/SUMPRODUCT((BOM!$A$2:$A$404=A69)*BOM!$H$2:$H$404*BOM!$G$2:$G$404)</f>
        <v>2.3774765380604797E-2</v>
      </c>
      <c r="G69" s="601">
        <f>SUMIF(tblResinWeightedQty[Film],tblResinWeightedQty[[#This Row],[Film]],tblResinWeightedQty[Weighted QTY %])</f>
        <v>0.99999999999999989</v>
      </c>
    </row>
    <row r="70" spans="1:7">
      <c r="A70" s="2"/>
      <c r="B70" s="2"/>
      <c r="C70" s="2"/>
      <c r="D70" s="2"/>
      <c r="E70" s="2"/>
      <c r="F70" s="600"/>
      <c r="G70" s="2"/>
    </row>
    <row r="71" spans="1:7">
      <c r="A71" s="2"/>
      <c r="B71" s="2"/>
      <c r="C71" s="2"/>
      <c r="D71" s="2"/>
      <c r="E71" s="2"/>
      <c r="F71" s="600"/>
      <c r="G71" s="2"/>
    </row>
    <row r="72" spans="1:7">
      <c r="A72" s="2"/>
      <c r="B72" s="2"/>
      <c r="C72" s="2"/>
      <c r="D72" s="2"/>
      <c r="E72" s="2"/>
      <c r="F72" s="600"/>
      <c r="G72" s="2"/>
    </row>
    <row r="73" spans="1:7">
      <c r="A73" s="2"/>
      <c r="B73" s="2"/>
      <c r="C73" s="2"/>
      <c r="D73" s="2"/>
      <c r="E73" s="2"/>
      <c r="F73" s="600"/>
      <c r="G73" s="2"/>
    </row>
    <row r="74" spans="1:7">
      <c r="A74" s="2"/>
      <c r="B74" s="2"/>
      <c r="C74" s="2"/>
      <c r="D74" s="2"/>
      <c r="E74" s="2"/>
      <c r="F74" s="600"/>
      <c r="G74" s="2"/>
    </row>
    <row r="75" spans="1:7">
      <c r="A75" s="2"/>
      <c r="B75" s="2"/>
      <c r="C75" s="2"/>
      <c r="D75" s="2"/>
      <c r="E75" s="2"/>
      <c r="F75" s="600"/>
      <c r="G75" s="2"/>
    </row>
    <row r="76" spans="1:7">
      <c r="A76" s="2"/>
      <c r="B76" s="2"/>
      <c r="C76" s="2"/>
      <c r="D76" s="2"/>
      <c r="E76" s="2"/>
      <c r="F76" s="600"/>
      <c r="G76" s="2"/>
    </row>
    <row r="77" spans="1:7">
      <c r="A77" s="2"/>
      <c r="B77" s="2"/>
      <c r="C77" s="2"/>
      <c r="D77" s="2"/>
      <c r="E77" s="2"/>
      <c r="F77" s="600"/>
      <c r="G77" s="2"/>
    </row>
  </sheetData>
  <mergeCells count="2">
    <mergeCell ref="A1:F1"/>
    <mergeCell ref="A2:F2"/>
  </mergeCell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DA75-8DB0-4138-AE67-E3F8FFE6C4A3}">
  <dimension ref="A1:L273"/>
  <sheetViews>
    <sheetView topLeftCell="A5" workbookViewId="0">
      <selection activeCell="N25" sqref="N25"/>
    </sheetView>
  </sheetViews>
  <sheetFormatPr defaultRowHeight="15"/>
  <cols>
    <col min="1" max="1" width="26.42578125" bestFit="1" customWidth="1"/>
    <col min="2" max="2" width="23.7109375" bestFit="1" customWidth="1"/>
    <col min="3" max="3" width="22.85546875" customWidth="1"/>
    <col min="4" max="9" width="20" customWidth="1"/>
    <col min="10" max="10" width="13.85546875" bestFit="1" customWidth="1"/>
    <col min="11" max="11" width="17.7109375" bestFit="1" customWidth="1"/>
    <col min="12" max="12" width="18" bestFit="1" customWidth="1"/>
  </cols>
  <sheetData>
    <row r="1" spans="1:12" ht="24">
      <c r="A1" s="994" t="s">
        <v>1296</v>
      </c>
      <c r="B1" s="994"/>
      <c r="C1" s="994"/>
      <c r="D1" s="994"/>
      <c r="E1" s="994"/>
      <c r="F1" s="994"/>
      <c r="G1" s="994"/>
      <c r="H1" s="994"/>
      <c r="I1" s="994"/>
    </row>
    <row r="2" spans="1:12">
      <c r="A2" s="995" t="s">
        <v>1304</v>
      </c>
      <c r="B2" s="995"/>
      <c r="C2" s="995"/>
      <c r="D2" s="995"/>
      <c r="E2" s="995"/>
      <c r="F2" s="995"/>
      <c r="G2" s="995"/>
      <c r="H2" s="995"/>
      <c r="I2" s="995"/>
    </row>
    <row r="4" spans="1:12">
      <c r="A4" s="859" t="s">
        <v>158</v>
      </c>
      <c r="B4" s="859" t="s">
        <v>1054</v>
      </c>
      <c r="C4" s="859" t="s">
        <v>1297</v>
      </c>
      <c r="D4" s="859" t="s">
        <v>3</v>
      </c>
      <c r="E4" s="859" t="s">
        <v>22</v>
      </c>
      <c r="F4" s="859" t="s">
        <v>72</v>
      </c>
      <c r="G4" s="859" t="s">
        <v>1298</v>
      </c>
      <c r="H4" s="859" t="s">
        <v>1103</v>
      </c>
      <c r="I4" s="859" t="s">
        <v>1299</v>
      </c>
      <c r="J4" t="s">
        <v>1303</v>
      </c>
      <c r="K4" t="s">
        <v>1063</v>
      </c>
      <c r="L4" t="s">
        <v>1057</v>
      </c>
    </row>
    <row r="5" spans="1:12">
      <c r="A5">
        <v>608</v>
      </c>
      <c r="B5">
        <v>100</v>
      </c>
      <c r="C5" t="s">
        <v>168</v>
      </c>
      <c r="D5" t="s">
        <v>1300</v>
      </c>
      <c r="G5" t="s">
        <v>168</v>
      </c>
      <c r="H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v>
      </c>
      <c r="I5" s="624">
        <f>SUMIFS(tblLaminateWeightedQty[Weighted QTY %],tblLaminateWeightedQty[Laminate],tblLaminateWeightedQty[[#This Row],[Laminate]],tblLaminateWeightedQty[Total Thickness (µ)],tblLaminateWeightedQty[[#This Row],[Total Thickness (µ)]])</f>
        <v>1</v>
      </c>
      <c r="J5">
        <v>2</v>
      </c>
      <c r="K5">
        <v>23</v>
      </c>
      <c r="L5">
        <v>100</v>
      </c>
    </row>
    <row r="6" spans="1:12">
      <c r="A6">
        <v>608</v>
      </c>
      <c r="B6">
        <v>100</v>
      </c>
      <c r="C6" t="s">
        <v>0</v>
      </c>
      <c r="D6" t="s">
        <v>13</v>
      </c>
      <c r="E6" t="s">
        <v>73</v>
      </c>
      <c r="F6" t="s">
        <v>74</v>
      </c>
      <c r="G6" t="s">
        <v>33</v>
      </c>
      <c r="H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3.456E-2</v>
      </c>
      <c r="I6" s="624">
        <f>SUMIFS(tblLaminateWeightedQty[Weighted QTY %],tblLaminateWeightedQty[Laminate],tblLaminateWeightedQty[[#This Row],[Laminate]],tblLaminateWeightedQty[Total Thickness (µ)],tblLaminateWeightedQty[[#This Row],[Total Thickness (µ)]])</f>
        <v>1</v>
      </c>
      <c r="J6">
        <v>3</v>
      </c>
      <c r="K6">
        <v>60</v>
      </c>
      <c r="L6">
        <v>100</v>
      </c>
    </row>
    <row r="7" spans="1:12">
      <c r="A7">
        <v>608</v>
      </c>
      <c r="B7">
        <v>100</v>
      </c>
      <c r="C7" t="s">
        <v>0</v>
      </c>
      <c r="D7" t="s">
        <v>14</v>
      </c>
      <c r="E7" t="s">
        <v>23</v>
      </c>
      <c r="F7" t="s">
        <v>76</v>
      </c>
      <c r="G7" t="s">
        <v>35</v>
      </c>
      <c r="H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0.35460000000000003</v>
      </c>
      <c r="I7" s="624">
        <f>SUMIFS(tblLaminateWeightedQty[Weighted QTY %],tblLaminateWeightedQty[Laminate],tblLaminateWeightedQty[[#This Row],[Laminate]],tblLaminateWeightedQty[Total Thickness (µ)],tblLaminateWeightedQty[[#This Row],[Total Thickness (µ)]])</f>
        <v>1</v>
      </c>
      <c r="J7">
        <v>3</v>
      </c>
      <c r="K7">
        <v>60</v>
      </c>
      <c r="L7">
        <v>100</v>
      </c>
    </row>
    <row r="8" spans="1:12">
      <c r="A8">
        <v>608</v>
      </c>
      <c r="B8">
        <v>100</v>
      </c>
      <c r="C8" t="s">
        <v>0</v>
      </c>
      <c r="D8" t="s">
        <v>16</v>
      </c>
      <c r="E8" t="s">
        <v>10</v>
      </c>
      <c r="F8" t="s">
        <v>80</v>
      </c>
      <c r="G8" t="s">
        <v>38</v>
      </c>
      <c r="H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9.0000000000000011E-3</v>
      </c>
      <c r="I8" s="624">
        <f>SUMIFS(tblLaminateWeightedQty[Weighted QTY %],tblLaminateWeightedQty[Laminate],tblLaminateWeightedQty[[#This Row],[Laminate]],tblLaminateWeightedQty[Total Thickness (µ)],tblLaminateWeightedQty[[#This Row],[Total Thickness (µ)]])</f>
        <v>1</v>
      </c>
      <c r="J8">
        <v>3</v>
      </c>
      <c r="K8">
        <v>60</v>
      </c>
      <c r="L8">
        <v>100</v>
      </c>
    </row>
    <row r="9" spans="1:12">
      <c r="A9">
        <v>608</v>
      </c>
      <c r="B9">
        <v>100</v>
      </c>
      <c r="C9" t="s">
        <v>0</v>
      </c>
      <c r="D9" t="s">
        <v>17</v>
      </c>
      <c r="E9" t="s">
        <v>11</v>
      </c>
      <c r="F9" t="s">
        <v>81</v>
      </c>
      <c r="G9" t="s">
        <v>39</v>
      </c>
      <c r="H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9.6000000000000013E-4</v>
      </c>
      <c r="I9" s="624">
        <f>SUMIFS(tblLaminateWeightedQty[Weighted QTY %],tblLaminateWeightedQty[Laminate],tblLaminateWeightedQty[[#This Row],[Laminate]],tblLaminateWeightedQty[Total Thickness (µ)],tblLaminateWeightedQty[[#This Row],[Total Thickness (µ)]])</f>
        <v>1</v>
      </c>
      <c r="J9">
        <v>3</v>
      </c>
      <c r="K9">
        <v>60</v>
      </c>
      <c r="L9">
        <v>100</v>
      </c>
    </row>
    <row r="10" spans="1:12">
      <c r="A10">
        <v>608</v>
      </c>
      <c r="B10">
        <v>100</v>
      </c>
      <c r="C10" t="s">
        <v>0</v>
      </c>
      <c r="D10" t="s">
        <v>18</v>
      </c>
      <c r="E10" t="s">
        <v>9</v>
      </c>
      <c r="F10" t="s">
        <v>82</v>
      </c>
      <c r="G10" t="s">
        <v>40</v>
      </c>
      <c r="H1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3.6000000000000003E-3</v>
      </c>
      <c r="I10" s="624">
        <f>SUMIFS(tblLaminateWeightedQty[Weighted QTY %],tblLaminateWeightedQty[Laminate],tblLaminateWeightedQty[[#This Row],[Laminate]],tblLaminateWeightedQty[Total Thickness (µ)],tblLaminateWeightedQty[[#This Row],[Total Thickness (µ)]])</f>
        <v>1</v>
      </c>
      <c r="J10">
        <v>3</v>
      </c>
      <c r="K10">
        <v>60</v>
      </c>
      <c r="L10">
        <v>100</v>
      </c>
    </row>
    <row r="11" spans="1:12">
      <c r="A11">
        <v>608</v>
      </c>
      <c r="B11">
        <v>100</v>
      </c>
      <c r="C11" t="s">
        <v>0</v>
      </c>
      <c r="D11" t="s">
        <v>12</v>
      </c>
      <c r="E11" t="s">
        <v>8</v>
      </c>
      <c r="F11" t="s">
        <v>83</v>
      </c>
      <c r="G11" t="s">
        <v>42</v>
      </c>
      <c r="H1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0.19728000000000001</v>
      </c>
      <c r="I11" s="624">
        <f>SUMIFS(tblLaminateWeightedQty[Weighted QTY %],tblLaminateWeightedQty[Laminate],tblLaminateWeightedQty[[#This Row],[Laminate]],tblLaminateWeightedQty[Total Thickness (µ)],tblLaminateWeightedQty[[#This Row],[Total Thickness (µ)]])</f>
        <v>1</v>
      </c>
      <c r="J11">
        <v>3</v>
      </c>
      <c r="K11">
        <v>60</v>
      </c>
      <c r="L11">
        <v>100</v>
      </c>
    </row>
    <row r="12" spans="1:12">
      <c r="A12">
        <v>608</v>
      </c>
      <c r="B12">
        <v>100</v>
      </c>
      <c r="C12" t="s">
        <v>14</v>
      </c>
      <c r="D12" t="s">
        <v>1300</v>
      </c>
      <c r="G12" t="s">
        <v>14</v>
      </c>
      <c r="H1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v>
      </c>
      <c r="I12" s="624">
        <f>SUMIFS(tblLaminateWeightedQty[Weighted QTY %],tblLaminateWeightedQty[Laminate],tblLaminateWeightedQty[[#This Row],[Laminate]],tblLaminateWeightedQty[Total Thickness (µ)],tblLaminateWeightedQty[[#This Row],[Total Thickness (µ)]])</f>
        <v>1</v>
      </c>
      <c r="J12">
        <v>4</v>
      </c>
      <c r="K12">
        <v>17</v>
      </c>
      <c r="L12">
        <v>100</v>
      </c>
    </row>
    <row r="13" spans="1:12">
      <c r="A13" t="s">
        <v>567</v>
      </c>
      <c r="B13">
        <v>100</v>
      </c>
      <c r="C13" t="s">
        <v>168</v>
      </c>
      <c r="D13" t="s">
        <v>1300</v>
      </c>
      <c r="G13" t="s">
        <v>168</v>
      </c>
      <c r="H1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v>
      </c>
      <c r="I13" s="624">
        <f>SUMIFS(tblLaminateWeightedQty[Weighted QTY %],tblLaminateWeightedQty[Laminate],tblLaminateWeightedQty[[#This Row],[Laminate]],tblLaminateWeightedQty[Total Thickness (µ)],tblLaminateWeightedQty[[#This Row],[Total Thickness (µ)]])</f>
        <v>1</v>
      </c>
      <c r="J13">
        <v>5</v>
      </c>
      <c r="K13">
        <v>23</v>
      </c>
      <c r="L13">
        <v>100</v>
      </c>
    </row>
    <row r="14" spans="1:12">
      <c r="A14" t="s">
        <v>567</v>
      </c>
      <c r="B14">
        <v>100</v>
      </c>
      <c r="C14" t="s">
        <v>43</v>
      </c>
      <c r="D14" t="s">
        <v>41</v>
      </c>
      <c r="E14" t="s">
        <v>26</v>
      </c>
      <c r="F14" t="s">
        <v>26</v>
      </c>
      <c r="G14" t="s">
        <v>53</v>
      </c>
      <c r="H1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3.6000000000000004E-2</v>
      </c>
      <c r="I14" s="624">
        <f>SUMIFS(tblLaminateWeightedQty[Weighted QTY %],tblLaminateWeightedQty[Laminate],tblLaminateWeightedQty[[#This Row],[Laminate]],tblLaminateWeightedQty[Total Thickness (µ)],tblLaminateWeightedQty[[#This Row],[Total Thickness (µ)]])</f>
        <v>1</v>
      </c>
      <c r="J14">
        <v>6</v>
      </c>
      <c r="K14">
        <v>60</v>
      </c>
      <c r="L14">
        <v>100</v>
      </c>
    </row>
    <row r="15" spans="1:12">
      <c r="A15" t="s">
        <v>567</v>
      </c>
      <c r="B15">
        <v>100</v>
      </c>
      <c r="C15" t="s">
        <v>43</v>
      </c>
      <c r="D15" t="s">
        <v>13</v>
      </c>
      <c r="E15" t="s">
        <v>73</v>
      </c>
      <c r="F15" t="s">
        <v>74</v>
      </c>
      <c r="G15" t="s">
        <v>33</v>
      </c>
      <c r="H1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3.456E-2</v>
      </c>
      <c r="I15" s="624">
        <f>SUMIFS(tblLaminateWeightedQty[Weighted QTY %],tblLaminateWeightedQty[Laminate],tblLaminateWeightedQty[[#This Row],[Laminate]],tblLaminateWeightedQty[Total Thickness (µ)],tblLaminateWeightedQty[[#This Row],[Total Thickness (µ)]])</f>
        <v>1</v>
      </c>
      <c r="J15">
        <v>6</v>
      </c>
      <c r="K15">
        <v>60</v>
      </c>
      <c r="L15">
        <v>100</v>
      </c>
    </row>
    <row r="16" spans="1:12">
      <c r="A16" t="s">
        <v>567</v>
      </c>
      <c r="B16">
        <v>100</v>
      </c>
      <c r="C16" t="s">
        <v>43</v>
      </c>
      <c r="D16" t="s">
        <v>14</v>
      </c>
      <c r="E16" t="s">
        <v>23</v>
      </c>
      <c r="F16" t="s">
        <v>76</v>
      </c>
      <c r="G16" t="s">
        <v>35</v>
      </c>
      <c r="H1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0.31859999999999999</v>
      </c>
      <c r="I16" s="624">
        <f>SUMIFS(tblLaminateWeightedQty[Weighted QTY %],tblLaminateWeightedQty[Laminate],tblLaminateWeightedQty[[#This Row],[Laminate]],tblLaminateWeightedQty[Total Thickness (µ)],tblLaminateWeightedQty[[#This Row],[Total Thickness (µ)]])</f>
        <v>1</v>
      </c>
      <c r="J16">
        <v>6</v>
      </c>
      <c r="K16">
        <v>60</v>
      </c>
      <c r="L16">
        <v>100</v>
      </c>
    </row>
    <row r="17" spans="1:12">
      <c r="A17" t="s">
        <v>567</v>
      </c>
      <c r="B17">
        <v>100</v>
      </c>
      <c r="C17" t="s">
        <v>43</v>
      </c>
      <c r="D17" t="s">
        <v>16</v>
      </c>
      <c r="E17" t="s">
        <v>10</v>
      </c>
      <c r="F17" t="s">
        <v>80</v>
      </c>
      <c r="G17" t="s">
        <v>38</v>
      </c>
      <c r="H1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8.9999999999999993E-3</v>
      </c>
      <c r="I17" s="624">
        <f>SUMIFS(tblLaminateWeightedQty[Weighted QTY %],tblLaminateWeightedQty[Laminate],tblLaminateWeightedQty[[#This Row],[Laminate]],tblLaminateWeightedQty[Total Thickness (µ)],tblLaminateWeightedQty[[#This Row],[Total Thickness (µ)]])</f>
        <v>1</v>
      </c>
      <c r="J17">
        <v>6</v>
      </c>
      <c r="K17">
        <v>60</v>
      </c>
      <c r="L17">
        <v>100</v>
      </c>
    </row>
    <row r="18" spans="1:12">
      <c r="A18" t="s">
        <v>567</v>
      </c>
      <c r="B18">
        <v>100</v>
      </c>
      <c r="C18" t="s">
        <v>43</v>
      </c>
      <c r="D18" t="s">
        <v>17</v>
      </c>
      <c r="E18" t="s">
        <v>11</v>
      </c>
      <c r="F18" t="s">
        <v>81</v>
      </c>
      <c r="G18" t="s">
        <v>39</v>
      </c>
      <c r="H1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3.8400000000000001E-3</v>
      </c>
      <c r="I18" s="624">
        <f>SUMIFS(tblLaminateWeightedQty[Weighted QTY %],tblLaminateWeightedQty[Laminate],tblLaminateWeightedQty[[#This Row],[Laminate]],tblLaminateWeightedQty[Total Thickness (µ)],tblLaminateWeightedQty[[#This Row],[Total Thickness (µ)]])</f>
        <v>1</v>
      </c>
      <c r="J18">
        <v>6</v>
      </c>
      <c r="K18">
        <v>60</v>
      </c>
      <c r="L18">
        <v>100</v>
      </c>
    </row>
    <row r="19" spans="1:12">
      <c r="A19" t="s">
        <v>567</v>
      </c>
      <c r="B19">
        <v>100</v>
      </c>
      <c r="C19" t="s">
        <v>43</v>
      </c>
      <c r="D19" t="s">
        <v>18</v>
      </c>
      <c r="E19" t="s">
        <v>9</v>
      </c>
      <c r="F19" t="s">
        <v>82</v>
      </c>
      <c r="G19" t="s">
        <v>40</v>
      </c>
      <c r="H1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3.5999999999999999E-3</v>
      </c>
      <c r="I19" s="624">
        <f>SUMIFS(tblLaminateWeightedQty[Weighted QTY %],tblLaminateWeightedQty[Laminate],tblLaminateWeightedQty[[#This Row],[Laminate]],tblLaminateWeightedQty[Total Thickness (µ)],tblLaminateWeightedQty[[#This Row],[Total Thickness (µ)]])</f>
        <v>1</v>
      </c>
      <c r="J19">
        <v>6</v>
      </c>
      <c r="K19">
        <v>60</v>
      </c>
      <c r="L19">
        <v>100</v>
      </c>
    </row>
    <row r="20" spans="1:12">
      <c r="A20" t="s">
        <v>567</v>
      </c>
      <c r="B20">
        <v>100</v>
      </c>
      <c r="C20" t="s">
        <v>43</v>
      </c>
      <c r="D20" t="s">
        <v>12</v>
      </c>
      <c r="E20" t="s">
        <v>8</v>
      </c>
      <c r="F20" t="s">
        <v>83</v>
      </c>
      <c r="G20" t="s">
        <v>42</v>
      </c>
      <c r="H2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0.19439999999999999</v>
      </c>
      <c r="I20" s="624">
        <f>SUMIFS(tblLaminateWeightedQty[Weighted QTY %],tblLaminateWeightedQty[Laminate],tblLaminateWeightedQty[[#This Row],[Laminate]],tblLaminateWeightedQty[Total Thickness (µ)],tblLaminateWeightedQty[[#This Row],[Total Thickness (µ)]])</f>
        <v>1</v>
      </c>
      <c r="J20">
        <v>6</v>
      </c>
      <c r="K20">
        <v>60</v>
      </c>
      <c r="L20">
        <v>100</v>
      </c>
    </row>
    <row r="21" spans="1:12">
      <c r="A21" t="s">
        <v>567</v>
      </c>
      <c r="B21">
        <v>100</v>
      </c>
      <c r="C21" t="s">
        <v>14</v>
      </c>
      <c r="D21" t="s">
        <v>1300</v>
      </c>
      <c r="G21" t="s">
        <v>14</v>
      </c>
      <c r="H2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v>
      </c>
      <c r="I21" s="624">
        <f>SUMIFS(tblLaminateWeightedQty[Weighted QTY %],tblLaminateWeightedQty[Laminate],tblLaminateWeightedQty[[#This Row],[Laminate]],tblLaminateWeightedQty[Total Thickness (µ)],tblLaminateWeightedQty[[#This Row],[Total Thickness (µ)]])</f>
        <v>1</v>
      </c>
      <c r="J21">
        <v>7</v>
      </c>
      <c r="K21">
        <v>17</v>
      </c>
      <c r="L21">
        <v>100</v>
      </c>
    </row>
    <row r="22" spans="1:12">
      <c r="A22">
        <v>618</v>
      </c>
      <c r="B22">
        <v>51</v>
      </c>
      <c r="C22" t="s">
        <v>168</v>
      </c>
      <c r="D22" t="s">
        <v>1300</v>
      </c>
      <c r="G22" t="s">
        <v>168</v>
      </c>
      <c r="H2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22" s="624">
        <f>SUMIFS(tblLaminateWeightedQty[Weighted QTY %],tblLaminateWeightedQty[Laminate],tblLaminateWeightedQty[[#This Row],[Laminate]],tblLaminateWeightedQty[Total Thickness (µ)],tblLaminateWeightedQty[[#This Row],[Total Thickness (µ)]])</f>
        <v>1</v>
      </c>
      <c r="J22">
        <v>8</v>
      </c>
      <c r="K22">
        <v>23</v>
      </c>
      <c r="L22">
        <v>51</v>
      </c>
    </row>
    <row r="23" spans="1:12">
      <c r="A23">
        <v>618</v>
      </c>
      <c r="B23">
        <v>51</v>
      </c>
      <c r="C23" t="s">
        <v>0</v>
      </c>
      <c r="D23" t="s">
        <v>13</v>
      </c>
      <c r="E23" t="s">
        <v>73</v>
      </c>
      <c r="F23" t="s">
        <v>74</v>
      </c>
      <c r="G23" t="s">
        <v>33</v>
      </c>
      <c r="H2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2.823529411764706E-2</v>
      </c>
      <c r="I23" s="624">
        <f>SUMIFS(tblLaminateWeightedQty[Weighted QTY %],tblLaminateWeightedQty[Laminate],tblLaminateWeightedQty[[#This Row],[Laminate]],tblLaminateWeightedQty[Total Thickness (µ)],tblLaminateWeightedQty[[#This Row],[Total Thickness (µ)]])</f>
        <v>1</v>
      </c>
      <c r="J23">
        <v>9</v>
      </c>
      <c r="K23">
        <v>25</v>
      </c>
      <c r="L23">
        <v>51</v>
      </c>
    </row>
    <row r="24" spans="1:12">
      <c r="A24">
        <v>618</v>
      </c>
      <c r="B24">
        <v>51</v>
      </c>
      <c r="C24" t="s">
        <v>0</v>
      </c>
      <c r="D24" t="s">
        <v>14</v>
      </c>
      <c r="E24" t="s">
        <v>23</v>
      </c>
      <c r="F24" t="s">
        <v>76</v>
      </c>
      <c r="G24" t="s">
        <v>35</v>
      </c>
      <c r="H2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0.2897058823529412</v>
      </c>
      <c r="I24" s="624">
        <f>SUMIFS(tblLaminateWeightedQty[Weighted QTY %],tblLaminateWeightedQty[Laminate],tblLaminateWeightedQty[[#This Row],[Laminate]],tblLaminateWeightedQty[Total Thickness (µ)],tblLaminateWeightedQty[[#This Row],[Total Thickness (µ)]])</f>
        <v>1</v>
      </c>
      <c r="J24">
        <v>9</v>
      </c>
      <c r="K24">
        <v>25</v>
      </c>
      <c r="L24">
        <v>51</v>
      </c>
    </row>
    <row r="25" spans="1:12">
      <c r="A25">
        <v>618</v>
      </c>
      <c r="B25">
        <v>51</v>
      </c>
      <c r="C25" t="s">
        <v>0</v>
      </c>
      <c r="D25" t="s">
        <v>16</v>
      </c>
      <c r="E25" t="s">
        <v>10</v>
      </c>
      <c r="F25" t="s">
        <v>80</v>
      </c>
      <c r="G25" t="s">
        <v>38</v>
      </c>
      <c r="H2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7.352941176470589E-3</v>
      </c>
      <c r="I25" s="624">
        <f>SUMIFS(tblLaminateWeightedQty[Weighted QTY %],tblLaminateWeightedQty[Laminate],tblLaminateWeightedQty[[#This Row],[Laminate]],tblLaminateWeightedQty[Total Thickness (µ)],tblLaminateWeightedQty[[#This Row],[Total Thickness (µ)]])</f>
        <v>1</v>
      </c>
      <c r="J25">
        <v>9</v>
      </c>
      <c r="K25">
        <v>25</v>
      </c>
      <c r="L25">
        <v>51</v>
      </c>
    </row>
    <row r="26" spans="1:12">
      <c r="A26">
        <v>618</v>
      </c>
      <c r="B26">
        <v>51</v>
      </c>
      <c r="C26" t="s">
        <v>0</v>
      </c>
      <c r="D26" t="s">
        <v>17</v>
      </c>
      <c r="E26" t="s">
        <v>11</v>
      </c>
      <c r="F26" t="s">
        <v>81</v>
      </c>
      <c r="G26" t="s">
        <v>39</v>
      </c>
      <c r="H2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7.8431372549019615E-4</v>
      </c>
      <c r="I26" s="624">
        <f>SUMIFS(tblLaminateWeightedQty[Weighted QTY %],tblLaminateWeightedQty[Laminate],tblLaminateWeightedQty[[#This Row],[Laminate]],tblLaminateWeightedQty[Total Thickness (µ)],tblLaminateWeightedQty[[#This Row],[Total Thickness (µ)]])</f>
        <v>1</v>
      </c>
      <c r="J26">
        <v>9</v>
      </c>
      <c r="K26">
        <v>25</v>
      </c>
      <c r="L26">
        <v>51</v>
      </c>
    </row>
    <row r="27" spans="1:12">
      <c r="A27">
        <v>618</v>
      </c>
      <c r="B27">
        <v>51</v>
      </c>
      <c r="C27" t="s">
        <v>0</v>
      </c>
      <c r="D27" t="s">
        <v>18</v>
      </c>
      <c r="E27" t="s">
        <v>9</v>
      </c>
      <c r="F27" t="s">
        <v>82</v>
      </c>
      <c r="G27" t="s">
        <v>40</v>
      </c>
      <c r="H2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2.9411764705882357E-3</v>
      </c>
      <c r="I27" s="624">
        <f>SUMIFS(tblLaminateWeightedQty[Weighted QTY %],tblLaminateWeightedQty[Laminate],tblLaminateWeightedQty[[#This Row],[Laminate]],tblLaminateWeightedQty[Total Thickness (µ)],tblLaminateWeightedQty[[#This Row],[Total Thickness (µ)]])</f>
        <v>1</v>
      </c>
      <c r="J27">
        <v>9</v>
      </c>
      <c r="K27">
        <v>25</v>
      </c>
      <c r="L27">
        <v>51</v>
      </c>
    </row>
    <row r="28" spans="1:12">
      <c r="A28">
        <v>618</v>
      </c>
      <c r="B28">
        <v>51</v>
      </c>
      <c r="C28" t="s">
        <v>0</v>
      </c>
      <c r="D28" t="s">
        <v>12</v>
      </c>
      <c r="E28" t="s">
        <v>8</v>
      </c>
      <c r="F28" t="s">
        <v>83</v>
      </c>
      <c r="G28" t="s">
        <v>42</v>
      </c>
      <c r="H2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0.16117647058823531</v>
      </c>
      <c r="I28" s="624">
        <f>SUMIFS(tblLaminateWeightedQty[Weighted QTY %],tblLaminateWeightedQty[Laminate],tblLaminateWeightedQty[[#This Row],[Laminate]],tblLaminateWeightedQty[Total Thickness (µ)],tblLaminateWeightedQty[[#This Row],[Total Thickness (µ)]])</f>
        <v>1</v>
      </c>
      <c r="J28">
        <v>9</v>
      </c>
      <c r="K28">
        <v>25</v>
      </c>
      <c r="L28">
        <v>51</v>
      </c>
    </row>
    <row r="29" spans="1:12">
      <c r="A29">
        <v>618</v>
      </c>
      <c r="B29">
        <v>51</v>
      </c>
      <c r="C29" t="s">
        <v>177</v>
      </c>
      <c r="D29" t="s">
        <v>1300</v>
      </c>
      <c r="G29" t="s">
        <v>177</v>
      </c>
      <c r="H2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5.8823529411764705E-2</v>
      </c>
      <c r="I29" s="624">
        <f>SUMIFS(tblLaminateWeightedQty[Weighted QTY %],tblLaminateWeightedQty[Laminate],tblLaminateWeightedQty[[#This Row],[Laminate]],tblLaminateWeightedQty[Total Thickness (µ)],tblLaminateWeightedQty[[#This Row],[Total Thickness (µ)]])</f>
        <v>1</v>
      </c>
      <c r="J29">
        <v>10</v>
      </c>
      <c r="K29">
        <v>3</v>
      </c>
      <c r="L29">
        <v>51</v>
      </c>
    </row>
    <row r="30" spans="1:12">
      <c r="A30">
        <v>618</v>
      </c>
      <c r="B30">
        <v>56</v>
      </c>
      <c r="C30" t="s">
        <v>168</v>
      </c>
      <c r="D30" t="s">
        <v>1300</v>
      </c>
      <c r="G30" t="s">
        <v>168</v>
      </c>
      <c r="H3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0.4107142857142857</v>
      </c>
      <c r="I30" s="624">
        <f>SUMIFS(tblLaminateWeightedQty[Weighted QTY %],tblLaminateWeightedQty[Laminate],tblLaminateWeightedQty[[#This Row],[Laminate]],tblLaminateWeightedQty[Total Thickness (µ)],tblLaminateWeightedQty[[#This Row],[Total Thickness (µ)]])</f>
        <v>1</v>
      </c>
      <c r="J30">
        <v>11</v>
      </c>
      <c r="K30">
        <v>23</v>
      </c>
      <c r="L30">
        <v>56</v>
      </c>
    </row>
    <row r="31" spans="1:12">
      <c r="A31">
        <v>618</v>
      </c>
      <c r="B31">
        <v>56</v>
      </c>
      <c r="C31" t="s">
        <v>0</v>
      </c>
      <c r="D31" t="s">
        <v>13</v>
      </c>
      <c r="E31" t="s">
        <v>73</v>
      </c>
      <c r="F31" t="s">
        <v>74</v>
      </c>
      <c r="G31" t="s">
        <v>33</v>
      </c>
      <c r="H3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3.0857142857142861E-2</v>
      </c>
      <c r="I31" s="624">
        <f>SUMIFS(tblLaminateWeightedQty[Weighted QTY %],tblLaminateWeightedQty[Laminate],tblLaminateWeightedQty[[#This Row],[Laminate]],tblLaminateWeightedQty[Total Thickness (µ)],tblLaminateWeightedQty[[#This Row],[Total Thickness (µ)]])</f>
        <v>1</v>
      </c>
      <c r="J31">
        <v>12</v>
      </c>
      <c r="K31">
        <v>30</v>
      </c>
      <c r="L31">
        <v>56</v>
      </c>
    </row>
    <row r="32" spans="1:12">
      <c r="A32">
        <v>618</v>
      </c>
      <c r="B32">
        <v>56</v>
      </c>
      <c r="C32" t="s">
        <v>0</v>
      </c>
      <c r="D32" t="s">
        <v>14</v>
      </c>
      <c r="E32" t="s">
        <v>23</v>
      </c>
      <c r="F32" t="s">
        <v>76</v>
      </c>
      <c r="G32" t="s">
        <v>35</v>
      </c>
      <c r="H3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0.31660714285714286</v>
      </c>
      <c r="I32" s="624">
        <f>SUMIFS(tblLaminateWeightedQty[Weighted QTY %],tblLaminateWeightedQty[Laminate],tblLaminateWeightedQty[[#This Row],[Laminate]],tblLaminateWeightedQty[Total Thickness (µ)],tblLaminateWeightedQty[[#This Row],[Total Thickness (µ)]])</f>
        <v>1</v>
      </c>
      <c r="J32">
        <v>12</v>
      </c>
      <c r="K32">
        <v>30</v>
      </c>
      <c r="L32">
        <v>56</v>
      </c>
    </row>
    <row r="33" spans="1:12">
      <c r="A33">
        <v>618</v>
      </c>
      <c r="B33">
        <v>56</v>
      </c>
      <c r="C33" t="s">
        <v>0</v>
      </c>
      <c r="D33" t="s">
        <v>16</v>
      </c>
      <c r="E33" t="s">
        <v>10</v>
      </c>
      <c r="F33" t="s">
        <v>80</v>
      </c>
      <c r="G33" t="s">
        <v>38</v>
      </c>
      <c r="H3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8.0357142857142867E-3</v>
      </c>
      <c r="I33" s="624">
        <f>SUMIFS(tblLaminateWeightedQty[Weighted QTY %],tblLaminateWeightedQty[Laminate],tblLaminateWeightedQty[[#This Row],[Laminate]],tblLaminateWeightedQty[Total Thickness (µ)],tblLaminateWeightedQty[[#This Row],[Total Thickness (µ)]])</f>
        <v>1</v>
      </c>
      <c r="J33">
        <v>12</v>
      </c>
      <c r="K33">
        <v>30</v>
      </c>
      <c r="L33">
        <v>56</v>
      </c>
    </row>
    <row r="34" spans="1:12">
      <c r="A34">
        <v>618</v>
      </c>
      <c r="B34">
        <v>56</v>
      </c>
      <c r="C34" t="s">
        <v>0</v>
      </c>
      <c r="D34" t="s">
        <v>17</v>
      </c>
      <c r="E34" t="s">
        <v>11</v>
      </c>
      <c r="F34" t="s">
        <v>81</v>
      </c>
      <c r="G34" t="s">
        <v>39</v>
      </c>
      <c r="H3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8.5714285714285732E-4</v>
      </c>
      <c r="I34" s="624">
        <f>SUMIFS(tblLaminateWeightedQty[Weighted QTY %],tblLaminateWeightedQty[Laminate],tblLaminateWeightedQty[[#This Row],[Laminate]],tblLaminateWeightedQty[Total Thickness (µ)],tblLaminateWeightedQty[[#This Row],[Total Thickness (µ)]])</f>
        <v>1</v>
      </c>
      <c r="J34">
        <v>12</v>
      </c>
      <c r="K34">
        <v>30</v>
      </c>
      <c r="L34">
        <v>56</v>
      </c>
    </row>
    <row r="35" spans="1:12">
      <c r="A35">
        <v>618</v>
      </c>
      <c r="B35">
        <v>56</v>
      </c>
      <c r="C35" t="s">
        <v>0</v>
      </c>
      <c r="D35" t="s">
        <v>18</v>
      </c>
      <c r="E35" t="s">
        <v>9</v>
      </c>
      <c r="F35" t="s">
        <v>82</v>
      </c>
      <c r="G35" t="s">
        <v>40</v>
      </c>
      <c r="H3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3.2142857142857147E-3</v>
      </c>
      <c r="I35" s="624">
        <f>SUMIFS(tblLaminateWeightedQty[Weighted QTY %],tblLaminateWeightedQty[Laminate],tblLaminateWeightedQty[[#This Row],[Laminate]],tblLaminateWeightedQty[Total Thickness (µ)],tblLaminateWeightedQty[[#This Row],[Total Thickness (µ)]])</f>
        <v>1</v>
      </c>
      <c r="J35">
        <v>12</v>
      </c>
      <c r="K35">
        <v>30</v>
      </c>
      <c r="L35">
        <v>56</v>
      </c>
    </row>
    <row r="36" spans="1:12">
      <c r="A36">
        <v>618</v>
      </c>
      <c r="B36">
        <v>56</v>
      </c>
      <c r="C36" t="s">
        <v>0</v>
      </c>
      <c r="D36" t="s">
        <v>12</v>
      </c>
      <c r="E36" t="s">
        <v>8</v>
      </c>
      <c r="F36" t="s">
        <v>83</v>
      </c>
      <c r="G36" t="s">
        <v>42</v>
      </c>
      <c r="H3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0.17614285714285716</v>
      </c>
      <c r="I36" s="624">
        <f>SUMIFS(tblLaminateWeightedQty[Weighted QTY %],tblLaminateWeightedQty[Laminate],tblLaminateWeightedQty[[#This Row],[Laminate]],tblLaminateWeightedQty[Total Thickness (µ)],tblLaminateWeightedQty[[#This Row],[Total Thickness (µ)]])</f>
        <v>1</v>
      </c>
      <c r="J36">
        <v>12</v>
      </c>
      <c r="K36">
        <v>30</v>
      </c>
      <c r="L36">
        <v>56</v>
      </c>
    </row>
    <row r="37" spans="1:12">
      <c r="A37">
        <v>618</v>
      </c>
      <c r="B37">
        <v>56</v>
      </c>
      <c r="C37" t="s">
        <v>177</v>
      </c>
      <c r="D37" t="s">
        <v>1300</v>
      </c>
      <c r="G37" t="s">
        <v>177</v>
      </c>
      <c r="H3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5.3571428571428568E-2</v>
      </c>
      <c r="I37" s="624">
        <f>SUMIFS(tblLaminateWeightedQty[Weighted QTY %],tblLaminateWeightedQty[Laminate],tblLaminateWeightedQty[[#This Row],[Laminate]],tblLaminateWeightedQty[Total Thickness (µ)],tblLaminateWeightedQty[[#This Row],[Total Thickness (µ)]])</f>
        <v>1</v>
      </c>
      <c r="J37">
        <v>13</v>
      </c>
      <c r="K37">
        <v>3</v>
      </c>
      <c r="L37">
        <v>56</v>
      </c>
    </row>
    <row r="38" spans="1:12">
      <c r="A38">
        <v>618</v>
      </c>
      <c r="B38">
        <v>61</v>
      </c>
      <c r="C38" t="s">
        <v>168</v>
      </c>
      <c r="D38" t="s">
        <v>1300</v>
      </c>
      <c r="G38" t="s">
        <v>168</v>
      </c>
      <c r="H3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0.37704918032786883</v>
      </c>
      <c r="I38" s="624">
        <f>SUMIFS(tblLaminateWeightedQty[Weighted QTY %],tblLaminateWeightedQty[Laminate],tblLaminateWeightedQty[[#This Row],[Laminate]],tblLaminateWeightedQty[Total Thickness (µ)],tblLaminateWeightedQty[[#This Row],[Total Thickness (µ)]])</f>
        <v>1</v>
      </c>
      <c r="J38">
        <v>14</v>
      </c>
      <c r="K38">
        <v>23</v>
      </c>
      <c r="L38">
        <v>61</v>
      </c>
    </row>
    <row r="39" spans="1:12">
      <c r="A39">
        <v>618</v>
      </c>
      <c r="B39">
        <v>61</v>
      </c>
      <c r="C39" t="s">
        <v>0</v>
      </c>
      <c r="D39" t="s">
        <v>13</v>
      </c>
      <c r="E39" t="s">
        <v>73</v>
      </c>
      <c r="F39" t="s">
        <v>74</v>
      </c>
      <c r="G39" t="s">
        <v>33</v>
      </c>
      <c r="H3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3.3049180327868855E-2</v>
      </c>
      <c r="I39" s="624">
        <f>SUMIFS(tblLaminateWeightedQty[Weighted QTY %],tblLaminateWeightedQty[Laminate],tblLaminateWeightedQty[[#This Row],[Laminate]],tblLaminateWeightedQty[Total Thickness (µ)],tblLaminateWeightedQty[[#This Row],[Total Thickness (µ)]])</f>
        <v>1</v>
      </c>
      <c r="J39">
        <v>15</v>
      </c>
      <c r="K39">
        <v>35</v>
      </c>
      <c r="L39">
        <v>61</v>
      </c>
    </row>
    <row r="40" spans="1:12">
      <c r="A40">
        <v>618</v>
      </c>
      <c r="B40">
        <v>61</v>
      </c>
      <c r="C40" t="s">
        <v>0</v>
      </c>
      <c r="D40" t="s">
        <v>14</v>
      </c>
      <c r="E40" t="s">
        <v>23</v>
      </c>
      <c r="F40" t="s">
        <v>76</v>
      </c>
      <c r="G40" t="s">
        <v>35</v>
      </c>
      <c r="H4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0.33909836065573773</v>
      </c>
      <c r="I40" s="624">
        <f>SUMIFS(tblLaminateWeightedQty[Weighted QTY %],tblLaminateWeightedQty[Laminate],tblLaminateWeightedQty[[#This Row],[Laminate]],tblLaminateWeightedQty[Total Thickness (µ)],tblLaminateWeightedQty[[#This Row],[Total Thickness (µ)]])</f>
        <v>1</v>
      </c>
      <c r="J40">
        <v>15</v>
      </c>
      <c r="K40">
        <v>35</v>
      </c>
      <c r="L40">
        <v>61</v>
      </c>
    </row>
    <row r="41" spans="1:12">
      <c r="A41">
        <v>618</v>
      </c>
      <c r="B41">
        <v>61</v>
      </c>
      <c r="C41" t="s">
        <v>0</v>
      </c>
      <c r="D41" t="s">
        <v>16</v>
      </c>
      <c r="E41" t="s">
        <v>10</v>
      </c>
      <c r="F41" t="s">
        <v>80</v>
      </c>
      <c r="G41" t="s">
        <v>38</v>
      </c>
      <c r="H4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8.6065573770491809E-3</v>
      </c>
      <c r="I41" s="624">
        <f>SUMIFS(tblLaminateWeightedQty[Weighted QTY %],tblLaminateWeightedQty[Laminate],tblLaminateWeightedQty[[#This Row],[Laminate]],tblLaminateWeightedQty[Total Thickness (µ)],tblLaminateWeightedQty[[#This Row],[Total Thickness (µ)]])</f>
        <v>1</v>
      </c>
      <c r="J41">
        <v>15</v>
      </c>
      <c r="K41">
        <v>35</v>
      </c>
      <c r="L41">
        <v>61</v>
      </c>
    </row>
    <row r="42" spans="1:12">
      <c r="A42">
        <v>618</v>
      </c>
      <c r="B42">
        <v>61</v>
      </c>
      <c r="C42" t="s">
        <v>0</v>
      </c>
      <c r="D42" t="s">
        <v>17</v>
      </c>
      <c r="E42" t="s">
        <v>11</v>
      </c>
      <c r="F42" t="s">
        <v>81</v>
      </c>
      <c r="G42" t="s">
        <v>39</v>
      </c>
      <c r="H4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9.1803278688524603E-4</v>
      </c>
      <c r="I42" s="624">
        <f>SUMIFS(tblLaminateWeightedQty[Weighted QTY %],tblLaminateWeightedQty[Laminate],tblLaminateWeightedQty[[#This Row],[Laminate]],tblLaminateWeightedQty[Total Thickness (µ)],tblLaminateWeightedQty[[#This Row],[Total Thickness (µ)]])</f>
        <v>1</v>
      </c>
      <c r="J42">
        <v>15</v>
      </c>
      <c r="K42">
        <v>35</v>
      </c>
      <c r="L42">
        <v>61</v>
      </c>
    </row>
    <row r="43" spans="1:12">
      <c r="A43">
        <v>618</v>
      </c>
      <c r="B43">
        <v>61</v>
      </c>
      <c r="C43" t="s">
        <v>0</v>
      </c>
      <c r="D43" t="s">
        <v>18</v>
      </c>
      <c r="E43" t="s">
        <v>9</v>
      </c>
      <c r="F43" t="s">
        <v>82</v>
      </c>
      <c r="G43" t="s">
        <v>40</v>
      </c>
      <c r="H4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3.4426229508196723E-3</v>
      </c>
      <c r="I43" s="624">
        <f>SUMIFS(tblLaminateWeightedQty[Weighted QTY %],tblLaminateWeightedQty[Laminate],tblLaminateWeightedQty[[#This Row],[Laminate]],tblLaminateWeightedQty[Total Thickness (µ)],tblLaminateWeightedQty[[#This Row],[Total Thickness (µ)]])</f>
        <v>1</v>
      </c>
      <c r="J43">
        <v>15</v>
      </c>
      <c r="K43">
        <v>35</v>
      </c>
      <c r="L43">
        <v>61</v>
      </c>
    </row>
    <row r="44" spans="1:12">
      <c r="A44">
        <v>618</v>
      </c>
      <c r="B44">
        <v>61</v>
      </c>
      <c r="C44" t="s">
        <v>0</v>
      </c>
      <c r="D44" t="s">
        <v>12</v>
      </c>
      <c r="E44" t="s">
        <v>8</v>
      </c>
      <c r="F44" t="s">
        <v>83</v>
      </c>
      <c r="G44" t="s">
        <v>42</v>
      </c>
      <c r="H4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0.18865573770491803</v>
      </c>
      <c r="I44" s="624">
        <f>SUMIFS(tblLaminateWeightedQty[Weighted QTY %],tblLaminateWeightedQty[Laminate],tblLaminateWeightedQty[[#This Row],[Laminate]],tblLaminateWeightedQty[Total Thickness (µ)],tblLaminateWeightedQty[[#This Row],[Total Thickness (µ)]])</f>
        <v>1</v>
      </c>
      <c r="J44">
        <v>15</v>
      </c>
      <c r="K44">
        <v>35</v>
      </c>
      <c r="L44">
        <v>61</v>
      </c>
    </row>
    <row r="45" spans="1:12">
      <c r="A45">
        <v>618</v>
      </c>
      <c r="B45">
        <v>61</v>
      </c>
      <c r="C45" t="s">
        <v>177</v>
      </c>
      <c r="D45" t="s">
        <v>1300</v>
      </c>
      <c r="G45" t="s">
        <v>177</v>
      </c>
      <c r="H4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4.9180327868852458E-2</v>
      </c>
      <c r="I45" s="624">
        <f>SUMIFS(tblLaminateWeightedQty[Weighted QTY %],tblLaminateWeightedQty[Laminate],tblLaminateWeightedQty[[#This Row],[Laminate]],tblLaminateWeightedQty[Total Thickness (µ)],tblLaminateWeightedQty[[#This Row],[Total Thickness (µ)]])</f>
        <v>1</v>
      </c>
      <c r="J45">
        <v>16</v>
      </c>
      <c r="K45">
        <v>3</v>
      </c>
      <c r="L45">
        <v>61</v>
      </c>
    </row>
    <row r="46" spans="1:12">
      <c r="A46">
        <v>618</v>
      </c>
      <c r="B46">
        <v>66</v>
      </c>
      <c r="C46" t="s">
        <v>168</v>
      </c>
      <c r="D46" t="s">
        <v>1300</v>
      </c>
      <c r="G46" t="s">
        <v>168</v>
      </c>
      <c r="H4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0.34848484848484851</v>
      </c>
      <c r="I46" s="624">
        <f>SUMIFS(tblLaminateWeightedQty[Weighted QTY %],tblLaminateWeightedQty[Laminate],tblLaminateWeightedQty[[#This Row],[Laminate]],tblLaminateWeightedQty[Total Thickness (µ)],tblLaminateWeightedQty[[#This Row],[Total Thickness (µ)]])</f>
        <v>1</v>
      </c>
      <c r="J46">
        <v>17</v>
      </c>
      <c r="K46">
        <v>23</v>
      </c>
      <c r="L46">
        <v>66</v>
      </c>
    </row>
    <row r="47" spans="1:12">
      <c r="A47">
        <v>618</v>
      </c>
      <c r="B47">
        <v>66</v>
      </c>
      <c r="C47" t="s">
        <v>0</v>
      </c>
      <c r="D47" t="s">
        <v>13</v>
      </c>
      <c r="E47" t="s">
        <v>73</v>
      </c>
      <c r="F47" t="s">
        <v>74</v>
      </c>
      <c r="G47" t="s">
        <v>33</v>
      </c>
      <c r="H4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3.490909090909091E-2</v>
      </c>
      <c r="I47" s="624">
        <f>SUMIFS(tblLaminateWeightedQty[Weighted QTY %],tblLaminateWeightedQty[Laminate],tblLaminateWeightedQty[[#This Row],[Laminate]],tblLaminateWeightedQty[Total Thickness (µ)],tblLaminateWeightedQty[[#This Row],[Total Thickness (µ)]])</f>
        <v>1</v>
      </c>
      <c r="J47">
        <v>18</v>
      </c>
      <c r="K47">
        <v>40</v>
      </c>
      <c r="L47">
        <v>66</v>
      </c>
    </row>
    <row r="48" spans="1:12">
      <c r="A48">
        <v>618</v>
      </c>
      <c r="B48">
        <v>66</v>
      </c>
      <c r="C48" t="s">
        <v>0</v>
      </c>
      <c r="D48" t="s">
        <v>14</v>
      </c>
      <c r="E48" t="s">
        <v>23</v>
      </c>
      <c r="F48" t="s">
        <v>76</v>
      </c>
      <c r="G48" t="s">
        <v>35</v>
      </c>
      <c r="H4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0.35818181818181827</v>
      </c>
      <c r="I48" s="624">
        <f>SUMIFS(tblLaminateWeightedQty[Weighted QTY %],tblLaminateWeightedQty[Laminate],tblLaminateWeightedQty[[#This Row],[Laminate]],tblLaminateWeightedQty[Total Thickness (µ)],tblLaminateWeightedQty[[#This Row],[Total Thickness (µ)]])</f>
        <v>1</v>
      </c>
      <c r="J48">
        <v>18</v>
      </c>
      <c r="K48">
        <v>40</v>
      </c>
      <c r="L48">
        <v>66</v>
      </c>
    </row>
    <row r="49" spans="1:12">
      <c r="A49">
        <v>618</v>
      </c>
      <c r="B49">
        <v>66</v>
      </c>
      <c r="C49" t="s">
        <v>0</v>
      </c>
      <c r="D49" t="s">
        <v>16</v>
      </c>
      <c r="E49" t="s">
        <v>10</v>
      </c>
      <c r="F49" t="s">
        <v>80</v>
      </c>
      <c r="G49" t="s">
        <v>38</v>
      </c>
      <c r="H4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9.0909090909090922E-3</v>
      </c>
      <c r="I49" s="624">
        <f>SUMIFS(tblLaminateWeightedQty[Weighted QTY %],tblLaminateWeightedQty[Laminate],tblLaminateWeightedQty[[#This Row],[Laminate]],tblLaminateWeightedQty[Total Thickness (µ)],tblLaminateWeightedQty[[#This Row],[Total Thickness (µ)]])</f>
        <v>1</v>
      </c>
      <c r="J49">
        <v>18</v>
      </c>
      <c r="K49">
        <v>40</v>
      </c>
      <c r="L49">
        <v>66</v>
      </c>
    </row>
    <row r="50" spans="1:12">
      <c r="A50">
        <v>618</v>
      </c>
      <c r="B50">
        <v>66</v>
      </c>
      <c r="C50" t="s">
        <v>0</v>
      </c>
      <c r="D50" t="s">
        <v>17</v>
      </c>
      <c r="E50" t="s">
        <v>11</v>
      </c>
      <c r="F50" t="s">
        <v>81</v>
      </c>
      <c r="G50" t="s">
        <v>39</v>
      </c>
      <c r="H5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9.6969696969696989E-4</v>
      </c>
      <c r="I50" s="624">
        <f>SUMIFS(tblLaminateWeightedQty[Weighted QTY %],tblLaminateWeightedQty[Laminate],tblLaminateWeightedQty[[#This Row],[Laminate]],tblLaminateWeightedQty[Total Thickness (µ)],tblLaminateWeightedQty[[#This Row],[Total Thickness (µ)]])</f>
        <v>1</v>
      </c>
      <c r="J50">
        <v>18</v>
      </c>
      <c r="K50">
        <v>40</v>
      </c>
      <c r="L50">
        <v>66</v>
      </c>
    </row>
    <row r="51" spans="1:12">
      <c r="A51">
        <v>618</v>
      </c>
      <c r="B51">
        <v>66</v>
      </c>
      <c r="C51" t="s">
        <v>0</v>
      </c>
      <c r="D51" t="s">
        <v>18</v>
      </c>
      <c r="E51" t="s">
        <v>9</v>
      </c>
      <c r="F51" t="s">
        <v>82</v>
      </c>
      <c r="G51" t="s">
        <v>40</v>
      </c>
      <c r="H5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3.6363636363636372E-3</v>
      </c>
      <c r="I51" s="624">
        <f>SUMIFS(tblLaminateWeightedQty[Weighted QTY %],tblLaminateWeightedQty[Laminate],tblLaminateWeightedQty[[#This Row],[Laminate]],tblLaminateWeightedQty[Total Thickness (µ)],tblLaminateWeightedQty[[#This Row],[Total Thickness (µ)]])</f>
        <v>1</v>
      </c>
      <c r="J51">
        <v>18</v>
      </c>
      <c r="K51">
        <v>40</v>
      </c>
      <c r="L51">
        <v>66</v>
      </c>
    </row>
    <row r="52" spans="1:12">
      <c r="A52">
        <v>618</v>
      </c>
      <c r="B52">
        <v>66</v>
      </c>
      <c r="C52" t="s">
        <v>0</v>
      </c>
      <c r="D52" t="s">
        <v>12</v>
      </c>
      <c r="E52" t="s">
        <v>8</v>
      </c>
      <c r="F52" t="s">
        <v>83</v>
      </c>
      <c r="G52" t="s">
        <v>42</v>
      </c>
      <c r="H5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0.1992727272727273</v>
      </c>
      <c r="I52" s="624">
        <f>SUMIFS(tblLaminateWeightedQty[Weighted QTY %],tblLaminateWeightedQty[Laminate],tblLaminateWeightedQty[[#This Row],[Laminate]],tblLaminateWeightedQty[Total Thickness (µ)],tblLaminateWeightedQty[[#This Row],[Total Thickness (µ)]])</f>
        <v>1</v>
      </c>
      <c r="J52">
        <v>18</v>
      </c>
      <c r="K52">
        <v>40</v>
      </c>
      <c r="L52">
        <v>66</v>
      </c>
    </row>
    <row r="53" spans="1:12">
      <c r="A53">
        <v>618</v>
      </c>
      <c r="B53">
        <v>66</v>
      </c>
      <c r="C53" t="s">
        <v>177</v>
      </c>
      <c r="D53" t="s">
        <v>1300</v>
      </c>
      <c r="G53" t="s">
        <v>177</v>
      </c>
      <c r="H5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4.5454545454545456E-2</v>
      </c>
      <c r="I53" s="624">
        <f>SUMIFS(tblLaminateWeightedQty[Weighted QTY %],tblLaminateWeightedQty[Laminate],tblLaminateWeightedQty[[#This Row],[Laminate]],tblLaminateWeightedQty[Total Thickness (µ)],tblLaminateWeightedQty[[#This Row],[Total Thickness (µ)]])</f>
        <v>1</v>
      </c>
      <c r="J53">
        <v>19</v>
      </c>
      <c r="K53">
        <v>3</v>
      </c>
      <c r="L53">
        <v>66</v>
      </c>
    </row>
    <row r="54" spans="1:12">
      <c r="A54">
        <v>618</v>
      </c>
      <c r="B54">
        <v>77</v>
      </c>
      <c r="C54" t="s">
        <v>168</v>
      </c>
      <c r="D54" t="s">
        <v>1300</v>
      </c>
      <c r="G54" t="s">
        <v>168</v>
      </c>
      <c r="H5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0.29870129870129869</v>
      </c>
      <c r="I54" s="624">
        <f>SUMIFS(tblLaminateWeightedQty[Weighted QTY %],tblLaminateWeightedQty[Laminate],tblLaminateWeightedQty[[#This Row],[Laminate]],tblLaminateWeightedQty[Total Thickness (µ)],tblLaminateWeightedQty[[#This Row],[Total Thickness (µ)]])</f>
        <v>1</v>
      </c>
      <c r="J54">
        <v>20</v>
      </c>
      <c r="K54">
        <v>23</v>
      </c>
      <c r="L54">
        <v>77</v>
      </c>
    </row>
    <row r="55" spans="1:12">
      <c r="A55">
        <v>618</v>
      </c>
      <c r="B55">
        <v>77</v>
      </c>
      <c r="C55" t="s">
        <v>0</v>
      </c>
      <c r="D55" t="s">
        <v>13</v>
      </c>
      <c r="E55" t="s">
        <v>73</v>
      </c>
      <c r="F55" t="s">
        <v>74</v>
      </c>
      <c r="G55" t="s">
        <v>33</v>
      </c>
      <c r="H5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3.7402597402597403E-2</v>
      </c>
      <c r="I55" s="624">
        <f>SUMIFS(tblLaminateWeightedQty[Weighted QTY %],tblLaminateWeightedQty[Laminate],tblLaminateWeightedQty[[#This Row],[Laminate]],tblLaminateWeightedQty[Total Thickness (µ)],tblLaminateWeightedQty[[#This Row],[Total Thickness (µ)]])</f>
        <v>1</v>
      </c>
      <c r="J55">
        <v>21</v>
      </c>
      <c r="K55">
        <v>50</v>
      </c>
      <c r="L55">
        <v>77</v>
      </c>
    </row>
    <row r="56" spans="1:12">
      <c r="A56">
        <v>618</v>
      </c>
      <c r="B56">
        <v>77</v>
      </c>
      <c r="C56" t="s">
        <v>0</v>
      </c>
      <c r="D56" t="s">
        <v>14</v>
      </c>
      <c r="E56" t="s">
        <v>23</v>
      </c>
      <c r="F56" t="s">
        <v>76</v>
      </c>
      <c r="G56" t="s">
        <v>35</v>
      </c>
      <c r="H5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0.38376623376623381</v>
      </c>
      <c r="I56" s="624">
        <f>SUMIFS(tblLaminateWeightedQty[Weighted QTY %],tblLaminateWeightedQty[Laminate],tblLaminateWeightedQty[[#This Row],[Laminate]],tblLaminateWeightedQty[Total Thickness (µ)],tblLaminateWeightedQty[[#This Row],[Total Thickness (µ)]])</f>
        <v>1</v>
      </c>
      <c r="J56">
        <v>21</v>
      </c>
      <c r="K56">
        <v>50</v>
      </c>
      <c r="L56">
        <v>77</v>
      </c>
    </row>
    <row r="57" spans="1:12">
      <c r="A57">
        <v>618</v>
      </c>
      <c r="B57">
        <v>77</v>
      </c>
      <c r="C57" t="s">
        <v>0</v>
      </c>
      <c r="D57" t="s">
        <v>16</v>
      </c>
      <c r="E57" t="s">
        <v>10</v>
      </c>
      <c r="F57" t="s">
        <v>80</v>
      </c>
      <c r="G57" t="s">
        <v>38</v>
      </c>
      <c r="H5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9.7402597402597418E-3</v>
      </c>
      <c r="I57" s="624">
        <f>SUMIFS(tblLaminateWeightedQty[Weighted QTY %],tblLaminateWeightedQty[Laminate],tblLaminateWeightedQty[[#This Row],[Laminate]],tblLaminateWeightedQty[Total Thickness (µ)],tblLaminateWeightedQty[[#This Row],[Total Thickness (µ)]])</f>
        <v>1</v>
      </c>
      <c r="J57">
        <v>21</v>
      </c>
      <c r="K57">
        <v>50</v>
      </c>
      <c r="L57">
        <v>77</v>
      </c>
    </row>
    <row r="58" spans="1:12">
      <c r="A58">
        <v>618</v>
      </c>
      <c r="B58">
        <v>77</v>
      </c>
      <c r="C58" t="s">
        <v>0</v>
      </c>
      <c r="D58" t="s">
        <v>17</v>
      </c>
      <c r="E58" t="s">
        <v>11</v>
      </c>
      <c r="F58" t="s">
        <v>81</v>
      </c>
      <c r="G58" t="s">
        <v>39</v>
      </c>
      <c r="H5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1.0389610389610392E-3</v>
      </c>
      <c r="I58" s="624">
        <f>SUMIFS(tblLaminateWeightedQty[Weighted QTY %],tblLaminateWeightedQty[Laminate],tblLaminateWeightedQty[[#This Row],[Laminate]],tblLaminateWeightedQty[Total Thickness (µ)],tblLaminateWeightedQty[[#This Row],[Total Thickness (µ)]])</f>
        <v>1</v>
      </c>
      <c r="J58">
        <v>21</v>
      </c>
      <c r="K58">
        <v>50</v>
      </c>
      <c r="L58">
        <v>77</v>
      </c>
    </row>
    <row r="59" spans="1:12">
      <c r="A59">
        <v>618</v>
      </c>
      <c r="B59">
        <v>77</v>
      </c>
      <c r="C59" t="s">
        <v>0</v>
      </c>
      <c r="D59" t="s">
        <v>18</v>
      </c>
      <c r="E59" t="s">
        <v>9</v>
      </c>
      <c r="F59" t="s">
        <v>82</v>
      </c>
      <c r="G59" t="s">
        <v>40</v>
      </c>
      <c r="H5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3.8961038961038965E-3</v>
      </c>
      <c r="I59" s="624">
        <f>SUMIFS(tblLaminateWeightedQty[Weighted QTY %],tblLaminateWeightedQty[Laminate],tblLaminateWeightedQty[[#This Row],[Laminate]],tblLaminateWeightedQty[Total Thickness (µ)],tblLaminateWeightedQty[[#This Row],[Total Thickness (µ)]])</f>
        <v>1</v>
      </c>
      <c r="J59">
        <v>21</v>
      </c>
      <c r="K59">
        <v>50</v>
      </c>
      <c r="L59">
        <v>77</v>
      </c>
    </row>
    <row r="60" spans="1:12">
      <c r="A60">
        <v>618</v>
      </c>
      <c r="B60">
        <v>77</v>
      </c>
      <c r="C60" t="s">
        <v>0</v>
      </c>
      <c r="D60" t="s">
        <v>12</v>
      </c>
      <c r="E60" t="s">
        <v>8</v>
      </c>
      <c r="F60" t="s">
        <v>83</v>
      </c>
      <c r="G60" t="s">
        <v>42</v>
      </c>
      <c r="H6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0.21350649350649353</v>
      </c>
      <c r="I60" s="624">
        <f>SUMIFS(tblLaminateWeightedQty[Weighted QTY %],tblLaminateWeightedQty[Laminate],tblLaminateWeightedQty[[#This Row],[Laminate]],tblLaminateWeightedQty[Total Thickness (µ)],tblLaminateWeightedQty[[#This Row],[Total Thickness (µ)]])</f>
        <v>1</v>
      </c>
      <c r="J60">
        <v>21</v>
      </c>
      <c r="K60">
        <v>50</v>
      </c>
      <c r="L60">
        <v>77</v>
      </c>
    </row>
    <row r="61" spans="1:12">
      <c r="A61">
        <v>618</v>
      </c>
      <c r="B61">
        <v>77</v>
      </c>
      <c r="C61" t="s">
        <v>177</v>
      </c>
      <c r="D61" t="s">
        <v>1300</v>
      </c>
      <c r="G61" t="s">
        <v>177</v>
      </c>
      <c r="H6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5.1948051948051951E-2</v>
      </c>
      <c r="I61" s="624">
        <f>SUMIFS(tblLaminateWeightedQty[Weighted QTY %],tblLaminateWeightedQty[Laminate],tblLaminateWeightedQty[[#This Row],[Laminate]],tblLaminateWeightedQty[Total Thickness (µ)],tblLaminateWeightedQty[[#This Row],[Total Thickness (µ)]])</f>
        <v>1</v>
      </c>
      <c r="J61">
        <v>22</v>
      </c>
      <c r="K61">
        <v>4</v>
      </c>
      <c r="L61">
        <v>77</v>
      </c>
    </row>
    <row r="62" spans="1:12">
      <c r="A62">
        <v>618</v>
      </c>
      <c r="B62">
        <v>86</v>
      </c>
      <c r="C62" t="s">
        <v>168</v>
      </c>
      <c r="D62" t="s">
        <v>1300</v>
      </c>
      <c r="G62" t="s">
        <v>168</v>
      </c>
      <c r="H6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0.26744186046511625</v>
      </c>
      <c r="I62" s="624">
        <f>SUMIFS(tblLaminateWeightedQty[Weighted QTY %],tblLaminateWeightedQty[Laminate],tblLaminateWeightedQty[[#This Row],[Laminate]],tblLaminateWeightedQty[Total Thickness (µ)],tblLaminateWeightedQty[[#This Row],[Total Thickness (µ)]])</f>
        <v>1</v>
      </c>
      <c r="J62">
        <v>23</v>
      </c>
      <c r="K62">
        <v>23</v>
      </c>
      <c r="L62">
        <v>86</v>
      </c>
    </row>
    <row r="63" spans="1:12">
      <c r="A63">
        <v>618</v>
      </c>
      <c r="B63">
        <v>86</v>
      </c>
      <c r="C63" t="s">
        <v>0</v>
      </c>
      <c r="D63" t="s">
        <v>13</v>
      </c>
      <c r="E63" t="s">
        <v>73</v>
      </c>
      <c r="F63" t="s">
        <v>74</v>
      </c>
      <c r="G63" t="s">
        <v>33</v>
      </c>
      <c r="H6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4.018604651162791E-2</v>
      </c>
      <c r="I63" s="624">
        <f>SUMIFS(tblLaminateWeightedQty[Weighted QTY %],tblLaminateWeightedQty[Laminate],tblLaminateWeightedQty[[#This Row],[Laminate]],tblLaminateWeightedQty[Total Thickness (µ)],tblLaminateWeightedQty[[#This Row],[Total Thickness (µ)]])</f>
        <v>1</v>
      </c>
      <c r="J63">
        <v>24</v>
      </c>
      <c r="K63">
        <v>60</v>
      </c>
      <c r="L63">
        <v>86</v>
      </c>
    </row>
    <row r="64" spans="1:12">
      <c r="A64">
        <v>618</v>
      </c>
      <c r="B64">
        <v>86</v>
      </c>
      <c r="C64" t="s">
        <v>0</v>
      </c>
      <c r="D64" t="s">
        <v>14</v>
      </c>
      <c r="E64" t="s">
        <v>23</v>
      </c>
      <c r="F64" t="s">
        <v>76</v>
      </c>
      <c r="G64" t="s">
        <v>35</v>
      </c>
      <c r="H6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0.41232558139534892</v>
      </c>
      <c r="I64" s="624">
        <f>SUMIFS(tblLaminateWeightedQty[Weighted QTY %],tblLaminateWeightedQty[Laminate],tblLaminateWeightedQty[[#This Row],[Laminate]],tblLaminateWeightedQty[Total Thickness (µ)],tblLaminateWeightedQty[[#This Row],[Total Thickness (µ)]])</f>
        <v>1</v>
      </c>
      <c r="J64">
        <v>24</v>
      </c>
      <c r="K64">
        <v>60</v>
      </c>
      <c r="L64">
        <v>86</v>
      </c>
    </row>
    <row r="65" spans="1:12">
      <c r="A65">
        <v>618</v>
      </c>
      <c r="B65">
        <v>86</v>
      </c>
      <c r="C65" t="s">
        <v>0</v>
      </c>
      <c r="D65" t="s">
        <v>16</v>
      </c>
      <c r="E65" t="s">
        <v>10</v>
      </c>
      <c r="F65" t="s">
        <v>80</v>
      </c>
      <c r="G65" t="s">
        <v>38</v>
      </c>
      <c r="H6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1.0465116279069769E-2</v>
      </c>
      <c r="I65" s="624">
        <f>SUMIFS(tblLaminateWeightedQty[Weighted QTY %],tblLaminateWeightedQty[Laminate],tblLaminateWeightedQty[[#This Row],[Laminate]],tblLaminateWeightedQty[Total Thickness (µ)],tblLaminateWeightedQty[[#This Row],[Total Thickness (µ)]])</f>
        <v>1</v>
      </c>
      <c r="J65">
        <v>24</v>
      </c>
      <c r="K65">
        <v>60</v>
      </c>
      <c r="L65">
        <v>86</v>
      </c>
    </row>
    <row r="66" spans="1:12">
      <c r="A66">
        <v>618</v>
      </c>
      <c r="B66">
        <v>86</v>
      </c>
      <c r="C66" t="s">
        <v>0</v>
      </c>
      <c r="D66" t="s">
        <v>17</v>
      </c>
      <c r="E66" t="s">
        <v>11</v>
      </c>
      <c r="F66" t="s">
        <v>81</v>
      </c>
      <c r="G66" t="s">
        <v>39</v>
      </c>
      <c r="H6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1.116279069767442E-3</v>
      </c>
      <c r="I66" s="624">
        <f>SUMIFS(tblLaminateWeightedQty[Weighted QTY %],tblLaminateWeightedQty[Laminate],tblLaminateWeightedQty[[#This Row],[Laminate]],tblLaminateWeightedQty[Total Thickness (µ)],tblLaminateWeightedQty[[#This Row],[Total Thickness (µ)]])</f>
        <v>1</v>
      </c>
      <c r="J66">
        <v>24</v>
      </c>
      <c r="K66">
        <v>60</v>
      </c>
      <c r="L66">
        <v>86</v>
      </c>
    </row>
    <row r="67" spans="1:12">
      <c r="A67">
        <v>618</v>
      </c>
      <c r="B67">
        <v>86</v>
      </c>
      <c r="C67" t="s">
        <v>0</v>
      </c>
      <c r="D67" t="s">
        <v>18</v>
      </c>
      <c r="E67" t="s">
        <v>9</v>
      </c>
      <c r="F67" t="s">
        <v>82</v>
      </c>
      <c r="G67" t="s">
        <v>40</v>
      </c>
      <c r="H6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4.1860465116279081E-3</v>
      </c>
      <c r="I67" s="624">
        <f>SUMIFS(tblLaminateWeightedQty[Weighted QTY %],tblLaminateWeightedQty[Laminate],tblLaminateWeightedQty[[#This Row],[Laminate]],tblLaminateWeightedQty[Total Thickness (µ)],tblLaminateWeightedQty[[#This Row],[Total Thickness (µ)]])</f>
        <v>1</v>
      </c>
      <c r="J67">
        <v>24</v>
      </c>
      <c r="K67">
        <v>60</v>
      </c>
      <c r="L67">
        <v>86</v>
      </c>
    </row>
    <row r="68" spans="1:12">
      <c r="A68">
        <v>618</v>
      </c>
      <c r="B68">
        <v>86</v>
      </c>
      <c r="C68" t="s">
        <v>0</v>
      </c>
      <c r="D68" t="s">
        <v>12</v>
      </c>
      <c r="E68" t="s">
        <v>8</v>
      </c>
      <c r="F68" t="s">
        <v>83</v>
      </c>
      <c r="G68" t="s">
        <v>42</v>
      </c>
      <c r="H6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0.22939534883720933</v>
      </c>
      <c r="I68" s="624">
        <f>SUMIFS(tblLaminateWeightedQty[Weighted QTY %],tblLaminateWeightedQty[Laminate],tblLaminateWeightedQty[[#This Row],[Laminate]],tblLaminateWeightedQty[Total Thickness (µ)],tblLaminateWeightedQty[[#This Row],[Total Thickness (µ)]])</f>
        <v>1</v>
      </c>
      <c r="J68">
        <v>24</v>
      </c>
      <c r="K68">
        <v>60</v>
      </c>
      <c r="L68">
        <v>86</v>
      </c>
    </row>
    <row r="69" spans="1:12">
      <c r="A69">
        <v>618</v>
      </c>
      <c r="B69">
        <v>86</v>
      </c>
      <c r="C69" t="s">
        <v>177</v>
      </c>
      <c r="D69" t="s">
        <v>1300</v>
      </c>
      <c r="G69" t="s">
        <v>177</v>
      </c>
      <c r="H6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3.4883720930232558E-2</v>
      </c>
      <c r="I69" s="624">
        <f>SUMIFS(tblLaminateWeightedQty[Weighted QTY %],tblLaminateWeightedQty[Laminate],tblLaminateWeightedQty[[#This Row],[Laminate]],tblLaminateWeightedQty[Total Thickness (µ)],tblLaminateWeightedQty[[#This Row],[Total Thickness (µ)]])</f>
        <v>1</v>
      </c>
      <c r="J69">
        <v>25</v>
      </c>
      <c r="K69">
        <v>3</v>
      </c>
      <c r="L69">
        <v>86</v>
      </c>
    </row>
    <row r="70" spans="1:12">
      <c r="A70">
        <v>618</v>
      </c>
      <c r="B70">
        <v>100</v>
      </c>
      <c r="C70" t="s">
        <v>168</v>
      </c>
      <c r="D70" t="s">
        <v>1300</v>
      </c>
      <c r="G70" t="s">
        <v>168</v>
      </c>
      <c r="H7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v>
      </c>
      <c r="I70" s="624">
        <f>SUMIFS(tblLaminateWeightedQty[Weighted QTY %],tblLaminateWeightedQty[Laminate],tblLaminateWeightedQty[[#This Row],[Laminate]],tblLaminateWeightedQty[Total Thickness (µ)],tblLaminateWeightedQty[[#This Row],[Total Thickness (µ)]])</f>
        <v>1</v>
      </c>
      <c r="J70">
        <v>26</v>
      </c>
      <c r="K70">
        <v>23</v>
      </c>
      <c r="L70">
        <v>100</v>
      </c>
    </row>
    <row r="71" spans="1:12">
      <c r="A71">
        <v>618</v>
      </c>
      <c r="B71">
        <v>100</v>
      </c>
      <c r="C71" t="s">
        <v>0</v>
      </c>
      <c r="D71" t="s">
        <v>13</v>
      </c>
      <c r="E71" t="s">
        <v>73</v>
      </c>
      <c r="F71" t="s">
        <v>74</v>
      </c>
      <c r="G71" t="s">
        <v>33</v>
      </c>
      <c r="H7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4.2048000000000002E-2</v>
      </c>
      <c r="I71" s="624">
        <f>SUMIFS(tblLaminateWeightedQty[Weighted QTY %],tblLaminateWeightedQty[Laminate],tblLaminateWeightedQty[[#This Row],[Laminate]],tblLaminateWeightedQty[Total Thickness (µ)],tblLaminateWeightedQty[[#This Row],[Total Thickness (µ)]])</f>
        <v>1</v>
      </c>
      <c r="J71">
        <v>27</v>
      </c>
      <c r="K71">
        <v>73</v>
      </c>
      <c r="L71">
        <v>100</v>
      </c>
    </row>
    <row r="72" spans="1:12">
      <c r="A72">
        <v>618</v>
      </c>
      <c r="B72">
        <v>100</v>
      </c>
      <c r="C72" t="s">
        <v>0</v>
      </c>
      <c r="D72" t="s">
        <v>14</v>
      </c>
      <c r="E72" t="s">
        <v>23</v>
      </c>
      <c r="F72" t="s">
        <v>76</v>
      </c>
      <c r="G72" t="s">
        <v>35</v>
      </c>
      <c r="H7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0.43143000000000004</v>
      </c>
      <c r="I72" s="624">
        <f>SUMIFS(tblLaminateWeightedQty[Weighted QTY %],tblLaminateWeightedQty[Laminate],tblLaminateWeightedQty[[#This Row],[Laminate]],tblLaminateWeightedQty[Total Thickness (µ)],tblLaminateWeightedQty[[#This Row],[Total Thickness (µ)]])</f>
        <v>1</v>
      </c>
      <c r="J72">
        <v>27</v>
      </c>
      <c r="K72">
        <v>73</v>
      </c>
      <c r="L72">
        <v>100</v>
      </c>
    </row>
    <row r="73" spans="1:12">
      <c r="A73">
        <v>618</v>
      </c>
      <c r="B73">
        <v>100</v>
      </c>
      <c r="C73" t="s">
        <v>0</v>
      </c>
      <c r="D73" t="s">
        <v>16</v>
      </c>
      <c r="E73" t="s">
        <v>10</v>
      </c>
      <c r="F73" t="s">
        <v>80</v>
      </c>
      <c r="G73" t="s">
        <v>38</v>
      </c>
      <c r="H7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1.0950000000000001E-2</v>
      </c>
      <c r="I73" s="624">
        <f>SUMIFS(tblLaminateWeightedQty[Weighted QTY %],tblLaminateWeightedQty[Laminate],tblLaminateWeightedQty[[#This Row],[Laminate]],tblLaminateWeightedQty[Total Thickness (µ)],tblLaminateWeightedQty[[#This Row],[Total Thickness (µ)]])</f>
        <v>1</v>
      </c>
      <c r="J73">
        <v>27</v>
      </c>
      <c r="K73">
        <v>73</v>
      </c>
      <c r="L73">
        <v>100</v>
      </c>
    </row>
    <row r="74" spans="1:12">
      <c r="A74">
        <v>618</v>
      </c>
      <c r="B74">
        <v>100</v>
      </c>
      <c r="C74" t="s">
        <v>0</v>
      </c>
      <c r="D74" t="s">
        <v>17</v>
      </c>
      <c r="E74" t="s">
        <v>11</v>
      </c>
      <c r="F74" t="s">
        <v>81</v>
      </c>
      <c r="G74" t="s">
        <v>39</v>
      </c>
      <c r="H7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1.1680000000000002E-3</v>
      </c>
      <c r="I74" s="624">
        <f>SUMIFS(tblLaminateWeightedQty[Weighted QTY %],tblLaminateWeightedQty[Laminate],tblLaminateWeightedQty[[#This Row],[Laminate]],tblLaminateWeightedQty[Total Thickness (µ)],tblLaminateWeightedQty[[#This Row],[Total Thickness (µ)]])</f>
        <v>1</v>
      </c>
      <c r="J74">
        <v>27</v>
      </c>
      <c r="K74">
        <v>73</v>
      </c>
      <c r="L74">
        <v>100</v>
      </c>
    </row>
    <row r="75" spans="1:12">
      <c r="A75">
        <v>618</v>
      </c>
      <c r="B75">
        <v>100</v>
      </c>
      <c r="C75" t="s">
        <v>0</v>
      </c>
      <c r="D75" t="s">
        <v>18</v>
      </c>
      <c r="E75" t="s">
        <v>9</v>
      </c>
      <c r="F75" t="s">
        <v>82</v>
      </c>
      <c r="G75" t="s">
        <v>40</v>
      </c>
      <c r="H7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4.3800000000000002E-3</v>
      </c>
      <c r="I75" s="624">
        <f>SUMIFS(tblLaminateWeightedQty[Weighted QTY %],tblLaminateWeightedQty[Laminate],tblLaminateWeightedQty[[#This Row],[Laminate]],tblLaminateWeightedQty[Total Thickness (µ)],tblLaminateWeightedQty[[#This Row],[Total Thickness (µ)]])</f>
        <v>1</v>
      </c>
      <c r="J75">
        <v>27</v>
      </c>
      <c r="K75">
        <v>73</v>
      </c>
      <c r="L75">
        <v>100</v>
      </c>
    </row>
    <row r="76" spans="1:12">
      <c r="A76">
        <v>618</v>
      </c>
      <c r="B76">
        <v>100</v>
      </c>
      <c r="C76" t="s">
        <v>0</v>
      </c>
      <c r="D76" t="s">
        <v>12</v>
      </c>
      <c r="E76" t="s">
        <v>8</v>
      </c>
      <c r="F76" t="s">
        <v>83</v>
      </c>
      <c r="G76" t="s">
        <v>42</v>
      </c>
      <c r="H7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0.24002400000000002</v>
      </c>
      <c r="I76" s="624">
        <f>SUMIFS(tblLaminateWeightedQty[Weighted QTY %],tblLaminateWeightedQty[Laminate],tblLaminateWeightedQty[[#This Row],[Laminate]],tblLaminateWeightedQty[Total Thickness (µ)],tblLaminateWeightedQty[[#This Row],[Total Thickness (µ)]])</f>
        <v>1</v>
      </c>
      <c r="J76">
        <v>27</v>
      </c>
      <c r="K76">
        <v>73</v>
      </c>
      <c r="L76">
        <v>100</v>
      </c>
    </row>
    <row r="77" spans="1:12">
      <c r="A77">
        <v>618</v>
      </c>
      <c r="B77">
        <v>100</v>
      </c>
      <c r="C77" t="s">
        <v>177</v>
      </c>
      <c r="D77" t="s">
        <v>1300</v>
      </c>
      <c r="G77" t="s">
        <v>177</v>
      </c>
      <c r="H7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0.04</v>
      </c>
      <c r="I77" s="624">
        <f>SUMIFS(tblLaminateWeightedQty[Weighted QTY %],tblLaminateWeightedQty[Laminate],tblLaminateWeightedQty[[#This Row],[Laminate]],tblLaminateWeightedQty[Total Thickness (µ)],tblLaminateWeightedQty[[#This Row],[Total Thickness (µ)]])</f>
        <v>1</v>
      </c>
      <c r="J77">
        <v>28</v>
      </c>
      <c r="K77">
        <v>4</v>
      </c>
      <c r="L77">
        <v>100</v>
      </c>
    </row>
    <row r="78" spans="1:12">
      <c r="A78" t="s">
        <v>566</v>
      </c>
      <c r="B78">
        <v>51</v>
      </c>
      <c r="C78" t="s">
        <v>168</v>
      </c>
      <c r="D78" t="s">
        <v>1300</v>
      </c>
      <c r="G78" t="s">
        <v>168</v>
      </c>
      <c r="H7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78" s="624">
        <f>SUMIFS(tblLaminateWeightedQty[Weighted QTY %],tblLaminateWeightedQty[Laminate],tblLaminateWeightedQty[[#This Row],[Laminate]],tblLaminateWeightedQty[Total Thickness (µ)],tblLaminateWeightedQty[[#This Row],[Total Thickness (µ)]])</f>
        <v>1</v>
      </c>
      <c r="J78">
        <v>29</v>
      </c>
      <c r="K78">
        <v>23</v>
      </c>
      <c r="L78">
        <v>51</v>
      </c>
    </row>
    <row r="79" spans="1:12">
      <c r="A79" t="s">
        <v>566</v>
      </c>
      <c r="B79">
        <v>51</v>
      </c>
      <c r="C79" t="s">
        <v>43</v>
      </c>
      <c r="D79" t="s">
        <v>41</v>
      </c>
      <c r="E79" t="s">
        <v>26</v>
      </c>
      <c r="F79" t="s">
        <v>26</v>
      </c>
      <c r="G79" t="s">
        <v>53</v>
      </c>
      <c r="H7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2.9411764705882356E-2</v>
      </c>
      <c r="I79" s="624">
        <f>SUMIFS(tblLaminateWeightedQty[Weighted QTY %],tblLaminateWeightedQty[Laminate],tblLaminateWeightedQty[[#This Row],[Laminate]],tblLaminateWeightedQty[Total Thickness (µ)],tblLaminateWeightedQty[[#This Row],[Total Thickness (µ)]])</f>
        <v>1</v>
      </c>
      <c r="J79">
        <v>30</v>
      </c>
      <c r="K79">
        <v>25</v>
      </c>
      <c r="L79">
        <v>51</v>
      </c>
    </row>
    <row r="80" spans="1:12">
      <c r="A80" t="s">
        <v>566</v>
      </c>
      <c r="B80">
        <v>51</v>
      </c>
      <c r="C80" t="s">
        <v>43</v>
      </c>
      <c r="D80" t="s">
        <v>13</v>
      </c>
      <c r="E80" t="s">
        <v>73</v>
      </c>
      <c r="F80" t="s">
        <v>74</v>
      </c>
      <c r="G80" t="s">
        <v>33</v>
      </c>
      <c r="H8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2.8235294117647056E-2</v>
      </c>
      <c r="I80" s="624">
        <f>SUMIFS(tblLaminateWeightedQty[Weighted QTY %],tblLaminateWeightedQty[Laminate],tblLaminateWeightedQty[[#This Row],[Laminate]],tblLaminateWeightedQty[Total Thickness (µ)],tblLaminateWeightedQty[[#This Row],[Total Thickness (µ)]])</f>
        <v>1</v>
      </c>
      <c r="J80">
        <v>30</v>
      </c>
      <c r="K80">
        <v>25</v>
      </c>
      <c r="L80">
        <v>51</v>
      </c>
    </row>
    <row r="81" spans="1:12">
      <c r="A81" t="s">
        <v>566</v>
      </c>
      <c r="B81">
        <v>51</v>
      </c>
      <c r="C81" t="s">
        <v>43</v>
      </c>
      <c r="D81" t="s">
        <v>14</v>
      </c>
      <c r="E81" t="s">
        <v>23</v>
      </c>
      <c r="F81" t="s">
        <v>76</v>
      </c>
      <c r="G81" t="s">
        <v>35</v>
      </c>
      <c r="H8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0.26029411764705884</v>
      </c>
      <c r="I81" s="624">
        <f>SUMIFS(tblLaminateWeightedQty[Weighted QTY %],tblLaminateWeightedQty[Laminate],tblLaminateWeightedQty[[#This Row],[Laminate]],tblLaminateWeightedQty[Total Thickness (µ)],tblLaminateWeightedQty[[#This Row],[Total Thickness (µ)]])</f>
        <v>1</v>
      </c>
      <c r="J81">
        <v>30</v>
      </c>
      <c r="K81">
        <v>25</v>
      </c>
      <c r="L81">
        <v>51</v>
      </c>
    </row>
    <row r="82" spans="1:12">
      <c r="A82" t="s">
        <v>566</v>
      </c>
      <c r="B82">
        <v>51</v>
      </c>
      <c r="C82" t="s">
        <v>43</v>
      </c>
      <c r="D82" t="s">
        <v>16</v>
      </c>
      <c r="E82" t="s">
        <v>10</v>
      </c>
      <c r="F82" t="s">
        <v>80</v>
      </c>
      <c r="G82" t="s">
        <v>38</v>
      </c>
      <c r="H8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7.3529411764705873E-3</v>
      </c>
      <c r="I82" s="624">
        <f>SUMIFS(tblLaminateWeightedQty[Weighted QTY %],tblLaminateWeightedQty[Laminate],tblLaminateWeightedQty[[#This Row],[Laminate]],tblLaminateWeightedQty[Total Thickness (µ)],tblLaminateWeightedQty[[#This Row],[Total Thickness (µ)]])</f>
        <v>1</v>
      </c>
      <c r="J82">
        <v>30</v>
      </c>
      <c r="K82">
        <v>25</v>
      </c>
      <c r="L82">
        <v>51</v>
      </c>
    </row>
    <row r="83" spans="1:12">
      <c r="A83" t="s">
        <v>566</v>
      </c>
      <c r="B83">
        <v>51</v>
      </c>
      <c r="C83" t="s">
        <v>43</v>
      </c>
      <c r="D83" t="s">
        <v>17</v>
      </c>
      <c r="E83" t="s">
        <v>11</v>
      </c>
      <c r="F83" t="s">
        <v>81</v>
      </c>
      <c r="G83" t="s">
        <v>39</v>
      </c>
      <c r="H8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3.1372549019607842E-3</v>
      </c>
      <c r="I83" s="624">
        <f>SUMIFS(tblLaminateWeightedQty[Weighted QTY %],tblLaminateWeightedQty[Laminate],tblLaminateWeightedQty[[#This Row],[Laminate]],tblLaminateWeightedQty[Total Thickness (µ)],tblLaminateWeightedQty[[#This Row],[Total Thickness (µ)]])</f>
        <v>1</v>
      </c>
      <c r="J83">
        <v>30</v>
      </c>
      <c r="K83">
        <v>25</v>
      </c>
      <c r="L83">
        <v>51</v>
      </c>
    </row>
    <row r="84" spans="1:12">
      <c r="A84" t="s">
        <v>566</v>
      </c>
      <c r="B84">
        <v>51</v>
      </c>
      <c r="C84" t="s">
        <v>43</v>
      </c>
      <c r="D84" t="s">
        <v>18</v>
      </c>
      <c r="E84" t="s">
        <v>9</v>
      </c>
      <c r="F84" t="s">
        <v>82</v>
      </c>
      <c r="G84" t="s">
        <v>40</v>
      </c>
      <c r="H8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2.9411764705882353E-3</v>
      </c>
      <c r="I84" s="624">
        <f>SUMIFS(tblLaminateWeightedQty[Weighted QTY %],tblLaminateWeightedQty[Laminate],tblLaminateWeightedQty[[#This Row],[Laminate]],tblLaminateWeightedQty[Total Thickness (µ)],tblLaminateWeightedQty[[#This Row],[Total Thickness (µ)]])</f>
        <v>1</v>
      </c>
      <c r="J84">
        <v>30</v>
      </c>
      <c r="K84">
        <v>25</v>
      </c>
      <c r="L84">
        <v>51</v>
      </c>
    </row>
    <row r="85" spans="1:12">
      <c r="A85" t="s">
        <v>566</v>
      </c>
      <c r="B85">
        <v>51</v>
      </c>
      <c r="C85" t="s">
        <v>43</v>
      </c>
      <c r="D85" t="s">
        <v>12</v>
      </c>
      <c r="E85" t="s">
        <v>8</v>
      </c>
      <c r="F85" t="s">
        <v>83</v>
      </c>
      <c r="G85" t="s">
        <v>42</v>
      </c>
      <c r="H8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0.1588235294117647</v>
      </c>
      <c r="I85" s="624">
        <f>SUMIFS(tblLaminateWeightedQty[Weighted QTY %],tblLaminateWeightedQty[Laminate],tblLaminateWeightedQty[[#This Row],[Laminate]],tblLaminateWeightedQty[Total Thickness (µ)],tblLaminateWeightedQty[[#This Row],[Total Thickness (µ)]])</f>
        <v>1</v>
      </c>
      <c r="J85">
        <v>30</v>
      </c>
      <c r="K85">
        <v>25</v>
      </c>
      <c r="L85">
        <v>51</v>
      </c>
    </row>
    <row r="86" spans="1:12">
      <c r="A86" t="s">
        <v>566</v>
      </c>
      <c r="B86">
        <v>51</v>
      </c>
      <c r="C86" t="s">
        <v>177</v>
      </c>
      <c r="D86" t="s">
        <v>1300</v>
      </c>
      <c r="G86" t="s">
        <v>177</v>
      </c>
      <c r="H8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5.8823529411764705E-2</v>
      </c>
      <c r="I86" s="624">
        <f>SUMIFS(tblLaminateWeightedQty[Weighted QTY %],tblLaminateWeightedQty[Laminate],tblLaminateWeightedQty[[#This Row],[Laminate]],tblLaminateWeightedQty[Total Thickness (µ)],tblLaminateWeightedQty[[#This Row],[Total Thickness (µ)]])</f>
        <v>1</v>
      </c>
      <c r="J86">
        <v>31</v>
      </c>
      <c r="K86">
        <v>3</v>
      </c>
      <c r="L86">
        <v>51</v>
      </c>
    </row>
    <row r="87" spans="1:12">
      <c r="A87" t="s">
        <v>566</v>
      </c>
      <c r="B87">
        <v>56</v>
      </c>
      <c r="C87" t="s">
        <v>168</v>
      </c>
      <c r="D87" t="s">
        <v>1300</v>
      </c>
      <c r="G87" t="s">
        <v>168</v>
      </c>
      <c r="H8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0.4107142857142857</v>
      </c>
      <c r="I87" s="624">
        <f>SUMIFS(tblLaminateWeightedQty[Weighted QTY %],tblLaminateWeightedQty[Laminate],tblLaminateWeightedQty[[#This Row],[Laminate]],tblLaminateWeightedQty[Total Thickness (µ)],tblLaminateWeightedQty[[#This Row],[Total Thickness (µ)]])</f>
        <v>1</v>
      </c>
      <c r="J87">
        <v>32</v>
      </c>
      <c r="K87">
        <v>23</v>
      </c>
      <c r="L87">
        <v>56</v>
      </c>
    </row>
    <row r="88" spans="1:12">
      <c r="A88" t="s">
        <v>566</v>
      </c>
      <c r="B88">
        <v>56</v>
      </c>
      <c r="C88" t="s">
        <v>43</v>
      </c>
      <c r="D88" t="s">
        <v>41</v>
      </c>
      <c r="E88" t="s">
        <v>26</v>
      </c>
      <c r="F88" t="s">
        <v>26</v>
      </c>
      <c r="G88" t="s">
        <v>53</v>
      </c>
      <c r="H8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3.2142857142857147E-2</v>
      </c>
      <c r="I88" s="624">
        <f>SUMIFS(tblLaminateWeightedQty[Weighted QTY %],tblLaminateWeightedQty[Laminate],tblLaminateWeightedQty[[#This Row],[Laminate]],tblLaminateWeightedQty[Total Thickness (µ)],tblLaminateWeightedQty[[#This Row],[Total Thickness (µ)]])</f>
        <v>1</v>
      </c>
      <c r="J88">
        <v>33</v>
      </c>
      <c r="K88">
        <v>30</v>
      </c>
      <c r="L88">
        <v>56</v>
      </c>
    </row>
    <row r="89" spans="1:12">
      <c r="A89" t="s">
        <v>566</v>
      </c>
      <c r="B89">
        <v>56</v>
      </c>
      <c r="C89" t="s">
        <v>43</v>
      </c>
      <c r="D89" t="s">
        <v>13</v>
      </c>
      <c r="E89" t="s">
        <v>73</v>
      </c>
      <c r="F89" t="s">
        <v>74</v>
      </c>
      <c r="G89" t="s">
        <v>33</v>
      </c>
      <c r="H8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3.0857142857142854E-2</v>
      </c>
      <c r="I89" s="624">
        <f>SUMIFS(tblLaminateWeightedQty[Weighted QTY %],tblLaminateWeightedQty[Laminate],tblLaminateWeightedQty[[#This Row],[Laminate]],tblLaminateWeightedQty[Total Thickness (µ)],tblLaminateWeightedQty[[#This Row],[Total Thickness (µ)]])</f>
        <v>1</v>
      </c>
      <c r="J89">
        <v>33</v>
      </c>
      <c r="K89">
        <v>30</v>
      </c>
      <c r="L89">
        <v>56</v>
      </c>
    </row>
    <row r="90" spans="1:12">
      <c r="A90" t="s">
        <v>566</v>
      </c>
      <c r="B90">
        <v>56</v>
      </c>
      <c r="C90" t="s">
        <v>43</v>
      </c>
      <c r="D90" t="s">
        <v>14</v>
      </c>
      <c r="E90" t="s">
        <v>23</v>
      </c>
      <c r="F90" t="s">
        <v>76</v>
      </c>
      <c r="G90" t="s">
        <v>35</v>
      </c>
      <c r="H9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0.28446428571428573</v>
      </c>
      <c r="I90" s="624">
        <f>SUMIFS(tblLaminateWeightedQty[Weighted QTY %],tblLaminateWeightedQty[Laminate],tblLaminateWeightedQty[[#This Row],[Laminate]],tblLaminateWeightedQty[Total Thickness (µ)],tblLaminateWeightedQty[[#This Row],[Total Thickness (µ)]])</f>
        <v>1</v>
      </c>
      <c r="J90">
        <v>33</v>
      </c>
      <c r="K90">
        <v>30</v>
      </c>
      <c r="L90">
        <v>56</v>
      </c>
    </row>
    <row r="91" spans="1:12">
      <c r="A91" t="s">
        <v>566</v>
      </c>
      <c r="B91">
        <v>56</v>
      </c>
      <c r="C91" t="s">
        <v>43</v>
      </c>
      <c r="D91" t="s">
        <v>16</v>
      </c>
      <c r="E91" t="s">
        <v>10</v>
      </c>
      <c r="F91" t="s">
        <v>80</v>
      </c>
      <c r="G91" t="s">
        <v>38</v>
      </c>
      <c r="H9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8.0357142857142849E-3</v>
      </c>
      <c r="I91" s="624">
        <f>SUMIFS(tblLaminateWeightedQty[Weighted QTY %],tblLaminateWeightedQty[Laminate],tblLaminateWeightedQty[[#This Row],[Laminate]],tblLaminateWeightedQty[Total Thickness (µ)],tblLaminateWeightedQty[[#This Row],[Total Thickness (µ)]])</f>
        <v>1</v>
      </c>
      <c r="J91">
        <v>33</v>
      </c>
      <c r="K91">
        <v>30</v>
      </c>
      <c r="L91">
        <v>56</v>
      </c>
    </row>
    <row r="92" spans="1:12">
      <c r="A92" t="s">
        <v>566</v>
      </c>
      <c r="B92">
        <v>56</v>
      </c>
      <c r="C92" t="s">
        <v>43</v>
      </c>
      <c r="D92" t="s">
        <v>17</v>
      </c>
      <c r="E92" t="s">
        <v>11</v>
      </c>
      <c r="F92" t="s">
        <v>81</v>
      </c>
      <c r="G92" t="s">
        <v>39</v>
      </c>
      <c r="H9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3.4285714285714288E-3</v>
      </c>
      <c r="I92" s="624">
        <f>SUMIFS(tblLaminateWeightedQty[Weighted QTY %],tblLaminateWeightedQty[Laminate],tblLaminateWeightedQty[[#This Row],[Laminate]],tblLaminateWeightedQty[Total Thickness (µ)],tblLaminateWeightedQty[[#This Row],[Total Thickness (µ)]])</f>
        <v>1</v>
      </c>
      <c r="J92">
        <v>33</v>
      </c>
      <c r="K92">
        <v>30</v>
      </c>
      <c r="L92">
        <v>56</v>
      </c>
    </row>
    <row r="93" spans="1:12">
      <c r="A93" t="s">
        <v>566</v>
      </c>
      <c r="B93">
        <v>56</v>
      </c>
      <c r="C93" t="s">
        <v>43</v>
      </c>
      <c r="D93" t="s">
        <v>18</v>
      </c>
      <c r="E93" t="s">
        <v>9</v>
      </c>
      <c r="F93" t="s">
        <v>82</v>
      </c>
      <c r="G93" t="s">
        <v>40</v>
      </c>
      <c r="H9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3.2142857142857142E-3</v>
      </c>
      <c r="I93" s="624">
        <f>SUMIFS(tblLaminateWeightedQty[Weighted QTY %],tblLaminateWeightedQty[Laminate],tblLaminateWeightedQty[[#This Row],[Laminate]],tblLaminateWeightedQty[Total Thickness (µ)],tblLaminateWeightedQty[[#This Row],[Total Thickness (µ)]])</f>
        <v>1</v>
      </c>
      <c r="J93">
        <v>33</v>
      </c>
      <c r="K93">
        <v>30</v>
      </c>
      <c r="L93">
        <v>56</v>
      </c>
    </row>
    <row r="94" spans="1:12">
      <c r="A94" t="s">
        <v>566</v>
      </c>
      <c r="B94">
        <v>56</v>
      </c>
      <c r="C94" t="s">
        <v>43</v>
      </c>
      <c r="D94" t="s">
        <v>12</v>
      </c>
      <c r="E94" t="s">
        <v>8</v>
      </c>
      <c r="F94" t="s">
        <v>83</v>
      </c>
      <c r="G94" t="s">
        <v>42</v>
      </c>
      <c r="H9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0.17357142857142857</v>
      </c>
      <c r="I94" s="624">
        <f>SUMIFS(tblLaminateWeightedQty[Weighted QTY %],tblLaminateWeightedQty[Laminate],tblLaminateWeightedQty[[#This Row],[Laminate]],tblLaminateWeightedQty[Total Thickness (µ)],tblLaminateWeightedQty[[#This Row],[Total Thickness (µ)]])</f>
        <v>1</v>
      </c>
      <c r="J94">
        <v>33</v>
      </c>
      <c r="K94">
        <v>30</v>
      </c>
      <c r="L94">
        <v>56</v>
      </c>
    </row>
    <row r="95" spans="1:12">
      <c r="A95" t="s">
        <v>566</v>
      </c>
      <c r="B95">
        <v>56</v>
      </c>
      <c r="C95" t="s">
        <v>177</v>
      </c>
      <c r="D95" t="s">
        <v>1300</v>
      </c>
      <c r="G95" t="s">
        <v>177</v>
      </c>
      <c r="H9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5.3571428571428568E-2</v>
      </c>
      <c r="I95" s="624">
        <f>SUMIFS(tblLaminateWeightedQty[Weighted QTY %],tblLaminateWeightedQty[Laminate],tblLaminateWeightedQty[[#This Row],[Laminate]],tblLaminateWeightedQty[Total Thickness (µ)],tblLaminateWeightedQty[[#This Row],[Total Thickness (µ)]])</f>
        <v>1</v>
      </c>
      <c r="J95">
        <v>34</v>
      </c>
      <c r="K95">
        <v>3</v>
      </c>
      <c r="L95">
        <v>56</v>
      </c>
    </row>
    <row r="96" spans="1:12">
      <c r="A96" t="s">
        <v>566</v>
      </c>
      <c r="B96">
        <v>61</v>
      </c>
      <c r="C96" t="s">
        <v>168</v>
      </c>
      <c r="D96" t="s">
        <v>1300</v>
      </c>
      <c r="G96" t="s">
        <v>168</v>
      </c>
      <c r="H9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0.37704918032786883</v>
      </c>
      <c r="I96" s="624">
        <f>SUMIFS(tblLaminateWeightedQty[Weighted QTY %],tblLaminateWeightedQty[Laminate],tblLaminateWeightedQty[[#This Row],[Laminate]],tblLaminateWeightedQty[Total Thickness (µ)],tblLaminateWeightedQty[[#This Row],[Total Thickness (µ)]])</f>
        <v>1</v>
      </c>
      <c r="J96">
        <v>35</v>
      </c>
      <c r="K96">
        <v>23</v>
      </c>
      <c r="L96">
        <v>61</v>
      </c>
    </row>
    <row r="97" spans="1:12">
      <c r="A97" t="s">
        <v>566</v>
      </c>
      <c r="B97">
        <v>61</v>
      </c>
      <c r="C97" t="s">
        <v>43</v>
      </c>
      <c r="D97" t="s">
        <v>41</v>
      </c>
      <c r="E97" t="s">
        <v>26</v>
      </c>
      <c r="F97" t="s">
        <v>26</v>
      </c>
      <c r="G97" t="s">
        <v>53</v>
      </c>
      <c r="H9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3.4426229508196723E-2</v>
      </c>
      <c r="I97" s="624">
        <f>SUMIFS(tblLaminateWeightedQty[Weighted QTY %],tblLaminateWeightedQty[Laminate],tblLaminateWeightedQty[[#This Row],[Laminate]],tblLaminateWeightedQty[Total Thickness (µ)],tblLaminateWeightedQty[[#This Row],[Total Thickness (µ)]])</f>
        <v>1</v>
      </c>
      <c r="J97">
        <v>36</v>
      </c>
      <c r="K97">
        <v>35</v>
      </c>
      <c r="L97">
        <v>61</v>
      </c>
    </row>
    <row r="98" spans="1:12">
      <c r="A98" t="s">
        <v>566</v>
      </c>
      <c r="B98">
        <v>61</v>
      </c>
      <c r="C98" t="s">
        <v>43</v>
      </c>
      <c r="D98" t="s">
        <v>13</v>
      </c>
      <c r="E98" t="s">
        <v>73</v>
      </c>
      <c r="F98" t="s">
        <v>74</v>
      </c>
      <c r="G98" t="s">
        <v>33</v>
      </c>
      <c r="H9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3.3049180327868848E-2</v>
      </c>
      <c r="I98" s="624">
        <f>SUMIFS(tblLaminateWeightedQty[Weighted QTY %],tblLaminateWeightedQty[Laminate],tblLaminateWeightedQty[[#This Row],[Laminate]],tblLaminateWeightedQty[Total Thickness (µ)],tblLaminateWeightedQty[[#This Row],[Total Thickness (µ)]])</f>
        <v>1</v>
      </c>
      <c r="J98">
        <v>36</v>
      </c>
      <c r="K98">
        <v>35</v>
      </c>
      <c r="L98">
        <v>61</v>
      </c>
    </row>
    <row r="99" spans="1:12">
      <c r="A99" t="s">
        <v>566</v>
      </c>
      <c r="B99">
        <v>61</v>
      </c>
      <c r="C99" t="s">
        <v>43</v>
      </c>
      <c r="D99" t="s">
        <v>14</v>
      </c>
      <c r="E99" t="s">
        <v>23</v>
      </c>
      <c r="F99" t="s">
        <v>76</v>
      </c>
      <c r="G99" t="s">
        <v>35</v>
      </c>
      <c r="H9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0.30467213114754099</v>
      </c>
      <c r="I99" s="624">
        <f>SUMIFS(tblLaminateWeightedQty[Weighted QTY %],tblLaminateWeightedQty[Laminate],tblLaminateWeightedQty[[#This Row],[Laminate]],tblLaminateWeightedQty[Total Thickness (µ)],tblLaminateWeightedQty[[#This Row],[Total Thickness (µ)]])</f>
        <v>1</v>
      </c>
      <c r="J99">
        <v>36</v>
      </c>
      <c r="K99">
        <v>35</v>
      </c>
      <c r="L99">
        <v>61</v>
      </c>
    </row>
    <row r="100" spans="1:12">
      <c r="A100" t="s">
        <v>566</v>
      </c>
      <c r="B100">
        <v>61</v>
      </c>
      <c r="C100" t="s">
        <v>43</v>
      </c>
      <c r="D100" t="s">
        <v>16</v>
      </c>
      <c r="E100" t="s">
        <v>10</v>
      </c>
      <c r="F100" t="s">
        <v>80</v>
      </c>
      <c r="G100" t="s">
        <v>38</v>
      </c>
      <c r="H10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8.6065573770491791E-3</v>
      </c>
      <c r="I100" s="624">
        <f>SUMIFS(tblLaminateWeightedQty[Weighted QTY %],tblLaminateWeightedQty[Laminate],tblLaminateWeightedQty[[#This Row],[Laminate]],tblLaminateWeightedQty[Total Thickness (µ)],tblLaminateWeightedQty[[#This Row],[Total Thickness (µ)]])</f>
        <v>1</v>
      </c>
      <c r="J100">
        <v>36</v>
      </c>
      <c r="K100">
        <v>35</v>
      </c>
      <c r="L100">
        <v>61</v>
      </c>
    </row>
    <row r="101" spans="1:12">
      <c r="A101" t="s">
        <v>566</v>
      </c>
      <c r="B101">
        <v>61</v>
      </c>
      <c r="C101" t="s">
        <v>43</v>
      </c>
      <c r="D101" t="s">
        <v>17</v>
      </c>
      <c r="E101" t="s">
        <v>11</v>
      </c>
      <c r="F101" t="s">
        <v>81</v>
      </c>
      <c r="G101" t="s">
        <v>39</v>
      </c>
      <c r="H10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3.6721311475409837E-3</v>
      </c>
      <c r="I101" s="624">
        <f>SUMIFS(tblLaminateWeightedQty[Weighted QTY %],tblLaminateWeightedQty[Laminate],tblLaminateWeightedQty[[#This Row],[Laminate]],tblLaminateWeightedQty[Total Thickness (µ)],tblLaminateWeightedQty[[#This Row],[Total Thickness (µ)]])</f>
        <v>1</v>
      </c>
      <c r="J101">
        <v>36</v>
      </c>
      <c r="K101">
        <v>35</v>
      </c>
      <c r="L101">
        <v>61</v>
      </c>
    </row>
    <row r="102" spans="1:12">
      <c r="A102" t="s">
        <v>566</v>
      </c>
      <c r="B102">
        <v>61</v>
      </c>
      <c r="C102" t="s">
        <v>43</v>
      </c>
      <c r="D102" t="s">
        <v>18</v>
      </c>
      <c r="E102" t="s">
        <v>9</v>
      </c>
      <c r="F102" t="s">
        <v>82</v>
      </c>
      <c r="G102" t="s">
        <v>40</v>
      </c>
      <c r="H10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3.4426229508196719E-3</v>
      </c>
      <c r="I102" s="624">
        <f>SUMIFS(tblLaminateWeightedQty[Weighted QTY %],tblLaminateWeightedQty[Laminate],tblLaminateWeightedQty[[#This Row],[Laminate]],tblLaminateWeightedQty[Total Thickness (µ)],tblLaminateWeightedQty[[#This Row],[Total Thickness (µ)]])</f>
        <v>1</v>
      </c>
      <c r="J102">
        <v>36</v>
      </c>
      <c r="K102">
        <v>35</v>
      </c>
      <c r="L102">
        <v>61</v>
      </c>
    </row>
    <row r="103" spans="1:12">
      <c r="A103" t="s">
        <v>566</v>
      </c>
      <c r="B103">
        <v>61</v>
      </c>
      <c r="C103" t="s">
        <v>43</v>
      </c>
      <c r="D103" t="s">
        <v>12</v>
      </c>
      <c r="E103" t="s">
        <v>8</v>
      </c>
      <c r="F103" t="s">
        <v>83</v>
      </c>
      <c r="G103" t="s">
        <v>42</v>
      </c>
      <c r="H10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0.18590163934426229</v>
      </c>
      <c r="I103" s="624">
        <f>SUMIFS(tblLaminateWeightedQty[Weighted QTY %],tblLaminateWeightedQty[Laminate],tblLaminateWeightedQty[[#This Row],[Laminate]],tblLaminateWeightedQty[Total Thickness (µ)],tblLaminateWeightedQty[[#This Row],[Total Thickness (µ)]])</f>
        <v>1</v>
      </c>
      <c r="J103">
        <v>36</v>
      </c>
      <c r="K103">
        <v>35</v>
      </c>
      <c r="L103">
        <v>61</v>
      </c>
    </row>
    <row r="104" spans="1:12">
      <c r="A104" t="s">
        <v>566</v>
      </c>
      <c r="B104">
        <v>61</v>
      </c>
      <c r="C104" t="s">
        <v>177</v>
      </c>
      <c r="D104" t="s">
        <v>1300</v>
      </c>
      <c r="G104" t="s">
        <v>177</v>
      </c>
      <c r="H10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4.9180327868852458E-2</v>
      </c>
      <c r="I104" s="624">
        <f>SUMIFS(tblLaminateWeightedQty[Weighted QTY %],tblLaminateWeightedQty[Laminate],tblLaminateWeightedQty[[#This Row],[Laminate]],tblLaminateWeightedQty[Total Thickness (µ)],tblLaminateWeightedQty[[#This Row],[Total Thickness (µ)]])</f>
        <v>1</v>
      </c>
      <c r="J104">
        <v>37</v>
      </c>
      <c r="K104">
        <v>3</v>
      </c>
      <c r="L104">
        <v>61</v>
      </c>
    </row>
    <row r="105" spans="1:12">
      <c r="A105" t="s">
        <v>566</v>
      </c>
      <c r="B105">
        <v>66</v>
      </c>
      <c r="C105" t="s">
        <v>168</v>
      </c>
      <c r="D105" t="s">
        <v>1300</v>
      </c>
      <c r="G105" t="s">
        <v>168</v>
      </c>
      <c r="H10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0.34848484848484851</v>
      </c>
      <c r="I105" s="624">
        <f>SUMIFS(tblLaminateWeightedQty[Weighted QTY %],tblLaminateWeightedQty[Laminate],tblLaminateWeightedQty[[#This Row],[Laminate]],tblLaminateWeightedQty[Total Thickness (µ)],tblLaminateWeightedQty[[#This Row],[Total Thickness (µ)]])</f>
        <v>1</v>
      </c>
      <c r="J105">
        <v>38</v>
      </c>
      <c r="K105">
        <v>23</v>
      </c>
      <c r="L105">
        <v>66</v>
      </c>
    </row>
    <row r="106" spans="1:12">
      <c r="A106" t="s">
        <v>566</v>
      </c>
      <c r="B106">
        <v>66</v>
      </c>
      <c r="C106" t="s">
        <v>43</v>
      </c>
      <c r="D106" t="s">
        <v>41</v>
      </c>
      <c r="E106" t="s">
        <v>26</v>
      </c>
      <c r="F106" t="s">
        <v>26</v>
      </c>
      <c r="G106" t="s">
        <v>53</v>
      </c>
      <c r="H10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3.6363636363636369E-2</v>
      </c>
      <c r="I106" s="624">
        <f>SUMIFS(tblLaminateWeightedQty[Weighted QTY %],tblLaminateWeightedQty[Laminate],tblLaminateWeightedQty[[#This Row],[Laminate]],tblLaminateWeightedQty[Total Thickness (µ)],tblLaminateWeightedQty[[#This Row],[Total Thickness (µ)]])</f>
        <v>1</v>
      </c>
      <c r="J106">
        <v>39</v>
      </c>
      <c r="K106">
        <v>40</v>
      </c>
      <c r="L106">
        <v>66</v>
      </c>
    </row>
    <row r="107" spans="1:12">
      <c r="A107" t="s">
        <v>566</v>
      </c>
      <c r="B107">
        <v>66</v>
      </c>
      <c r="C107" t="s">
        <v>43</v>
      </c>
      <c r="D107" t="s">
        <v>13</v>
      </c>
      <c r="E107" t="s">
        <v>73</v>
      </c>
      <c r="F107" t="s">
        <v>74</v>
      </c>
      <c r="G107" t="s">
        <v>33</v>
      </c>
      <c r="H10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3.490909090909091E-2</v>
      </c>
      <c r="I107" s="624">
        <f>SUMIFS(tblLaminateWeightedQty[Weighted QTY %],tblLaminateWeightedQty[Laminate],tblLaminateWeightedQty[[#This Row],[Laminate]],tblLaminateWeightedQty[Total Thickness (µ)],tblLaminateWeightedQty[[#This Row],[Total Thickness (µ)]])</f>
        <v>1</v>
      </c>
      <c r="J107">
        <v>39</v>
      </c>
      <c r="K107">
        <v>40</v>
      </c>
      <c r="L107">
        <v>66</v>
      </c>
    </row>
    <row r="108" spans="1:12">
      <c r="A108" t="s">
        <v>566</v>
      </c>
      <c r="B108">
        <v>66</v>
      </c>
      <c r="C108" t="s">
        <v>43</v>
      </c>
      <c r="D108" t="s">
        <v>14</v>
      </c>
      <c r="E108" t="s">
        <v>23</v>
      </c>
      <c r="F108" t="s">
        <v>76</v>
      </c>
      <c r="G108" t="s">
        <v>35</v>
      </c>
      <c r="H10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0.32181818181818184</v>
      </c>
      <c r="I108" s="624">
        <f>SUMIFS(tblLaminateWeightedQty[Weighted QTY %],tblLaminateWeightedQty[Laminate],tblLaminateWeightedQty[[#This Row],[Laminate]],tblLaminateWeightedQty[Total Thickness (µ)],tblLaminateWeightedQty[[#This Row],[Total Thickness (µ)]])</f>
        <v>1</v>
      </c>
      <c r="J108">
        <v>39</v>
      </c>
      <c r="K108">
        <v>40</v>
      </c>
      <c r="L108">
        <v>66</v>
      </c>
    </row>
    <row r="109" spans="1:12">
      <c r="A109" t="s">
        <v>566</v>
      </c>
      <c r="B109">
        <v>66</v>
      </c>
      <c r="C109" t="s">
        <v>43</v>
      </c>
      <c r="D109" t="s">
        <v>16</v>
      </c>
      <c r="E109" t="s">
        <v>10</v>
      </c>
      <c r="F109" t="s">
        <v>80</v>
      </c>
      <c r="G109" t="s">
        <v>38</v>
      </c>
      <c r="H10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9.0909090909090905E-3</v>
      </c>
      <c r="I109" s="624">
        <f>SUMIFS(tblLaminateWeightedQty[Weighted QTY %],tblLaminateWeightedQty[Laminate],tblLaminateWeightedQty[[#This Row],[Laminate]],tblLaminateWeightedQty[Total Thickness (µ)],tblLaminateWeightedQty[[#This Row],[Total Thickness (µ)]])</f>
        <v>1</v>
      </c>
      <c r="J109">
        <v>39</v>
      </c>
      <c r="K109">
        <v>40</v>
      </c>
      <c r="L109">
        <v>66</v>
      </c>
    </row>
    <row r="110" spans="1:12">
      <c r="A110" t="s">
        <v>566</v>
      </c>
      <c r="B110">
        <v>66</v>
      </c>
      <c r="C110" t="s">
        <v>43</v>
      </c>
      <c r="D110" t="s">
        <v>17</v>
      </c>
      <c r="E110" t="s">
        <v>11</v>
      </c>
      <c r="F110" t="s">
        <v>81</v>
      </c>
      <c r="G110" t="s">
        <v>39</v>
      </c>
      <c r="H11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3.8787878787878791E-3</v>
      </c>
      <c r="I110" s="624">
        <f>SUMIFS(tblLaminateWeightedQty[Weighted QTY %],tblLaminateWeightedQty[Laminate],tblLaminateWeightedQty[[#This Row],[Laminate]],tblLaminateWeightedQty[Total Thickness (µ)],tblLaminateWeightedQty[[#This Row],[Total Thickness (µ)]])</f>
        <v>1</v>
      </c>
      <c r="J110">
        <v>39</v>
      </c>
      <c r="K110">
        <v>40</v>
      </c>
      <c r="L110">
        <v>66</v>
      </c>
    </row>
    <row r="111" spans="1:12">
      <c r="A111" t="s">
        <v>566</v>
      </c>
      <c r="B111">
        <v>66</v>
      </c>
      <c r="C111" t="s">
        <v>43</v>
      </c>
      <c r="D111" t="s">
        <v>18</v>
      </c>
      <c r="E111" t="s">
        <v>9</v>
      </c>
      <c r="F111" t="s">
        <v>82</v>
      </c>
      <c r="G111" t="s">
        <v>40</v>
      </c>
      <c r="H11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3.6363636363636364E-3</v>
      </c>
      <c r="I111" s="624">
        <f>SUMIFS(tblLaminateWeightedQty[Weighted QTY %],tblLaminateWeightedQty[Laminate],tblLaminateWeightedQty[[#This Row],[Laminate]],tblLaminateWeightedQty[Total Thickness (µ)],tblLaminateWeightedQty[[#This Row],[Total Thickness (µ)]])</f>
        <v>1</v>
      </c>
      <c r="J111">
        <v>39</v>
      </c>
      <c r="K111">
        <v>40</v>
      </c>
      <c r="L111">
        <v>66</v>
      </c>
    </row>
    <row r="112" spans="1:12">
      <c r="A112" t="s">
        <v>566</v>
      </c>
      <c r="B112">
        <v>66</v>
      </c>
      <c r="C112" t="s">
        <v>43</v>
      </c>
      <c r="D112" t="s">
        <v>12</v>
      </c>
      <c r="E112" t="s">
        <v>8</v>
      </c>
      <c r="F112" t="s">
        <v>83</v>
      </c>
      <c r="G112" t="s">
        <v>42</v>
      </c>
      <c r="H11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0.19636363636363638</v>
      </c>
      <c r="I112" s="624">
        <f>SUMIFS(tblLaminateWeightedQty[Weighted QTY %],tblLaminateWeightedQty[Laminate],tblLaminateWeightedQty[[#This Row],[Laminate]],tblLaminateWeightedQty[Total Thickness (µ)],tblLaminateWeightedQty[[#This Row],[Total Thickness (µ)]])</f>
        <v>1</v>
      </c>
      <c r="J112">
        <v>39</v>
      </c>
      <c r="K112">
        <v>40</v>
      </c>
      <c r="L112">
        <v>66</v>
      </c>
    </row>
    <row r="113" spans="1:12">
      <c r="A113" t="s">
        <v>566</v>
      </c>
      <c r="B113">
        <v>66</v>
      </c>
      <c r="C113" t="s">
        <v>177</v>
      </c>
      <c r="D113" t="s">
        <v>1300</v>
      </c>
      <c r="G113" t="s">
        <v>177</v>
      </c>
      <c r="H11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4.5454545454545456E-2</v>
      </c>
      <c r="I113" s="624">
        <f>SUMIFS(tblLaminateWeightedQty[Weighted QTY %],tblLaminateWeightedQty[Laminate],tblLaminateWeightedQty[[#This Row],[Laminate]],tblLaminateWeightedQty[Total Thickness (µ)],tblLaminateWeightedQty[[#This Row],[Total Thickness (µ)]])</f>
        <v>1</v>
      </c>
      <c r="J113">
        <v>40</v>
      </c>
      <c r="K113">
        <v>3</v>
      </c>
      <c r="L113">
        <v>66</v>
      </c>
    </row>
    <row r="114" spans="1:12">
      <c r="A114" t="s">
        <v>566</v>
      </c>
      <c r="B114">
        <v>78</v>
      </c>
      <c r="C114" t="s">
        <v>168</v>
      </c>
      <c r="D114" t="s">
        <v>1300</v>
      </c>
      <c r="G114" t="s">
        <v>168</v>
      </c>
      <c r="H11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0.29487179487179488</v>
      </c>
      <c r="I114" s="624">
        <f>SUMIFS(tblLaminateWeightedQty[Weighted QTY %],tblLaminateWeightedQty[Laminate],tblLaminateWeightedQty[[#This Row],[Laminate]],tblLaminateWeightedQty[Total Thickness (µ)],tblLaminateWeightedQty[[#This Row],[Total Thickness (µ)]])</f>
        <v>0.99999999999999989</v>
      </c>
      <c r="J114">
        <v>41</v>
      </c>
      <c r="K114">
        <v>23</v>
      </c>
      <c r="L114">
        <v>78</v>
      </c>
    </row>
    <row r="115" spans="1:12">
      <c r="A115" t="s">
        <v>566</v>
      </c>
      <c r="B115">
        <v>78</v>
      </c>
      <c r="C115" t="s">
        <v>43</v>
      </c>
      <c r="D115" t="s">
        <v>41</v>
      </c>
      <c r="E115" t="s">
        <v>26</v>
      </c>
      <c r="F115" t="s">
        <v>26</v>
      </c>
      <c r="G115" t="s">
        <v>53</v>
      </c>
      <c r="H11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4.0000000000000008E-2</v>
      </c>
      <c r="I115" s="624">
        <f>SUMIFS(tblLaminateWeightedQty[Weighted QTY %],tblLaminateWeightedQty[Laminate],tblLaminateWeightedQty[[#This Row],[Laminate]],tblLaminateWeightedQty[Total Thickness (µ)],tblLaminateWeightedQty[[#This Row],[Total Thickness (µ)]])</f>
        <v>0.99999999999999989</v>
      </c>
      <c r="J115">
        <v>42</v>
      </c>
      <c r="K115">
        <v>52</v>
      </c>
      <c r="L115">
        <v>78</v>
      </c>
    </row>
    <row r="116" spans="1:12">
      <c r="A116" t="s">
        <v>566</v>
      </c>
      <c r="B116">
        <v>78</v>
      </c>
      <c r="C116" t="s">
        <v>43</v>
      </c>
      <c r="D116" t="s">
        <v>13</v>
      </c>
      <c r="E116" t="s">
        <v>73</v>
      </c>
      <c r="F116" t="s">
        <v>74</v>
      </c>
      <c r="G116" t="s">
        <v>33</v>
      </c>
      <c r="H11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3.8399999999999997E-2</v>
      </c>
      <c r="I116" s="624">
        <f>SUMIFS(tblLaminateWeightedQty[Weighted QTY %],tblLaminateWeightedQty[Laminate],tblLaminateWeightedQty[[#This Row],[Laminate]],tblLaminateWeightedQty[Total Thickness (µ)],tblLaminateWeightedQty[[#This Row],[Total Thickness (µ)]])</f>
        <v>0.99999999999999989</v>
      </c>
      <c r="J116">
        <v>42</v>
      </c>
      <c r="K116">
        <v>52</v>
      </c>
      <c r="L116">
        <v>78</v>
      </c>
    </row>
    <row r="117" spans="1:12">
      <c r="A117" t="s">
        <v>566</v>
      </c>
      <c r="B117">
        <v>78</v>
      </c>
      <c r="C117" t="s">
        <v>43</v>
      </c>
      <c r="D117" t="s">
        <v>14</v>
      </c>
      <c r="E117" t="s">
        <v>23</v>
      </c>
      <c r="F117" t="s">
        <v>76</v>
      </c>
      <c r="G117" t="s">
        <v>35</v>
      </c>
      <c r="H11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0.35399999999999998</v>
      </c>
      <c r="I117" s="624">
        <f>SUMIFS(tblLaminateWeightedQty[Weighted QTY %],tblLaminateWeightedQty[Laminate],tblLaminateWeightedQty[[#This Row],[Laminate]],tblLaminateWeightedQty[Total Thickness (µ)],tblLaminateWeightedQty[[#This Row],[Total Thickness (µ)]])</f>
        <v>0.99999999999999989</v>
      </c>
      <c r="J117">
        <v>42</v>
      </c>
      <c r="K117">
        <v>52</v>
      </c>
      <c r="L117">
        <v>78</v>
      </c>
    </row>
    <row r="118" spans="1:12">
      <c r="A118" t="s">
        <v>566</v>
      </c>
      <c r="B118">
        <v>78</v>
      </c>
      <c r="C118" t="s">
        <v>43</v>
      </c>
      <c r="D118" t="s">
        <v>16</v>
      </c>
      <c r="E118" t="s">
        <v>10</v>
      </c>
      <c r="F118" t="s">
        <v>80</v>
      </c>
      <c r="G118" t="s">
        <v>38</v>
      </c>
      <c r="H11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9.9999999999999985E-3</v>
      </c>
      <c r="I118" s="624">
        <f>SUMIFS(tblLaminateWeightedQty[Weighted QTY %],tblLaminateWeightedQty[Laminate],tblLaminateWeightedQty[[#This Row],[Laminate]],tblLaminateWeightedQty[Total Thickness (µ)],tblLaminateWeightedQty[[#This Row],[Total Thickness (µ)]])</f>
        <v>0.99999999999999989</v>
      </c>
      <c r="J118">
        <v>42</v>
      </c>
      <c r="K118">
        <v>52</v>
      </c>
      <c r="L118">
        <v>78</v>
      </c>
    </row>
    <row r="119" spans="1:12">
      <c r="A119" t="s">
        <v>566</v>
      </c>
      <c r="B119">
        <v>78</v>
      </c>
      <c r="C119" t="s">
        <v>43</v>
      </c>
      <c r="D119" t="s">
        <v>17</v>
      </c>
      <c r="E119" t="s">
        <v>11</v>
      </c>
      <c r="F119" t="s">
        <v>81</v>
      </c>
      <c r="G119" t="s">
        <v>39</v>
      </c>
      <c r="H11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4.2666666666666669E-3</v>
      </c>
      <c r="I119" s="624">
        <f>SUMIFS(tblLaminateWeightedQty[Weighted QTY %],tblLaminateWeightedQty[Laminate],tblLaminateWeightedQty[[#This Row],[Laminate]],tblLaminateWeightedQty[Total Thickness (µ)],tblLaminateWeightedQty[[#This Row],[Total Thickness (µ)]])</f>
        <v>0.99999999999999989</v>
      </c>
      <c r="J119">
        <v>42</v>
      </c>
      <c r="K119">
        <v>52</v>
      </c>
      <c r="L119">
        <v>78</v>
      </c>
    </row>
    <row r="120" spans="1:12">
      <c r="A120" t="s">
        <v>566</v>
      </c>
      <c r="B120">
        <v>78</v>
      </c>
      <c r="C120" t="s">
        <v>43</v>
      </c>
      <c r="D120" t="s">
        <v>18</v>
      </c>
      <c r="E120" t="s">
        <v>9</v>
      </c>
      <c r="F120" t="s">
        <v>82</v>
      </c>
      <c r="G120" t="s">
        <v>40</v>
      </c>
      <c r="H12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4.0000000000000001E-3</v>
      </c>
      <c r="I120" s="624">
        <f>SUMIFS(tblLaminateWeightedQty[Weighted QTY %],tblLaminateWeightedQty[Laminate],tblLaminateWeightedQty[[#This Row],[Laminate]],tblLaminateWeightedQty[Total Thickness (µ)],tblLaminateWeightedQty[[#This Row],[Total Thickness (µ)]])</f>
        <v>0.99999999999999989</v>
      </c>
      <c r="J120">
        <v>42</v>
      </c>
      <c r="K120">
        <v>52</v>
      </c>
      <c r="L120">
        <v>78</v>
      </c>
    </row>
    <row r="121" spans="1:12">
      <c r="A121" t="s">
        <v>566</v>
      </c>
      <c r="B121">
        <v>78</v>
      </c>
      <c r="C121" t="s">
        <v>43</v>
      </c>
      <c r="D121" t="s">
        <v>12</v>
      </c>
      <c r="E121" t="s">
        <v>8</v>
      </c>
      <c r="F121" t="s">
        <v>83</v>
      </c>
      <c r="G121" t="s">
        <v>42</v>
      </c>
      <c r="H12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0.216</v>
      </c>
      <c r="I121" s="624">
        <f>SUMIFS(tblLaminateWeightedQty[Weighted QTY %],tblLaminateWeightedQty[Laminate],tblLaminateWeightedQty[[#This Row],[Laminate]],tblLaminateWeightedQty[Total Thickness (µ)],tblLaminateWeightedQty[[#This Row],[Total Thickness (µ)]])</f>
        <v>0.99999999999999989</v>
      </c>
      <c r="J121">
        <v>42</v>
      </c>
      <c r="K121">
        <v>52</v>
      </c>
      <c r="L121">
        <v>78</v>
      </c>
    </row>
    <row r="122" spans="1:12">
      <c r="A122" t="s">
        <v>566</v>
      </c>
      <c r="B122">
        <v>78</v>
      </c>
      <c r="C122" t="s">
        <v>177</v>
      </c>
      <c r="D122" t="s">
        <v>1300</v>
      </c>
      <c r="G122" t="s">
        <v>177</v>
      </c>
      <c r="H12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3.8461538461538464E-2</v>
      </c>
      <c r="I122" s="624">
        <f>SUMIFS(tblLaminateWeightedQty[Weighted QTY %],tblLaminateWeightedQty[Laminate],tblLaminateWeightedQty[[#This Row],[Laminate]],tblLaminateWeightedQty[Total Thickness (µ)],tblLaminateWeightedQty[[#This Row],[Total Thickness (µ)]])</f>
        <v>0.99999999999999989</v>
      </c>
      <c r="J122">
        <v>43</v>
      </c>
      <c r="K122">
        <v>3</v>
      </c>
      <c r="L122">
        <v>78</v>
      </c>
    </row>
    <row r="123" spans="1:12">
      <c r="A123" t="s">
        <v>566</v>
      </c>
      <c r="B123">
        <v>86</v>
      </c>
      <c r="C123" t="s">
        <v>168</v>
      </c>
      <c r="D123" t="s">
        <v>1300</v>
      </c>
      <c r="G123" t="s">
        <v>168</v>
      </c>
      <c r="H12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0.26744186046511625</v>
      </c>
      <c r="I123" s="624">
        <f>SUMIFS(tblLaminateWeightedQty[Weighted QTY %],tblLaminateWeightedQty[Laminate],tblLaminateWeightedQty[[#This Row],[Laminate]],tblLaminateWeightedQty[Total Thickness (µ)],tblLaminateWeightedQty[[#This Row],[Total Thickness (µ)]])</f>
        <v>1</v>
      </c>
      <c r="J123">
        <v>44</v>
      </c>
      <c r="K123">
        <v>23</v>
      </c>
      <c r="L123">
        <v>86</v>
      </c>
    </row>
    <row r="124" spans="1:12">
      <c r="A124" t="s">
        <v>566</v>
      </c>
      <c r="B124">
        <v>86</v>
      </c>
      <c r="C124" t="s">
        <v>43</v>
      </c>
      <c r="D124" t="s">
        <v>41</v>
      </c>
      <c r="E124" t="s">
        <v>26</v>
      </c>
      <c r="F124" t="s">
        <v>26</v>
      </c>
      <c r="G124" t="s">
        <v>53</v>
      </c>
      <c r="H12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4.1860465116279076E-2</v>
      </c>
      <c r="I124" s="624">
        <f>SUMIFS(tblLaminateWeightedQty[Weighted QTY %],tblLaminateWeightedQty[Laminate],tblLaminateWeightedQty[[#This Row],[Laminate]],tblLaminateWeightedQty[Total Thickness (µ)],tblLaminateWeightedQty[[#This Row],[Total Thickness (µ)]])</f>
        <v>1</v>
      </c>
      <c r="J124">
        <v>45</v>
      </c>
      <c r="K124">
        <v>60</v>
      </c>
      <c r="L124">
        <v>86</v>
      </c>
    </row>
    <row r="125" spans="1:12">
      <c r="A125" t="s">
        <v>566</v>
      </c>
      <c r="B125">
        <v>86</v>
      </c>
      <c r="C125" t="s">
        <v>43</v>
      </c>
      <c r="D125" t="s">
        <v>13</v>
      </c>
      <c r="E125" t="s">
        <v>73</v>
      </c>
      <c r="F125" t="s">
        <v>74</v>
      </c>
      <c r="G125" t="s">
        <v>33</v>
      </c>
      <c r="H12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4.018604651162791E-2</v>
      </c>
      <c r="I125" s="624">
        <f>SUMIFS(tblLaminateWeightedQty[Weighted QTY %],tblLaminateWeightedQty[Laminate],tblLaminateWeightedQty[[#This Row],[Laminate]],tblLaminateWeightedQty[Total Thickness (µ)],tblLaminateWeightedQty[[#This Row],[Total Thickness (µ)]])</f>
        <v>1</v>
      </c>
      <c r="J125">
        <v>45</v>
      </c>
      <c r="K125">
        <v>60</v>
      </c>
      <c r="L125">
        <v>86</v>
      </c>
    </row>
    <row r="126" spans="1:12">
      <c r="A126" t="s">
        <v>566</v>
      </c>
      <c r="B126">
        <v>86</v>
      </c>
      <c r="C126" t="s">
        <v>43</v>
      </c>
      <c r="D126" t="s">
        <v>14</v>
      </c>
      <c r="E126" t="s">
        <v>23</v>
      </c>
      <c r="F126" t="s">
        <v>76</v>
      </c>
      <c r="G126" t="s">
        <v>35</v>
      </c>
      <c r="H12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0.37046511627906981</v>
      </c>
      <c r="I126" s="624">
        <f>SUMIFS(tblLaminateWeightedQty[Weighted QTY %],tblLaminateWeightedQty[Laminate],tblLaminateWeightedQty[[#This Row],[Laminate]],tblLaminateWeightedQty[Total Thickness (µ)],tblLaminateWeightedQty[[#This Row],[Total Thickness (µ)]])</f>
        <v>1</v>
      </c>
      <c r="J126">
        <v>45</v>
      </c>
      <c r="K126">
        <v>60</v>
      </c>
      <c r="L126">
        <v>86</v>
      </c>
    </row>
    <row r="127" spans="1:12">
      <c r="A127" t="s">
        <v>566</v>
      </c>
      <c r="B127">
        <v>86</v>
      </c>
      <c r="C127" t="s">
        <v>43</v>
      </c>
      <c r="D127" t="s">
        <v>16</v>
      </c>
      <c r="E127" t="s">
        <v>10</v>
      </c>
      <c r="F127" t="s">
        <v>80</v>
      </c>
      <c r="G127" t="s">
        <v>38</v>
      </c>
      <c r="H12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1.0465116279069767E-2</v>
      </c>
      <c r="I127" s="624">
        <f>SUMIFS(tblLaminateWeightedQty[Weighted QTY %],tblLaminateWeightedQty[Laminate],tblLaminateWeightedQty[[#This Row],[Laminate]],tblLaminateWeightedQty[Total Thickness (µ)],tblLaminateWeightedQty[[#This Row],[Total Thickness (µ)]])</f>
        <v>1</v>
      </c>
      <c r="J127">
        <v>45</v>
      </c>
      <c r="K127">
        <v>60</v>
      </c>
      <c r="L127">
        <v>86</v>
      </c>
    </row>
    <row r="128" spans="1:12">
      <c r="A128" t="s">
        <v>566</v>
      </c>
      <c r="B128">
        <v>86</v>
      </c>
      <c r="C128" t="s">
        <v>43</v>
      </c>
      <c r="D128" t="s">
        <v>17</v>
      </c>
      <c r="E128" t="s">
        <v>11</v>
      </c>
      <c r="F128" t="s">
        <v>81</v>
      </c>
      <c r="G128" t="s">
        <v>39</v>
      </c>
      <c r="H12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4.465116279069768E-3</v>
      </c>
      <c r="I128" s="624">
        <f>SUMIFS(tblLaminateWeightedQty[Weighted QTY %],tblLaminateWeightedQty[Laminate],tblLaminateWeightedQty[[#This Row],[Laminate]],tblLaminateWeightedQty[Total Thickness (µ)],tblLaminateWeightedQty[[#This Row],[Total Thickness (µ)]])</f>
        <v>1</v>
      </c>
      <c r="J128">
        <v>45</v>
      </c>
      <c r="K128">
        <v>60</v>
      </c>
      <c r="L128">
        <v>86</v>
      </c>
    </row>
    <row r="129" spans="1:12">
      <c r="A129" t="s">
        <v>566</v>
      </c>
      <c r="B129">
        <v>86</v>
      </c>
      <c r="C129" t="s">
        <v>43</v>
      </c>
      <c r="D129" t="s">
        <v>18</v>
      </c>
      <c r="E129" t="s">
        <v>9</v>
      </c>
      <c r="F129" t="s">
        <v>82</v>
      </c>
      <c r="G129" t="s">
        <v>40</v>
      </c>
      <c r="H12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4.1860465116279073E-3</v>
      </c>
      <c r="I129" s="624">
        <f>SUMIFS(tblLaminateWeightedQty[Weighted QTY %],tblLaminateWeightedQty[Laminate],tblLaminateWeightedQty[[#This Row],[Laminate]],tblLaminateWeightedQty[Total Thickness (µ)],tblLaminateWeightedQty[[#This Row],[Total Thickness (µ)]])</f>
        <v>1</v>
      </c>
      <c r="J129">
        <v>45</v>
      </c>
      <c r="K129">
        <v>60</v>
      </c>
      <c r="L129">
        <v>86</v>
      </c>
    </row>
    <row r="130" spans="1:12">
      <c r="A130" t="s">
        <v>566</v>
      </c>
      <c r="B130">
        <v>86</v>
      </c>
      <c r="C130" t="s">
        <v>43</v>
      </c>
      <c r="D130" t="s">
        <v>12</v>
      </c>
      <c r="E130" t="s">
        <v>8</v>
      </c>
      <c r="F130" t="s">
        <v>83</v>
      </c>
      <c r="G130" t="s">
        <v>42</v>
      </c>
      <c r="H13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0.22604651162790698</v>
      </c>
      <c r="I130" s="624">
        <f>SUMIFS(tblLaminateWeightedQty[Weighted QTY %],tblLaminateWeightedQty[Laminate],tblLaminateWeightedQty[[#This Row],[Laminate]],tblLaminateWeightedQty[Total Thickness (µ)],tblLaminateWeightedQty[[#This Row],[Total Thickness (µ)]])</f>
        <v>1</v>
      </c>
      <c r="J130">
        <v>45</v>
      </c>
      <c r="K130">
        <v>60</v>
      </c>
      <c r="L130">
        <v>86</v>
      </c>
    </row>
    <row r="131" spans="1:12">
      <c r="A131" t="s">
        <v>566</v>
      </c>
      <c r="B131">
        <v>86</v>
      </c>
      <c r="C131" t="s">
        <v>177</v>
      </c>
      <c r="D131" t="s">
        <v>1300</v>
      </c>
      <c r="G131" t="s">
        <v>177</v>
      </c>
      <c r="H13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3.4883720930232558E-2</v>
      </c>
      <c r="I131" s="624">
        <f>SUMIFS(tblLaminateWeightedQty[Weighted QTY %],tblLaminateWeightedQty[Laminate],tblLaminateWeightedQty[[#This Row],[Laminate]],tblLaminateWeightedQty[Total Thickness (µ)],tblLaminateWeightedQty[[#This Row],[Total Thickness (µ)]])</f>
        <v>1</v>
      </c>
      <c r="J131">
        <v>46</v>
      </c>
      <c r="K131">
        <v>3</v>
      </c>
      <c r="L131">
        <v>86</v>
      </c>
    </row>
    <row r="132" spans="1:12">
      <c r="A132" t="s">
        <v>566</v>
      </c>
      <c r="B132">
        <v>106</v>
      </c>
      <c r="C132" t="s">
        <v>168</v>
      </c>
      <c r="D132" t="s">
        <v>1300</v>
      </c>
      <c r="G132" t="s">
        <v>168</v>
      </c>
      <c r="H13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0.21698113207547171</v>
      </c>
      <c r="I132" s="624">
        <f>SUMIFS(tblLaminateWeightedQty[Weighted QTY %],tblLaminateWeightedQty[Laminate],tblLaminateWeightedQty[[#This Row],[Laminate]],tblLaminateWeightedQty[Total Thickness (µ)],tblLaminateWeightedQty[[#This Row],[Total Thickness (µ)]])</f>
        <v>0.99999999999999989</v>
      </c>
      <c r="J132">
        <v>47</v>
      </c>
      <c r="K132">
        <v>23</v>
      </c>
      <c r="L132">
        <v>106</v>
      </c>
    </row>
    <row r="133" spans="1:12">
      <c r="A133" t="s">
        <v>566</v>
      </c>
      <c r="B133">
        <v>106</v>
      </c>
      <c r="C133" t="s">
        <v>43</v>
      </c>
      <c r="D133" t="s">
        <v>41</v>
      </c>
      <c r="E133" t="s">
        <v>26</v>
      </c>
      <c r="F133" t="s">
        <v>26</v>
      </c>
      <c r="G133" t="s">
        <v>53</v>
      </c>
      <c r="H13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4.5283018867924539E-2</v>
      </c>
      <c r="I133" s="624">
        <f>SUMIFS(tblLaminateWeightedQty[Weighted QTY %],tblLaminateWeightedQty[Laminate],tblLaminateWeightedQty[[#This Row],[Laminate]],tblLaminateWeightedQty[Total Thickness (µ)],tblLaminateWeightedQty[[#This Row],[Total Thickness (µ)]])</f>
        <v>0.99999999999999989</v>
      </c>
      <c r="J133">
        <v>48</v>
      </c>
      <c r="K133">
        <v>80</v>
      </c>
      <c r="L133">
        <v>106</v>
      </c>
    </row>
    <row r="134" spans="1:12">
      <c r="A134" t="s">
        <v>566</v>
      </c>
      <c r="B134">
        <v>106</v>
      </c>
      <c r="C134" t="s">
        <v>43</v>
      </c>
      <c r="D134" t="s">
        <v>13</v>
      </c>
      <c r="E134" t="s">
        <v>73</v>
      </c>
      <c r="F134" t="s">
        <v>74</v>
      </c>
      <c r="G134" t="s">
        <v>33</v>
      </c>
      <c r="H13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4.3471698113207551E-2</v>
      </c>
      <c r="I134" s="624">
        <f>SUMIFS(tblLaminateWeightedQty[Weighted QTY %],tblLaminateWeightedQty[Laminate],tblLaminateWeightedQty[[#This Row],[Laminate]],tblLaminateWeightedQty[Total Thickness (µ)],tblLaminateWeightedQty[[#This Row],[Total Thickness (µ)]])</f>
        <v>0.99999999999999989</v>
      </c>
      <c r="J134">
        <v>48</v>
      </c>
      <c r="K134">
        <v>80</v>
      </c>
      <c r="L134">
        <v>106</v>
      </c>
    </row>
    <row r="135" spans="1:12">
      <c r="A135" t="s">
        <v>566</v>
      </c>
      <c r="B135">
        <v>106</v>
      </c>
      <c r="C135" t="s">
        <v>43</v>
      </c>
      <c r="D135" t="s">
        <v>14</v>
      </c>
      <c r="E135" t="s">
        <v>23</v>
      </c>
      <c r="F135" t="s">
        <v>76</v>
      </c>
      <c r="G135" t="s">
        <v>35</v>
      </c>
      <c r="H13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0.40075471698113213</v>
      </c>
      <c r="I135" s="624">
        <f>SUMIFS(tblLaminateWeightedQty[Weighted QTY %],tblLaminateWeightedQty[Laminate],tblLaminateWeightedQty[[#This Row],[Laminate]],tblLaminateWeightedQty[Total Thickness (µ)],tblLaminateWeightedQty[[#This Row],[Total Thickness (µ)]])</f>
        <v>0.99999999999999989</v>
      </c>
      <c r="J135">
        <v>48</v>
      </c>
      <c r="K135">
        <v>80</v>
      </c>
      <c r="L135">
        <v>106</v>
      </c>
    </row>
    <row r="136" spans="1:12">
      <c r="A136" t="s">
        <v>566</v>
      </c>
      <c r="B136">
        <v>106</v>
      </c>
      <c r="C136" t="s">
        <v>43</v>
      </c>
      <c r="D136" t="s">
        <v>16</v>
      </c>
      <c r="E136" t="s">
        <v>10</v>
      </c>
      <c r="F136" t="s">
        <v>80</v>
      </c>
      <c r="G136" t="s">
        <v>38</v>
      </c>
      <c r="H13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1.1320754716981133E-2</v>
      </c>
      <c r="I136" s="624">
        <f>SUMIFS(tblLaminateWeightedQty[Weighted QTY %],tblLaminateWeightedQty[Laminate],tblLaminateWeightedQty[[#This Row],[Laminate]],tblLaminateWeightedQty[Total Thickness (µ)],tblLaminateWeightedQty[[#This Row],[Total Thickness (µ)]])</f>
        <v>0.99999999999999989</v>
      </c>
      <c r="J136">
        <v>48</v>
      </c>
      <c r="K136">
        <v>80</v>
      </c>
      <c r="L136">
        <v>106</v>
      </c>
    </row>
    <row r="137" spans="1:12">
      <c r="A137" t="s">
        <v>566</v>
      </c>
      <c r="B137">
        <v>106</v>
      </c>
      <c r="C137" t="s">
        <v>43</v>
      </c>
      <c r="D137" t="s">
        <v>17</v>
      </c>
      <c r="E137" t="s">
        <v>11</v>
      </c>
      <c r="F137" t="s">
        <v>81</v>
      </c>
      <c r="G137" t="s">
        <v>39</v>
      </c>
      <c r="H13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4.8301886792452833E-3</v>
      </c>
      <c r="I137" s="624">
        <f>SUMIFS(tblLaminateWeightedQty[Weighted QTY %],tblLaminateWeightedQty[Laminate],tblLaminateWeightedQty[[#This Row],[Laminate]],tblLaminateWeightedQty[Total Thickness (µ)],tblLaminateWeightedQty[[#This Row],[Total Thickness (µ)]])</f>
        <v>0.99999999999999989</v>
      </c>
      <c r="J137">
        <v>48</v>
      </c>
      <c r="K137">
        <v>80</v>
      </c>
      <c r="L137">
        <v>106</v>
      </c>
    </row>
    <row r="138" spans="1:12">
      <c r="A138" t="s">
        <v>566</v>
      </c>
      <c r="B138">
        <v>106</v>
      </c>
      <c r="C138" t="s">
        <v>43</v>
      </c>
      <c r="D138" t="s">
        <v>18</v>
      </c>
      <c r="E138" t="s">
        <v>9</v>
      </c>
      <c r="F138" t="s">
        <v>82</v>
      </c>
      <c r="G138" t="s">
        <v>40</v>
      </c>
      <c r="H13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4.528301886792453E-3</v>
      </c>
      <c r="I138" s="624">
        <f>SUMIFS(tblLaminateWeightedQty[Weighted QTY %],tblLaminateWeightedQty[Laminate],tblLaminateWeightedQty[[#This Row],[Laminate]],tblLaminateWeightedQty[Total Thickness (µ)],tblLaminateWeightedQty[[#This Row],[Total Thickness (µ)]])</f>
        <v>0.99999999999999989</v>
      </c>
      <c r="J138">
        <v>48</v>
      </c>
      <c r="K138">
        <v>80</v>
      </c>
      <c r="L138">
        <v>106</v>
      </c>
    </row>
    <row r="139" spans="1:12">
      <c r="A139" t="s">
        <v>566</v>
      </c>
      <c r="B139">
        <v>106</v>
      </c>
      <c r="C139" t="s">
        <v>43</v>
      </c>
      <c r="D139" t="s">
        <v>12</v>
      </c>
      <c r="E139" t="s">
        <v>8</v>
      </c>
      <c r="F139" t="s">
        <v>83</v>
      </c>
      <c r="G139" t="s">
        <v>42</v>
      </c>
      <c r="H13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0.24452830188679248</v>
      </c>
      <c r="I139" s="624">
        <f>SUMIFS(tblLaminateWeightedQty[Weighted QTY %],tblLaminateWeightedQty[Laminate],tblLaminateWeightedQty[[#This Row],[Laminate]],tblLaminateWeightedQty[Total Thickness (µ)],tblLaminateWeightedQty[[#This Row],[Total Thickness (µ)]])</f>
        <v>0.99999999999999989</v>
      </c>
      <c r="J139">
        <v>48</v>
      </c>
      <c r="K139">
        <v>80</v>
      </c>
      <c r="L139">
        <v>106</v>
      </c>
    </row>
    <row r="140" spans="1:12">
      <c r="A140" t="s">
        <v>566</v>
      </c>
      <c r="B140">
        <v>106</v>
      </c>
      <c r="C140" t="s">
        <v>177</v>
      </c>
      <c r="D140" t="s">
        <v>1300</v>
      </c>
      <c r="G140" t="s">
        <v>177</v>
      </c>
      <c r="H14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2.8301886792452831E-2</v>
      </c>
      <c r="I140" s="624">
        <f>SUMIFS(tblLaminateWeightedQty[Weighted QTY %],tblLaminateWeightedQty[Laminate],tblLaminateWeightedQty[[#This Row],[Laminate]],tblLaminateWeightedQty[Total Thickness (µ)],tblLaminateWeightedQty[[#This Row],[Total Thickness (µ)]])</f>
        <v>0.99999999999999989</v>
      </c>
      <c r="J140">
        <v>49</v>
      </c>
      <c r="K140">
        <v>3</v>
      </c>
      <c r="L140">
        <v>106</v>
      </c>
    </row>
    <row r="141" spans="1:12">
      <c r="A141">
        <v>418</v>
      </c>
      <c r="B141">
        <v>51</v>
      </c>
      <c r="C141" t="s">
        <v>168</v>
      </c>
      <c r="D141" t="s">
        <v>1300</v>
      </c>
      <c r="G141" t="s">
        <v>168</v>
      </c>
      <c r="H14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141" s="624">
        <f>SUMIFS(tblLaminateWeightedQty[Weighted QTY %],tblLaminateWeightedQty[Laminate],tblLaminateWeightedQty[[#This Row],[Laminate]],tblLaminateWeightedQty[Total Thickness (µ)],tblLaminateWeightedQty[[#This Row],[Total Thickness (µ)]])</f>
        <v>1</v>
      </c>
      <c r="J141">
        <v>50</v>
      </c>
      <c r="K141">
        <v>23</v>
      </c>
      <c r="L141">
        <v>51</v>
      </c>
    </row>
    <row r="142" spans="1:12">
      <c r="A142">
        <v>418</v>
      </c>
      <c r="B142">
        <v>51</v>
      </c>
      <c r="C142" t="s">
        <v>180</v>
      </c>
      <c r="D142" t="s">
        <v>1300</v>
      </c>
      <c r="G142" t="s">
        <v>180</v>
      </c>
      <c r="H14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0.49019607843137253</v>
      </c>
      <c r="I142" s="624">
        <f>SUMIFS(tblLaminateWeightedQty[Weighted QTY %],tblLaminateWeightedQty[Laminate],tblLaminateWeightedQty[[#This Row],[Laminate]],tblLaminateWeightedQty[Total Thickness (µ)],tblLaminateWeightedQty[[#This Row],[Total Thickness (µ)]])</f>
        <v>1</v>
      </c>
      <c r="J142">
        <v>51</v>
      </c>
      <c r="K142">
        <v>25</v>
      </c>
      <c r="L142">
        <v>51</v>
      </c>
    </row>
    <row r="143" spans="1:12">
      <c r="A143">
        <v>418</v>
      </c>
      <c r="B143">
        <v>51</v>
      </c>
      <c r="C143" t="s">
        <v>177</v>
      </c>
      <c r="D143" t="s">
        <v>1300</v>
      </c>
      <c r="G143" t="s">
        <v>177</v>
      </c>
      <c r="H14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5.8823529411764705E-2</v>
      </c>
      <c r="I143" s="624">
        <f>SUMIFS(tblLaminateWeightedQty[Weighted QTY %],tblLaminateWeightedQty[Laminate],tblLaminateWeightedQty[[#This Row],[Laminate]],tblLaminateWeightedQty[Total Thickness (µ)],tblLaminateWeightedQty[[#This Row],[Total Thickness (µ)]])</f>
        <v>1</v>
      </c>
      <c r="J143">
        <v>52</v>
      </c>
      <c r="K143">
        <v>3</v>
      </c>
      <c r="L143">
        <v>51</v>
      </c>
    </row>
    <row r="144" spans="1:12">
      <c r="A144">
        <v>648</v>
      </c>
      <c r="B144">
        <v>100</v>
      </c>
      <c r="C144" t="s">
        <v>168</v>
      </c>
      <c r="D144" t="s">
        <v>1300</v>
      </c>
      <c r="G144" t="s">
        <v>168</v>
      </c>
      <c r="H14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0.22979318613248076</v>
      </c>
      <c r="I144" s="624">
        <f>SUMIFS(tblLaminateWeightedQty[Weighted QTY %],tblLaminateWeightedQty[Laminate],tblLaminateWeightedQty[[#This Row],[Laminate]],tblLaminateWeightedQty[Total Thickness (µ)],tblLaminateWeightedQty[[#This Row],[Total Thickness (µ)]])</f>
        <v>0.99999999999999989</v>
      </c>
      <c r="J144">
        <v>53</v>
      </c>
      <c r="K144">
        <v>23</v>
      </c>
      <c r="L144">
        <v>100.09</v>
      </c>
    </row>
    <row r="145" spans="1:12">
      <c r="A145">
        <v>648</v>
      </c>
      <c r="B145">
        <v>100</v>
      </c>
      <c r="C145" t="s">
        <v>0</v>
      </c>
      <c r="D145" t="s">
        <v>13</v>
      </c>
      <c r="E145" t="s">
        <v>73</v>
      </c>
      <c r="F145" t="s">
        <v>74</v>
      </c>
      <c r="G145" t="s">
        <v>33</v>
      </c>
      <c r="H14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4.2010190828254572E-2</v>
      </c>
      <c r="I145" s="624">
        <f>SUMIFS(tblLaminateWeightedQty[Weighted QTY %],tblLaminateWeightedQty[Laminate],tblLaminateWeightedQty[[#This Row],[Laminate]],tblLaminateWeightedQty[Total Thickness (µ)],tblLaminateWeightedQty[[#This Row],[Total Thickness (µ)]])</f>
        <v>0.99999999999999989</v>
      </c>
      <c r="J145">
        <v>54</v>
      </c>
      <c r="K145">
        <v>73</v>
      </c>
      <c r="L145">
        <v>100.09</v>
      </c>
    </row>
    <row r="146" spans="1:12">
      <c r="A146">
        <v>648</v>
      </c>
      <c r="B146">
        <v>100</v>
      </c>
      <c r="C146" t="s">
        <v>0</v>
      </c>
      <c r="D146" t="s">
        <v>14</v>
      </c>
      <c r="E146" t="s">
        <v>23</v>
      </c>
      <c r="F146" t="s">
        <v>76</v>
      </c>
      <c r="G146" t="s">
        <v>35</v>
      </c>
      <c r="H14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0.43104206214407037</v>
      </c>
      <c r="I146" s="624">
        <f>SUMIFS(tblLaminateWeightedQty[Weighted QTY %],tblLaminateWeightedQty[Laminate],tblLaminateWeightedQty[[#This Row],[Laminate]],tblLaminateWeightedQty[Total Thickness (µ)],tblLaminateWeightedQty[[#This Row],[Total Thickness (µ)]])</f>
        <v>0.99999999999999989</v>
      </c>
      <c r="J146">
        <v>54</v>
      </c>
      <c r="K146">
        <v>73</v>
      </c>
      <c r="L146">
        <v>100.09</v>
      </c>
    </row>
    <row r="147" spans="1:12">
      <c r="A147">
        <v>648</v>
      </c>
      <c r="B147">
        <v>100</v>
      </c>
      <c r="C147" t="s">
        <v>0</v>
      </c>
      <c r="D147" t="s">
        <v>16</v>
      </c>
      <c r="E147" t="s">
        <v>10</v>
      </c>
      <c r="F147" t="s">
        <v>80</v>
      </c>
      <c r="G147" t="s">
        <v>38</v>
      </c>
      <c r="H14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1.0940153861524629E-2</v>
      </c>
      <c r="I147" s="624">
        <f>SUMIFS(tblLaminateWeightedQty[Weighted QTY %],tblLaminateWeightedQty[Laminate],tblLaminateWeightedQty[[#This Row],[Laminate]],tblLaminateWeightedQty[Total Thickness (µ)],tblLaminateWeightedQty[[#This Row],[Total Thickness (µ)]])</f>
        <v>0.99999999999999989</v>
      </c>
      <c r="J147">
        <v>54</v>
      </c>
      <c r="K147">
        <v>73</v>
      </c>
      <c r="L147">
        <v>100.09</v>
      </c>
    </row>
    <row r="148" spans="1:12">
      <c r="A148">
        <v>648</v>
      </c>
      <c r="B148">
        <v>100</v>
      </c>
      <c r="C148" t="s">
        <v>0</v>
      </c>
      <c r="D148" t="s">
        <v>17</v>
      </c>
      <c r="E148" t="s">
        <v>11</v>
      </c>
      <c r="F148" t="s">
        <v>81</v>
      </c>
      <c r="G148" t="s">
        <v>39</v>
      </c>
      <c r="H14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1.1669497452292937E-3</v>
      </c>
      <c r="I148" s="624">
        <f>SUMIFS(tblLaminateWeightedQty[Weighted QTY %],tblLaminateWeightedQty[Laminate],tblLaminateWeightedQty[[#This Row],[Laminate]],tblLaminateWeightedQty[Total Thickness (µ)],tblLaminateWeightedQty[[#This Row],[Total Thickness (µ)]])</f>
        <v>0.99999999999999989</v>
      </c>
      <c r="J148">
        <v>54</v>
      </c>
      <c r="K148">
        <v>73</v>
      </c>
      <c r="L148">
        <v>100.09</v>
      </c>
    </row>
    <row r="149" spans="1:12">
      <c r="A149">
        <v>648</v>
      </c>
      <c r="B149">
        <v>100</v>
      </c>
      <c r="C149" t="s">
        <v>0</v>
      </c>
      <c r="D149" t="s">
        <v>18</v>
      </c>
      <c r="E149" t="s">
        <v>9</v>
      </c>
      <c r="F149" t="s">
        <v>82</v>
      </c>
      <c r="G149" t="s">
        <v>40</v>
      </c>
      <c r="H14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4.3760615446098517E-3</v>
      </c>
      <c r="I149" s="624">
        <f>SUMIFS(tblLaminateWeightedQty[Weighted QTY %],tblLaminateWeightedQty[Laminate],tblLaminateWeightedQty[[#This Row],[Laminate]],tblLaminateWeightedQty[Total Thickness (µ)],tblLaminateWeightedQty[[#This Row],[Total Thickness (µ)]])</f>
        <v>0.99999999999999989</v>
      </c>
      <c r="J149">
        <v>54</v>
      </c>
      <c r="K149">
        <v>73</v>
      </c>
      <c r="L149">
        <v>100.09</v>
      </c>
    </row>
    <row r="150" spans="1:12">
      <c r="A150">
        <v>648</v>
      </c>
      <c r="B150">
        <v>100</v>
      </c>
      <c r="C150" t="s">
        <v>0</v>
      </c>
      <c r="D150" t="s">
        <v>12</v>
      </c>
      <c r="E150" t="s">
        <v>8</v>
      </c>
      <c r="F150" t="s">
        <v>83</v>
      </c>
      <c r="G150" t="s">
        <v>42</v>
      </c>
      <c r="H15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0.23980817264461984</v>
      </c>
      <c r="I150" s="624">
        <f>SUMIFS(tblLaminateWeightedQty[Weighted QTY %],tblLaminateWeightedQty[Laminate],tblLaminateWeightedQty[[#This Row],[Laminate]],tblLaminateWeightedQty[Total Thickness (µ)],tblLaminateWeightedQty[[#This Row],[Total Thickness (µ)]])</f>
        <v>0.99999999999999989</v>
      </c>
      <c r="J150">
        <v>54</v>
      </c>
      <c r="K150">
        <v>73</v>
      </c>
      <c r="L150">
        <v>100.09</v>
      </c>
    </row>
    <row r="151" spans="1:12">
      <c r="A151">
        <v>648</v>
      </c>
      <c r="B151">
        <v>100</v>
      </c>
      <c r="C151" t="s">
        <v>173</v>
      </c>
      <c r="D151" t="s">
        <v>1300</v>
      </c>
      <c r="G151" t="s">
        <v>173</v>
      </c>
      <c r="H15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3.9964032370866216E-2</v>
      </c>
      <c r="I151" s="624">
        <f>SUMIFS(tblLaminateWeightedQty[Weighted QTY %],tblLaminateWeightedQty[Laminate],tblLaminateWeightedQty[[#This Row],[Laminate]],tblLaminateWeightedQty[Total Thickness (µ)],tblLaminateWeightedQty[[#This Row],[Total Thickness (µ)]])</f>
        <v>0.99999999999999989</v>
      </c>
      <c r="J151">
        <v>55</v>
      </c>
      <c r="K151">
        <v>4</v>
      </c>
      <c r="L151">
        <v>100.09</v>
      </c>
    </row>
    <row r="152" spans="1:12">
      <c r="A152">
        <v>648</v>
      </c>
      <c r="B152">
        <v>100</v>
      </c>
      <c r="C152" t="s">
        <v>174</v>
      </c>
      <c r="D152" t="s">
        <v>1300</v>
      </c>
      <c r="G152" t="s">
        <v>174</v>
      </c>
      <c r="H15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8.991907283444889E-4</v>
      </c>
      <c r="I152" s="624">
        <f>SUMIFS(tblLaminateWeightedQty[Weighted QTY %],tblLaminateWeightedQty[Laminate],tblLaminateWeightedQty[[#This Row],[Laminate]],tblLaminateWeightedQty[Total Thickness (µ)],tblLaminateWeightedQty[[#This Row],[Total Thickness (µ)]])</f>
        <v>0.99999999999999989</v>
      </c>
      <c r="J152">
        <v>56</v>
      </c>
      <c r="K152">
        <v>8.99999999999999E-2</v>
      </c>
      <c r="L152">
        <v>100.09</v>
      </c>
    </row>
    <row r="153" spans="1:12">
      <c r="A153">
        <v>648</v>
      </c>
      <c r="B153">
        <v>63</v>
      </c>
      <c r="C153" t="s">
        <v>168</v>
      </c>
      <c r="D153" t="s">
        <v>1300</v>
      </c>
      <c r="G153" t="s">
        <v>168</v>
      </c>
      <c r="H15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0.36455856712632745</v>
      </c>
      <c r="I153" s="624">
        <f>SUMIFS(tblLaminateWeightedQty[Weighted QTY %],tblLaminateWeightedQty[Laminate],tblLaminateWeightedQty[[#This Row],[Laminate]],tblLaminateWeightedQty[Total Thickness (µ)],tblLaminateWeightedQty[[#This Row],[Total Thickness (µ)]])</f>
        <v>1</v>
      </c>
      <c r="J153">
        <v>57</v>
      </c>
      <c r="K153">
        <v>23</v>
      </c>
      <c r="L153">
        <v>63.09</v>
      </c>
    </row>
    <row r="154" spans="1:12">
      <c r="A154">
        <v>648</v>
      </c>
      <c r="B154">
        <v>63</v>
      </c>
      <c r="C154" t="s">
        <v>0</v>
      </c>
      <c r="D154" t="s">
        <v>13</v>
      </c>
      <c r="E154" t="s">
        <v>73</v>
      </c>
      <c r="F154" t="s">
        <v>74</v>
      </c>
      <c r="G154" t="s">
        <v>33</v>
      </c>
      <c r="H15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3.1954350927246793E-2</v>
      </c>
      <c r="I154" s="624">
        <f>SUMIFS(tblLaminateWeightedQty[Weighted QTY %],tblLaminateWeightedQty[Laminate],tblLaminateWeightedQty[[#This Row],[Laminate]],tblLaminateWeightedQty[Total Thickness (µ)],tblLaminateWeightedQty[[#This Row],[Total Thickness (µ)]])</f>
        <v>1</v>
      </c>
      <c r="J154">
        <v>58</v>
      </c>
      <c r="K154">
        <v>35</v>
      </c>
      <c r="L154">
        <v>63.09</v>
      </c>
    </row>
    <row r="155" spans="1:12">
      <c r="A155">
        <v>648</v>
      </c>
      <c r="B155">
        <v>63</v>
      </c>
      <c r="C155" t="s">
        <v>0</v>
      </c>
      <c r="D155" t="s">
        <v>14</v>
      </c>
      <c r="E155" t="s">
        <v>23</v>
      </c>
      <c r="F155" t="s">
        <v>76</v>
      </c>
      <c r="G155" t="s">
        <v>35</v>
      </c>
      <c r="H15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0.32786495482643846</v>
      </c>
      <c r="I155" s="624">
        <f>SUMIFS(tblLaminateWeightedQty[Weighted QTY %],tblLaminateWeightedQty[Laminate],tblLaminateWeightedQty[[#This Row],[Laminate]],tblLaminateWeightedQty[Total Thickness (µ)],tblLaminateWeightedQty[[#This Row],[Total Thickness (µ)]])</f>
        <v>1</v>
      </c>
      <c r="J155">
        <v>58</v>
      </c>
      <c r="K155">
        <v>35</v>
      </c>
      <c r="L155">
        <v>63.09</v>
      </c>
    </row>
    <row r="156" spans="1:12">
      <c r="A156">
        <v>648</v>
      </c>
      <c r="B156">
        <v>63</v>
      </c>
      <c r="C156" t="s">
        <v>0</v>
      </c>
      <c r="D156" t="s">
        <v>16</v>
      </c>
      <c r="E156" t="s">
        <v>10</v>
      </c>
      <c r="F156" t="s">
        <v>80</v>
      </c>
      <c r="G156" t="s">
        <v>38</v>
      </c>
      <c r="H15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8.321445553970519E-3</v>
      </c>
      <c r="I156" s="624">
        <f>SUMIFS(tblLaminateWeightedQty[Weighted QTY %],tblLaminateWeightedQty[Laminate],tblLaminateWeightedQty[[#This Row],[Laminate]],tblLaminateWeightedQty[Total Thickness (µ)],tblLaminateWeightedQty[[#This Row],[Total Thickness (µ)]])</f>
        <v>1</v>
      </c>
      <c r="J156">
        <v>58</v>
      </c>
      <c r="K156">
        <v>35</v>
      </c>
      <c r="L156">
        <v>63.09</v>
      </c>
    </row>
    <row r="157" spans="1:12">
      <c r="A157">
        <v>648</v>
      </c>
      <c r="B157">
        <v>63</v>
      </c>
      <c r="C157" t="s">
        <v>0</v>
      </c>
      <c r="D157" t="s">
        <v>17</v>
      </c>
      <c r="E157" t="s">
        <v>11</v>
      </c>
      <c r="F157" t="s">
        <v>81</v>
      </c>
      <c r="G157" t="s">
        <v>39</v>
      </c>
      <c r="H15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8.8762085909018873E-4</v>
      </c>
      <c r="I157" s="624">
        <f>SUMIFS(tblLaminateWeightedQty[Weighted QTY %],tblLaminateWeightedQty[Laminate],tblLaminateWeightedQty[[#This Row],[Laminate]],tblLaminateWeightedQty[Total Thickness (µ)],tblLaminateWeightedQty[[#This Row],[Total Thickness (µ)]])</f>
        <v>1</v>
      </c>
      <c r="J157">
        <v>58</v>
      </c>
      <c r="K157">
        <v>35</v>
      </c>
      <c r="L157">
        <v>63.09</v>
      </c>
    </row>
    <row r="158" spans="1:12">
      <c r="A158">
        <v>648</v>
      </c>
      <c r="B158">
        <v>63</v>
      </c>
      <c r="C158" t="s">
        <v>0</v>
      </c>
      <c r="D158" t="s">
        <v>18</v>
      </c>
      <c r="E158" t="s">
        <v>9</v>
      </c>
      <c r="F158" t="s">
        <v>82</v>
      </c>
      <c r="G158" t="s">
        <v>40</v>
      </c>
      <c r="H15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3.3285782215882079E-3</v>
      </c>
      <c r="I158" s="624">
        <f>SUMIFS(tblLaminateWeightedQty[Weighted QTY %],tblLaminateWeightedQty[Laminate],tblLaminateWeightedQty[[#This Row],[Laminate]],tblLaminateWeightedQty[Total Thickness (µ)],tblLaminateWeightedQty[[#This Row],[Total Thickness (µ)]])</f>
        <v>1</v>
      </c>
      <c r="J158">
        <v>58</v>
      </c>
      <c r="K158">
        <v>35</v>
      </c>
      <c r="L158">
        <v>63.09</v>
      </c>
    </row>
    <row r="159" spans="1:12">
      <c r="A159">
        <v>648</v>
      </c>
      <c r="B159">
        <v>63</v>
      </c>
      <c r="C159" t="s">
        <v>0</v>
      </c>
      <c r="D159" t="s">
        <v>12</v>
      </c>
      <c r="E159" t="s">
        <v>8</v>
      </c>
      <c r="F159" t="s">
        <v>83</v>
      </c>
      <c r="G159" t="s">
        <v>42</v>
      </c>
      <c r="H15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0.18240608654303378</v>
      </c>
      <c r="I159" s="624">
        <f>SUMIFS(tblLaminateWeightedQty[Weighted QTY %],tblLaminateWeightedQty[Laminate],tblLaminateWeightedQty[[#This Row],[Laminate]],tblLaminateWeightedQty[Total Thickness (µ)],tblLaminateWeightedQty[[#This Row],[Total Thickness (µ)]])</f>
        <v>1</v>
      </c>
      <c r="J159">
        <v>58</v>
      </c>
      <c r="K159">
        <v>35</v>
      </c>
      <c r="L159">
        <v>63.09</v>
      </c>
    </row>
    <row r="160" spans="1:12">
      <c r="A160">
        <v>648</v>
      </c>
      <c r="B160">
        <v>63</v>
      </c>
      <c r="C160" t="s">
        <v>173</v>
      </c>
      <c r="D160" t="s">
        <v>1300</v>
      </c>
      <c r="G160" t="s">
        <v>173</v>
      </c>
      <c r="H16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7.9251862418766833E-2</v>
      </c>
      <c r="I160" s="624">
        <f>SUMIFS(tblLaminateWeightedQty[Weighted QTY %],tblLaminateWeightedQty[Laminate],tblLaminateWeightedQty[[#This Row],[Laminate]],tblLaminateWeightedQty[Total Thickness (µ)],tblLaminateWeightedQty[[#This Row],[Total Thickness (µ)]])</f>
        <v>1</v>
      </c>
      <c r="J160">
        <v>59</v>
      </c>
      <c r="K160">
        <v>5</v>
      </c>
      <c r="L160">
        <v>63.09</v>
      </c>
    </row>
    <row r="161" spans="1:12">
      <c r="A161">
        <v>648</v>
      </c>
      <c r="B161">
        <v>63</v>
      </c>
      <c r="C161" t="s">
        <v>174</v>
      </c>
      <c r="D161" t="s">
        <v>1300</v>
      </c>
      <c r="G161" t="s">
        <v>174</v>
      </c>
      <c r="H16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1.4265335235378014E-3</v>
      </c>
      <c r="I161" s="624">
        <f>SUMIFS(tblLaminateWeightedQty[Weighted QTY %],tblLaminateWeightedQty[Laminate],tblLaminateWeightedQty[[#This Row],[Laminate]],tblLaminateWeightedQty[Total Thickness (µ)],tblLaminateWeightedQty[[#This Row],[Total Thickness (µ)]])</f>
        <v>1</v>
      </c>
      <c r="J161">
        <v>60</v>
      </c>
      <c r="K161">
        <v>8.99999999999999E-2</v>
      </c>
      <c r="L161">
        <v>63.09</v>
      </c>
    </row>
    <row r="162" spans="1:12">
      <c r="A162">
        <v>428</v>
      </c>
      <c r="B162">
        <v>79</v>
      </c>
      <c r="C162" t="s">
        <v>168</v>
      </c>
      <c r="D162" t="s">
        <v>1300</v>
      </c>
      <c r="G162" t="s">
        <v>168</v>
      </c>
      <c r="H16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0.29113924050632911</v>
      </c>
      <c r="I162" s="624">
        <f>SUMIFS(tblLaminateWeightedQty[Weighted QTY %],tblLaminateWeightedQty[Laminate],tblLaminateWeightedQty[[#This Row],[Laminate]],tblLaminateWeightedQty[Total Thickness (µ)],tblLaminateWeightedQty[[#This Row],[Total Thickness (µ)]])</f>
        <v>1</v>
      </c>
      <c r="J162">
        <v>61</v>
      </c>
      <c r="K162">
        <v>23</v>
      </c>
      <c r="L162">
        <v>79</v>
      </c>
    </row>
    <row r="163" spans="1:12">
      <c r="A163">
        <v>428</v>
      </c>
      <c r="B163">
        <v>79</v>
      </c>
      <c r="C163" t="s">
        <v>180</v>
      </c>
      <c r="D163" t="s">
        <v>1300</v>
      </c>
      <c r="G163" t="s">
        <v>180</v>
      </c>
      <c r="H16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0.31645569620253167</v>
      </c>
      <c r="I163" s="624">
        <f>SUMIFS(tblLaminateWeightedQty[Weighted QTY %],tblLaminateWeightedQty[Laminate],tblLaminateWeightedQty[[#This Row],[Laminate]],tblLaminateWeightedQty[Total Thickness (µ)],tblLaminateWeightedQty[[#This Row],[Total Thickness (µ)]])</f>
        <v>1</v>
      </c>
      <c r="J163">
        <v>62</v>
      </c>
      <c r="K163">
        <v>25</v>
      </c>
      <c r="L163">
        <v>79</v>
      </c>
    </row>
    <row r="164" spans="1:12">
      <c r="A164">
        <v>428</v>
      </c>
      <c r="B164">
        <v>79</v>
      </c>
      <c r="C164" t="s">
        <v>177</v>
      </c>
      <c r="D164" t="s">
        <v>1300</v>
      </c>
      <c r="G164" t="s">
        <v>177</v>
      </c>
      <c r="H16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7.5949367088607597E-2</v>
      </c>
      <c r="I164" s="624">
        <f>SUMIFS(tblLaminateWeightedQty[Weighted QTY %],tblLaminateWeightedQty[Laminate],tblLaminateWeightedQty[[#This Row],[Laminate]],tblLaminateWeightedQty[Total Thickness (µ)],tblLaminateWeightedQty[[#This Row],[Total Thickness (µ)]])</f>
        <v>1</v>
      </c>
      <c r="J164">
        <v>64</v>
      </c>
      <c r="K164">
        <v>6</v>
      </c>
      <c r="L164">
        <v>79</v>
      </c>
    </row>
    <row r="165" spans="1:12">
      <c r="A165">
        <v>918</v>
      </c>
      <c r="B165">
        <v>51</v>
      </c>
      <c r="C165" t="s">
        <v>168</v>
      </c>
      <c r="D165" t="s">
        <v>1300</v>
      </c>
      <c r="G165" t="s">
        <v>168</v>
      </c>
      <c r="H16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165" s="624">
        <f>SUMIFS(tblLaminateWeightedQty[Weighted QTY %],tblLaminateWeightedQty[Laminate],tblLaminateWeightedQty[[#This Row],[Laminate]],tblLaminateWeightedQty[Total Thickness (µ)],tblLaminateWeightedQty[[#This Row],[Total Thickness (µ)]])</f>
        <v>0.99999999999999989</v>
      </c>
      <c r="J165">
        <v>65</v>
      </c>
      <c r="K165">
        <v>23</v>
      </c>
      <c r="L165">
        <v>51</v>
      </c>
    </row>
    <row r="166" spans="1:12">
      <c r="A166">
        <v>918</v>
      </c>
      <c r="B166">
        <v>51</v>
      </c>
      <c r="C166" t="s">
        <v>180</v>
      </c>
      <c r="D166" t="s">
        <v>1300</v>
      </c>
      <c r="G166" t="s">
        <v>180</v>
      </c>
      <c r="H16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0.49019607843137253</v>
      </c>
      <c r="I166" s="624">
        <f>SUMIFS(tblLaminateWeightedQty[Weighted QTY %],tblLaminateWeightedQty[Laminate],tblLaminateWeightedQty[[#This Row],[Laminate]],tblLaminateWeightedQty[Total Thickness (µ)],tblLaminateWeightedQty[[#This Row],[Total Thickness (µ)]])</f>
        <v>0.99999999999999989</v>
      </c>
      <c r="J166">
        <v>66</v>
      </c>
      <c r="K166">
        <v>25</v>
      </c>
      <c r="L166">
        <v>51</v>
      </c>
    </row>
    <row r="167" spans="1:12">
      <c r="A167">
        <v>918</v>
      </c>
      <c r="B167">
        <v>51</v>
      </c>
      <c r="C167" t="s">
        <v>173</v>
      </c>
      <c r="D167" t="s">
        <v>1300</v>
      </c>
      <c r="G167" t="s">
        <v>173</v>
      </c>
      <c r="H16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5.7058823529411766E-2</v>
      </c>
      <c r="I167" s="624">
        <f>SUMIFS(tblLaminateWeightedQty[Weighted QTY %],tblLaminateWeightedQty[Laminate],tblLaminateWeightedQty[[#This Row],[Laminate]],tblLaminateWeightedQty[Total Thickness (µ)],tblLaminateWeightedQty[[#This Row],[Total Thickness (µ)]])</f>
        <v>0.99999999999999989</v>
      </c>
      <c r="J167">
        <v>67</v>
      </c>
      <c r="K167">
        <v>2.91</v>
      </c>
      <c r="L167">
        <v>51</v>
      </c>
    </row>
    <row r="168" spans="1:12">
      <c r="A168">
        <v>918</v>
      </c>
      <c r="B168">
        <v>51</v>
      </c>
      <c r="C168" t="s">
        <v>174</v>
      </c>
      <c r="D168" t="s">
        <v>1300</v>
      </c>
      <c r="G168" t="s">
        <v>174</v>
      </c>
      <c r="H16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1.764705882352941E-3</v>
      </c>
      <c r="I168" s="624">
        <f>SUMIFS(tblLaminateWeightedQty[Weighted QTY %],tblLaminateWeightedQty[Laminate],tblLaminateWeightedQty[[#This Row],[Laminate]],tblLaminateWeightedQty[Total Thickness (µ)],tblLaminateWeightedQty[[#This Row],[Total Thickness (µ)]])</f>
        <v>0.99999999999999989</v>
      </c>
      <c r="J168">
        <v>68</v>
      </c>
      <c r="K168">
        <v>0.09</v>
      </c>
      <c r="L168">
        <v>51</v>
      </c>
    </row>
    <row r="169" spans="1:12">
      <c r="A169">
        <v>928</v>
      </c>
      <c r="B169">
        <v>79</v>
      </c>
      <c r="C169" t="s">
        <v>168</v>
      </c>
      <c r="D169" t="s">
        <v>1300</v>
      </c>
      <c r="G169" t="s">
        <v>168</v>
      </c>
      <c r="H16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0.42592592592592593</v>
      </c>
      <c r="I169" s="624">
        <f>SUMIFS(tblLaminateWeightedQty[Weighted QTY %],tblLaminateWeightedQty[Laminate],tblLaminateWeightedQty[[#This Row],[Laminate]],tblLaminateWeightedQty[Total Thickness (µ)],tblLaminateWeightedQty[[#This Row],[Total Thickness (µ)]])</f>
        <v>0.99999999999999989</v>
      </c>
      <c r="J169">
        <v>69</v>
      </c>
      <c r="K169">
        <v>23</v>
      </c>
      <c r="L169">
        <v>54</v>
      </c>
    </row>
    <row r="170" spans="1:12">
      <c r="A170">
        <v>928</v>
      </c>
      <c r="B170">
        <v>79</v>
      </c>
      <c r="C170" t="s">
        <v>180</v>
      </c>
      <c r="D170" t="s">
        <v>1300</v>
      </c>
      <c r="G170" t="s">
        <v>180</v>
      </c>
      <c r="H17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0.46296296296296297</v>
      </c>
      <c r="I170" s="624">
        <f>SUMIFS(tblLaminateWeightedQty[Weighted QTY %],tblLaminateWeightedQty[Laminate],tblLaminateWeightedQty[[#This Row],[Laminate]],tblLaminateWeightedQty[Total Thickness (µ)],tblLaminateWeightedQty[[#This Row],[Total Thickness (µ)]])</f>
        <v>0.99999999999999989</v>
      </c>
      <c r="J170">
        <v>70</v>
      </c>
      <c r="K170">
        <v>25</v>
      </c>
      <c r="L170">
        <v>54</v>
      </c>
    </row>
    <row r="171" spans="1:12">
      <c r="A171">
        <v>928</v>
      </c>
      <c r="B171">
        <v>79</v>
      </c>
      <c r="C171" t="s">
        <v>173</v>
      </c>
      <c r="D171" t="s">
        <v>1300</v>
      </c>
      <c r="G171" t="s">
        <v>173</v>
      </c>
      <c r="H17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0.10777777777777778</v>
      </c>
      <c r="I171" s="624">
        <f>SUMIFS(tblLaminateWeightedQty[Weighted QTY %],tblLaminateWeightedQty[Laminate],tblLaminateWeightedQty[[#This Row],[Laminate]],tblLaminateWeightedQty[Total Thickness (µ)],tblLaminateWeightedQty[[#This Row],[Total Thickness (µ)]])</f>
        <v>0.99999999999999989</v>
      </c>
      <c r="J171">
        <v>71</v>
      </c>
      <c r="K171">
        <v>5.82</v>
      </c>
      <c r="L171">
        <v>54</v>
      </c>
    </row>
    <row r="172" spans="1:12">
      <c r="A172">
        <v>928</v>
      </c>
      <c r="B172">
        <v>79</v>
      </c>
      <c r="C172" t="s">
        <v>174</v>
      </c>
      <c r="D172" t="s">
        <v>1300</v>
      </c>
      <c r="G172" t="s">
        <v>174</v>
      </c>
      <c r="H17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3.3333333333333331E-3</v>
      </c>
      <c r="I172" s="624">
        <f>SUMIFS(tblLaminateWeightedQty[Weighted QTY %],tblLaminateWeightedQty[Laminate],tblLaminateWeightedQty[[#This Row],[Laminate]],tblLaminateWeightedQty[Total Thickness (µ)],tblLaminateWeightedQty[[#This Row],[Total Thickness (µ)]])</f>
        <v>0.99999999999999989</v>
      </c>
      <c r="J172">
        <v>72</v>
      </c>
      <c r="K172">
        <v>0.18</v>
      </c>
      <c r="L172">
        <v>54</v>
      </c>
    </row>
    <row r="173" spans="1:12">
      <c r="A173">
        <v>819</v>
      </c>
      <c r="B173">
        <v>121</v>
      </c>
      <c r="C173" t="s">
        <v>168</v>
      </c>
      <c r="D173" t="s">
        <v>1300</v>
      </c>
      <c r="G173" t="s">
        <v>168</v>
      </c>
      <c r="H17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73" s="624">
        <f>SUMIFS(tblLaminateWeightedQty[Weighted QTY %],tblLaminateWeightedQty[Laminate],tblLaminateWeightedQty[[#This Row],[Laminate]],tblLaminateWeightedQty[Total Thickness (µ)],tblLaminateWeightedQty[[#This Row],[Total Thickness (µ)]])</f>
        <v>1.0000000000000002</v>
      </c>
      <c r="J173">
        <v>73</v>
      </c>
      <c r="K173">
        <v>23</v>
      </c>
      <c r="L173">
        <v>121</v>
      </c>
    </row>
    <row r="174" spans="1:12">
      <c r="A174">
        <v>819</v>
      </c>
      <c r="B174">
        <v>121</v>
      </c>
      <c r="C174" t="s">
        <v>0</v>
      </c>
      <c r="D174" t="s">
        <v>13</v>
      </c>
      <c r="E174" t="s">
        <v>73</v>
      </c>
      <c r="F174" t="s">
        <v>74</v>
      </c>
      <c r="G174" t="s">
        <v>33</v>
      </c>
      <c r="H17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1.1900826446280993E-2</v>
      </c>
      <c r="I174" s="624">
        <f>SUMIFS(tblLaminateWeightedQty[Weighted QTY %],tblLaminateWeightedQty[Laminate],tblLaminateWeightedQty[[#This Row],[Laminate]],tblLaminateWeightedQty[Total Thickness (µ)],tblLaminateWeightedQty[[#This Row],[Total Thickness (µ)]])</f>
        <v>1.0000000000000002</v>
      </c>
      <c r="J174">
        <v>74</v>
      </c>
      <c r="K174">
        <v>25</v>
      </c>
      <c r="L174">
        <v>121</v>
      </c>
    </row>
    <row r="175" spans="1:12">
      <c r="A175">
        <v>819</v>
      </c>
      <c r="B175">
        <v>121</v>
      </c>
      <c r="C175" t="s">
        <v>0</v>
      </c>
      <c r="D175" t="s">
        <v>14</v>
      </c>
      <c r="E175" t="s">
        <v>23</v>
      </c>
      <c r="F175" t="s">
        <v>76</v>
      </c>
      <c r="G175" t="s">
        <v>35</v>
      </c>
      <c r="H17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0.12210743801652894</v>
      </c>
      <c r="I175" s="624">
        <f>SUMIFS(tblLaminateWeightedQty[Weighted QTY %],tblLaminateWeightedQty[Laminate],tblLaminateWeightedQty[[#This Row],[Laminate]],tblLaminateWeightedQty[Total Thickness (µ)],tblLaminateWeightedQty[[#This Row],[Total Thickness (µ)]])</f>
        <v>1.0000000000000002</v>
      </c>
      <c r="J175">
        <v>74</v>
      </c>
      <c r="K175">
        <v>25</v>
      </c>
      <c r="L175">
        <v>121</v>
      </c>
    </row>
    <row r="176" spans="1:12">
      <c r="A176">
        <v>819</v>
      </c>
      <c r="B176">
        <v>121</v>
      </c>
      <c r="C176" t="s">
        <v>0</v>
      </c>
      <c r="D176" t="s">
        <v>16</v>
      </c>
      <c r="E176" t="s">
        <v>10</v>
      </c>
      <c r="F176" t="s">
        <v>80</v>
      </c>
      <c r="G176" t="s">
        <v>38</v>
      </c>
      <c r="H17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3.0991735537190088E-3</v>
      </c>
      <c r="I176" s="624">
        <f>SUMIFS(tblLaminateWeightedQty[Weighted QTY %],tblLaminateWeightedQty[Laminate],tblLaminateWeightedQty[[#This Row],[Laminate]],tblLaminateWeightedQty[Total Thickness (µ)],tblLaminateWeightedQty[[#This Row],[Total Thickness (µ)]])</f>
        <v>1.0000000000000002</v>
      </c>
      <c r="J176">
        <v>74</v>
      </c>
      <c r="K176">
        <v>25</v>
      </c>
      <c r="L176">
        <v>121</v>
      </c>
    </row>
    <row r="177" spans="1:12">
      <c r="A177">
        <v>819</v>
      </c>
      <c r="B177">
        <v>121</v>
      </c>
      <c r="C177" t="s">
        <v>0</v>
      </c>
      <c r="D177" t="s">
        <v>17</v>
      </c>
      <c r="E177" t="s">
        <v>11</v>
      </c>
      <c r="F177" t="s">
        <v>81</v>
      </c>
      <c r="G177" t="s">
        <v>39</v>
      </c>
      <c r="H17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3.3057851239669429E-4</v>
      </c>
      <c r="I177" s="624">
        <f>SUMIFS(tblLaminateWeightedQty[Weighted QTY %],tblLaminateWeightedQty[Laminate],tblLaminateWeightedQty[[#This Row],[Laminate]],tblLaminateWeightedQty[Total Thickness (µ)],tblLaminateWeightedQty[[#This Row],[Total Thickness (µ)]])</f>
        <v>1.0000000000000002</v>
      </c>
      <c r="J177">
        <v>74</v>
      </c>
      <c r="K177">
        <v>25</v>
      </c>
      <c r="L177">
        <v>121</v>
      </c>
    </row>
    <row r="178" spans="1:12">
      <c r="A178">
        <v>819</v>
      </c>
      <c r="B178">
        <v>121</v>
      </c>
      <c r="C178" t="s">
        <v>0</v>
      </c>
      <c r="D178" t="s">
        <v>18</v>
      </c>
      <c r="E178" t="s">
        <v>9</v>
      </c>
      <c r="F178" t="s">
        <v>82</v>
      </c>
      <c r="G178" t="s">
        <v>40</v>
      </c>
      <c r="H17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1.2396694214876036E-3</v>
      </c>
      <c r="I178" s="624">
        <f>SUMIFS(tblLaminateWeightedQty[Weighted QTY %],tblLaminateWeightedQty[Laminate],tblLaminateWeightedQty[[#This Row],[Laminate]],tblLaminateWeightedQty[Total Thickness (µ)],tblLaminateWeightedQty[[#This Row],[Total Thickness (µ)]])</f>
        <v>1.0000000000000002</v>
      </c>
      <c r="J178">
        <v>74</v>
      </c>
      <c r="K178">
        <v>25</v>
      </c>
      <c r="L178">
        <v>121</v>
      </c>
    </row>
    <row r="179" spans="1:12">
      <c r="A179">
        <v>819</v>
      </c>
      <c r="B179">
        <v>121</v>
      </c>
      <c r="C179" t="s">
        <v>0</v>
      </c>
      <c r="D179" t="s">
        <v>12</v>
      </c>
      <c r="E179" t="s">
        <v>8</v>
      </c>
      <c r="F179" t="s">
        <v>83</v>
      </c>
      <c r="G179" t="s">
        <v>42</v>
      </c>
      <c r="H17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6.7933884297520675E-2</v>
      </c>
      <c r="I179" s="624">
        <f>SUMIFS(tblLaminateWeightedQty[Weighted QTY %],tblLaminateWeightedQty[Laminate],tblLaminateWeightedQty[[#This Row],[Laminate]],tblLaminateWeightedQty[Total Thickness (µ)],tblLaminateWeightedQty[[#This Row],[Total Thickness (µ)]])</f>
        <v>1.0000000000000002</v>
      </c>
      <c r="J179">
        <v>74</v>
      </c>
      <c r="K179">
        <v>25</v>
      </c>
      <c r="L179">
        <v>121</v>
      </c>
    </row>
    <row r="180" spans="1:12">
      <c r="A180">
        <v>819</v>
      </c>
      <c r="B180">
        <v>121</v>
      </c>
      <c r="C180" t="s">
        <v>181</v>
      </c>
      <c r="D180" t="s">
        <v>1300</v>
      </c>
      <c r="G180" t="s">
        <v>181</v>
      </c>
      <c r="H18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80" s="624">
        <f>SUMIFS(tblLaminateWeightedQty[Weighted QTY %],tblLaminateWeightedQty[Laminate],tblLaminateWeightedQty[[#This Row],[Laminate]],tblLaminateWeightedQty[Total Thickness (µ)],tblLaminateWeightedQty[[#This Row],[Total Thickness (µ)]])</f>
        <v>1.0000000000000002</v>
      </c>
      <c r="J180">
        <v>75</v>
      </c>
      <c r="K180">
        <v>67</v>
      </c>
      <c r="L180">
        <v>121</v>
      </c>
    </row>
    <row r="181" spans="1:12">
      <c r="A181">
        <v>819</v>
      </c>
      <c r="B181">
        <v>121</v>
      </c>
      <c r="C181" t="s">
        <v>177</v>
      </c>
      <c r="D181" t="s">
        <v>1300</v>
      </c>
      <c r="G181" t="s">
        <v>177</v>
      </c>
      <c r="H18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4.9586776859504134E-2</v>
      </c>
      <c r="I181" s="624">
        <f>SUMIFS(tblLaminateWeightedQty[Weighted QTY %],tblLaminateWeightedQty[Laminate],tblLaminateWeightedQty[[#This Row],[Laminate]],tblLaminateWeightedQty[Total Thickness (µ)],tblLaminateWeightedQty[[#This Row],[Total Thickness (µ)]])</f>
        <v>1.0000000000000002</v>
      </c>
      <c r="J181">
        <v>76</v>
      </c>
      <c r="K181">
        <v>6</v>
      </c>
      <c r="L181">
        <v>121</v>
      </c>
    </row>
    <row r="182" spans="1:12">
      <c r="A182">
        <v>919</v>
      </c>
      <c r="B182">
        <v>121</v>
      </c>
      <c r="C182" t="s">
        <v>168</v>
      </c>
      <c r="D182" t="s">
        <v>1300</v>
      </c>
      <c r="G182" t="s">
        <v>168</v>
      </c>
      <c r="H18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82" s="624">
        <f>SUMIFS(tblLaminateWeightedQty[Weighted QTY %],tblLaminateWeightedQty[Laminate],tblLaminateWeightedQty[[#This Row],[Laminate]],tblLaminateWeightedQty[Total Thickness (µ)],tblLaminateWeightedQty[[#This Row],[Total Thickness (µ)]])</f>
        <v>1.0000000000000002</v>
      </c>
      <c r="J182">
        <v>77</v>
      </c>
      <c r="K182">
        <v>23</v>
      </c>
      <c r="L182">
        <v>121</v>
      </c>
    </row>
    <row r="183" spans="1:12">
      <c r="A183">
        <v>919</v>
      </c>
      <c r="B183">
        <v>121</v>
      </c>
      <c r="C183" t="s">
        <v>0</v>
      </c>
      <c r="D183" t="s">
        <v>13</v>
      </c>
      <c r="E183" t="s">
        <v>73</v>
      </c>
      <c r="F183" t="s">
        <v>74</v>
      </c>
      <c r="G183" t="s">
        <v>33</v>
      </c>
      <c r="H18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1.1900826446280993E-2</v>
      </c>
      <c r="I183" s="624">
        <f>SUMIFS(tblLaminateWeightedQty[Weighted QTY %],tblLaminateWeightedQty[Laminate],tblLaminateWeightedQty[[#This Row],[Laminate]],tblLaminateWeightedQty[Total Thickness (µ)],tblLaminateWeightedQty[[#This Row],[Total Thickness (µ)]])</f>
        <v>1.0000000000000002</v>
      </c>
      <c r="J183">
        <v>78</v>
      </c>
      <c r="K183">
        <v>25</v>
      </c>
      <c r="L183">
        <v>121</v>
      </c>
    </row>
    <row r="184" spans="1:12">
      <c r="A184">
        <v>919</v>
      </c>
      <c r="B184">
        <v>121</v>
      </c>
      <c r="C184" t="s">
        <v>0</v>
      </c>
      <c r="D184" t="s">
        <v>14</v>
      </c>
      <c r="E184" t="s">
        <v>23</v>
      </c>
      <c r="F184" t="s">
        <v>76</v>
      </c>
      <c r="G184" t="s">
        <v>35</v>
      </c>
      <c r="H18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0.12210743801652894</v>
      </c>
      <c r="I184" s="624">
        <f>SUMIFS(tblLaminateWeightedQty[Weighted QTY %],tblLaminateWeightedQty[Laminate],tblLaminateWeightedQty[[#This Row],[Laminate]],tblLaminateWeightedQty[Total Thickness (µ)],tblLaminateWeightedQty[[#This Row],[Total Thickness (µ)]])</f>
        <v>1.0000000000000002</v>
      </c>
      <c r="J184">
        <v>78</v>
      </c>
      <c r="K184">
        <v>25</v>
      </c>
      <c r="L184">
        <v>121</v>
      </c>
    </row>
    <row r="185" spans="1:12">
      <c r="A185">
        <v>919</v>
      </c>
      <c r="B185">
        <v>121</v>
      </c>
      <c r="C185" t="s">
        <v>0</v>
      </c>
      <c r="D185" t="s">
        <v>16</v>
      </c>
      <c r="E185" t="s">
        <v>10</v>
      </c>
      <c r="F185" t="s">
        <v>80</v>
      </c>
      <c r="G185" t="s">
        <v>38</v>
      </c>
      <c r="H18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3.0991735537190088E-3</v>
      </c>
      <c r="I185" s="624">
        <f>SUMIFS(tblLaminateWeightedQty[Weighted QTY %],tblLaminateWeightedQty[Laminate],tblLaminateWeightedQty[[#This Row],[Laminate]],tblLaminateWeightedQty[Total Thickness (µ)],tblLaminateWeightedQty[[#This Row],[Total Thickness (µ)]])</f>
        <v>1.0000000000000002</v>
      </c>
      <c r="J185">
        <v>78</v>
      </c>
      <c r="K185">
        <v>25</v>
      </c>
      <c r="L185">
        <v>121</v>
      </c>
    </row>
    <row r="186" spans="1:12">
      <c r="A186">
        <v>919</v>
      </c>
      <c r="B186">
        <v>121</v>
      </c>
      <c r="C186" t="s">
        <v>0</v>
      </c>
      <c r="D186" t="s">
        <v>17</v>
      </c>
      <c r="E186" t="s">
        <v>11</v>
      </c>
      <c r="F186" t="s">
        <v>81</v>
      </c>
      <c r="G186" t="s">
        <v>39</v>
      </c>
      <c r="H18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3.3057851239669429E-4</v>
      </c>
      <c r="I186" s="624">
        <f>SUMIFS(tblLaminateWeightedQty[Weighted QTY %],tblLaminateWeightedQty[Laminate],tblLaminateWeightedQty[[#This Row],[Laminate]],tblLaminateWeightedQty[Total Thickness (µ)],tblLaminateWeightedQty[[#This Row],[Total Thickness (µ)]])</f>
        <v>1.0000000000000002</v>
      </c>
      <c r="J186">
        <v>78</v>
      </c>
      <c r="K186">
        <v>25</v>
      </c>
      <c r="L186">
        <v>121</v>
      </c>
    </row>
    <row r="187" spans="1:12">
      <c r="A187">
        <v>919</v>
      </c>
      <c r="B187">
        <v>121</v>
      </c>
      <c r="C187" t="s">
        <v>0</v>
      </c>
      <c r="D187" t="s">
        <v>18</v>
      </c>
      <c r="E187" t="s">
        <v>9</v>
      </c>
      <c r="F187" t="s">
        <v>82</v>
      </c>
      <c r="G187" t="s">
        <v>40</v>
      </c>
      <c r="H18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1.2396694214876036E-3</v>
      </c>
      <c r="I187" s="624">
        <f>SUMIFS(tblLaminateWeightedQty[Weighted QTY %],tblLaminateWeightedQty[Laminate],tblLaminateWeightedQty[[#This Row],[Laminate]],tblLaminateWeightedQty[Total Thickness (µ)],tblLaminateWeightedQty[[#This Row],[Total Thickness (µ)]])</f>
        <v>1.0000000000000002</v>
      </c>
      <c r="J187">
        <v>78</v>
      </c>
      <c r="K187">
        <v>25</v>
      </c>
      <c r="L187">
        <v>121</v>
      </c>
    </row>
    <row r="188" spans="1:12">
      <c r="A188">
        <v>919</v>
      </c>
      <c r="B188">
        <v>121</v>
      </c>
      <c r="C188" t="s">
        <v>0</v>
      </c>
      <c r="D188" t="s">
        <v>12</v>
      </c>
      <c r="E188" t="s">
        <v>8</v>
      </c>
      <c r="F188" t="s">
        <v>83</v>
      </c>
      <c r="G188" t="s">
        <v>42</v>
      </c>
      <c r="H18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6.7933884297520675E-2</v>
      </c>
      <c r="I188" s="624">
        <f>SUMIFS(tblLaminateWeightedQty[Weighted QTY %],tblLaminateWeightedQty[Laminate],tblLaminateWeightedQty[[#This Row],[Laminate]],tblLaminateWeightedQty[Total Thickness (µ)],tblLaminateWeightedQty[[#This Row],[Total Thickness (µ)]])</f>
        <v>1.0000000000000002</v>
      </c>
      <c r="J188">
        <v>78</v>
      </c>
      <c r="K188">
        <v>25</v>
      </c>
      <c r="L188">
        <v>121</v>
      </c>
    </row>
    <row r="189" spans="1:12">
      <c r="A189">
        <v>919</v>
      </c>
      <c r="B189">
        <v>121</v>
      </c>
      <c r="C189" t="s">
        <v>181</v>
      </c>
      <c r="D189" t="s">
        <v>1300</v>
      </c>
      <c r="G189" t="s">
        <v>181</v>
      </c>
      <c r="H18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89" s="624">
        <f>SUMIFS(tblLaminateWeightedQty[Weighted QTY %],tblLaminateWeightedQty[Laminate],tblLaminateWeightedQty[[#This Row],[Laminate]],tblLaminateWeightedQty[Total Thickness (µ)],tblLaminateWeightedQty[[#This Row],[Total Thickness (µ)]])</f>
        <v>1.0000000000000002</v>
      </c>
      <c r="J189">
        <v>79</v>
      </c>
      <c r="K189">
        <v>67</v>
      </c>
      <c r="L189">
        <v>121</v>
      </c>
    </row>
    <row r="190" spans="1:12">
      <c r="A190">
        <v>919</v>
      </c>
      <c r="B190">
        <v>121</v>
      </c>
      <c r="C190" t="s">
        <v>173</v>
      </c>
      <c r="D190" t="s">
        <v>1300</v>
      </c>
      <c r="G190" t="s">
        <v>173</v>
      </c>
      <c r="H19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4.809917355371901E-2</v>
      </c>
      <c r="I190" s="624">
        <f>SUMIFS(tblLaminateWeightedQty[Weighted QTY %],tblLaminateWeightedQty[Laminate],tblLaminateWeightedQty[[#This Row],[Laminate]],tblLaminateWeightedQty[Total Thickness (µ)],tblLaminateWeightedQty[[#This Row],[Total Thickness (µ)]])</f>
        <v>1.0000000000000002</v>
      </c>
      <c r="J190">
        <v>80</v>
      </c>
      <c r="K190">
        <v>5.82</v>
      </c>
      <c r="L190">
        <v>121</v>
      </c>
    </row>
    <row r="191" spans="1:12">
      <c r="A191">
        <v>919</v>
      </c>
      <c r="B191">
        <v>121</v>
      </c>
      <c r="C191" t="s">
        <v>174</v>
      </c>
      <c r="D191" t="s">
        <v>1300</v>
      </c>
      <c r="G191" t="s">
        <v>174</v>
      </c>
      <c r="H19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1.4876033057851239E-3</v>
      </c>
      <c r="I191" s="624">
        <f>SUMIFS(tblLaminateWeightedQty[Weighted QTY %],tblLaminateWeightedQty[Laminate],tblLaminateWeightedQty[[#This Row],[Laminate]],tblLaminateWeightedQty[Total Thickness (µ)],tblLaminateWeightedQty[[#This Row],[Total Thickness (µ)]])</f>
        <v>1.0000000000000002</v>
      </c>
      <c r="J191">
        <v>81</v>
      </c>
      <c r="K191">
        <v>0.18</v>
      </c>
      <c r="L191">
        <v>121</v>
      </c>
    </row>
    <row r="192" spans="1:12">
      <c r="A192">
        <v>823</v>
      </c>
      <c r="B192">
        <v>121</v>
      </c>
      <c r="C192" t="s">
        <v>168</v>
      </c>
      <c r="D192" t="s">
        <v>1300</v>
      </c>
      <c r="G192" t="s">
        <v>168</v>
      </c>
      <c r="H19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92" s="624">
        <f>SUMIFS(tblLaminateWeightedQty[Weighted QTY %],tblLaminateWeightedQty[Laminate],tblLaminateWeightedQty[[#This Row],[Laminate]],tblLaminateWeightedQty[Total Thickness (µ)],tblLaminateWeightedQty[[#This Row],[Total Thickness (µ)]])</f>
        <v>1</v>
      </c>
      <c r="J192">
        <v>82</v>
      </c>
      <c r="K192">
        <v>23</v>
      </c>
      <c r="L192">
        <v>121</v>
      </c>
    </row>
    <row r="193" spans="1:12">
      <c r="A193">
        <v>823</v>
      </c>
      <c r="B193">
        <v>121</v>
      </c>
      <c r="C193" t="s">
        <v>180</v>
      </c>
      <c r="D193" t="s">
        <v>1300</v>
      </c>
      <c r="G193" t="s">
        <v>180</v>
      </c>
      <c r="H19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0.20661157024793389</v>
      </c>
      <c r="I193" s="624">
        <f>SUMIFS(tblLaminateWeightedQty[Weighted QTY %],tblLaminateWeightedQty[Laminate],tblLaminateWeightedQty[[#This Row],[Laminate]],tblLaminateWeightedQty[Total Thickness (µ)],tblLaminateWeightedQty[[#This Row],[Total Thickness (µ)]])</f>
        <v>1</v>
      </c>
      <c r="J193">
        <v>83</v>
      </c>
      <c r="K193">
        <v>25</v>
      </c>
      <c r="L193">
        <v>121</v>
      </c>
    </row>
    <row r="194" spans="1:12">
      <c r="A194">
        <v>823</v>
      </c>
      <c r="B194">
        <v>121</v>
      </c>
      <c r="C194" t="s">
        <v>181</v>
      </c>
      <c r="D194" t="s">
        <v>1300</v>
      </c>
      <c r="G194" t="s">
        <v>181</v>
      </c>
      <c r="H19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94" s="624">
        <f>SUMIFS(tblLaminateWeightedQty[Weighted QTY %],tblLaminateWeightedQty[Laminate],tblLaminateWeightedQty[[#This Row],[Laminate]],tblLaminateWeightedQty[Total Thickness (µ)],tblLaminateWeightedQty[[#This Row],[Total Thickness (µ)]])</f>
        <v>1</v>
      </c>
      <c r="J194">
        <v>84</v>
      </c>
      <c r="K194">
        <v>67</v>
      </c>
      <c r="L194">
        <v>121</v>
      </c>
    </row>
    <row r="195" spans="1:12">
      <c r="A195">
        <v>823</v>
      </c>
      <c r="B195">
        <v>121</v>
      </c>
      <c r="C195" t="s">
        <v>177</v>
      </c>
      <c r="D195" t="s">
        <v>1300</v>
      </c>
      <c r="G195" t="s">
        <v>177</v>
      </c>
      <c r="H19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4.9586776859504134E-2</v>
      </c>
      <c r="I195" s="624">
        <f>SUMIFS(tblLaminateWeightedQty[Weighted QTY %],tblLaminateWeightedQty[Laminate],tblLaminateWeightedQty[[#This Row],[Laminate]],tblLaminateWeightedQty[Total Thickness (µ)],tblLaminateWeightedQty[[#This Row],[Total Thickness (µ)]])</f>
        <v>1</v>
      </c>
      <c r="J195">
        <v>85</v>
      </c>
      <c r="K195">
        <v>6</v>
      </c>
      <c r="L195">
        <v>121</v>
      </c>
    </row>
    <row r="196" spans="1:12">
      <c r="A196">
        <v>923</v>
      </c>
      <c r="B196">
        <v>121</v>
      </c>
      <c r="C196" t="s">
        <v>168</v>
      </c>
      <c r="D196" t="s">
        <v>1300</v>
      </c>
      <c r="G196" t="s">
        <v>168</v>
      </c>
      <c r="H19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96" s="624">
        <f>SUMIFS(tblLaminateWeightedQty[Weighted QTY %],tblLaminateWeightedQty[Laminate],tblLaminateWeightedQty[[#This Row],[Laminate]],tblLaminateWeightedQty[Total Thickness (µ)],tblLaminateWeightedQty[[#This Row],[Total Thickness (µ)]])</f>
        <v>1</v>
      </c>
      <c r="J196">
        <v>86</v>
      </c>
      <c r="K196">
        <v>23</v>
      </c>
      <c r="L196">
        <v>121</v>
      </c>
    </row>
    <row r="197" spans="1:12">
      <c r="A197">
        <v>923</v>
      </c>
      <c r="B197">
        <v>121</v>
      </c>
      <c r="C197" t="s">
        <v>180</v>
      </c>
      <c r="D197" t="s">
        <v>1300</v>
      </c>
      <c r="G197" t="s">
        <v>180</v>
      </c>
      <c r="H19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0.20661157024793389</v>
      </c>
      <c r="I197" s="624">
        <f>SUMIFS(tblLaminateWeightedQty[Weighted QTY %],tblLaminateWeightedQty[Laminate],tblLaminateWeightedQty[[#This Row],[Laminate]],tblLaminateWeightedQty[Total Thickness (µ)],tblLaminateWeightedQty[[#This Row],[Total Thickness (µ)]])</f>
        <v>1</v>
      </c>
      <c r="J197">
        <v>87</v>
      </c>
      <c r="K197">
        <v>25</v>
      </c>
      <c r="L197">
        <v>121</v>
      </c>
    </row>
    <row r="198" spans="1:12">
      <c r="A198">
        <v>923</v>
      </c>
      <c r="B198">
        <v>121</v>
      </c>
      <c r="C198" t="s">
        <v>181</v>
      </c>
      <c r="D198" t="s">
        <v>1300</v>
      </c>
      <c r="G198" t="s">
        <v>181</v>
      </c>
      <c r="H19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98" s="624">
        <f>SUMIFS(tblLaminateWeightedQty[Weighted QTY %],tblLaminateWeightedQty[Laminate],tblLaminateWeightedQty[[#This Row],[Laminate]],tblLaminateWeightedQty[Total Thickness (µ)],tblLaminateWeightedQty[[#This Row],[Total Thickness (µ)]])</f>
        <v>1</v>
      </c>
      <c r="J198">
        <v>88</v>
      </c>
      <c r="K198">
        <v>67</v>
      </c>
      <c r="L198">
        <v>121</v>
      </c>
    </row>
    <row r="199" spans="1:12">
      <c r="A199">
        <v>923</v>
      </c>
      <c r="B199">
        <v>121</v>
      </c>
      <c r="C199" t="s">
        <v>173</v>
      </c>
      <c r="D199" t="s">
        <v>1300</v>
      </c>
      <c r="G199" t="s">
        <v>173</v>
      </c>
      <c r="H19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4.809917355371901E-2</v>
      </c>
      <c r="I199" s="624">
        <f>SUMIFS(tblLaminateWeightedQty[Weighted QTY %],tblLaminateWeightedQty[Laminate],tblLaminateWeightedQty[[#This Row],[Laminate]],tblLaminateWeightedQty[Total Thickness (µ)],tblLaminateWeightedQty[[#This Row],[Total Thickness (µ)]])</f>
        <v>1</v>
      </c>
      <c r="J199">
        <v>89</v>
      </c>
      <c r="K199">
        <v>5.82</v>
      </c>
      <c r="L199">
        <v>121</v>
      </c>
    </row>
    <row r="200" spans="1:12">
      <c r="A200">
        <v>923</v>
      </c>
      <c r="B200">
        <v>121</v>
      </c>
      <c r="C200" t="s">
        <v>174</v>
      </c>
      <c r="D200" t="s">
        <v>1300</v>
      </c>
      <c r="G200" t="s">
        <v>174</v>
      </c>
      <c r="H20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1.4876033057851239E-3</v>
      </c>
      <c r="I200" s="624">
        <f>SUMIFS(tblLaminateWeightedQty[Weighted QTY %],tblLaminateWeightedQty[Laminate],tblLaminateWeightedQty[[#This Row],[Laminate]],tblLaminateWeightedQty[Total Thickness (µ)],tblLaminateWeightedQty[[#This Row],[Total Thickness (µ)]])</f>
        <v>1</v>
      </c>
      <c r="J200">
        <v>90</v>
      </c>
      <c r="K200">
        <v>0.18</v>
      </c>
      <c r="L200">
        <v>121</v>
      </c>
    </row>
    <row r="201" spans="1:12">
      <c r="A201" t="s">
        <v>1053</v>
      </c>
      <c r="B201">
        <v>79</v>
      </c>
      <c r="C201" t="s">
        <v>0</v>
      </c>
      <c r="D201" t="s">
        <v>13</v>
      </c>
      <c r="E201" t="s">
        <v>73</v>
      </c>
      <c r="F201" t="s">
        <v>74</v>
      </c>
      <c r="G201" t="s">
        <v>33</v>
      </c>
      <c r="H20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1.8461538461538463E-2</v>
      </c>
      <c r="I201" s="624">
        <f>SUMIFS(tblLaminateWeightedQty[Weighted QTY %],tblLaminateWeightedQty[Laminate],tblLaminateWeightedQty[[#This Row],[Laminate]],tblLaminateWeightedQty[Total Thickness (µ)],tblLaminateWeightedQty[[#This Row],[Total Thickness (µ)]])</f>
        <v>1</v>
      </c>
      <c r="J201">
        <v>91</v>
      </c>
      <c r="K201">
        <v>25</v>
      </c>
      <c r="L201">
        <v>78</v>
      </c>
    </row>
    <row r="202" spans="1:12">
      <c r="A202" t="s">
        <v>1053</v>
      </c>
      <c r="B202">
        <v>79</v>
      </c>
      <c r="C202" t="s">
        <v>0</v>
      </c>
      <c r="D202" t="s">
        <v>14</v>
      </c>
      <c r="E202" t="s">
        <v>23</v>
      </c>
      <c r="F202" t="s">
        <v>76</v>
      </c>
      <c r="G202" t="s">
        <v>35</v>
      </c>
      <c r="H20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0.18942307692307697</v>
      </c>
      <c r="I202" s="624">
        <f>SUMIFS(tblLaminateWeightedQty[Weighted QTY %],tblLaminateWeightedQty[Laminate],tblLaminateWeightedQty[[#This Row],[Laminate]],tblLaminateWeightedQty[Total Thickness (µ)],tblLaminateWeightedQty[[#This Row],[Total Thickness (µ)]])</f>
        <v>1</v>
      </c>
      <c r="J202">
        <v>91</v>
      </c>
      <c r="K202">
        <v>25</v>
      </c>
      <c r="L202">
        <v>78</v>
      </c>
    </row>
    <row r="203" spans="1:12">
      <c r="A203" t="s">
        <v>1053</v>
      </c>
      <c r="B203">
        <v>79</v>
      </c>
      <c r="C203" t="s">
        <v>0</v>
      </c>
      <c r="D203" t="s">
        <v>16</v>
      </c>
      <c r="E203" t="s">
        <v>10</v>
      </c>
      <c r="F203" t="s">
        <v>80</v>
      </c>
      <c r="G203" t="s">
        <v>38</v>
      </c>
      <c r="H20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4.8076923076923088E-3</v>
      </c>
      <c r="I203" s="624">
        <f>SUMIFS(tblLaminateWeightedQty[Weighted QTY %],tblLaminateWeightedQty[Laminate],tblLaminateWeightedQty[[#This Row],[Laminate]],tblLaminateWeightedQty[Total Thickness (µ)],tblLaminateWeightedQty[[#This Row],[Total Thickness (µ)]])</f>
        <v>1</v>
      </c>
      <c r="J203">
        <v>91</v>
      </c>
      <c r="K203">
        <v>25</v>
      </c>
      <c r="L203">
        <v>78</v>
      </c>
    </row>
    <row r="204" spans="1:12">
      <c r="A204" t="s">
        <v>1053</v>
      </c>
      <c r="B204">
        <v>79</v>
      </c>
      <c r="C204" t="s">
        <v>0</v>
      </c>
      <c r="D204" t="s">
        <v>17</v>
      </c>
      <c r="E204" t="s">
        <v>11</v>
      </c>
      <c r="F204" t="s">
        <v>81</v>
      </c>
      <c r="G204" t="s">
        <v>39</v>
      </c>
      <c r="H20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5.1282051282051293E-4</v>
      </c>
      <c r="I204" s="624">
        <f>SUMIFS(tblLaminateWeightedQty[Weighted QTY %],tblLaminateWeightedQty[Laminate],tblLaminateWeightedQty[[#This Row],[Laminate]],tblLaminateWeightedQty[Total Thickness (µ)],tblLaminateWeightedQty[[#This Row],[Total Thickness (µ)]])</f>
        <v>1</v>
      </c>
      <c r="J204">
        <v>91</v>
      </c>
      <c r="K204">
        <v>25</v>
      </c>
      <c r="L204">
        <v>78</v>
      </c>
    </row>
    <row r="205" spans="1:12">
      <c r="A205" t="s">
        <v>1053</v>
      </c>
      <c r="B205">
        <v>79</v>
      </c>
      <c r="C205" t="s">
        <v>0</v>
      </c>
      <c r="D205" t="s">
        <v>18</v>
      </c>
      <c r="E205" t="s">
        <v>9</v>
      </c>
      <c r="F205" t="s">
        <v>82</v>
      </c>
      <c r="G205" t="s">
        <v>40</v>
      </c>
      <c r="H20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1.9230769230769236E-3</v>
      </c>
      <c r="I205" s="624">
        <f>SUMIFS(tblLaminateWeightedQty[Weighted QTY %],tblLaminateWeightedQty[Laminate],tblLaminateWeightedQty[[#This Row],[Laminate]],tblLaminateWeightedQty[Total Thickness (µ)],tblLaminateWeightedQty[[#This Row],[Total Thickness (µ)]])</f>
        <v>1</v>
      </c>
      <c r="J205">
        <v>91</v>
      </c>
      <c r="K205">
        <v>25</v>
      </c>
      <c r="L205">
        <v>78</v>
      </c>
    </row>
    <row r="206" spans="1:12">
      <c r="A206" t="s">
        <v>1053</v>
      </c>
      <c r="B206">
        <v>79</v>
      </c>
      <c r="C206" t="s">
        <v>0</v>
      </c>
      <c r="D206" t="s">
        <v>12</v>
      </c>
      <c r="E206" t="s">
        <v>8</v>
      </c>
      <c r="F206" t="s">
        <v>83</v>
      </c>
      <c r="G206" t="s">
        <v>42</v>
      </c>
      <c r="H20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0.10538461538461541</v>
      </c>
      <c r="I206" s="624">
        <f>SUMIFS(tblLaminateWeightedQty[Weighted QTY %],tblLaminateWeightedQty[Laminate],tblLaminateWeightedQty[[#This Row],[Laminate]],tblLaminateWeightedQty[Total Thickness (µ)],tblLaminateWeightedQty[[#This Row],[Total Thickness (µ)]])</f>
        <v>1</v>
      </c>
      <c r="J206">
        <v>91</v>
      </c>
      <c r="K206">
        <v>25</v>
      </c>
      <c r="L206">
        <v>78</v>
      </c>
    </row>
    <row r="207" spans="1:12">
      <c r="A207" t="s">
        <v>1053</v>
      </c>
      <c r="B207">
        <v>79</v>
      </c>
      <c r="C207" t="s">
        <v>1069</v>
      </c>
      <c r="D207" t="s">
        <v>1300</v>
      </c>
      <c r="G207" t="s">
        <v>1069</v>
      </c>
      <c r="H20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0.28205128205128205</v>
      </c>
      <c r="I207" s="624">
        <f>SUMIFS(tblLaminateWeightedQty[Weighted QTY %],tblLaminateWeightedQty[Laminate],tblLaminateWeightedQty[[#This Row],[Laminate]],tblLaminateWeightedQty[Total Thickness (µ)],tblLaminateWeightedQty[[#This Row],[Total Thickness (µ)]])</f>
        <v>1</v>
      </c>
      <c r="J207">
        <v>92</v>
      </c>
      <c r="K207">
        <v>22</v>
      </c>
      <c r="L207">
        <v>78</v>
      </c>
    </row>
    <row r="208" spans="1:12">
      <c r="A208" t="s">
        <v>1053</v>
      </c>
      <c r="B208">
        <v>79</v>
      </c>
      <c r="C208" t="s">
        <v>1301</v>
      </c>
      <c r="D208" t="s">
        <v>1300</v>
      </c>
      <c r="G208" t="s">
        <v>1301</v>
      </c>
      <c r="H20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0.32051282051282054</v>
      </c>
      <c r="I208" s="624">
        <f>SUMIFS(tblLaminateWeightedQty[Weighted QTY %],tblLaminateWeightedQty[Laminate],tblLaminateWeightedQty[[#This Row],[Laminate]],tblLaminateWeightedQty[Total Thickness (µ)],tblLaminateWeightedQty[[#This Row],[Total Thickness (µ)]])</f>
        <v>1</v>
      </c>
      <c r="J208">
        <v>93</v>
      </c>
      <c r="K208">
        <v>25</v>
      </c>
      <c r="L208">
        <v>78</v>
      </c>
    </row>
    <row r="209" spans="1:12">
      <c r="A209" t="s">
        <v>1053</v>
      </c>
      <c r="B209">
        <v>79</v>
      </c>
      <c r="C209" t="s">
        <v>177</v>
      </c>
      <c r="D209" t="s">
        <v>1300</v>
      </c>
      <c r="G209" t="s">
        <v>177</v>
      </c>
      <c r="H20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7.6923076923076927E-2</v>
      </c>
      <c r="I209" s="624">
        <f>SUMIFS(tblLaminateWeightedQty[Weighted QTY %],tblLaminateWeightedQty[Laminate],tblLaminateWeightedQty[[#This Row],[Laminate]],tblLaminateWeightedQty[Total Thickness (µ)],tblLaminateWeightedQty[[#This Row],[Total Thickness (µ)]])</f>
        <v>1</v>
      </c>
      <c r="J209">
        <v>94</v>
      </c>
      <c r="K209">
        <v>6</v>
      </c>
      <c r="L209">
        <v>78</v>
      </c>
    </row>
    <row r="210" spans="1:12">
      <c r="A210">
        <v>120</v>
      </c>
      <c r="B210">
        <v>98</v>
      </c>
      <c r="C210" t="s">
        <v>0</v>
      </c>
      <c r="D210" t="s">
        <v>13</v>
      </c>
      <c r="E210" t="s">
        <v>73</v>
      </c>
      <c r="F210" t="s">
        <v>74</v>
      </c>
      <c r="G210" t="s">
        <v>33</v>
      </c>
      <c r="H21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1.4693877551020409E-2</v>
      </c>
      <c r="I210" s="624">
        <f>SUMIFS(tblLaminateWeightedQty[Weighted QTY %],tblLaminateWeightedQty[Laminate],tblLaminateWeightedQty[[#This Row],[Laminate]],tblLaminateWeightedQty[Total Thickness (µ)],tblLaminateWeightedQty[[#This Row],[Total Thickness (µ)]])</f>
        <v>1</v>
      </c>
      <c r="J210">
        <v>95</v>
      </c>
      <c r="K210">
        <v>25</v>
      </c>
      <c r="L210">
        <v>98</v>
      </c>
    </row>
    <row r="211" spans="1:12">
      <c r="A211">
        <v>120</v>
      </c>
      <c r="B211">
        <v>98</v>
      </c>
      <c r="C211" t="s">
        <v>0</v>
      </c>
      <c r="D211" t="s">
        <v>14</v>
      </c>
      <c r="E211" t="s">
        <v>23</v>
      </c>
      <c r="F211" t="s">
        <v>76</v>
      </c>
      <c r="G211" t="s">
        <v>35</v>
      </c>
      <c r="H21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0.15076530612244901</v>
      </c>
      <c r="I211" s="624">
        <f>SUMIFS(tblLaminateWeightedQty[Weighted QTY %],tblLaminateWeightedQty[Laminate],tblLaminateWeightedQty[[#This Row],[Laminate]],tblLaminateWeightedQty[Total Thickness (µ)],tblLaminateWeightedQty[[#This Row],[Total Thickness (µ)]])</f>
        <v>1</v>
      </c>
      <c r="J211">
        <v>95</v>
      </c>
      <c r="K211">
        <v>25</v>
      </c>
      <c r="L211">
        <v>98</v>
      </c>
    </row>
    <row r="212" spans="1:12">
      <c r="A212">
        <v>120</v>
      </c>
      <c r="B212">
        <v>98</v>
      </c>
      <c r="C212" t="s">
        <v>0</v>
      </c>
      <c r="D212" t="s">
        <v>16</v>
      </c>
      <c r="E212" t="s">
        <v>10</v>
      </c>
      <c r="F212" t="s">
        <v>80</v>
      </c>
      <c r="G212" t="s">
        <v>38</v>
      </c>
      <c r="H21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3.8265306122448987E-3</v>
      </c>
      <c r="I212" s="624">
        <f>SUMIFS(tblLaminateWeightedQty[Weighted QTY %],tblLaminateWeightedQty[Laminate],tblLaminateWeightedQty[[#This Row],[Laminate]],tblLaminateWeightedQty[Total Thickness (µ)],tblLaminateWeightedQty[[#This Row],[Total Thickness (µ)]])</f>
        <v>1</v>
      </c>
      <c r="J212">
        <v>95</v>
      </c>
      <c r="K212">
        <v>25</v>
      </c>
      <c r="L212">
        <v>98</v>
      </c>
    </row>
    <row r="213" spans="1:12">
      <c r="A213">
        <v>120</v>
      </c>
      <c r="B213">
        <v>98</v>
      </c>
      <c r="C213" t="s">
        <v>0</v>
      </c>
      <c r="D213" t="s">
        <v>17</v>
      </c>
      <c r="E213" t="s">
        <v>11</v>
      </c>
      <c r="F213" t="s">
        <v>81</v>
      </c>
      <c r="G213" t="s">
        <v>39</v>
      </c>
      <c r="H21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4.0816326530612252E-4</v>
      </c>
      <c r="I213" s="624">
        <f>SUMIFS(tblLaminateWeightedQty[Weighted QTY %],tblLaminateWeightedQty[Laminate],tblLaminateWeightedQty[[#This Row],[Laminate]],tblLaminateWeightedQty[Total Thickness (µ)],tblLaminateWeightedQty[[#This Row],[Total Thickness (µ)]])</f>
        <v>1</v>
      </c>
      <c r="J213">
        <v>95</v>
      </c>
      <c r="K213">
        <v>25</v>
      </c>
      <c r="L213">
        <v>98</v>
      </c>
    </row>
    <row r="214" spans="1:12">
      <c r="A214">
        <v>120</v>
      </c>
      <c r="B214">
        <v>98</v>
      </c>
      <c r="C214" t="s">
        <v>0</v>
      </c>
      <c r="D214" t="s">
        <v>18</v>
      </c>
      <c r="E214" t="s">
        <v>9</v>
      </c>
      <c r="F214" t="s">
        <v>82</v>
      </c>
      <c r="G214" t="s">
        <v>40</v>
      </c>
      <c r="H21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1.5306122448979595E-3</v>
      </c>
      <c r="I214" s="624">
        <f>SUMIFS(tblLaminateWeightedQty[Weighted QTY %],tblLaminateWeightedQty[Laminate],tblLaminateWeightedQty[[#This Row],[Laminate]],tblLaminateWeightedQty[Total Thickness (µ)],tblLaminateWeightedQty[[#This Row],[Total Thickness (µ)]])</f>
        <v>1</v>
      </c>
      <c r="J214">
        <v>95</v>
      </c>
      <c r="K214">
        <v>25</v>
      </c>
      <c r="L214">
        <v>98</v>
      </c>
    </row>
    <row r="215" spans="1:12">
      <c r="A215">
        <v>120</v>
      </c>
      <c r="B215">
        <v>98</v>
      </c>
      <c r="C215" t="s">
        <v>0</v>
      </c>
      <c r="D215" t="s">
        <v>12</v>
      </c>
      <c r="E215" t="s">
        <v>8</v>
      </c>
      <c r="F215" t="s">
        <v>83</v>
      </c>
      <c r="G215" t="s">
        <v>42</v>
      </c>
      <c r="H21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8.387755102040817E-2</v>
      </c>
      <c r="I215" s="624">
        <f>SUMIFS(tblLaminateWeightedQty[Weighted QTY %],tblLaminateWeightedQty[Laminate],tblLaminateWeightedQty[[#This Row],[Laminate]],tblLaminateWeightedQty[Total Thickness (µ)],tblLaminateWeightedQty[[#This Row],[Total Thickness (µ)]])</f>
        <v>1</v>
      </c>
      <c r="J215">
        <v>95</v>
      </c>
      <c r="K215">
        <v>25</v>
      </c>
      <c r="L215">
        <v>98</v>
      </c>
    </row>
    <row r="216" spans="1:12">
      <c r="A216">
        <v>120</v>
      </c>
      <c r="B216">
        <v>98</v>
      </c>
      <c r="C216" t="s">
        <v>1075</v>
      </c>
      <c r="D216" t="s">
        <v>1300</v>
      </c>
      <c r="G216" t="s">
        <v>1075</v>
      </c>
      <c r="H21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7.1428571428571425E-2</v>
      </c>
      <c r="I216" s="624">
        <f>SUMIFS(tblLaminateWeightedQty[Weighted QTY %],tblLaminateWeightedQty[Laminate],tblLaminateWeightedQty[[#This Row],[Laminate]],tblLaminateWeightedQty[Total Thickness (µ)],tblLaminateWeightedQty[[#This Row],[Total Thickness (µ)]])</f>
        <v>1</v>
      </c>
      <c r="J216">
        <v>96</v>
      </c>
      <c r="K216">
        <v>7</v>
      </c>
      <c r="L216">
        <v>98</v>
      </c>
    </row>
    <row r="217" spans="1:12">
      <c r="A217">
        <v>120</v>
      </c>
      <c r="B217">
        <v>98</v>
      </c>
      <c r="C217" t="s">
        <v>181</v>
      </c>
      <c r="D217" t="s">
        <v>1300</v>
      </c>
      <c r="G217" t="s">
        <v>181</v>
      </c>
      <c r="H21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0.61224489795918369</v>
      </c>
      <c r="I217" s="624">
        <f>SUMIFS(tblLaminateWeightedQty[Weighted QTY %],tblLaminateWeightedQty[Laminate],tblLaminateWeightedQty[[#This Row],[Laminate]],tblLaminateWeightedQty[Total Thickness (µ)],tblLaminateWeightedQty[[#This Row],[Total Thickness (µ)]])</f>
        <v>1</v>
      </c>
      <c r="J217">
        <v>97</v>
      </c>
      <c r="K217">
        <v>60</v>
      </c>
      <c r="L217">
        <v>98</v>
      </c>
    </row>
    <row r="218" spans="1:12">
      <c r="A218">
        <v>120</v>
      </c>
      <c r="B218">
        <v>98</v>
      </c>
      <c r="C218" t="s">
        <v>177</v>
      </c>
      <c r="D218" t="s">
        <v>1300</v>
      </c>
      <c r="G218" t="s">
        <v>177</v>
      </c>
      <c r="H21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6.1224489795918366E-2</v>
      </c>
      <c r="I218" s="624">
        <f>SUMIFS(tblLaminateWeightedQty[Weighted QTY %],tblLaminateWeightedQty[Laminate],tblLaminateWeightedQty[[#This Row],[Laminate]],tblLaminateWeightedQty[Total Thickness (µ)],tblLaminateWeightedQty[[#This Row],[Total Thickness (µ)]])</f>
        <v>1</v>
      </c>
      <c r="J218">
        <v>98</v>
      </c>
      <c r="K218">
        <v>6</v>
      </c>
      <c r="L218">
        <v>98</v>
      </c>
    </row>
    <row r="219" spans="1:12">
      <c r="A219">
        <v>748</v>
      </c>
      <c r="B219">
        <v>55</v>
      </c>
      <c r="C219" t="s">
        <v>44</v>
      </c>
      <c r="D219" t="s">
        <v>13</v>
      </c>
      <c r="E219" t="s">
        <v>73</v>
      </c>
      <c r="F219" t="s">
        <v>74</v>
      </c>
      <c r="G219" t="s">
        <v>33</v>
      </c>
      <c r="H21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0.24081188836534981</v>
      </c>
      <c r="I219" s="624">
        <f>SUMIFS(tblLaminateWeightedQty[Weighted QTY %],tblLaminateWeightedQty[Laminate],tblLaminateWeightedQty[[#This Row],[Laminate]],tblLaminateWeightedQty[Total Thickness (µ)],tblLaminateWeightedQty[[#This Row],[Total Thickness (µ)]])</f>
        <v>1.0000000000000002</v>
      </c>
      <c r="J219">
        <v>99</v>
      </c>
      <c r="K219">
        <v>20</v>
      </c>
      <c r="L219">
        <v>55.18</v>
      </c>
    </row>
    <row r="220" spans="1:12">
      <c r="A220">
        <v>748</v>
      </c>
      <c r="B220">
        <v>55</v>
      </c>
      <c r="C220" t="s">
        <v>44</v>
      </c>
      <c r="D220" t="s">
        <v>15</v>
      </c>
      <c r="E220" t="s">
        <v>24</v>
      </c>
      <c r="F220" t="s">
        <v>79</v>
      </c>
      <c r="G220" t="s">
        <v>37</v>
      </c>
      <c r="H22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5.5092424791591162E-2</v>
      </c>
      <c r="I220" s="624">
        <f>SUMIFS(tblLaminateWeightedQty[Weighted QTY %],tblLaminateWeightedQty[Laminate],tblLaminateWeightedQty[[#This Row],[Laminate]],tblLaminateWeightedQty[Total Thickness (µ)],tblLaminateWeightedQty[[#This Row],[Total Thickness (µ)]])</f>
        <v>1.0000000000000002</v>
      </c>
      <c r="J220">
        <v>99</v>
      </c>
      <c r="K220">
        <v>20</v>
      </c>
      <c r="L220">
        <v>55.18</v>
      </c>
    </row>
    <row r="221" spans="1:12">
      <c r="A221">
        <v>748</v>
      </c>
      <c r="B221">
        <v>55</v>
      </c>
      <c r="C221" t="s">
        <v>44</v>
      </c>
      <c r="D221" t="s">
        <v>16</v>
      </c>
      <c r="E221" t="s">
        <v>10</v>
      </c>
      <c r="F221" t="s">
        <v>80</v>
      </c>
      <c r="G221" t="s">
        <v>38</v>
      </c>
      <c r="H22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5.4367524465386017E-3</v>
      </c>
      <c r="I221" s="624">
        <f>SUMIFS(tblLaminateWeightedQty[Weighted QTY %],tblLaminateWeightedQty[Laminate],tblLaminateWeightedQty[[#This Row],[Laminate]],tblLaminateWeightedQty[Total Thickness (µ)],tblLaminateWeightedQty[[#This Row],[Total Thickness (µ)]])</f>
        <v>1.0000000000000002</v>
      </c>
      <c r="J221">
        <v>99</v>
      </c>
      <c r="K221">
        <v>20</v>
      </c>
      <c r="L221">
        <v>55.18</v>
      </c>
    </row>
    <row r="222" spans="1:12">
      <c r="A222">
        <v>748</v>
      </c>
      <c r="B222">
        <v>55</v>
      </c>
      <c r="C222" t="s">
        <v>44</v>
      </c>
      <c r="D222" t="s">
        <v>17</v>
      </c>
      <c r="E222" t="s">
        <v>11</v>
      </c>
      <c r="F222" t="s">
        <v>81</v>
      </c>
      <c r="G222" t="s">
        <v>39</v>
      </c>
      <c r="H22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1.449800652410294E-3</v>
      </c>
      <c r="I222" s="624">
        <f>SUMIFS(tblLaminateWeightedQty[Weighted QTY %],tblLaminateWeightedQty[Laminate],tblLaminateWeightedQty[[#This Row],[Laminate]],tblLaminateWeightedQty[Total Thickness (µ)],tblLaminateWeightedQty[[#This Row],[Total Thickness (µ)]])</f>
        <v>1.0000000000000002</v>
      </c>
      <c r="J222">
        <v>99</v>
      </c>
      <c r="K222">
        <v>20</v>
      </c>
      <c r="L222">
        <v>55.18</v>
      </c>
    </row>
    <row r="223" spans="1:12">
      <c r="A223">
        <v>748</v>
      </c>
      <c r="B223">
        <v>55</v>
      </c>
      <c r="C223" t="s">
        <v>44</v>
      </c>
      <c r="D223" t="s">
        <v>18</v>
      </c>
      <c r="E223" t="s">
        <v>9</v>
      </c>
      <c r="F223" t="s">
        <v>82</v>
      </c>
      <c r="G223" t="s">
        <v>40</v>
      </c>
      <c r="H22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1.0873504893077204E-3</v>
      </c>
      <c r="I223" s="624">
        <f>SUMIFS(tblLaminateWeightedQty[Weighted QTY %],tblLaminateWeightedQty[Laminate],tblLaminateWeightedQty[[#This Row],[Laminate]],tblLaminateWeightedQty[Total Thickness (µ)],tblLaminateWeightedQty[[#This Row],[Total Thickness (µ)]])</f>
        <v>1.0000000000000002</v>
      </c>
      <c r="J223">
        <v>99</v>
      </c>
      <c r="K223">
        <v>20</v>
      </c>
      <c r="L223">
        <v>55.18</v>
      </c>
    </row>
    <row r="224" spans="1:12">
      <c r="A224">
        <v>748</v>
      </c>
      <c r="B224">
        <v>55</v>
      </c>
      <c r="C224" t="s">
        <v>44</v>
      </c>
      <c r="D224" t="s">
        <v>12</v>
      </c>
      <c r="E224" t="s">
        <v>8</v>
      </c>
      <c r="F224" t="s">
        <v>83</v>
      </c>
      <c r="G224" t="s">
        <v>42</v>
      </c>
      <c r="H22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5.8571946357375879E-2</v>
      </c>
      <c r="I224" s="624">
        <f>SUMIFS(tblLaminateWeightedQty[Weighted QTY %],tblLaminateWeightedQty[Laminate],tblLaminateWeightedQty[[#This Row],[Laminate]],tblLaminateWeightedQty[Total Thickness (µ)],tblLaminateWeightedQty[[#This Row],[Total Thickness (µ)]])</f>
        <v>1.0000000000000002</v>
      </c>
      <c r="J224">
        <v>99</v>
      </c>
      <c r="K224">
        <v>20</v>
      </c>
      <c r="L224">
        <v>55.18</v>
      </c>
    </row>
    <row r="225" spans="1:12">
      <c r="A225">
        <v>748</v>
      </c>
      <c r="B225">
        <v>55</v>
      </c>
      <c r="C225" t="s">
        <v>168</v>
      </c>
      <c r="D225" t="s">
        <v>1300</v>
      </c>
      <c r="G225" t="s">
        <v>168</v>
      </c>
      <c r="H22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0.41681768756795939</v>
      </c>
      <c r="I225" s="624">
        <f>SUMIFS(tblLaminateWeightedQty[Weighted QTY %],tblLaminateWeightedQty[Laminate],tblLaminateWeightedQty[[#This Row],[Laminate]],tblLaminateWeightedQty[Total Thickness (µ)],tblLaminateWeightedQty[[#This Row],[Total Thickness (µ)]])</f>
        <v>1.0000000000000002</v>
      </c>
      <c r="J225">
        <v>100</v>
      </c>
      <c r="K225">
        <v>23</v>
      </c>
      <c r="L225">
        <v>55.18</v>
      </c>
    </row>
    <row r="226" spans="1:12">
      <c r="A226">
        <v>748</v>
      </c>
      <c r="B226">
        <v>55</v>
      </c>
      <c r="C226" t="s">
        <v>173</v>
      </c>
      <c r="D226" t="s">
        <v>1300</v>
      </c>
      <c r="G226" t="s">
        <v>173</v>
      </c>
      <c r="H22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0.10873504893077202</v>
      </c>
      <c r="I226" s="624">
        <f>SUMIFS(tblLaminateWeightedQty[Weighted QTY %],tblLaminateWeightedQty[Laminate],tblLaminateWeightedQty[[#This Row],[Laminate]],tblLaminateWeightedQty[Total Thickness (µ)],tblLaminateWeightedQty[[#This Row],[Total Thickness (µ)]])</f>
        <v>1.0000000000000002</v>
      </c>
      <c r="J226">
        <v>101</v>
      </c>
      <c r="K226">
        <v>6</v>
      </c>
      <c r="L226">
        <v>55.18</v>
      </c>
    </row>
    <row r="227" spans="1:12">
      <c r="A227">
        <v>748</v>
      </c>
      <c r="B227">
        <v>55</v>
      </c>
      <c r="C227" t="s">
        <v>1075</v>
      </c>
      <c r="D227" t="s">
        <v>1300</v>
      </c>
      <c r="G227" t="s">
        <v>1075</v>
      </c>
      <c r="H22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0.10873504893077202</v>
      </c>
      <c r="I227" s="624">
        <f>SUMIFS(tblLaminateWeightedQty[Weighted QTY %],tblLaminateWeightedQty[Laminate],tblLaminateWeightedQty[[#This Row],[Laminate]],tblLaminateWeightedQty[Total Thickness (µ)],tblLaminateWeightedQty[[#This Row],[Total Thickness (µ)]])</f>
        <v>1.0000000000000002</v>
      </c>
      <c r="J227">
        <v>102</v>
      </c>
      <c r="K227">
        <v>6</v>
      </c>
      <c r="L227">
        <v>55.18</v>
      </c>
    </row>
    <row r="228" spans="1:12">
      <c r="A228">
        <v>748</v>
      </c>
      <c r="B228">
        <v>55</v>
      </c>
      <c r="C228" t="s">
        <v>174</v>
      </c>
      <c r="D228" t="s">
        <v>1300</v>
      </c>
      <c r="G228" t="s">
        <v>174</v>
      </c>
      <c r="H22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3.2620514679231605E-3</v>
      </c>
      <c r="I228" s="624">
        <f>SUMIFS(tblLaminateWeightedQty[Weighted QTY %],tblLaminateWeightedQty[Laminate],tblLaminateWeightedQty[[#This Row],[Laminate]],tblLaminateWeightedQty[Total Thickness (µ)],tblLaminateWeightedQty[[#This Row],[Total Thickness (µ)]])</f>
        <v>1.0000000000000002</v>
      </c>
      <c r="J228">
        <v>103</v>
      </c>
      <c r="K228">
        <v>0.18</v>
      </c>
      <c r="L228">
        <v>55.18</v>
      </c>
    </row>
    <row r="229" spans="1:12">
      <c r="A229">
        <v>648</v>
      </c>
      <c r="B229">
        <v>77</v>
      </c>
      <c r="C229" t="s">
        <v>168</v>
      </c>
      <c r="D229" t="s">
        <v>1300</v>
      </c>
      <c r="G229" t="s">
        <v>168</v>
      </c>
      <c r="H22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0.29835257491243999</v>
      </c>
      <c r="I229" s="624">
        <f>SUMIFS(tblLaminateWeightedQty[Weighted QTY %],tblLaminateWeightedQty[Laminate],tblLaminateWeightedQty[[#This Row],[Laminate]],tblLaminateWeightedQty[Total Thickness (µ)],tblLaminateWeightedQty[[#This Row],[Total Thickness (µ)]])</f>
        <v>1.0000000000000002</v>
      </c>
      <c r="J229">
        <v>104</v>
      </c>
      <c r="K229">
        <v>23</v>
      </c>
      <c r="L229">
        <v>77.09</v>
      </c>
    </row>
    <row r="230" spans="1:12">
      <c r="A230">
        <v>648</v>
      </c>
      <c r="B230">
        <v>77</v>
      </c>
      <c r="C230" t="s">
        <v>0</v>
      </c>
      <c r="D230" t="s">
        <v>13</v>
      </c>
      <c r="E230" t="s">
        <v>73</v>
      </c>
      <c r="F230" t="s">
        <v>74</v>
      </c>
      <c r="G230" t="s">
        <v>33</v>
      </c>
      <c r="H23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3.7358931119470751E-2</v>
      </c>
      <c r="I230" s="624">
        <f>SUMIFS(tblLaminateWeightedQty[Weighted QTY %],tblLaminateWeightedQty[Laminate],tblLaminateWeightedQty[[#This Row],[Laminate]],tblLaminateWeightedQty[Total Thickness (µ)],tblLaminateWeightedQty[[#This Row],[Total Thickness (µ)]])</f>
        <v>1.0000000000000002</v>
      </c>
      <c r="J230">
        <v>105</v>
      </c>
      <c r="K230">
        <v>50</v>
      </c>
      <c r="L230">
        <v>77.09</v>
      </c>
    </row>
    <row r="231" spans="1:12">
      <c r="A231">
        <v>648</v>
      </c>
      <c r="B231">
        <v>77</v>
      </c>
      <c r="C231" t="s">
        <v>0</v>
      </c>
      <c r="D231" t="s">
        <v>14</v>
      </c>
      <c r="E231" t="s">
        <v>23</v>
      </c>
      <c r="F231" t="s">
        <v>76</v>
      </c>
      <c r="G231" t="s">
        <v>35</v>
      </c>
      <c r="H23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0.38331819950706975</v>
      </c>
      <c r="I231" s="624">
        <f>SUMIFS(tblLaminateWeightedQty[Weighted QTY %],tblLaminateWeightedQty[Laminate],tblLaminateWeightedQty[[#This Row],[Laminate]],tblLaminateWeightedQty[Total Thickness (µ)],tblLaminateWeightedQty[[#This Row],[Total Thickness (µ)]])</f>
        <v>1.0000000000000002</v>
      </c>
      <c r="J231">
        <v>105</v>
      </c>
      <c r="K231">
        <v>50</v>
      </c>
      <c r="L231">
        <v>77.09</v>
      </c>
    </row>
    <row r="232" spans="1:12">
      <c r="A232">
        <v>648</v>
      </c>
      <c r="B232">
        <v>77</v>
      </c>
      <c r="C232" t="s">
        <v>0</v>
      </c>
      <c r="D232" t="s">
        <v>16</v>
      </c>
      <c r="E232" t="s">
        <v>10</v>
      </c>
      <c r="F232" t="s">
        <v>80</v>
      </c>
      <c r="G232" t="s">
        <v>38</v>
      </c>
      <c r="H23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9.7288883123621758E-3</v>
      </c>
      <c r="I232" s="624">
        <f>SUMIFS(tblLaminateWeightedQty[Weighted QTY %],tblLaminateWeightedQty[Laminate],tblLaminateWeightedQty[[#This Row],[Laminate]],tblLaminateWeightedQty[Total Thickness (µ)],tblLaminateWeightedQty[[#This Row],[Total Thickness (µ)]])</f>
        <v>1.0000000000000002</v>
      </c>
      <c r="J232">
        <v>105</v>
      </c>
      <c r="K232">
        <v>50</v>
      </c>
      <c r="L232">
        <v>77.09</v>
      </c>
    </row>
    <row r="233" spans="1:12">
      <c r="A233">
        <v>648</v>
      </c>
      <c r="B233">
        <v>77</v>
      </c>
      <c r="C233" t="s">
        <v>0</v>
      </c>
      <c r="D233" t="s">
        <v>17</v>
      </c>
      <c r="E233" t="s">
        <v>11</v>
      </c>
      <c r="F233" t="s">
        <v>81</v>
      </c>
      <c r="G233" t="s">
        <v>39</v>
      </c>
      <c r="H23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1.0377480866519656E-3</v>
      </c>
      <c r="I233" s="624">
        <f>SUMIFS(tblLaminateWeightedQty[Weighted QTY %],tblLaminateWeightedQty[Laminate],tblLaminateWeightedQty[[#This Row],[Laminate]],tblLaminateWeightedQty[Total Thickness (µ)],tblLaminateWeightedQty[[#This Row],[Total Thickness (µ)]])</f>
        <v>1.0000000000000002</v>
      </c>
      <c r="J233">
        <v>105</v>
      </c>
      <c r="K233">
        <v>50</v>
      </c>
      <c r="L233">
        <v>77.09</v>
      </c>
    </row>
    <row r="234" spans="1:12">
      <c r="A234">
        <v>648</v>
      </c>
      <c r="B234">
        <v>77</v>
      </c>
      <c r="C234" t="s">
        <v>0</v>
      </c>
      <c r="D234" t="s">
        <v>18</v>
      </c>
      <c r="E234" t="s">
        <v>9</v>
      </c>
      <c r="F234" t="s">
        <v>82</v>
      </c>
      <c r="G234" t="s">
        <v>40</v>
      </c>
      <c r="H23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3.8915553249448706E-3</v>
      </c>
      <c r="I234" s="624">
        <f>SUMIFS(tblLaminateWeightedQty[Weighted QTY %],tblLaminateWeightedQty[Laminate],tblLaminateWeightedQty[[#This Row],[Laminate]],tblLaminateWeightedQty[Total Thickness (µ)],tblLaminateWeightedQty[[#This Row],[Total Thickness (µ)]])</f>
        <v>1.0000000000000002</v>
      </c>
      <c r="J234">
        <v>105</v>
      </c>
      <c r="K234">
        <v>50</v>
      </c>
      <c r="L234">
        <v>77.09</v>
      </c>
    </row>
    <row r="235" spans="1:12">
      <c r="A235">
        <v>648</v>
      </c>
      <c r="B235">
        <v>77</v>
      </c>
      <c r="C235" t="s">
        <v>0</v>
      </c>
      <c r="D235" t="s">
        <v>12</v>
      </c>
      <c r="E235" t="s">
        <v>8</v>
      </c>
      <c r="F235" t="s">
        <v>83</v>
      </c>
      <c r="G235" t="s">
        <v>42</v>
      </c>
      <c r="H23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0.21325723180697889</v>
      </c>
      <c r="I235" s="624">
        <f>SUMIFS(tblLaminateWeightedQty[Weighted QTY %],tblLaminateWeightedQty[Laminate],tblLaminateWeightedQty[[#This Row],[Laminate]],tblLaminateWeightedQty[Total Thickness (µ)],tblLaminateWeightedQty[[#This Row],[Total Thickness (µ)]])</f>
        <v>1.0000000000000002</v>
      </c>
      <c r="J235">
        <v>105</v>
      </c>
      <c r="K235">
        <v>50</v>
      </c>
      <c r="L235">
        <v>77.09</v>
      </c>
    </row>
    <row r="236" spans="1:12">
      <c r="A236">
        <v>648</v>
      </c>
      <c r="B236">
        <v>77</v>
      </c>
      <c r="C236" t="s">
        <v>173</v>
      </c>
      <c r="D236" t="s">
        <v>1300</v>
      </c>
      <c r="G236" t="s">
        <v>173</v>
      </c>
      <c r="H23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5.188740433259826E-2</v>
      </c>
      <c r="I236" s="624">
        <f>SUMIFS(tblLaminateWeightedQty[Weighted QTY %],tblLaminateWeightedQty[Laminate],tblLaminateWeightedQty[[#This Row],[Laminate]],tblLaminateWeightedQty[Total Thickness (µ)],tblLaminateWeightedQty[[#This Row],[Total Thickness (µ)]])</f>
        <v>1.0000000000000002</v>
      </c>
      <c r="J236">
        <v>106</v>
      </c>
      <c r="K236">
        <v>4</v>
      </c>
      <c r="L236">
        <v>77.09</v>
      </c>
    </row>
    <row r="237" spans="1:12">
      <c r="A237">
        <v>648</v>
      </c>
      <c r="B237">
        <v>77</v>
      </c>
      <c r="C237" t="s">
        <v>174</v>
      </c>
      <c r="D237" t="s">
        <v>1300</v>
      </c>
      <c r="G237" t="s">
        <v>174</v>
      </c>
      <c r="H23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1.1674665974834607E-3</v>
      </c>
      <c r="I237" s="624">
        <f>SUMIFS(tblLaminateWeightedQty[Weighted QTY %],tblLaminateWeightedQty[Laminate],tblLaminateWeightedQty[[#This Row],[Laminate]],tblLaminateWeightedQty[Total Thickness (µ)],tblLaminateWeightedQty[[#This Row],[Total Thickness (µ)]])</f>
        <v>1.0000000000000002</v>
      </c>
      <c r="J237">
        <v>107</v>
      </c>
      <c r="K237">
        <v>0.09</v>
      </c>
      <c r="L237">
        <v>77.09</v>
      </c>
    </row>
    <row r="238" spans="1:12">
      <c r="A238">
        <v>648</v>
      </c>
      <c r="B238">
        <v>53</v>
      </c>
      <c r="C238" t="s">
        <v>168</v>
      </c>
      <c r="D238" t="s">
        <v>1300</v>
      </c>
      <c r="G238" t="s">
        <v>168</v>
      </c>
      <c r="H23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0.43322659634582783</v>
      </c>
      <c r="I238" s="624">
        <f>SUMIFS(tblLaminateWeightedQty[Weighted QTY %],tblLaminateWeightedQty[Laminate],tblLaminateWeightedQty[[#This Row],[Laminate]],tblLaminateWeightedQty[Total Thickness (µ)],tblLaminateWeightedQty[[#This Row],[Total Thickness (µ)]])</f>
        <v>1</v>
      </c>
      <c r="J238">
        <v>108</v>
      </c>
      <c r="K238">
        <v>23</v>
      </c>
      <c r="L238">
        <v>53.09</v>
      </c>
    </row>
    <row r="239" spans="1:12">
      <c r="A239">
        <v>648</v>
      </c>
      <c r="B239">
        <v>53</v>
      </c>
      <c r="C239" t="s">
        <v>0</v>
      </c>
      <c r="D239" t="s">
        <v>13</v>
      </c>
      <c r="E239" t="s">
        <v>73</v>
      </c>
      <c r="F239" t="s">
        <v>74</v>
      </c>
      <c r="G239" t="s">
        <v>33</v>
      </c>
      <c r="H23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2.9293652288566584E-2</v>
      </c>
      <c r="I239" s="624">
        <f>SUMIFS(tblLaminateWeightedQty[Weighted QTY %],tblLaminateWeightedQty[Laminate],tblLaminateWeightedQty[[#This Row],[Laminate]],tblLaminateWeightedQty[Total Thickness (µ)],tblLaminateWeightedQty[[#This Row],[Total Thickness (µ)]])</f>
        <v>1</v>
      </c>
      <c r="J239">
        <v>109</v>
      </c>
      <c r="K239">
        <v>27</v>
      </c>
      <c r="L239">
        <v>53.09</v>
      </c>
    </row>
    <row r="240" spans="1:12">
      <c r="A240">
        <v>648</v>
      </c>
      <c r="B240">
        <v>53</v>
      </c>
      <c r="C240" t="s">
        <v>0</v>
      </c>
      <c r="D240" t="s">
        <v>14</v>
      </c>
      <c r="E240" t="s">
        <v>23</v>
      </c>
      <c r="F240" t="s">
        <v>76</v>
      </c>
      <c r="G240" t="s">
        <v>35</v>
      </c>
      <c r="H24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0.30056507816914674</v>
      </c>
      <c r="I240" s="624">
        <f>SUMIFS(tblLaminateWeightedQty[Weighted QTY %],tblLaminateWeightedQty[Laminate],tblLaminateWeightedQty[[#This Row],[Laminate]],tblLaminateWeightedQty[Total Thickness (µ)],tblLaminateWeightedQty[[#This Row],[Total Thickness (µ)]])</f>
        <v>1</v>
      </c>
      <c r="J240">
        <v>109</v>
      </c>
      <c r="K240">
        <v>27</v>
      </c>
      <c r="L240">
        <v>53.09</v>
      </c>
    </row>
    <row r="241" spans="1:12">
      <c r="A241">
        <v>648</v>
      </c>
      <c r="B241">
        <v>53</v>
      </c>
      <c r="C241" t="s">
        <v>0</v>
      </c>
      <c r="D241" t="s">
        <v>16</v>
      </c>
      <c r="E241" t="s">
        <v>10</v>
      </c>
      <c r="F241" t="s">
        <v>80</v>
      </c>
      <c r="G241" t="s">
        <v>38</v>
      </c>
      <c r="H24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7.6285552834808824E-3</v>
      </c>
      <c r="I241" s="624">
        <f>SUMIFS(tblLaminateWeightedQty[Weighted QTY %],tblLaminateWeightedQty[Laminate],tblLaminateWeightedQty[[#This Row],[Laminate]],tblLaminateWeightedQty[Total Thickness (µ)],tblLaminateWeightedQty[[#This Row],[Total Thickness (µ)]])</f>
        <v>1</v>
      </c>
      <c r="J241">
        <v>109</v>
      </c>
      <c r="K241">
        <v>27</v>
      </c>
      <c r="L241">
        <v>53.09</v>
      </c>
    </row>
    <row r="242" spans="1:12">
      <c r="A242">
        <v>648</v>
      </c>
      <c r="B242">
        <v>53</v>
      </c>
      <c r="C242" t="s">
        <v>0</v>
      </c>
      <c r="D242" t="s">
        <v>17</v>
      </c>
      <c r="E242" t="s">
        <v>11</v>
      </c>
      <c r="F242" t="s">
        <v>81</v>
      </c>
      <c r="G242" t="s">
        <v>39</v>
      </c>
      <c r="H24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8.1371256357129409E-4</v>
      </c>
      <c r="I242" s="624">
        <f>SUMIFS(tblLaminateWeightedQty[Weighted QTY %],tblLaminateWeightedQty[Laminate],tblLaminateWeightedQty[[#This Row],[Laminate]],tblLaminateWeightedQty[Total Thickness (µ)],tblLaminateWeightedQty[[#This Row],[Total Thickness (µ)]])</f>
        <v>1</v>
      </c>
      <c r="J242">
        <v>109</v>
      </c>
      <c r="K242">
        <v>27</v>
      </c>
      <c r="L242">
        <v>53.09</v>
      </c>
    </row>
    <row r="243" spans="1:12">
      <c r="A243">
        <v>648</v>
      </c>
      <c r="B243">
        <v>53</v>
      </c>
      <c r="C243" t="s">
        <v>0</v>
      </c>
      <c r="D243" t="s">
        <v>18</v>
      </c>
      <c r="E243" t="s">
        <v>9</v>
      </c>
      <c r="F243" t="s">
        <v>82</v>
      </c>
      <c r="G243" t="s">
        <v>40</v>
      </c>
      <c r="H24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3.0514221133923526E-3</v>
      </c>
      <c r="I243" s="624">
        <f>SUMIFS(tblLaminateWeightedQty[Weighted QTY %],tblLaminateWeightedQty[Laminate],tblLaminateWeightedQty[[#This Row],[Laminate]],tblLaminateWeightedQty[Total Thickness (µ)],tblLaminateWeightedQty[[#This Row],[Total Thickness (µ)]])</f>
        <v>1</v>
      </c>
      <c r="J243">
        <v>109</v>
      </c>
      <c r="K243">
        <v>27</v>
      </c>
      <c r="L243">
        <v>53.09</v>
      </c>
    </row>
    <row r="244" spans="1:12">
      <c r="A244">
        <v>648</v>
      </c>
      <c r="B244">
        <v>53</v>
      </c>
      <c r="C244" t="s">
        <v>0</v>
      </c>
      <c r="D244" t="s">
        <v>12</v>
      </c>
      <c r="E244" t="s">
        <v>8</v>
      </c>
      <c r="F244" t="s">
        <v>83</v>
      </c>
      <c r="G244" t="s">
        <v>42</v>
      </c>
      <c r="H24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0.16721793181390093</v>
      </c>
      <c r="I244" s="624">
        <f>SUMIFS(tblLaminateWeightedQty[Weighted QTY %],tblLaminateWeightedQty[Laminate],tblLaminateWeightedQty[[#This Row],[Laminate]],tblLaminateWeightedQty[Total Thickness (µ)],tblLaminateWeightedQty[[#This Row],[Total Thickness (µ)]])</f>
        <v>1</v>
      </c>
      <c r="J244">
        <v>109</v>
      </c>
      <c r="K244">
        <v>27</v>
      </c>
      <c r="L244">
        <v>53.09</v>
      </c>
    </row>
    <row r="245" spans="1:12">
      <c r="A245">
        <v>648</v>
      </c>
      <c r="B245">
        <v>53</v>
      </c>
      <c r="C245" t="s">
        <v>173</v>
      </c>
      <c r="D245" t="s">
        <v>1300</v>
      </c>
      <c r="G245" t="s">
        <v>173</v>
      </c>
      <c r="H24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5.6507816914673194E-2</v>
      </c>
      <c r="I245" s="624">
        <f>SUMIFS(tblLaminateWeightedQty[Weighted QTY %],tblLaminateWeightedQty[Laminate],tblLaminateWeightedQty[[#This Row],[Laminate]],tblLaminateWeightedQty[Total Thickness (µ)],tblLaminateWeightedQty[[#This Row],[Total Thickness (µ)]])</f>
        <v>1</v>
      </c>
      <c r="J245">
        <v>110</v>
      </c>
      <c r="K245">
        <v>3</v>
      </c>
      <c r="L245">
        <v>53.09</v>
      </c>
    </row>
    <row r="246" spans="1:12">
      <c r="A246">
        <v>648</v>
      </c>
      <c r="B246">
        <v>53</v>
      </c>
      <c r="C246" t="s">
        <v>174</v>
      </c>
      <c r="D246" t="s">
        <v>1300</v>
      </c>
      <c r="G246" t="s">
        <v>174</v>
      </c>
      <c r="H24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1.6952345074401939E-3</v>
      </c>
      <c r="I246" s="624">
        <f>SUMIFS(tblLaminateWeightedQty[Weighted QTY %],tblLaminateWeightedQty[Laminate],tblLaminateWeightedQty[[#This Row],[Laminate]],tblLaminateWeightedQty[Total Thickness (µ)],tblLaminateWeightedQty[[#This Row],[Total Thickness (µ)]])</f>
        <v>1</v>
      </c>
      <c r="J246">
        <v>111</v>
      </c>
      <c r="K246">
        <v>8.99999999999999E-2</v>
      </c>
      <c r="L246">
        <v>53.09</v>
      </c>
    </row>
    <row r="247" spans="1:12">
      <c r="A247" t="s">
        <v>1287</v>
      </c>
      <c r="B247">
        <v>103</v>
      </c>
      <c r="C247" t="s">
        <v>43</v>
      </c>
      <c r="D247" t="s">
        <v>41</v>
      </c>
      <c r="E247" t="s">
        <v>26</v>
      </c>
      <c r="F247" t="s">
        <v>26</v>
      </c>
      <c r="G247" t="s">
        <v>53</v>
      </c>
      <c r="H24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1.4563106796116507E-2</v>
      </c>
      <c r="I247" s="624">
        <f>SUMIFS(tblLaminateWeightedQty[Weighted QTY %],tblLaminateWeightedQty[Laminate],tblLaminateWeightedQty[[#This Row],[Laminate]],tblLaminateWeightedQty[Total Thickness (µ)],tblLaminateWeightedQty[[#This Row],[Total Thickness (µ)]])</f>
        <v>1</v>
      </c>
      <c r="J247">
        <v>112</v>
      </c>
      <c r="K247">
        <v>25</v>
      </c>
      <c r="L247">
        <v>103</v>
      </c>
    </row>
    <row r="248" spans="1:12">
      <c r="A248" t="s">
        <v>1287</v>
      </c>
      <c r="B248">
        <v>103</v>
      </c>
      <c r="C248" t="s">
        <v>43</v>
      </c>
      <c r="D248" t="s">
        <v>13</v>
      </c>
      <c r="E248" t="s">
        <v>73</v>
      </c>
      <c r="F248" t="s">
        <v>74</v>
      </c>
      <c r="G248" t="s">
        <v>33</v>
      </c>
      <c r="H248"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1.3980582524271845E-2</v>
      </c>
      <c r="I248" s="624">
        <f>SUMIFS(tblLaminateWeightedQty[Weighted QTY %],tblLaminateWeightedQty[Laminate],tblLaminateWeightedQty[[#This Row],[Laminate]],tblLaminateWeightedQty[Total Thickness (µ)],tblLaminateWeightedQty[[#This Row],[Total Thickness (µ)]])</f>
        <v>1</v>
      </c>
      <c r="J248">
        <v>112</v>
      </c>
      <c r="K248">
        <v>25</v>
      </c>
      <c r="L248">
        <v>103</v>
      </c>
    </row>
    <row r="249" spans="1:12">
      <c r="A249" t="s">
        <v>1287</v>
      </c>
      <c r="B249">
        <v>103</v>
      </c>
      <c r="C249" t="s">
        <v>43</v>
      </c>
      <c r="D249" t="s">
        <v>14</v>
      </c>
      <c r="E249" t="s">
        <v>23</v>
      </c>
      <c r="F249" t="s">
        <v>76</v>
      </c>
      <c r="G249" t="s">
        <v>35</v>
      </c>
      <c r="H249"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0.12888349514563108</v>
      </c>
      <c r="I249" s="624">
        <f>SUMIFS(tblLaminateWeightedQty[Weighted QTY %],tblLaminateWeightedQty[Laminate],tblLaminateWeightedQty[[#This Row],[Laminate]],tblLaminateWeightedQty[Total Thickness (µ)],tblLaminateWeightedQty[[#This Row],[Total Thickness (µ)]])</f>
        <v>1</v>
      </c>
      <c r="J249">
        <v>112</v>
      </c>
      <c r="K249">
        <v>25</v>
      </c>
      <c r="L249">
        <v>103</v>
      </c>
    </row>
    <row r="250" spans="1:12">
      <c r="A250" t="s">
        <v>1287</v>
      </c>
      <c r="B250">
        <v>103</v>
      </c>
      <c r="C250" t="s">
        <v>43</v>
      </c>
      <c r="D250" t="s">
        <v>16</v>
      </c>
      <c r="E250" t="s">
        <v>10</v>
      </c>
      <c r="F250" t="s">
        <v>80</v>
      </c>
      <c r="G250" t="s">
        <v>38</v>
      </c>
      <c r="H250"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3.6407766990291263E-3</v>
      </c>
      <c r="I250" s="624">
        <f>SUMIFS(tblLaminateWeightedQty[Weighted QTY %],tblLaminateWeightedQty[Laminate],tblLaminateWeightedQty[[#This Row],[Laminate]],tblLaminateWeightedQty[Total Thickness (µ)],tblLaminateWeightedQty[[#This Row],[Total Thickness (µ)]])</f>
        <v>1</v>
      </c>
      <c r="J250">
        <v>112</v>
      </c>
      <c r="K250">
        <v>25</v>
      </c>
      <c r="L250">
        <v>103</v>
      </c>
    </row>
    <row r="251" spans="1:12">
      <c r="A251" t="s">
        <v>1287</v>
      </c>
      <c r="B251">
        <v>103</v>
      </c>
      <c r="C251" t="s">
        <v>43</v>
      </c>
      <c r="D251" t="s">
        <v>17</v>
      </c>
      <c r="E251" t="s">
        <v>11</v>
      </c>
      <c r="F251" t="s">
        <v>81</v>
      </c>
      <c r="G251" t="s">
        <v>39</v>
      </c>
      <c r="H251"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1.5533980582524273E-3</v>
      </c>
      <c r="I251" s="624">
        <f>SUMIFS(tblLaminateWeightedQty[Weighted QTY %],tblLaminateWeightedQty[Laminate],tblLaminateWeightedQty[[#This Row],[Laminate]],tblLaminateWeightedQty[Total Thickness (µ)],tblLaminateWeightedQty[[#This Row],[Total Thickness (µ)]])</f>
        <v>1</v>
      </c>
      <c r="J251">
        <v>112</v>
      </c>
      <c r="K251">
        <v>25</v>
      </c>
      <c r="L251">
        <v>103</v>
      </c>
    </row>
    <row r="252" spans="1:12">
      <c r="A252" t="s">
        <v>1287</v>
      </c>
      <c r="B252">
        <v>103</v>
      </c>
      <c r="C252" t="s">
        <v>43</v>
      </c>
      <c r="D252" t="s">
        <v>18</v>
      </c>
      <c r="E252" t="s">
        <v>9</v>
      </c>
      <c r="F252" t="s">
        <v>82</v>
      </c>
      <c r="G252" t="s">
        <v>40</v>
      </c>
      <c r="H252"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1.4563106796116505E-3</v>
      </c>
      <c r="I252" s="624">
        <f>SUMIFS(tblLaminateWeightedQty[Weighted QTY %],tblLaminateWeightedQty[Laminate],tblLaminateWeightedQty[[#This Row],[Laminate]],tblLaminateWeightedQty[Total Thickness (µ)],tblLaminateWeightedQty[[#This Row],[Total Thickness (µ)]])</f>
        <v>1</v>
      </c>
      <c r="J252">
        <v>112</v>
      </c>
      <c r="K252">
        <v>25</v>
      </c>
      <c r="L252">
        <v>103</v>
      </c>
    </row>
    <row r="253" spans="1:12">
      <c r="A253" t="s">
        <v>1287</v>
      </c>
      <c r="B253">
        <v>103</v>
      </c>
      <c r="C253" t="s">
        <v>43</v>
      </c>
      <c r="D253" t="s">
        <v>12</v>
      </c>
      <c r="E253" t="s">
        <v>8</v>
      </c>
      <c r="F253" t="s">
        <v>83</v>
      </c>
      <c r="G253" t="s">
        <v>42</v>
      </c>
      <c r="H253"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7.8640776699029136E-2</v>
      </c>
      <c r="I253" s="624">
        <f>SUMIFS(tblLaminateWeightedQty[Weighted QTY %],tblLaminateWeightedQty[Laminate],tblLaminateWeightedQty[[#This Row],[Laminate]],tblLaminateWeightedQty[Total Thickness (µ)],tblLaminateWeightedQty[[#This Row],[Total Thickness (µ)]])</f>
        <v>1</v>
      </c>
      <c r="J253">
        <v>112</v>
      </c>
      <c r="K253">
        <v>25</v>
      </c>
      <c r="L253">
        <v>103</v>
      </c>
    </row>
    <row r="254" spans="1:12">
      <c r="A254" t="s">
        <v>1287</v>
      </c>
      <c r="B254">
        <v>103</v>
      </c>
      <c r="C254" t="s">
        <v>1301</v>
      </c>
      <c r="D254" t="s">
        <v>1300</v>
      </c>
      <c r="G254" t="s">
        <v>1301</v>
      </c>
      <c r="H254"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0.22330097087378642</v>
      </c>
      <c r="I254" s="624">
        <f>SUMIFS(tblLaminateWeightedQty[Weighted QTY %],tblLaminateWeightedQty[Laminate],tblLaminateWeightedQty[[#This Row],[Laminate]],tblLaminateWeightedQty[Total Thickness (µ)],tblLaminateWeightedQty[[#This Row],[Total Thickness (µ)]])</f>
        <v>1</v>
      </c>
      <c r="J254">
        <v>113</v>
      </c>
      <c r="K254">
        <v>23</v>
      </c>
      <c r="L254">
        <v>103</v>
      </c>
    </row>
    <row r="255" spans="1:12">
      <c r="A255" t="s">
        <v>1287</v>
      </c>
      <c r="B255">
        <v>103</v>
      </c>
      <c r="C255" t="s">
        <v>181</v>
      </c>
      <c r="D255" t="s">
        <v>1300</v>
      </c>
      <c r="G255" t="s">
        <v>181</v>
      </c>
      <c r="H255"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0.4854368932038835</v>
      </c>
      <c r="I255" s="624">
        <f>SUMIFS(tblLaminateWeightedQty[Weighted QTY %],tblLaminateWeightedQty[Laminate],tblLaminateWeightedQty[[#This Row],[Laminate]],tblLaminateWeightedQty[Total Thickness (µ)],tblLaminateWeightedQty[[#This Row],[Total Thickness (µ)]])</f>
        <v>1</v>
      </c>
      <c r="J255">
        <v>114</v>
      </c>
      <c r="K255">
        <v>50</v>
      </c>
      <c r="L255">
        <v>103</v>
      </c>
    </row>
    <row r="256" spans="1:12">
      <c r="A256" t="s">
        <v>1287</v>
      </c>
      <c r="B256">
        <v>103</v>
      </c>
      <c r="C256" t="s">
        <v>177</v>
      </c>
      <c r="D256" t="s">
        <v>1300</v>
      </c>
      <c r="G256" t="s">
        <v>177</v>
      </c>
      <c r="H256"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4.8543689320388349E-2</v>
      </c>
      <c r="I256" s="624">
        <f>SUMIFS(tblLaminateWeightedQty[Weighted QTY %],tblLaminateWeightedQty[Laminate],tblLaminateWeightedQty[[#This Row],[Laminate]],tblLaminateWeightedQty[Total Thickness (µ)],tblLaminateWeightedQty[[#This Row],[Total Thickness (µ)]])</f>
        <v>1</v>
      </c>
      <c r="J256">
        <v>115</v>
      </c>
      <c r="K256">
        <v>5</v>
      </c>
      <c r="L256">
        <v>103</v>
      </c>
    </row>
    <row r="257" spans="1:12">
      <c r="A257">
        <v>428</v>
      </c>
      <c r="B257">
        <v>79</v>
      </c>
      <c r="C257" t="s">
        <v>1307</v>
      </c>
      <c r="D257" t="s">
        <v>1300</v>
      </c>
      <c r="G257" t="s">
        <v>1307</v>
      </c>
      <c r="H257" s="624">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0.31645569620253167</v>
      </c>
      <c r="I257" s="624">
        <f>SUMIFS(tblLaminateWeightedQty[Weighted QTY %],tblLaminateWeightedQty[Laminate],tblLaminateWeightedQty[[#This Row],[Laminate]],tblLaminateWeightedQty[Total Thickness (µ)],tblLaminateWeightedQty[[#This Row],[Total Thickness (µ)]])</f>
        <v>1</v>
      </c>
      <c r="K257">
        <v>25</v>
      </c>
      <c r="L257">
        <v>79</v>
      </c>
    </row>
    <row r="258" spans="1:12">
      <c r="H258" s="624"/>
      <c r="I258" s="624"/>
    </row>
    <row r="261" spans="1:12">
      <c r="A261" s="860" t="s">
        <v>158</v>
      </c>
      <c r="B261" s="861">
        <v>648</v>
      </c>
    </row>
    <row r="262" spans="1:12">
      <c r="A262" s="860" t="s">
        <v>1054</v>
      </c>
      <c r="B262" s="861">
        <v>63</v>
      </c>
    </row>
    <row r="264" spans="1:12">
      <c r="A264" s="865" t="s">
        <v>1297</v>
      </c>
      <c r="B264" s="865" t="s">
        <v>1298</v>
      </c>
      <c r="C264" s="49" t="s">
        <v>1308</v>
      </c>
    </row>
    <row r="265" spans="1:12">
      <c r="A265" s="866" t="s">
        <v>168</v>
      </c>
      <c r="B265" s="49" t="s">
        <v>168</v>
      </c>
      <c r="C265" s="862">
        <v>0.36455856712632745</v>
      </c>
    </row>
    <row r="266" spans="1:12">
      <c r="A266" s="867" t="s">
        <v>174</v>
      </c>
      <c r="B266" s="49" t="s">
        <v>174</v>
      </c>
      <c r="C266" s="863">
        <v>1.4265335235378014E-3</v>
      </c>
    </row>
    <row r="267" spans="1:12">
      <c r="A267" s="867" t="s">
        <v>173</v>
      </c>
      <c r="B267" s="49" t="s">
        <v>173</v>
      </c>
      <c r="C267" s="863">
        <v>7.9251862418766833E-2</v>
      </c>
    </row>
    <row r="268" spans="1:12">
      <c r="A268" s="867" t="s">
        <v>0</v>
      </c>
      <c r="B268" s="866" t="s">
        <v>33</v>
      </c>
      <c r="C268" s="863">
        <v>3.1954350927246793E-2</v>
      </c>
    </row>
    <row r="269" spans="1:12">
      <c r="A269" s="867" t="s">
        <v>0</v>
      </c>
      <c r="B269" s="867" t="s">
        <v>35</v>
      </c>
      <c r="C269" s="863">
        <v>0.32786495482643846</v>
      </c>
    </row>
    <row r="270" spans="1:12">
      <c r="A270" s="867" t="s">
        <v>0</v>
      </c>
      <c r="B270" s="867" t="s">
        <v>38</v>
      </c>
      <c r="C270" s="863">
        <v>8.321445553970519E-3</v>
      </c>
    </row>
    <row r="271" spans="1:12">
      <c r="A271" s="867" t="s">
        <v>0</v>
      </c>
      <c r="B271" s="867" t="s">
        <v>39</v>
      </c>
      <c r="C271" s="863">
        <v>8.8762085909018873E-4</v>
      </c>
    </row>
    <row r="272" spans="1:12">
      <c r="A272" s="867" t="s">
        <v>0</v>
      </c>
      <c r="B272" s="867" t="s">
        <v>40</v>
      </c>
      <c r="C272" s="863">
        <v>3.3285782215882079E-3</v>
      </c>
    </row>
    <row r="273" spans="1:3">
      <c r="A273" s="868" t="s">
        <v>0</v>
      </c>
      <c r="B273" s="868" t="s">
        <v>42</v>
      </c>
      <c r="C273" s="864">
        <v>0.18240608654303378</v>
      </c>
    </row>
  </sheetData>
  <mergeCells count="2">
    <mergeCell ref="A1:I1"/>
    <mergeCell ref="A2:I2"/>
  </mergeCells>
  <conditionalFormatting sqref="I5:I258">
    <cfRule type="cellIs" dxfId="2" priority="1" operator="notBetween">
      <formula>0.999</formula>
      <formula>1.001</formula>
    </cfRule>
  </conditionalFormatting>
  <pageMargins left="0.7" right="0.7" top="0.75" bottom="0.75" header="0.3" footer="0.3"/>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D3D1-DCCB-483F-A35B-57BF1A7349BC}">
  <dimension ref="A1:M48"/>
  <sheetViews>
    <sheetView workbookViewId="0">
      <selection activeCell="A16" sqref="A16"/>
    </sheetView>
  </sheetViews>
  <sheetFormatPr defaultRowHeight="15"/>
  <cols>
    <col min="1" max="1" width="18.140625" customWidth="1"/>
    <col min="2" max="2" width="16.140625" customWidth="1"/>
    <col min="3" max="3" width="22.85546875" customWidth="1"/>
    <col min="4" max="10" width="20" customWidth="1"/>
    <col min="11" max="11" width="13.85546875" bestFit="1" customWidth="1"/>
    <col min="12" max="12" width="17.7109375" bestFit="1" customWidth="1"/>
    <col min="13" max="13" width="18" bestFit="1" customWidth="1"/>
  </cols>
  <sheetData>
    <row r="1" spans="1:13" ht="24">
      <c r="A1" s="994" t="s">
        <v>1302</v>
      </c>
      <c r="B1" s="994"/>
      <c r="C1" s="994"/>
      <c r="D1" s="994"/>
      <c r="E1" s="994"/>
      <c r="F1" s="994"/>
      <c r="G1" s="994"/>
      <c r="H1" s="994"/>
      <c r="I1" s="994"/>
      <c r="J1" s="994"/>
    </row>
    <row r="2" spans="1:13">
      <c r="A2" s="995" t="s">
        <v>1305</v>
      </c>
      <c r="B2" s="995"/>
      <c r="C2" s="995"/>
      <c r="D2" s="995"/>
      <c r="E2" s="995"/>
      <c r="F2" s="995"/>
      <c r="G2" s="995"/>
      <c r="H2" s="995"/>
      <c r="I2" s="995"/>
      <c r="J2" s="995"/>
    </row>
    <row r="4" spans="1:13">
      <c r="A4" s="859" t="s">
        <v>1098</v>
      </c>
      <c r="B4" s="859" t="s">
        <v>158</v>
      </c>
      <c r="C4" s="859" t="s">
        <v>1054</v>
      </c>
      <c r="D4" s="859" t="s">
        <v>1297</v>
      </c>
      <c r="E4" s="859" t="s">
        <v>3</v>
      </c>
      <c r="F4" s="859" t="s">
        <v>22</v>
      </c>
      <c r="G4" s="859" t="s">
        <v>72</v>
      </c>
      <c r="H4" s="859" t="s">
        <v>1298</v>
      </c>
      <c r="I4" s="859" t="s">
        <v>1103</v>
      </c>
      <c r="J4" s="859" t="s">
        <v>1306</v>
      </c>
      <c r="K4" t="s">
        <v>1303</v>
      </c>
      <c r="L4" t="s">
        <v>1063</v>
      </c>
      <c r="M4" t="s">
        <v>1057</v>
      </c>
    </row>
    <row r="5" spans="1:13">
      <c r="A5" t="s">
        <v>1259</v>
      </c>
      <c r="B5">
        <v>618</v>
      </c>
      <c r="C5">
        <v>86</v>
      </c>
      <c r="D5" t="s">
        <v>168</v>
      </c>
      <c r="E5" t="s">
        <v>1300</v>
      </c>
      <c r="H5" t="s">
        <v>168</v>
      </c>
      <c r="I5"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0.26744186046511625</v>
      </c>
      <c r="J5" s="624">
        <f>SUMIFS(tblPouchWeightedQty[Weighted QTY %],tblPouchWeightedQty[Pouch Type],tblPouchWeightedQty[[#This Row],[Pouch Type]],tblPouchWeightedQty[Laminate],tblPouchWeightedQty[[#This Row],[Laminate]],tblPouchWeightedQty[Total Thickness (µ)],tblPouchWeightedQty[[#This Row],[Total Thickness (µ)]])</f>
        <v>1</v>
      </c>
      <c r="K5">
        <v>23</v>
      </c>
      <c r="L5">
        <v>23</v>
      </c>
      <c r="M5">
        <v>86</v>
      </c>
    </row>
    <row r="6" spans="1:13">
      <c r="A6" t="s">
        <v>1259</v>
      </c>
      <c r="B6">
        <v>618</v>
      </c>
      <c r="C6">
        <v>86</v>
      </c>
      <c r="D6" t="s">
        <v>0</v>
      </c>
      <c r="E6" t="s">
        <v>13</v>
      </c>
      <c r="F6" t="s">
        <v>73</v>
      </c>
      <c r="G6" t="s">
        <v>74</v>
      </c>
      <c r="H6" t="s">
        <v>33</v>
      </c>
      <c r="I6"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4.018604651162791E-2</v>
      </c>
      <c r="J6" s="624">
        <f>SUMIFS(tblPouchWeightedQty[Weighted QTY %],tblPouchWeightedQty[Pouch Type],tblPouchWeightedQty[[#This Row],[Pouch Type]],tblPouchWeightedQty[Laminate],tblPouchWeightedQty[[#This Row],[Laminate]],tblPouchWeightedQty[Total Thickness (µ)],tblPouchWeightedQty[[#This Row],[Total Thickness (µ)]])</f>
        <v>1</v>
      </c>
      <c r="K6">
        <v>24</v>
      </c>
      <c r="L6">
        <v>60</v>
      </c>
      <c r="M6">
        <v>86</v>
      </c>
    </row>
    <row r="7" spans="1:13">
      <c r="A7" t="s">
        <v>1259</v>
      </c>
      <c r="B7">
        <v>618</v>
      </c>
      <c r="C7">
        <v>86</v>
      </c>
      <c r="D7" t="s">
        <v>0</v>
      </c>
      <c r="E7" t="s">
        <v>14</v>
      </c>
      <c r="F7" t="s">
        <v>23</v>
      </c>
      <c r="G7" t="s">
        <v>76</v>
      </c>
      <c r="H7" t="s">
        <v>35</v>
      </c>
      <c r="I7"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0.41232558139534892</v>
      </c>
      <c r="J7" s="624">
        <f>SUMIFS(tblPouchWeightedQty[Weighted QTY %],tblPouchWeightedQty[Pouch Type],tblPouchWeightedQty[[#This Row],[Pouch Type]],tblPouchWeightedQty[Laminate],tblPouchWeightedQty[[#This Row],[Laminate]],tblPouchWeightedQty[Total Thickness (µ)],tblPouchWeightedQty[[#This Row],[Total Thickness (µ)]])</f>
        <v>1</v>
      </c>
      <c r="K7">
        <v>24</v>
      </c>
      <c r="L7">
        <v>60</v>
      </c>
      <c r="M7">
        <v>86</v>
      </c>
    </row>
    <row r="8" spans="1:13">
      <c r="A8" t="s">
        <v>1259</v>
      </c>
      <c r="B8">
        <v>618</v>
      </c>
      <c r="C8">
        <v>86</v>
      </c>
      <c r="D8" t="s">
        <v>0</v>
      </c>
      <c r="E8" t="s">
        <v>16</v>
      </c>
      <c r="F8" t="s">
        <v>10</v>
      </c>
      <c r="G8" t="s">
        <v>80</v>
      </c>
      <c r="H8" t="s">
        <v>38</v>
      </c>
      <c r="I8"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1.0465116279069769E-2</v>
      </c>
      <c r="J8" s="624">
        <f>SUMIFS(tblPouchWeightedQty[Weighted QTY %],tblPouchWeightedQty[Pouch Type],tblPouchWeightedQty[[#This Row],[Pouch Type]],tblPouchWeightedQty[Laminate],tblPouchWeightedQty[[#This Row],[Laminate]],tblPouchWeightedQty[Total Thickness (µ)],tblPouchWeightedQty[[#This Row],[Total Thickness (µ)]])</f>
        <v>1</v>
      </c>
      <c r="K8">
        <v>24</v>
      </c>
      <c r="L8">
        <v>60</v>
      </c>
      <c r="M8">
        <v>86</v>
      </c>
    </row>
    <row r="9" spans="1:13">
      <c r="A9" t="s">
        <v>1259</v>
      </c>
      <c r="B9">
        <v>618</v>
      </c>
      <c r="C9">
        <v>86</v>
      </c>
      <c r="D9" t="s">
        <v>0</v>
      </c>
      <c r="E9" t="s">
        <v>17</v>
      </c>
      <c r="F9" t="s">
        <v>11</v>
      </c>
      <c r="G9" t="s">
        <v>81</v>
      </c>
      <c r="H9" t="s">
        <v>39</v>
      </c>
      <c r="I9"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1.116279069767442E-3</v>
      </c>
      <c r="J9" s="624">
        <f>SUMIFS(tblPouchWeightedQty[Weighted QTY %],tblPouchWeightedQty[Pouch Type],tblPouchWeightedQty[[#This Row],[Pouch Type]],tblPouchWeightedQty[Laminate],tblPouchWeightedQty[[#This Row],[Laminate]],tblPouchWeightedQty[Total Thickness (µ)],tblPouchWeightedQty[[#This Row],[Total Thickness (µ)]])</f>
        <v>1</v>
      </c>
      <c r="K9">
        <v>24</v>
      </c>
      <c r="L9">
        <v>60</v>
      </c>
      <c r="M9">
        <v>86</v>
      </c>
    </row>
    <row r="10" spans="1:13">
      <c r="A10" t="s">
        <v>1259</v>
      </c>
      <c r="B10">
        <v>618</v>
      </c>
      <c r="C10">
        <v>86</v>
      </c>
      <c r="D10" t="s">
        <v>0</v>
      </c>
      <c r="E10" t="s">
        <v>18</v>
      </c>
      <c r="F10" t="s">
        <v>9</v>
      </c>
      <c r="G10" t="s">
        <v>82</v>
      </c>
      <c r="H10" t="s">
        <v>40</v>
      </c>
      <c r="I10"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4.1860465116279081E-3</v>
      </c>
      <c r="J10" s="624">
        <f>SUMIFS(tblPouchWeightedQty[Weighted QTY %],tblPouchWeightedQty[Pouch Type],tblPouchWeightedQty[[#This Row],[Pouch Type]],tblPouchWeightedQty[Laminate],tblPouchWeightedQty[[#This Row],[Laminate]],tblPouchWeightedQty[Total Thickness (µ)],tblPouchWeightedQty[[#This Row],[Total Thickness (µ)]])</f>
        <v>1</v>
      </c>
      <c r="K10">
        <v>24</v>
      </c>
      <c r="L10">
        <v>60</v>
      </c>
      <c r="M10">
        <v>86</v>
      </c>
    </row>
    <row r="11" spans="1:13">
      <c r="A11" t="s">
        <v>1259</v>
      </c>
      <c r="B11">
        <v>618</v>
      </c>
      <c r="C11">
        <v>86</v>
      </c>
      <c r="D11" t="s">
        <v>0</v>
      </c>
      <c r="E11" t="s">
        <v>12</v>
      </c>
      <c r="F11" t="s">
        <v>8</v>
      </c>
      <c r="G11" t="s">
        <v>83</v>
      </c>
      <c r="H11" t="s">
        <v>42</v>
      </c>
      <c r="I11"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0.22939534883720933</v>
      </c>
      <c r="J11" s="624">
        <f>SUMIFS(tblPouchWeightedQty[Weighted QTY %],tblPouchWeightedQty[Pouch Type],tblPouchWeightedQty[[#This Row],[Pouch Type]],tblPouchWeightedQty[Laminate],tblPouchWeightedQty[[#This Row],[Laminate]],tblPouchWeightedQty[Total Thickness (µ)],tblPouchWeightedQty[[#This Row],[Total Thickness (µ)]])</f>
        <v>1</v>
      </c>
      <c r="K11">
        <v>24</v>
      </c>
      <c r="L11">
        <v>60</v>
      </c>
      <c r="M11">
        <v>86</v>
      </c>
    </row>
    <row r="12" spans="1:13">
      <c r="A12" t="s">
        <v>1259</v>
      </c>
      <c r="B12">
        <v>618</v>
      </c>
      <c r="C12">
        <v>86</v>
      </c>
      <c r="D12" t="s">
        <v>177</v>
      </c>
      <c r="E12" t="s">
        <v>1300</v>
      </c>
      <c r="H12" t="s">
        <v>177</v>
      </c>
      <c r="I12"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3.4883720930232558E-2</v>
      </c>
      <c r="J12" s="624">
        <f>SUMIFS(tblPouchWeightedQty[Weighted QTY %],tblPouchWeightedQty[Pouch Type],tblPouchWeightedQty[[#This Row],[Pouch Type]],tblPouchWeightedQty[Laminate],tblPouchWeightedQty[[#This Row],[Laminate]],tblPouchWeightedQty[Total Thickness (µ)],tblPouchWeightedQty[[#This Row],[Total Thickness (µ)]])</f>
        <v>1</v>
      </c>
      <c r="K12">
        <v>25</v>
      </c>
      <c r="L12">
        <v>3</v>
      </c>
      <c r="M12">
        <v>86</v>
      </c>
    </row>
    <row r="13" spans="1:13">
      <c r="A13" t="s">
        <v>107</v>
      </c>
      <c r="B13">
        <v>648</v>
      </c>
      <c r="C13">
        <v>100</v>
      </c>
      <c r="D13" t="s">
        <v>168</v>
      </c>
      <c r="E13" t="s">
        <v>1300</v>
      </c>
      <c r="H13" t="s">
        <v>168</v>
      </c>
      <c r="I13"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0.22979318613248076</v>
      </c>
      <c r="J13"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3">
        <v>53</v>
      </c>
      <c r="L13">
        <v>23</v>
      </c>
      <c r="M13">
        <v>100.09</v>
      </c>
    </row>
    <row r="14" spans="1:13">
      <c r="A14" t="s">
        <v>107</v>
      </c>
      <c r="B14">
        <v>648</v>
      </c>
      <c r="C14">
        <v>100</v>
      </c>
      <c r="D14" t="s">
        <v>0</v>
      </c>
      <c r="E14" t="s">
        <v>13</v>
      </c>
      <c r="F14" t="s">
        <v>73</v>
      </c>
      <c r="G14" t="s">
        <v>74</v>
      </c>
      <c r="H14" t="s">
        <v>33</v>
      </c>
      <c r="I14"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4.2010190828254572E-2</v>
      </c>
      <c r="J14"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4">
        <v>54</v>
      </c>
      <c r="L14">
        <v>73</v>
      </c>
      <c r="M14">
        <v>100.09</v>
      </c>
    </row>
    <row r="15" spans="1:13">
      <c r="A15" t="s">
        <v>107</v>
      </c>
      <c r="B15">
        <v>648</v>
      </c>
      <c r="C15">
        <v>100</v>
      </c>
      <c r="D15" t="s">
        <v>0</v>
      </c>
      <c r="E15" t="s">
        <v>14</v>
      </c>
      <c r="F15" t="s">
        <v>23</v>
      </c>
      <c r="G15" t="s">
        <v>76</v>
      </c>
      <c r="H15" t="s">
        <v>35</v>
      </c>
      <c r="I15"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0.43104206214407037</v>
      </c>
      <c r="J15"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5">
        <v>54</v>
      </c>
      <c r="L15">
        <v>73</v>
      </c>
      <c r="M15">
        <v>100.09</v>
      </c>
    </row>
    <row r="16" spans="1:13">
      <c r="A16" t="s">
        <v>107</v>
      </c>
      <c r="B16">
        <v>648</v>
      </c>
      <c r="C16">
        <v>100</v>
      </c>
      <c r="D16" t="s">
        <v>0</v>
      </c>
      <c r="E16" t="s">
        <v>16</v>
      </c>
      <c r="F16" t="s">
        <v>10</v>
      </c>
      <c r="G16" t="s">
        <v>80</v>
      </c>
      <c r="H16" t="s">
        <v>38</v>
      </c>
      <c r="I16"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1.0940153861524629E-2</v>
      </c>
      <c r="J16"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6">
        <v>54</v>
      </c>
      <c r="L16">
        <v>73</v>
      </c>
      <c r="M16">
        <v>100.09</v>
      </c>
    </row>
    <row r="17" spans="1:13">
      <c r="A17" t="s">
        <v>107</v>
      </c>
      <c r="B17">
        <v>648</v>
      </c>
      <c r="C17">
        <v>100</v>
      </c>
      <c r="D17" t="s">
        <v>0</v>
      </c>
      <c r="E17" t="s">
        <v>17</v>
      </c>
      <c r="F17" t="s">
        <v>11</v>
      </c>
      <c r="G17" t="s">
        <v>81</v>
      </c>
      <c r="H17" t="s">
        <v>39</v>
      </c>
      <c r="I17"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1.1669497452292937E-3</v>
      </c>
      <c r="J17"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7">
        <v>54</v>
      </c>
      <c r="L17">
        <v>73</v>
      </c>
      <c r="M17">
        <v>100.09</v>
      </c>
    </row>
    <row r="18" spans="1:13">
      <c r="A18" t="s">
        <v>107</v>
      </c>
      <c r="B18">
        <v>648</v>
      </c>
      <c r="C18">
        <v>100</v>
      </c>
      <c r="D18" t="s">
        <v>0</v>
      </c>
      <c r="E18" t="s">
        <v>18</v>
      </c>
      <c r="F18" t="s">
        <v>9</v>
      </c>
      <c r="G18" t="s">
        <v>82</v>
      </c>
      <c r="H18" t="s">
        <v>40</v>
      </c>
      <c r="I18"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4.3760615446098517E-3</v>
      </c>
      <c r="J18"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8">
        <v>54</v>
      </c>
      <c r="L18">
        <v>73</v>
      </c>
      <c r="M18">
        <v>100.09</v>
      </c>
    </row>
    <row r="19" spans="1:13">
      <c r="A19" t="s">
        <v>107</v>
      </c>
      <c r="B19">
        <v>648</v>
      </c>
      <c r="C19">
        <v>100</v>
      </c>
      <c r="D19" t="s">
        <v>0</v>
      </c>
      <c r="E19" t="s">
        <v>12</v>
      </c>
      <c r="F19" t="s">
        <v>8</v>
      </c>
      <c r="G19" t="s">
        <v>83</v>
      </c>
      <c r="H19" t="s">
        <v>42</v>
      </c>
      <c r="I19"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0.23980817264461984</v>
      </c>
      <c r="J19"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9">
        <v>54</v>
      </c>
      <c r="L19">
        <v>73</v>
      </c>
      <c r="M19">
        <v>100.09</v>
      </c>
    </row>
    <row r="20" spans="1:13">
      <c r="A20" t="s">
        <v>107</v>
      </c>
      <c r="B20">
        <v>648</v>
      </c>
      <c r="C20">
        <v>100</v>
      </c>
      <c r="D20" t="s">
        <v>173</v>
      </c>
      <c r="E20" t="s">
        <v>1300</v>
      </c>
      <c r="H20" t="s">
        <v>173</v>
      </c>
      <c r="I20"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3.9964032370866216E-2</v>
      </c>
      <c r="J20"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20">
        <v>55</v>
      </c>
      <c r="L20">
        <v>4</v>
      </c>
      <c r="M20">
        <v>100.09</v>
      </c>
    </row>
    <row r="21" spans="1:13">
      <c r="A21" t="s">
        <v>107</v>
      </c>
      <c r="B21">
        <v>648</v>
      </c>
      <c r="C21">
        <v>100</v>
      </c>
      <c r="D21" t="s">
        <v>174</v>
      </c>
      <c r="E21" t="s">
        <v>1300</v>
      </c>
      <c r="H21" t="s">
        <v>174</v>
      </c>
      <c r="I21"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8.991907283444889E-4</v>
      </c>
      <c r="J21" s="624">
        <f>SUMIFS(tblPouchWeightedQty[Weighted QTY %],tblPouchWeightedQty[Pouch Type],tblPouchWeightedQty[[#This Row],[Pouch Type]],tblPouchWeightedQty[Laminate],tblPouchWeightedQty[[#This Row],[Laminate]],tblPouchWeightedQty[Total Thickness (µ)],tblPouchWeightedQty[[#This Row],[Total Thickness (µ)]])</f>
        <v>0.99999999999999989</v>
      </c>
      <c r="K21">
        <v>56</v>
      </c>
      <c r="L21">
        <v>8.99999999999999E-2</v>
      </c>
      <c r="M21">
        <v>100.09</v>
      </c>
    </row>
    <row r="22" spans="1:13">
      <c r="A22" t="s">
        <v>107</v>
      </c>
      <c r="B22">
        <v>648</v>
      </c>
      <c r="C22">
        <v>63</v>
      </c>
      <c r="D22" t="s">
        <v>168</v>
      </c>
      <c r="E22" t="s">
        <v>1300</v>
      </c>
      <c r="H22" t="s">
        <v>168</v>
      </c>
      <c r="I22"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0.36455856712632745</v>
      </c>
      <c r="J22" s="624">
        <f>SUMIFS(tblPouchWeightedQty[Weighted QTY %],tblPouchWeightedQty[Pouch Type],tblPouchWeightedQty[[#This Row],[Pouch Type]],tblPouchWeightedQty[Laminate],tblPouchWeightedQty[[#This Row],[Laminate]],tblPouchWeightedQty[Total Thickness (µ)],tblPouchWeightedQty[[#This Row],[Total Thickness (µ)]])</f>
        <v>1</v>
      </c>
      <c r="K22">
        <v>57</v>
      </c>
      <c r="L22">
        <v>23</v>
      </c>
      <c r="M22">
        <v>63.09</v>
      </c>
    </row>
    <row r="23" spans="1:13">
      <c r="A23" t="s">
        <v>107</v>
      </c>
      <c r="B23">
        <v>648</v>
      </c>
      <c r="C23">
        <v>63</v>
      </c>
      <c r="D23" t="s">
        <v>0</v>
      </c>
      <c r="E23" t="s">
        <v>13</v>
      </c>
      <c r="F23" t="s">
        <v>73</v>
      </c>
      <c r="G23" t="s">
        <v>74</v>
      </c>
      <c r="H23" t="s">
        <v>33</v>
      </c>
      <c r="I23"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3.1954350927246793E-2</v>
      </c>
      <c r="J23" s="624">
        <f>SUMIFS(tblPouchWeightedQty[Weighted QTY %],tblPouchWeightedQty[Pouch Type],tblPouchWeightedQty[[#This Row],[Pouch Type]],tblPouchWeightedQty[Laminate],tblPouchWeightedQty[[#This Row],[Laminate]],tblPouchWeightedQty[Total Thickness (µ)],tblPouchWeightedQty[[#This Row],[Total Thickness (µ)]])</f>
        <v>1</v>
      </c>
      <c r="K23">
        <v>58</v>
      </c>
      <c r="L23">
        <v>35</v>
      </c>
      <c r="M23">
        <v>63.09</v>
      </c>
    </row>
    <row r="24" spans="1:13">
      <c r="A24" t="s">
        <v>107</v>
      </c>
      <c r="B24">
        <v>648</v>
      </c>
      <c r="C24">
        <v>63</v>
      </c>
      <c r="D24" t="s">
        <v>0</v>
      </c>
      <c r="E24" t="s">
        <v>14</v>
      </c>
      <c r="F24" t="s">
        <v>23</v>
      </c>
      <c r="G24" t="s">
        <v>76</v>
      </c>
      <c r="H24" t="s">
        <v>35</v>
      </c>
      <c r="I24"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0.32786495482643846</v>
      </c>
      <c r="J24" s="624">
        <f>SUMIFS(tblPouchWeightedQty[Weighted QTY %],tblPouchWeightedQty[Pouch Type],tblPouchWeightedQty[[#This Row],[Pouch Type]],tblPouchWeightedQty[Laminate],tblPouchWeightedQty[[#This Row],[Laminate]],tblPouchWeightedQty[Total Thickness (µ)],tblPouchWeightedQty[[#This Row],[Total Thickness (µ)]])</f>
        <v>1</v>
      </c>
      <c r="K24">
        <v>58</v>
      </c>
      <c r="L24">
        <v>35</v>
      </c>
      <c r="M24">
        <v>63.09</v>
      </c>
    </row>
    <row r="25" spans="1:13">
      <c r="A25" t="s">
        <v>107</v>
      </c>
      <c r="B25">
        <v>648</v>
      </c>
      <c r="C25">
        <v>63</v>
      </c>
      <c r="D25" t="s">
        <v>0</v>
      </c>
      <c r="E25" t="s">
        <v>16</v>
      </c>
      <c r="F25" t="s">
        <v>10</v>
      </c>
      <c r="G25" t="s">
        <v>80</v>
      </c>
      <c r="H25" t="s">
        <v>38</v>
      </c>
      <c r="I25"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8.321445553970519E-3</v>
      </c>
      <c r="J25" s="624">
        <f>SUMIFS(tblPouchWeightedQty[Weighted QTY %],tblPouchWeightedQty[Pouch Type],tblPouchWeightedQty[[#This Row],[Pouch Type]],tblPouchWeightedQty[Laminate],tblPouchWeightedQty[[#This Row],[Laminate]],tblPouchWeightedQty[Total Thickness (µ)],tblPouchWeightedQty[[#This Row],[Total Thickness (µ)]])</f>
        <v>1</v>
      </c>
      <c r="K25">
        <v>58</v>
      </c>
      <c r="L25">
        <v>35</v>
      </c>
      <c r="M25">
        <v>63.09</v>
      </c>
    </row>
    <row r="26" spans="1:13">
      <c r="A26" t="s">
        <v>107</v>
      </c>
      <c r="B26">
        <v>648</v>
      </c>
      <c r="C26">
        <v>63</v>
      </c>
      <c r="D26" t="s">
        <v>0</v>
      </c>
      <c r="E26" t="s">
        <v>17</v>
      </c>
      <c r="F26" t="s">
        <v>11</v>
      </c>
      <c r="G26" t="s">
        <v>81</v>
      </c>
      <c r="H26" t="s">
        <v>39</v>
      </c>
      <c r="I26"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8.8762085909018873E-4</v>
      </c>
      <c r="J26" s="624">
        <f>SUMIFS(tblPouchWeightedQty[Weighted QTY %],tblPouchWeightedQty[Pouch Type],tblPouchWeightedQty[[#This Row],[Pouch Type]],tblPouchWeightedQty[Laminate],tblPouchWeightedQty[[#This Row],[Laminate]],tblPouchWeightedQty[Total Thickness (µ)],tblPouchWeightedQty[[#This Row],[Total Thickness (µ)]])</f>
        <v>1</v>
      </c>
      <c r="K26">
        <v>58</v>
      </c>
      <c r="L26">
        <v>35</v>
      </c>
      <c r="M26">
        <v>63.09</v>
      </c>
    </row>
    <row r="27" spans="1:13">
      <c r="A27" t="s">
        <v>107</v>
      </c>
      <c r="B27">
        <v>648</v>
      </c>
      <c r="C27">
        <v>63</v>
      </c>
      <c r="D27" t="s">
        <v>0</v>
      </c>
      <c r="E27" t="s">
        <v>18</v>
      </c>
      <c r="F27" t="s">
        <v>9</v>
      </c>
      <c r="G27" t="s">
        <v>82</v>
      </c>
      <c r="H27" t="s">
        <v>40</v>
      </c>
      <c r="I27"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3.3285782215882079E-3</v>
      </c>
      <c r="J27" s="624">
        <f>SUMIFS(tblPouchWeightedQty[Weighted QTY %],tblPouchWeightedQty[Pouch Type],tblPouchWeightedQty[[#This Row],[Pouch Type]],tblPouchWeightedQty[Laminate],tblPouchWeightedQty[[#This Row],[Laminate]],tblPouchWeightedQty[Total Thickness (µ)],tblPouchWeightedQty[[#This Row],[Total Thickness (µ)]])</f>
        <v>1</v>
      </c>
      <c r="K27">
        <v>58</v>
      </c>
      <c r="L27">
        <v>35</v>
      </c>
      <c r="M27">
        <v>63.09</v>
      </c>
    </row>
    <row r="28" spans="1:13">
      <c r="A28" t="s">
        <v>107</v>
      </c>
      <c r="B28">
        <v>648</v>
      </c>
      <c r="C28">
        <v>63</v>
      </c>
      <c r="D28" t="s">
        <v>0</v>
      </c>
      <c r="E28" t="s">
        <v>12</v>
      </c>
      <c r="F28" t="s">
        <v>8</v>
      </c>
      <c r="G28" t="s">
        <v>83</v>
      </c>
      <c r="H28" t="s">
        <v>42</v>
      </c>
      <c r="I28"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0.18240608654303378</v>
      </c>
      <c r="J28" s="624">
        <f>SUMIFS(tblPouchWeightedQty[Weighted QTY %],tblPouchWeightedQty[Pouch Type],tblPouchWeightedQty[[#This Row],[Pouch Type]],tblPouchWeightedQty[Laminate],tblPouchWeightedQty[[#This Row],[Laminate]],tblPouchWeightedQty[Total Thickness (µ)],tblPouchWeightedQty[[#This Row],[Total Thickness (µ)]])</f>
        <v>1</v>
      </c>
      <c r="K28">
        <v>58</v>
      </c>
      <c r="L28">
        <v>35</v>
      </c>
      <c r="M28">
        <v>63.09</v>
      </c>
    </row>
    <row r="29" spans="1:13">
      <c r="A29" t="s">
        <v>107</v>
      </c>
      <c r="B29">
        <v>648</v>
      </c>
      <c r="C29">
        <v>63</v>
      </c>
      <c r="D29" t="s">
        <v>173</v>
      </c>
      <c r="E29" t="s">
        <v>1300</v>
      </c>
      <c r="H29" t="s">
        <v>173</v>
      </c>
      <c r="I29"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7.9251862418766833E-2</v>
      </c>
      <c r="J29" s="624">
        <f>SUMIFS(tblPouchWeightedQty[Weighted QTY %],tblPouchWeightedQty[Pouch Type],tblPouchWeightedQty[[#This Row],[Pouch Type]],tblPouchWeightedQty[Laminate],tblPouchWeightedQty[[#This Row],[Laminate]],tblPouchWeightedQty[Total Thickness (µ)],tblPouchWeightedQty[[#This Row],[Total Thickness (µ)]])</f>
        <v>1</v>
      </c>
      <c r="K29">
        <v>59</v>
      </c>
      <c r="L29">
        <v>5</v>
      </c>
      <c r="M29">
        <v>63.09</v>
      </c>
    </row>
    <row r="30" spans="1:13">
      <c r="A30" t="s">
        <v>107</v>
      </c>
      <c r="B30">
        <v>648</v>
      </c>
      <c r="C30">
        <v>63</v>
      </c>
      <c r="D30" t="s">
        <v>174</v>
      </c>
      <c r="E30" t="s">
        <v>1300</v>
      </c>
      <c r="H30" t="s">
        <v>174</v>
      </c>
      <c r="I30"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1.4265335235378014E-3</v>
      </c>
      <c r="J30" s="624">
        <f>SUMIFS(tblPouchWeightedQty[Weighted QTY %],tblPouchWeightedQty[Pouch Type],tblPouchWeightedQty[[#This Row],[Pouch Type]],tblPouchWeightedQty[Laminate],tblPouchWeightedQty[[#This Row],[Laminate]],tblPouchWeightedQty[Total Thickness (µ)],tblPouchWeightedQty[[#This Row],[Total Thickness (µ)]])</f>
        <v>1</v>
      </c>
      <c r="K30">
        <v>60</v>
      </c>
      <c r="L30">
        <v>8.99999999999999E-2</v>
      </c>
      <c r="M30">
        <v>63.09</v>
      </c>
    </row>
    <row r="31" spans="1:13">
      <c r="A31" t="s">
        <v>107</v>
      </c>
      <c r="B31">
        <v>648</v>
      </c>
      <c r="C31">
        <v>77</v>
      </c>
      <c r="D31" t="s">
        <v>168</v>
      </c>
      <c r="E31" t="s">
        <v>1300</v>
      </c>
      <c r="H31" t="s">
        <v>168</v>
      </c>
      <c r="I31"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0.29835257491243999</v>
      </c>
      <c r="J31"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1">
        <v>104</v>
      </c>
      <c r="L31">
        <v>23</v>
      </c>
      <c r="M31">
        <v>77.09</v>
      </c>
    </row>
    <row r="32" spans="1:13">
      <c r="A32" t="s">
        <v>107</v>
      </c>
      <c r="B32">
        <v>648</v>
      </c>
      <c r="C32">
        <v>77</v>
      </c>
      <c r="D32" t="s">
        <v>0</v>
      </c>
      <c r="E32" t="s">
        <v>13</v>
      </c>
      <c r="F32" t="s">
        <v>73</v>
      </c>
      <c r="G32" t="s">
        <v>74</v>
      </c>
      <c r="H32" t="s">
        <v>33</v>
      </c>
      <c r="I32"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3.7358931119470751E-2</v>
      </c>
      <c r="J32"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2">
        <v>105</v>
      </c>
      <c r="L32">
        <v>50</v>
      </c>
      <c r="M32">
        <v>77.09</v>
      </c>
    </row>
    <row r="33" spans="1:13">
      <c r="A33" t="s">
        <v>107</v>
      </c>
      <c r="B33">
        <v>648</v>
      </c>
      <c r="C33">
        <v>77</v>
      </c>
      <c r="D33" t="s">
        <v>0</v>
      </c>
      <c r="E33" t="s">
        <v>14</v>
      </c>
      <c r="F33" t="s">
        <v>23</v>
      </c>
      <c r="G33" t="s">
        <v>76</v>
      </c>
      <c r="H33" t="s">
        <v>35</v>
      </c>
      <c r="I33"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0.38331819950706975</v>
      </c>
      <c r="J33"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3">
        <v>105</v>
      </c>
      <c r="L33">
        <v>50</v>
      </c>
      <c r="M33">
        <v>77.09</v>
      </c>
    </row>
    <row r="34" spans="1:13">
      <c r="A34" t="s">
        <v>107</v>
      </c>
      <c r="B34">
        <v>648</v>
      </c>
      <c r="C34">
        <v>77</v>
      </c>
      <c r="D34" t="s">
        <v>0</v>
      </c>
      <c r="E34" t="s">
        <v>16</v>
      </c>
      <c r="F34" t="s">
        <v>10</v>
      </c>
      <c r="G34" t="s">
        <v>80</v>
      </c>
      <c r="H34" t="s">
        <v>38</v>
      </c>
      <c r="I34"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9.7288883123621758E-3</v>
      </c>
      <c r="J34"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4">
        <v>105</v>
      </c>
      <c r="L34">
        <v>50</v>
      </c>
      <c r="M34">
        <v>77.09</v>
      </c>
    </row>
    <row r="35" spans="1:13">
      <c r="A35" t="s">
        <v>107</v>
      </c>
      <c r="B35">
        <v>648</v>
      </c>
      <c r="C35">
        <v>77</v>
      </c>
      <c r="D35" t="s">
        <v>0</v>
      </c>
      <c r="E35" t="s">
        <v>17</v>
      </c>
      <c r="F35" t="s">
        <v>11</v>
      </c>
      <c r="G35" t="s">
        <v>81</v>
      </c>
      <c r="H35" t="s">
        <v>39</v>
      </c>
      <c r="I35"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1.0377480866519656E-3</v>
      </c>
      <c r="J35"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5">
        <v>105</v>
      </c>
      <c r="L35">
        <v>50</v>
      </c>
      <c r="M35">
        <v>77.09</v>
      </c>
    </row>
    <row r="36" spans="1:13">
      <c r="A36" t="s">
        <v>107</v>
      </c>
      <c r="B36">
        <v>648</v>
      </c>
      <c r="C36">
        <v>77</v>
      </c>
      <c r="D36" t="s">
        <v>0</v>
      </c>
      <c r="E36" t="s">
        <v>18</v>
      </c>
      <c r="F36" t="s">
        <v>9</v>
      </c>
      <c r="G36" t="s">
        <v>82</v>
      </c>
      <c r="H36" t="s">
        <v>40</v>
      </c>
      <c r="I36"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3.8915553249448706E-3</v>
      </c>
      <c r="J36"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6">
        <v>105</v>
      </c>
      <c r="L36">
        <v>50</v>
      </c>
      <c r="M36">
        <v>77.09</v>
      </c>
    </row>
    <row r="37" spans="1:13">
      <c r="A37" t="s">
        <v>107</v>
      </c>
      <c r="B37">
        <v>648</v>
      </c>
      <c r="C37">
        <v>77</v>
      </c>
      <c r="D37" t="s">
        <v>0</v>
      </c>
      <c r="E37" t="s">
        <v>12</v>
      </c>
      <c r="F37" t="s">
        <v>8</v>
      </c>
      <c r="G37" t="s">
        <v>83</v>
      </c>
      <c r="H37" t="s">
        <v>42</v>
      </c>
      <c r="I37"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0.21325723180697889</v>
      </c>
      <c r="J37"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7">
        <v>105</v>
      </c>
      <c r="L37">
        <v>50</v>
      </c>
      <c r="M37">
        <v>77.09</v>
      </c>
    </row>
    <row r="38" spans="1:13">
      <c r="A38" t="s">
        <v>107</v>
      </c>
      <c r="B38">
        <v>648</v>
      </c>
      <c r="C38">
        <v>77</v>
      </c>
      <c r="D38" t="s">
        <v>173</v>
      </c>
      <c r="E38" t="s">
        <v>1300</v>
      </c>
      <c r="H38" t="s">
        <v>173</v>
      </c>
      <c r="I38"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5.188740433259826E-2</v>
      </c>
      <c r="J38"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8">
        <v>106</v>
      </c>
      <c r="L38">
        <v>4</v>
      </c>
      <c r="M38">
        <v>77.09</v>
      </c>
    </row>
    <row r="39" spans="1:13">
      <c r="A39" t="s">
        <v>107</v>
      </c>
      <c r="B39">
        <v>648</v>
      </c>
      <c r="C39">
        <v>77</v>
      </c>
      <c r="D39" t="s">
        <v>174</v>
      </c>
      <c r="E39" t="s">
        <v>1300</v>
      </c>
      <c r="H39" t="s">
        <v>174</v>
      </c>
      <c r="I39"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1.1674665974834607E-3</v>
      </c>
      <c r="J39" s="624">
        <f>SUMIFS(tblPouchWeightedQty[Weighted QTY %],tblPouchWeightedQty[Pouch Type],tblPouchWeightedQty[[#This Row],[Pouch Type]],tblPouchWeightedQty[Laminate],tblPouchWeightedQty[[#This Row],[Laminate]],tblPouchWeightedQty[Total Thickness (µ)],tblPouchWeightedQty[[#This Row],[Total Thickness (µ)]])</f>
        <v>1.0000000000000002</v>
      </c>
      <c r="K39">
        <v>107</v>
      </c>
      <c r="L39">
        <v>0.09</v>
      </c>
      <c r="M39">
        <v>77.09</v>
      </c>
    </row>
    <row r="40" spans="1:13">
      <c r="A40" t="s">
        <v>107</v>
      </c>
      <c r="B40">
        <v>648</v>
      </c>
      <c r="C40">
        <v>53</v>
      </c>
      <c r="D40" t="s">
        <v>168</v>
      </c>
      <c r="E40" t="s">
        <v>1300</v>
      </c>
      <c r="H40" t="s">
        <v>168</v>
      </c>
      <c r="I40"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0.43322659634582783</v>
      </c>
      <c r="J40" s="624">
        <f>SUMIFS(tblPouchWeightedQty[Weighted QTY %],tblPouchWeightedQty[Pouch Type],tblPouchWeightedQty[[#This Row],[Pouch Type]],tblPouchWeightedQty[Laminate],tblPouchWeightedQty[[#This Row],[Laminate]],tblPouchWeightedQty[Total Thickness (µ)],tblPouchWeightedQty[[#This Row],[Total Thickness (µ)]])</f>
        <v>1</v>
      </c>
      <c r="K40">
        <v>108</v>
      </c>
      <c r="L40">
        <v>23</v>
      </c>
      <c r="M40">
        <v>53.09</v>
      </c>
    </row>
    <row r="41" spans="1:13">
      <c r="A41" t="s">
        <v>107</v>
      </c>
      <c r="B41">
        <v>648</v>
      </c>
      <c r="C41">
        <v>53</v>
      </c>
      <c r="D41" t="s">
        <v>0</v>
      </c>
      <c r="E41" t="s">
        <v>13</v>
      </c>
      <c r="F41" t="s">
        <v>73</v>
      </c>
      <c r="G41" t="s">
        <v>74</v>
      </c>
      <c r="H41" t="s">
        <v>33</v>
      </c>
      <c r="I41"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2.9293652288566584E-2</v>
      </c>
      <c r="J41" s="624">
        <f>SUMIFS(tblPouchWeightedQty[Weighted QTY %],tblPouchWeightedQty[Pouch Type],tblPouchWeightedQty[[#This Row],[Pouch Type]],tblPouchWeightedQty[Laminate],tblPouchWeightedQty[[#This Row],[Laminate]],tblPouchWeightedQty[Total Thickness (µ)],tblPouchWeightedQty[[#This Row],[Total Thickness (µ)]])</f>
        <v>1</v>
      </c>
      <c r="K41">
        <v>109</v>
      </c>
      <c r="L41">
        <v>27</v>
      </c>
      <c r="M41">
        <v>53.09</v>
      </c>
    </row>
    <row r="42" spans="1:13">
      <c r="A42" t="s">
        <v>107</v>
      </c>
      <c r="B42">
        <v>648</v>
      </c>
      <c r="C42">
        <v>53</v>
      </c>
      <c r="D42" t="s">
        <v>0</v>
      </c>
      <c r="E42" t="s">
        <v>14</v>
      </c>
      <c r="F42" t="s">
        <v>23</v>
      </c>
      <c r="G42" t="s">
        <v>76</v>
      </c>
      <c r="H42" t="s">
        <v>35</v>
      </c>
      <c r="I42"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0.30056507816914674</v>
      </c>
      <c r="J42" s="624">
        <f>SUMIFS(tblPouchWeightedQty[Weighted QTY %],tblPouchWeightedQty[Pouch Type],tblPouchWeightedQty[[#This Row],[Pouch Type]],tblPouchWeightedQty[Laminate],tblPouchWeightedQty[[#This Row],[Laminate]],tblPouchWeightedQty[Total Thickness (µ)],tblPouchWeightedQty[[#This Row],[Total Thickness (µ)]])</f>
        <v>1</v>
      </c>
      <c r="K42">
        <v>109</v>
      </c>
      <c r="L42">
        <v>27</v>
      </c>
      <c r="M42">
        <v>53.09</v>
      </c>
    </row>
    <row r="43" spans="1:13">
      <c r="A43" t="s">
        <v>107</v>
      </c>
      <c r="B43">
        <v>648</v>
      </c>
      <c r="C43">
        <v>53</v>
      </c>
      <c r="D43" t="s">
        <v>0</v>
      </c>
      <c r="E43" t="s">
        <v>16</v>
      </c>
      <c r="F43" t="s">
        <v>10</v>
      </c>
      <c r="G43" t="s">
        <v>80</v>
      </c>
      <c r="H43" t="s">
        <v>38</v>
      </c>
      <c r="I43"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7.6285552834808824E-3</v>
      </c>
      <c r="J43" s="624">
        <f>SUMIFS(tblPouchWeightedQty[Weighted QTY %],tblPouchWeightedQty[Pouch Type],tblPouchWeightedQty[[#This Row],[Pouch Type]],tblPouchWeightedQty[Laminate],tblPouchWeightedQty[[#This Row],[Laminate]],tblPouchWeightedQty[Total Thickness (µ)],tblPouchWeightedQty[[#This Row],[Total Thickness (µ)]])</f>
        <v>1</v>
      </c>
      <c r="K43">
        <v>109</v>
      </c>
      <c r="L43">
        <v>27</v>
      </c>
      <c r="M43">
        <v>53.09</v>
      </c>
    </row>
    <row r="44" spans="1:13">
      <c r="A44" t="s">
        <v>107</v>
      </c>
      <c r="B44">
        <v>648</v>
      </c>
      <c r="C44">
        <v>53</v>
      </c>
      <c r="D44" t="s">
        <v>0</v>
      </c>
      <c r="E44" t="s">
        <v>17</v>
      </c>
      <c r="F44" t="s">
        <v>11</v>
      </c>
      <c r="G44" t="s">
        <v>81</v>
      </c>
      <c r="H44" t="s">
        <v>39</v>
      </c>
      <c r="I44"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8.1371256357129409E-4</v>
      </c>
      <c r="J44" s="624">
        <f>SUMIFS(tblPouchWeightedQty[Weighted QTY %],tblPouchWeightedQty[Pouch Type],tblPouchWeightedQty[[#This Row],[Pouch Type]],tblPouchWeightedQty[Laminate],tblPouchWeightedQty[[#This Row],[Laminate]],tblPouchWeightedQty[Total Thickness (µ)],tblPouchWeightedQty[[#This Row],[Total Thickness (µ)]])</f>
        <v>1</v>
      </c>
      <c r="K44">
        <v>109</v>
      </c>
      <c r="L44">
        <v>27</v>
      </c>
      <c r="M44">
        <v>53.09</v>
      </c>
    </row>
    <row r="45" spans="1:13">
      <c r="A45" t="s">
        <v>107</v>
      </c>
      <c r="B45">
        <v>648</v>
      </c>
      <c r="C45">
        <v>53</v>
      </c>
      <c r="D45" t="s">
        <v>0</v>
      </c>
      <c r="E45" t="s">
        <v>18</v>
      </c>
      <c r="F45" t="s">
        <v>9</v>
      </c>
      <c r="G45" t="s">
        <v>82</v>
      </c>
      <c r="H45" t="s">
        <v>40</v>
      </c>
      <c r="I45"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3.0514221133923526E-3</v>
      </c>
      <c r="J45" s="624">
        <f>SUMIFS(tblPouchWeightedQty[Weighted QTY %],tblPouchWeightedQty[Pouch Type],tblPouchWeightedQty[[#This Row],[Pouch Type]],tblPouchWeightedQty[Laminate],tblPouchWeightedQty[[#This Row],[Laminate]],tblPouchWeightedQty[Total Thickness (µ)],tblPouchWeightedQty[[#This Row],[Total Thickness (µ)]])</f>
        <v>1</v>
      </c>
      <c r="K45">
        <v>109</v>
      </c>
      <c r="L45">
        <v>27</v>
      </c>
      <c r="M45">
        <v>53.09</v>
      </c>
    </row>
    <row r="46" spans="1:13">
      <c r="A46" t="s">
        <v>107</v>
      </c>
      <c r="B46">
        <v>648</v>
      </c>
      <c r="C46">
        <v>53</v>
      </c>
      <c r="D46" t="s">
        <v>0</v>
      </c>
      <c r="E46" t="s">
        <v>12</v>
      </c>
      <c r="F46" t="s">
        <v>8</v>
      </c>
      <c r="G46" t="s">
        <v>83</v>
      </c>
      <c r="H46" t="s">
        <v>42</v>
      </c>
      <c r="I46"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0.16721793181390093</v>
      </c>
      <c r="J46" s="624">
        <f>SUMIFS(tblPouchWeightedQty[Weighted QTY %],tblPouchWeightedQty[Pouch Type],tblPouchWeightedQty[[#This Row],[Pouch Type]],tblPouchWeightedQty[Laminate],tblPouchWeightedQty[[#This Row],[Laminate]],tblPouchWeightedQty[Total Thickness (µ)],tblPouchWeightedQty[[#This Row],[Total Thickness (µ)]])</f>
        <v>1</v>
      </c>
      <c r="K46">
        <v>109</v>
      </c>
      <c r="L46">
        <v>27</v>
      </c>
      <c r="M46">
        <v>53.09</v>
      </c>
    </row>
    <row r="47" spans="1:13">
      <c r="A47" t="s">
        <v>107</v>
      </c>
      <c r="B47">
        <v>648</v>
      </c>
      <c r="C47">
        <v>53</v>
      </c>
      <c r="D47" t="s">
        <v>173</v>
      </c>
      <c r="E47" t="s">
        <v>1300</v>
      </c>
      <c r="H47" t="s">
        <v>173</v>
      </c>
      <c r="I47"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5.6507816914673194E-2</v>
      </c>
      <c r="J47" s="624">
        <f>SUMIFS(tblPouchWeightedQty[Weighted QTY %],tblPouchWeightedQty[Pouch Type],tblPouchWeightedQty[[#This Row],[Pouch Type]],tblPouchWeightedQty[Laminate],tblPouchWeightedQty[[#This Row],[Laminate]],tblPouchWeightedQty[Total Thickness (µ)],tblPouchWeightedQty[[#This Row],[Total Thickness (µ)]])</f>
        <v>1</v>
      </c>
      <c r="K47">
        <v>110</v>
      </c>
      <c r="L47">
        <v>3</v>
      </c>
      <c r="M47">
        <v>53.09</v>
      </c>
    </row>
    <row r="48" spans="1:13">
      <c r="A48" t="s">
        <v>107</v>
      </c>
      <c r="B48">
        <v>648</v>
      </c>
      <c r="C48">
        <v>53</v>
      </c>
      <c r="D48" t="s">
        <v>174</v>
      </c>
      <c r="E48" t="s">
        <v>1300</v>
      </c>
      <c r="H48" t="s">
        <v>174</v>
      </c>
      <c r="I48" s="624">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1.6952345074401939E-3</v>
      </c>
      <c r="J48" s="624">
        <f>SUMIFS(tblPouchWeightedQty[Weighted QTY %],tblPouchWeightedQty[Pouch Type],tblPouchWeightedQty[[#This Row],[Pouch Type]],tblPouchWeightedQty[Laminate],tblPouchWeightedQty[[#This Row],[Laminate]],tblPouchWeightedQty[Total Thickness (µ)],tblPouchWeightedQty[[#This Row],[Total Thickness (µ)]])</f>
        <v>1</v>
      </c>
      <c r="K48">
        <v>111</v>
      </c>
      <c r="L48">
        <v>8.99999999999999E-2</v>
      </c>
      <c r="M48">
        <v>53.09</v>
      </c>
    </row>
  </sheetData>
  <mergeCells count="2">
    <mergeCell ref="A1:J1"/>
    <mergeCell ref="A2:J2"/>
  </mergeCells>
  <conditionalFormatting sqref="J5:J48">
    <cfRule type="cellIs" dxfId="1" priority="1" operator="notBetween">
      <formula>0.999</formula>
      <formula>1.001</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F87F-B806-417E-AFF6-2DEBD270FEA0}">
  <dimension ref="A1:N381"/>
  <sheetViews>
    <sheetView topLeftCell="A352" workbookViewId="0">
      <selection activeCell="A368" sqref="A368:A379"/>
    </sheetView>
  </sheetViews>
  <sheetFormatPr defaultRowHeight="15"/>
  <cols>
    <col min="1" max="1" width="255.7109375" bestFit="1" customWidth="1"/>
  </cols>
  <sheetData>
    <row r="1" spans="1:1">
      <c r="A1" s="618" t="s">
        <v>102</v>
      </c>
    </row>
    <row r="2" spans="1:1" ht="15.75" thickBot="1">
      <c r="A2" s="606" t="s">
        <v>103</v>
      </c>
    </row>
    <row r="4" spans="1:1" ht="15.75" thickBot="1">
      <c r="A4" s="38" t="s">
        <v>104</v>
      </c>
    </row>
    <row r="5" spans="1:1">
      <c r="A5" s="604" t="s">
        <v>105</v>
      </c>
    </row>
    <row r="6" spans="1:1" ht="15.75" thickBot="1">
      <c r="A6" s="606" t="s">
        <v>106</v>
      </c>
    </row>
    <row r="9" spans="1:1" ht="15.75" thickBot="1">
      <c r="A9" s="38" t="s">
        <v>143</v>
      </c>
    </row>
    <row r="10" spans="1:1" ht="75.75" thickBot="1">
      <c r="A10" s="619" t="s">
        <v>144</v>
      </c>
    </row>
    <row r="13" spans="1:1" ht="15.75" thickBot="1">
      <c r="A13" t="s">
        <v>150</v>
      </c>
    </row>
    <row r="14" spans="1:1" ht="66.75" thickBot="1">
      <c r="A14" s="617" t="s">
        <v>151</v>
      </c>
    </row>
    <row r="15" spans="1:1" ht="15.75" thickBot="1"/>
    <row r="16" spans="1:1">
      <c r="A16" s="604" t="s">
        <v>214</v>
      </c>
    </row>
    <row r="17" spans="1:1">
      <c r="A17" s="605" t="s">
        <v>184</v>
      </c>
    </row>
    <row r="18" spans="1:1">
      <c r="A18" s="605" t="s">
        <v>185</v>
      </c>
    </row>
    <row r="19" spans="1:1">
      <c r="A19" s="605" t="s">
        <v>186</v>
      </c>
    </row>
    <row r="20" spans="1:1">
      <c r="A20" s="605" t="s">
        <v>187</v>
      </c>
    </row>
    <row r="21" spans="1:1">
      <c r="A21" s="605" t="s">
        <v>188</v>
      </c>
    </row>
    <row r="22" spans="1:1">
      <c r="A22" s="605" t="s">
        <v>189</v>
      </c>
    </row>
    <row r="23" spans="1:1">
      <c r="A23" s="605" t="s">
        <v>190</v>
      </c>
    </row>
    <row r="24" spans="1:1">
      <c r="A24" s="605" t="s">
        <v>191</v>
      </c>
    </row>
    <row r="25" spans="1:1">
      <c r="A25" s="605" t="s">
        <v>192</v>
      </c>
    </row>
    <row r="26" spans="1:1" ht="15.75" thickBot="1">
      <c r="A26" s="606" t="s">
        <v>193</v>
      </c>
    </row>
    <row r="27" spans="1:1" ht="15.75" thickBot="1"/>
    <row r="28" spans="1:1">
      <c r="A28" s="604" t="s">
        <v>215</v>
      </c>
    </row>
    <row r="29" spans="1:1">
      <c r="A29" s="605" t="s">
        <v>206</v>
      </c>
    </row>
    <row r="30" spans="1:1">
      <c r="A30" s="605" t="s">
        <v>207</v>
      </c>
    </row>
    <row r="31" spans="1:1">
      <c r="A31" s="605" t="s">
        <v>208</v>
      </c>
    </row>
    <row r="32" spans="1:1">
      <c r="A32" s="605" t="s">
        <v>209</v>
      </c>
    </row>
    <row r="33" spans="1:1">
      <c r="A33" s="605" t="s">
        <v>210</v>
      </c>
    </row>
    <row r="34" spans="1:1">
      <c r="A34" s="605" t="s">
        <v>211</v>
      </c>
    </row>
    <row r="35" spans="1:1">
      <c r="A35" s="605" t="s">
        <v>212</v>
      </c>
    </row>
    <row r="36" spans="1:1" ht="15.75" thickBot="1">
      <c r="A36" s="606" t="s">
        <v>213</v>
      </c>
    </row>
    <row r="38" spans="1:1" ht="15.75" thickBot="1"/>
    <row r="39" spans="1:1">
      <c r="A39" s="614" t="s">
        <v>273</v>
      </c>
    </row>
    <row r="40" spans="1:1" ht="15.75" thickBot="1">
      <c r="A40" s="616" t="s">
        <v>274</v>
      </c>
    </row>
    <row r="41" spans="1:1" ht="15.75" thickBot="1"/>
    <row r="42" spans="1:1">
      <c r="A42" s="604" t="s">
        <v>468</v>
      </c>
    </row>
    <row r="43" spans="1:1">
      <c r="A43" s="605"/>
    </row>
    <row r="44" spans="1:1">
      <c r="A44" s="605" t="s">
        <v>469</v>
      </c>
    </row>
    <row r="45" spans="1:1">
      <c r="A45" s="605" t="s">
        <v>470</v>
      </c>
    </row>
    <row r="46" spans="1:1">
      <c r="A46" s="605" t="s">
        <v>471</v>
      </c>
    </row>
    <row r="47" spans="1:1">
      <c r="A47" s="605" t="s">
        <v>472</v>
      </c>
    </row>
    <row r="48" spans="1:1">
      <c r="A48" s="605" t="s">
        <v>473</v>
      </c>
    </row>
    <row r="49" spans="1:1">
      <c r="A49" s="605" t="s">
        <v>474</v>
      </c>
    </row>
    <row r="50" spans="1:1">
      <c r="A50" s="605" t="s">
        <v>475</v>
      </c>
    </row>
    <row r="51" spans="1:1">
      <c r="A51" s="605" t="s">
        <v>476</v>
      </c>
    </row>
    <row r="52" spans="1:1">
      <c r="A52" s="605" t="s">
        <v>477</v>
      </c>
    </row>
    <row r="53" spans="1:1">
      <c r="A53" s="605" t="s">
        <v>478</v>
      </c>
    </row>
    <row r="54" spans="1:1">
      <c r="A54" s="605" t="s">
        <v>479</v>
      </c>
    </row>
    <row r="55" spans="1:1">
      <c r="A55" s="605" t="s">
        <v>480</v>
      </c>
    </row>
    <row r="56" spans="1:1">
      <c r="A56" s="605" t="s">
        <v>481</v>
      </c>
    </row>
    <row r="57" spans="1:1">
      <c r="A57" s="605"/>
    </row>
    <row r="58" spans="1:1">
      <c r="A58" s="605" t="s">
        <v>482</v>
      </c>
    </row>
    <row r="59" spans="1:1">
      <c r="A59" s="605" t="s">
        <v>483</v>
      </c>
    </row>
    <row r="60" spans="1:1" ht="15.75" thickBot="1">
      <c r="A60" s="606" t="s">
        <v>484</v>
      </c>
    </row>
    <row r="61" spans="1:1">
      <c r="A61" t="s">
        <v>485</v>
      </c>
    </row>
    <row r="62" spans="1:1" ht="15.75" thickBot="1"/>
    <row r="63" spans="1:1" ht="33.75" thickBot="1">
      <c r="A63" s="617" t="s">
        <v>499</v>
      </c>
    </row>
    <row r="64" spans="1:1" ht="15.75" thickBot="1"/>
    <row r="65" spans="1:1">
      <c r="A65" s="604" t="s">
        <v>555</v>
      </c>
    </row>
    <row r="66" spans="1:1">
      <c r="A66" s="605" t="s">
        <v>551</v>
      </c>
    </row>
    <row r="67" spans="1:1">
      <c r="A67" s="605" t="s">
        <v>552</v>
      </c>
    </row>
    <row r="68" spans="1:1">
      <c r="A68" s="605" t="s">
        <v>553</v>
      </c>
    </row>
    <row r="69" spans="1:1">
      <c r="A69" s="605" t="s">
        <v>554</v>
      </c>
    </row>
    <row r="70" spans="1:1" ht="15.75" thickBot="1">
      <c r="A70" s="606" t="s">
        <v>556</v>
      </c>
    </row>
    <row r="71" spans="1:1">
      <c r="A71">
        <v>3</v>
      </c>
    </row>
    <row r="72" spans="1:1" ht="15.75" thickBot="1"/>
    <row r="73" spans="1:1">
      <c r="A73" s="604" t="s">
        <v>599</v>
      </c>
    </row>
    <row r="74" spans="1:1">
      <c r="A74" s="605" t="s">
        <v>596</v>
      </c>
    </row>
    <row r="75" spans="1:1">
      <c r="A75" s="605" t="s">
        <v>597</v>
      </c>
    </row>
    <row r="76" spans="1:1">
      <c r="A76" s="605"/>
    </row>
    <row r="77" spans="1:1" ht="15.75" thickBot="1">
      <c r="A77" s="606" t="s">
        <v>598</v>
      </c>
    </row>
    <row r="80" spans="1:1" ht="15.75" thickBot="1"/>
    <row r="81" spans="1:1" ht="45.75" thickBot="1">
      <c r="A81" s="619" t="s">
        <v>1011</v>
      </c>
    </row>
    <row r="83" spans="1:1" ht="15.75" thickBot="1"/>
    <row r="84" spans="1:1" ht="30.75" thickBot="1">
      <c r="A84" s="619" t="s">
        <v>1014</v>
      </c>
    </row>
    <row r="86" spans="1:1" ht="15.75" thickBot="1"/>
    <row r="87" spans="1:1">
      <c r="A87" s="503" t="s">
        <v>1015</v>
      </c>
    </row>
    <row r="88" spans="1:1">
      <c r="A88" s="504" t="s">
        <v>1018</v>
      </c>
    </row>
    <row r="89" spans="1:1">
      <c r="A89" s="505"/>
    </row>
    <row r="90" spans="1:1">
      <c r="A90" s="506" t="s">
        <v>1019</v>
      </c>
    </row>
    <row r="91" spans="1:1">
      <c r="A91" s="506" t="s">
        <v>1020</v>
      </c>
    </row>
    <row r="92" spans="1:1">
      <c r="A92" s="506" t="s">
        <v>1021</v>
      </c>
    </row>
    <row r="93" spans="1:1">
      <c r="A93" s="506" t="s">
        <v>1022</v>
      </c>
    </row>
    <row r="94" spans="1:1">
      <c r="A94" s="504" t="s">
        <v>1023</v>
      </c>
    </row>
    <row r="95" spans="1:1">
      <c r="A95" s="505"/>
    </row>
    <row r="96" spans="1:1">
      <c r="A96" s="507" t="s">
        <v>1024</v>
      </c>
    </row>
    <row r="97" spans="1:1">
      <c r="A97" s="507" t="s">
        <v>1025</v>
      </c>
    </row>
    <row r="98" spans="1:1">
      <c r="A98" s="507" t="s">
        <v>1026</v>
      </c>
    </row>
    <row r="99" spans="1:1">
      <c r="A99" s="504" t="s">
        <v>1027</v>
      </c>
    </row>
    <row r="100" spans="1:1">
      <c r="A100" s="505"/>
    </row>
    <row r="101" spans="1:1">
      <c r="A101" s="507" t="s">
        <v>1028</v>
      </c>
    </row>
    <row r="102" spans="1:1">
      <c r="A102" s="507" t="s">
        <v>1016</v>
      </c>
    </row>
    <row r="103" spans="1:1" ht="15.75" thickBot="1">
      <c r="A103" s="508" t="s">
        <v>1017</v>
      </c>
    </row>
    <row r="106" spans="1:1" ht="15.75" thickBot="1"/>
    <row r="107" spans="1:1">
      <c r="A107" s="604" t="s">
        <v>1080</v>
      </c>
    </row>
    <row r="108" spans="1:1">
      <c r="A108" s="605" t="s">
        <v>1081</v>
      </c>
    </row>
    <row r="109" spans="1:1" ht="15.75" thickBot="1">
      <c r="A109" s="606" t="s">
        <v>1082</v>
      </c>
    </row>
    <row r="111" spans="1:1" ht="15.75" thickBot="1"/>
    <row r="112" spans="1:1">
      <c r="A112" s="604" t="s">
        <v>1105</v>
      </c>
    </row>
    <row r="113" spans="1:1">
      <c r="A113" s="605"/>
    </row>
    <row r="114" spans="1:1">
      <c r="A114" s="605" t="s">
        <v>1106</v>
      </c>
    </row>
    <row r="115" spans="1:1">
      <c r="A115" s="605" t="s">
        <v>1107</v>
      </c>
    </row>
    <row r="116" spans="1:1">
      <c r="A116" s="605" t="s">
        <v>1108</v>
      </c>
    </row>
    <row r="117" spans="1:1">
      <c r="A117" s="605" t="s">
        <v>1109</v>
      </c>
    </row>
    <row r="118" spans="1:1">
      <c r="A118" s="605" t="s">
        <v>1110</v>
      </c>
    </row>
    <row r="119" spans="1:1">
      <c r="A119" s="605" t="s">
        <v>1111</v>
      </c>
    </row>
    <row r="120" spans="1:1">
      <c r="A120" s="605" t="s">
        <v>1112</v>
      </c>
    </row>
    <row r="121" spans="1:1">
      <c r="A121" s="605" t="s">
        <v>1113</v>
      </c>
    </row>
    <row r="122" spans="1:1">
      <c r="A122" s="605" t="s">
        <v>1114</v>
      </c>
    </row>
    <row r="123" spans="1:1">
      <c r="A123" s="605" t="s">
        <v>1115</v>
      </c>
    </row>
    <row r="124" spans="1:1" ht="15.75" thickBot="1">
      <c r="A124" s="606" t="s">
        <v>213</v>
      </c>
    </row>
    <row r="126" spans="1:1" ht="15.75" thickBot="1"/>
    <row r="127" spans="1:1">
      <c r="A127" s="614" t="s">
        <v>185</v>
      </c>
    </row>
    <row r="128" spans="1:1">
      <c r="A128" s="615" t="s">
        <v>1118</v>
      </c>
    </row>
    <row r="129" spans="1:14" ht="30">
      <c r="A129" s="615" t="s">
        <v>1119</v>
      </c>
    </row>
    <row r="130" spans="1:14" ht="15.75" thickBot="1">
      <c r="A130" s="616" t="s">
        <v>213</v>
      </c>
    </row>
    <row r="132" spans="1:14" ht="15.75" thickBot="1"/>
    <row r="133" spans="1:14" ht="17.25" thickBot="1">
      <c r="A133" s="617" t="s">
        <v>1126</v>
      </c>
    </row>
    <row r="135" spans="1:14" ht="15.75" thickBot="1"/>
    <row r="136" spans="1:14">
      <c r="A136" s="604" t="s">
        <v>1122</v>
      </c>
    </row>
    <row r="137" spans="1:14">
      <c r="A137" s="605" t="s">
        <v>1123</v>
      </c>
    </row>
    <row r="138" spans="1:14">
      <c r="A138" s="605" t="s">
        <v>1124</v>
      </c>
    </row>
    <row r="139" spans="1:14">
      <c r="A139" s="605" t="s">
        <v>1127</v>
      </c>
    </row>
    <row r="140" spans="1:14">
      <c r="A140" s="605" t="s">
        <v>1125</v>
      </c>
      <c r="N140" s="3"/>
    </row>
    <row r="141" spans="1:14">
      <c r="A141" s="605" t="s">
        <v>1128</v>
      </c>
      <c r="N141" s="3"/>
    </row>
    <row r="142" spans="1:14">
      <c r="A142" s="605" t="s">
        <v>1129</v>
      </c>
      <c r="J142" t="s">
        <v>1130</v>
      </c>
      <c r="K142">
        <v>800</v>
      </c>
      <c r="N142" s="3"/>
    </row>
    <row r="143" spans="1:14">
      <c r="A143" s="605" t="s">
        <v>1137</v>
      </c>
      <c r="J143" t="s">
        <v>1131</v>
      </c>
      <c r="K143">
        <v>140</v>
      </c>
      <c r="N143" s="3"/>
    </row>
    <row r="144" spans="1:14">
      <c r="A144" s="605"/>
      <c r="J144" t="s">
        <v>1130</v>
      </c>
      <c r="K144">
        <v>80</v>
      </c>
      <c r="M144" t="str">
        <f>IFERROR((SUM(L144:L152)+SUM(F144:G144,I144))*(1/A152)*(#REF!/(#REF!*MAX(1,ROUNDDOWN(760/#REF!,0))))+K144,"")</f>
        <v/>
      </c>
      <c r="N144" s="244"/>
    </row>
    <row r="145" spans="1:14">
      <c r="A145" s="605" t="s">
        <v>1138</v>
      </c>
      <c r="J145" t="s">
        <v>1132</v>
      </c>
      <c r="K145" t="s">
        <v>1133</v>
      </c>
      <c r="M145" s="74">
        <f>300*4*8+5%*(K151)</f>
        <v>10720</v>
      </c>
      <c r="N145" s="244" t="s">
        <v>1136</v>
      </c>
    </row>
    <row r="146" spans="1:14">
      <c r="A146" s="605"/>
      <c r="N146" s="244"/>
    </row>
    <row r="147" spans="1:14">
      <c r="A147" s="605" t="s">
        <v>1139</v>
      </c>
      <c r="J147" t="s">
        <v>1134</v>
      </c>
      <c r="N147" s="64"/>
    </row>
    <row r="148" spans="1:14">
      <c r="A148" s="605"/>
      <c r="J148" t="s">
        <v>1135</v>
      </c>
      <c r="N148" s="64"/>
    </row>
    <row r="149" spans="1:14">
      <c r="A149" s="605" t="s">
        <v>1140</v>
      </c>
      <c r="J149" s="95">
        <v>1600000</v>
      </c>
    </row>
    <row r="150" spans="1:14">
      <c r="A150" s="605"/>
      <c r="J150" s="74">
        <f>800/80</f>
        <v>10</v>
      </c>
    </row>
    <row r="151" spans="1:14">
      <c r="A151" s="605" t="s">
        <v>1141</v>
      </c>
      <c r="J151" s="74">
        <f>J149/10</f>
        <v>160000</v>
      </c>
      <c r="K151" s="74">
        <f>J151*140/1000</f>
        <v>22400</v>
      </c>
    </row>
    <row r="152" spans="1:14" ht="15.75" thickBot="1">
      <c r="A152" s="606" t="s">
        <v>213</v>
      </c>
    </row>
    <row r="153" spans="1:14" ht="15.75" thickBot="1">
      <c r="M153" t="str">
        <f>IFERROR((SUM(L153:L157)+SUM(F153:G153,I153))*(1/A157)*(#REF!/(#REF!*MAX(1,ROUNDDOWN(760/#REF!,0))))+K153,"")</f>
        <v/>
      </c>
    </row>
    <row r="154" spans="1:14">
      <c r="A154" s="604" t="s">
        <v>1142</v>
      </c>
    </row>
    <row r="155" spans="1:14">
      <c r="A155" s="605" t="s">
        <v>1143</v>
      </c>
    </row>
    <row r="156" spans="1:14">
      <c r="A156" s="605" t="s">
        <v>1144</v>
      </c>
    </row>
    <row r="157" spans="1:14">
      <c r="A157" s="605" t="s">
        <v>1145</v>
      </c>
    </row>
    <row r="158" spans="1:14" ht="15.75" thickBot="1">
      <c r="A158" s="606" t="s">
        <v>213</v>
      </c>
    </row>
    <row r="159" spans="1:14" ht="15.75" thickBot="1"/>
    <row r="160" spans="1:14">
      <c r="A160" s="604" t="s">
        <v>1176</v>
      </c>
    </row>
    <row r="161" spans="1:1">
      <c r="A161" s="605" t="s">
        <v>1177</v>
      </c>
    </row>
    <row r="162" spans="1:1">
      <c r="A162" s="605" t="s">
        <v>1178</v>
      </c>
    </row>
    <row r="163" spans="1:1">
      <c r="A163" s="605"/>
    </row>
    <row r="164" spans="1:1">
      <c r="A164" s="605" t="s">
        <v>1179</v>
      </c>
    </row>
    <row r="165" spans="1:1">
      <c r="A165" s="605" t="s">
        <v>1180</v>
      </c>
    </row>
    <row r="166" spans="1:1">
      <c r="A166" s="605" t="s">
        <v>1181</v>
      </c>
    </row>
    <row r="167" spans="1:1">
      <c r="A167" s="605"/>
    </row>
    <row r="168" spans="1:1" ht="15.75" thickBot="1">
      <c r="A168" s="606" t="s">
        <v>485</v>
      </c>
    </row>
    <row r="169" spans="1:1" ht="15.75" thickBot="1"/>
    <row r="170" spans="1:1">
      <c r="A170" s="604" t="s">
        <v>185</v>
      </c>
    </row>
    <row r="171" spans="1:1">
      <c r="A171" s="605" t="s">
        <v>1183</v>
      </c>
    </row>
    <row r="172" spans="1:1">
      <c r="A172" s="605" t="s">
        <v>1184</v>
      </c>
    </row>
    <row r="173" spans="1:1">
      <c r="A173" s="605" t="s">
        <v>1185</v>
      </c>
    </row>
    <row r="174" spans="1:1">
      <c r="A174" s="605" t="s">
        <v>1186</v>
      </c>
    </row>
    <row r="175" spans="1:1" ht="15.75" thickBot="1">
      <c r="A175" s="606" t="s">
        <v>213</v>
      </c>
    </row>
    <row r="176" spans="1:1" ht="15.75" thickBot="1"/>
    <row r="177" spans="1:1">
      <c r="A177" s="604" t="s">
        <v>1187</v>
      </c>
    </row>
    <row r="178" spans="1:1">
      <c r="A178" s="605" t="s">
        <v>1188</v>
      </c>
    </row>
    <row r="179" spans="1:1">
      <c r="A179" s="605" t="s">
        <v>1189</v>
      </c>
    </row>
    <row r="180" spans="1:1">
      <c r="A180" s="605" t="s">
        <v>1190</v>
      </c>
    </row>
    <row r="181" spans="1:1">
      <c r="A181" s="605" t="s">
        <v>1191</v>
      </c>
    </row>
    <row r="182" spans="1:1">
      <c r="A182" s="605" t="s">
        <v>1192</v>
      </c>
    </row>
    <row r="183" spans="1:1">
      <c r="A183" s="605" t="s">
        <v>1193</v>
      </c>
    </row>
    <row r="184" spans="1:1">
      <c r="A184" s="605" t="s">
        <v>1194</v>
      </c>
    </row>
    <row r="185" spans="1:1">
      <c r="A185" s="605" t="s">
        <v>1195</v>
      </c>
    </row>
    <row r="186" spans="1:1" ht="15.75" thickBot="1">
      <c r="A186" s="606"/>
    </row>
    <row r="187" spans="1:1" ht="15.75" thickBot="1"/>
    <row r="188" spans="1:1">
      <c r="A188" s="618" t="s">
        <v>1199</v>
      </c>
    </row>
    <row r="189" spans="1:1">
      <c r="A189" s="605" t="s">
        <v>1200</v>
      </c>
    </row>
    <row r="190" spans="1:1">
      <c r="A190" s="605" t="s">
        <v>1201</v>
      </c>
    </row>
    <row r="191" spans="1:1">
      <c r="A191" s="605">
        <v>-2.02</v>
      </c>
    </row>
    <row r="192" spans="1:1">
      <c r="A192" s="605" t="s">
        <v>1202</v>
      </c>
    </row>
    <row r="193" spans="1:1">
      <c r="A193" s="605"/>
    </row>
    <row r="194" spans="1:1">
      <c r="A194" s="605" t="s">
        <v>1204</v>
      </c>
    </row>
    <row r="195" spans="1:1">
      <c r="A195" s="605" t="s">
        <v>1205</v>
      </c>
    </row>
    <row r="196" spans="1:1">
      <c r="A196" s="605" t="s">
        <v>1206</v>
      </c>
    </row>
    <row r="197" spans="1:1">
      <c r="A197" s="605" t="s">
        <v>1207</v>
      </c>
    </row>
    <row r="198" spans="1:1">
      <c r="A198" s="605"/>
    </row>
    <row r="199" spans="1:1">
      <c r="A199" s="605" t="s">
        <v>1208</v>
      </c>
    </row>
    <row r="200" spans="1:1">
      <c r="A200" s="605" t="s">
        <v>1209</v>
      </c>
    </row>
    <row r="201" spans="1:1" ht="15.75" thickBot="1">
      <c r="A201" s="606" t="s">
        <v>1210</v>
      </c>
    </row>
    <row r="202" spans="1:1" ht="15.75" thickBot="1"/>
    <row r="203" spans="1:1">
      <c r="A203" s="604" t="s">
        <v>1219</v>
      </c>
    </row>
    <row r="204" spans="1:1">
      <c r="A204" s="605" t="s">
        <v>1220</v>
      </c>
    </row>
    <row r="205" spans="1:1">
      <c r="A205" s="605" t="s">
        <v>1221</v>
      </c>
    </row>
    <row r="206" spans="1:1">
      <c r="A206" s="605" t="s">
        <v>1222</v>
      </c>
    </row>
    <row r="207" spans="1:1">
      <c r="A207" s="605" t="s">
        <v>1223</v>
      </c>
    </row>
    <row r="208" spans="1:1">
      <c r="A208" s="605" t="s">
        <v>1224</v>
      </c>
    </row>
    <row r="209" spans="1:1">
      <c r="A209" s="605" t="s">
        <v>1225</v>
      </c>
    </row>
    <row r="210" spans="1:1">
      <c r="A210" s="605" t="s">
        <v>1226</v>
      </c>
    </row>
    <row r="211" spans="1:1">
      <c r="A211" s="605" t="s">
        <v>1227</v>
      </c>
    </row>
    <row r="212" spans="1:1">
      <c r="A212" s="605" t="s">
        <v>1228</v>
      </c>
    </row>
    <row r="213" spans="1:1">
      <c r="A213" s="605" t="s">
        <v>1229</v>
      </c>
    </row>
    <row r="214" spans="1:1" ht="15.75" thickBot="1">
      <c r="A214" s="606" t="s">
        <v>1230</v>
      </c>
    </row>
    <row r="215" spans="1:1" ht="15.75" thickBot="1">
      <c r="A215" t="s">
        <v>485</v>
      </c>
    </row>
    <row r="216" spans="1:1">
      <c r="A216" s="604" t="s">
        <v>1234</v>
      </c>
    </row>
    <row r="217" spans="1:1">
      <c r="A217" s="605"/>
    </row>
    <row r="218" spans="1:1">
      <c r="A218" s="605" t="s">
        <v>1235</v>
      </c>
    </row>
    <row r="219" spans="1:1">
      <c r="A219" s="605" t="s">
        <v>1107</v>
      </c>
    </row>
    <row r="220" spans="1:1">
      <c r="A220" s="605" t="s">
        <v>1236</v>
      </c>
    </row>
    <row r="221" spans="1:1">
      <c r="A221" s="605" t="s">
        <v>1237</v>
      </c>
    </row>
    <row r="222" spans="1:1">
      <c r="A222" s="605" t="s">
        <v>1238</v>
      </c>
    </row>
    <row r="223" spans="1:1">
      <c r="A223" s="605" t="s">
        <v>1239</v>
      </c>
    </row>
    <row r="224" spans="1:1">
      <c r="A224" s="605" t="s">
        <v>1112</v>
      </c>
    </row>
    <row r="225" spans="1:1">
      <c r="A225" s="605" t="s">
        <v>1240</v>
      </c>
    </row>
    <row r="226" spans="1:1" ht="15.75" thickBot="1">
      <c r="A226" s="606" t="s">
        <v>213</v>
      </c>
    </row>
    <row r="228" spans="1:1">
      <c r="A228" t="s">
        <v>1245</v>
      </c>
    </row>
    <row r="229" spans="1:1">
      <c r="A229" t="s">
        <v>1246</v>
      </c>
    </row>
    <row r="230" spans="1:1">
      <c r="A230" t="s">
        <v>1247</v>
      </c>
    </row>
    <row r="231" spans="1:1">
      <c r="A231" t="s">
        <v>1248</v>
      </c>
    </row>
    <row r="233" spans="1:1">
      <c r="A233" t="s">
        <v>1249</v>
      </c>
    </row>
    <row r="235" spans="1:1">
      <c r="A235" t="s">
        <v>1105</v>
      </c>
    </row>
    <row r="236" spans="1:1">
      <c r="A236" t="s">
        <v>1264</v>
      </c>
    </row>
    <row r="237" spans="1:1">
      <c r="A237" t="s">
        <v>213</v>
      </c>
    </row>
    <row r="240" spans="1:1" ht="15.75" thickBot="1"/>
    <row r="241" spans="1:1">
      <c r="A241" s="604" t="s">
        <v>185</v>
      </c>
    </row>
    <row r="242" spans="1:1">
      <c r="A242" s="605" t="s">
        <v>1277</v>
      </c>
    </row>
    <row r="243" spans="1:1">
      <c r="A243" s="605" t="s">
        <v>1278</v>
      </c>
    </row>
    <row r="244" spans="1:1">
      <c r="A244" s="605" t="s">
        <v>1279</v>
      </c>
    </row>
    <row r="245" spans="1:1">
      <c r="A245" s="605" t="s">
        <v>1280</v>
      </c>
    </row>
    <row r="246" spans="1:1" ht="15.75" thickBot="1">
      <c r="A246" s="606" t="s">
        <v>1281</v>
      </c>
    </row>
    <row r="247" spans="1:1" ht="15.75" thickBot="1"/>
    <row r="248" spans="1:1">
      <c r="A248" s="604" t="s">
        <v>1282</v>
      </c>
    </row>
    <row r="249" spans="1:1">
      <c r="A249" s="605" t="s">
        <v>1283</v>
      </c>
    </row>
    <row r="250" spans="1:1">
      <c r="A250" s="605" t="s">
        <v>1284</v>
      </c>
    </row>
    <row r="251" spans="1:1">
      <c r="A251" s="605" t="s">
        <v>1285</v>
      </c>
    </row>
    <row r="252" spans="1:1">
      <c r="A252" s="605" t="s">
        <v>1286</v>
      </c>
    </row>
    <row r="253" spans="1:1" ht="15.75" thickBot="1">
      <c r="A253" s="606"/>
    </row>
    <row r="254" spans="1:1">
      <c r="A254" s="604" t="s">
        <v>1346</v>
      </c>
    </row>
    <row r="255" spans="1:1">
      <c r="A255" s="605" t="s">
        <v>1347</v>
      </c>
    </row>
    <row r="256" spans="1:1">
      <c r="A256" s="605" t="s">
        <v>1348</v>
      </c>
    </row>
    <row r="257" spans="1:1">
      <c r="A257" s="605" t="s">
        <v>1349</v>
      </c>
    </row>
    <row r="258" spans="1:1">
      <c r="A258" s="605" t="s">
        <v>1350</v>
      </c>
    </row>
    <row r="259" spans="1:1" ht="15.75" thickBot="1">
      <c r="A259" s="606" t="s">
        <v>213</v>
      </c>
    </row>
    <row r="260" spans="1:1" ht="15.75" thickBot="1"/>
    <row r="261" spans="1:1">
      <c r="A261" s="909" t="s">
        <v>1367</v>
      </c>
    </row>
    <row r="262" spans="1:1">
      <c r="A262" s="910" t="s">
        <v>1368</v>
      </c>
    </row>
    <row r="263" spans="1:1">
      <c r="A263" s="910" t="s">
        <v>1369</v>
      </c>
    </row>
    <row r="264" spans="1:1">
      <c r="A264" s="910" t="s">
        <v>1370</v>
      </c>
    </row>
    <row r="265" spans="1:1">
      <c r="A265" s="910" t="s">
        <v>1371</v>
      </c>
    </row>
    <row r="266" spans="1:1">
      <c r="A266" s="910" t="s">
        <v>1372</v>
      </c>
    </row>
    <row r="267" spans="1:1">
      <c r="A267" s="910" t="s">
        <v>1373</v>
      </c>
    </row>
    <row r="268" spans="1:1">
      <c r="A268" s="910" t="s">
        <v>1374</v>
      </c>
    </row>
    <row r="269" spans="1:1">
      <c r="A269" s="910" t="s">
        <v>1375</v>
      </c>
    </row>
    <row r="270" spans="1:1">
      <c r="A270" s="910" t="s">
        <v>1376</v>
      </c>
    </row>
    <row r="271" spans="1:1">
      <c r="A271" s="910" t="s">
        <v>1377</v>
      </c>
    </row>
    <row r="272" spans="1:1" ht="15.75" thickBot="1">
      <c r="A272" s="911" t="s">
        <v>1210</v>
      </c>
    </row>
    <row r="273" spans="1:1" ht="15.75" thickBot="1">
      <c r="A273" s="2" t="s">
        <v>485</v>
      </c>
    </row>
    <row r="274" spans="1:1">
      <c r="A274" s="909" t="s">
        <v>1367</v>
      </c>
    </row>
    <row r="275" spans="1:1">
      <c r="A275" s="910" t="s">
        <v>1368</v>
      </c>
    </row>
    <row r="276" spans="1:1">
      <c r="A276" s="910" t="s">
        <v>1369</v>
      </c>
    </row>
    <row r="277" spans="1:1">
      <c r="A277" s="910" t="s">
        <v>1372</v>
      </c>
    </row>
    <row r="278" spans="1:1">
      <c r="A278" s="910" t="s">
        <v>1373</v>
      </c>
    </row>
    <row r="279" spans="1:1">
      <c r="A279" s="910" t="s">
        <v>1374</v>
      </c>
    </row>
    <row r="280" spans="1:1">
      <c r="A280" s="910" t="s">
        <v>1375</v>
      </c>
    </row>
    <row r="281" spans="1:1">
      <c r="A281" s="910" t="s">
        <v>1376</v>
      </c>
    </row>
    <row r="282" spans="1:1">
      <c r="A282" s="910" t="s">
        <v>1377</v>
      </c>
    </row>
    <row r="283" spans="1:1">
      <c r="A283" s="910" t="s">
        <v>1378</v>
      </c>
    </row>
    <row r="284" spans="1:1">
      <c r="A284" s="910" t="s">
        <v>1379</v>
      </c>
    </row>
    <row r="285" spans="1:1">
      <c r="A285" s="910" t="s">
        <v>1380</v>
      </c>
    </row>
    <row r="286" spans="1:1">
      <c r="A286" s="910" t="s">
        <v>1381</v>
      </c>
    </row>
    <row r="287" spans="1:1">
      <c r="A287" s="910" t="s">
        <v>1382</v>
      </c>
    </row>
    <row r="288" spans="1:1">
      <c r="A288" s="910" t="s">
        <v>1383</v>
      </c>
    </row>
    <row r="289" spans="1:1">
      <c r="A289" s="910" t="s">
        <v>1384</v>
      </c>
    </row>
    <row r="290" spans="1:1">
      <c r="A290" s="910" t="s">
        <v>1376</v>
      </c>
    </row>
    <row r="291" spans="1:1" ht="15.75" thickBot="1">
      <c r="A291" s="911" t="s">
        <v>1210</v>
      </c>
    </row>
    <row r="292" spans="1:1" ht="15.75" thickBot="1">
      <c r="A292" s="2" t="s">
        <v>485</v>
      </c>
    </row>
    <row r="293" spans="1:1">
      <c r="A293" s="909" t="s">
        <v>2174</v>
      </c>
    </row>
    <row r="294" spans="1:1">
      <c r="A294" s="910" t="s">
        <v>2175</v>
      </c>
    </row>
    <row r="295" spans="1:1">
      <c r="A295" s="910" t="s">
        <v>2176</v>
      </c>
    </row>
    <row r="296" spans="1:1" ht="15.75" thickBot="1">
      <c r="A296" s="911" t="s">
        <v>2177</v>
      </c>
    </row>
    <row r="297" spans="1:1" ht="15.75" thickBot="1"/>
    <row r="298" spans="1:1">
      <c r="A298" s="604" t="s">
        <v>2181</v>
      </c>
    </row>
    <row r="299" spans="1:1">
      <c r="A299" s="605" t="s">
        <v>2182</v>
      </c>
    </row>
    <row r="300" spans="1:1">
      <c r="A300" s="605" t="s">
        <v>2183</v>
      </c>
    </row>
    <row r="301" spans="1:1">
      <c r="A301" s="605" t="s">
        <v>2184</v>
      </c>
    </row>
    <row r="302" spans="1:1">
      <c r="A302" s="605" t="s">
        <v>2185</v>
      </c>
    </row>
    <row r="303" spans="1:1">
      <c r="A303" s="605" t="s">
        <v>2186</v>
      </c>
    </row>
    <row r="304" spans="1:1" ht="15.75" thickBot="1">
      <c r="A304" s="606" t="s">
        <v>213</v>
      </c>
    </row>
    <row r="306" spans="1:1" ht="15.75" thickBot="1"/>
    <row r="307" spans="1:1" ht="16.5">
      <c r="A307" s="927" t="s">
        <v>2187</v>
      </c>
    </row>
    <row r="308" spans="1:1" ht="15.75" thickBot="1">
      <c r="A308" s="616" t="s">
        <v>213</v>
      </c>
    </row>
    <row r="309" spans="1:1" ht="15.75" thickBot="1">
      <c r="A309" s="50"/>
    </row>
    <row r="310" spans="1:1">
      <c r="A310" s="604" t="s">
        <v>2199</v>
      </c>
    </row>
    <row r="311" spans="1:1">
      <c r="A311" s="605" t="s">
        <v>2200</v>
      </c>
    </row>
    <row r="312" spans="1:1">
      <c r="A312" s="605" t="s">
        <v>2201</v>
      </c>
    </row>
    <row r="313" spans="1:1">
      <c r="A313" s="605" t="s">
        <v>2202</v>
      </c>
    </row>
    <row r="314" spans="1:1" ht="15.75" thickBot="1">
      <c r="A314" s="606" t="s">
        <v>213</v>
      </c>
    </row>
    <row r="315" spans="1:1" ht="15.75" thickBot="1">
      <c r="A315" t="s">
        <v>485</v>
      </c>
    </row>
    <row r="316" spans="1:1">
      <c r="A316" s="604" t="s">
        <v>2289</v>
      </c>
    </row>
    <row r="317" spans="1:1">
      <c r="A317" s="605"/>
    </row>
    <row r="318" spans="1:1">
      <c r="A318" s="605" t="s">
        <v>2290</v>
      </c>
    </row>
    <row r="319" spans="1:1">
      <c r="A319" s="605"/>
    </row>
    <row r="320" spans="1:1">
      <c r="A320" s="605" t="s">
        <v>2291</v>
      </c>
    </row>
    <row r="321" spans="1:1">
      <c r="A321" s="605" t="s">
        <v>2292</v>
      </c>
    </row>
    <row r="322" spans="1:1">
      <c r="A322" s="605" t="s">
        <v>2293</v>
      </c>
    </row>
    <row r="323" spans="1:1">
      <c r="A323" s="605" t="s">
        <v>2294</v>
      </c>
    </row>
    <row r="324" spans="1:1">
      <c r="A324" s="605" t="s">
        <v>2295</v>
      </c>
    </row>
    <row r="325" spans="1:1">
      <c r="A325" s="605" t="s">
        <v>2296</v>
      </c>
    </row>
    <row r="326" spans="1:1">
      <c r="A326" s="605" t="s">
        <v>2297</v>
      </c>
    </row>
    <row r="327" spans="1:1">
      <c r="A327" s="605" t="s">
        <v>2298</v>
      </c>
    </row>
    <row r="328" spans="1:1">
      <c r="A328" s="605" t="s">
        <v>2299</v>
      </c>
    </row>
    <row r="329" spans="1:1">
      <c r="A329" s="605" t="s">
        <v>2300</v>
      </c>
    </row>
    <row r="330" spans="1:1">
      <c r="A330" s="605" t="s">
        <v>2301</v>
      </c>
    </row>
    <row r="331" spans="1:1">
      <c r="A331" s="605" t="s">
        <v>2302</v>
      </c>
    </row>
    <row r="332" spans="1:1">
      <c r="A332" s="605" t="s">
        <v>2303</v>
      </c>
    </row>
    <row r="333" spans="1:1">
      <c r="A333" s="605" t="s">
        <v>2304</v>
      </c>
    </row>
    <row r="334" spans="1:1" ht="15.75" thickBot="1">
      <c r="A334" s="606" t="s">
        <v>213</v>
      </c>
    </row>
    <row r="335" spans="1:1" ht="15.75" thickBot="1"/>
    <row r="336" spans="1:1">
      <c r="A336" s="604" t="s">
        <v>2325</v>
      </c>
    </row>
    <row r="337" spans="1:1">
      <c r="A337" s="605" t="s">
        <v>2326</v>
      </c>
    </row>
    <row r="338" spans="1:1" ht="15.75" thickBot="1">
      <c r="A338" s="606" t="s">
        <v>213</v>
      </c>
    </row>
    <row r="340" spans="1:1" ht="15.75" thickBot="1"/>
    <row r="341" spans="1:1" ht="17.25" thickBot="1">
      <c r="A341" s="977" t="s">
        <v>2336</v>
      </c>
    </row>
    <row r="342" spans="1:1" ht="15.75" thickBot="1"/>
    <row r="343" spans="1:1">
      <c r="A343" s="604" t="s">
        <v>2340</v>
      </c>
    </row>
    <row r="344" spans="1:1">
      <c r="A344" s="605"/>
    </row>
    <row r="345" spans="1:1">
      <c r="A345" s="605" t="s">
        <v>2342</v>
      </c>
    </row>
    <row r="346" spans="1:1">
      <c r="A346" s="605" t="s">
        <v>2343</v>
      </c>
    </row>
    <row r="347" spans="1:1">
      <c r="A347" s="605" t="s">
        <v>2341</v>
      </c>
    </row>
    <row r="348" spans="1:1" ht="15.75" thickBot="1">
      <c r="A348" s="606" t="s">
        <v>213</v>
      </c>
    </row>
    <row r="350" spans="1:1" ht="15.75" thickBot="1"/>
    <row r="351" spans="1:1">
      <c r="A351" s="604" t="s">
        <v>2362</v>
      </c>
    </row>
    <row r="352" spans="1:1">
      <c r="A352" s="605" t="s">
        <v>2363</v>
      </c>
    </row>
    <row r="353" spans="1:1">
      <c r="A353" s="605" t="s">
        <v>2364</v>
      </c>
    </row>
    <row r="354" spans="1:1">
      <c r="A354" s="605" t="s">
        <v>2364</v>
      </c>
    </row>
    <row r="355" spans="1:1">
      <c r="A355" s="605" t="s">
        <v>2365</v>
      </c>
    </row>
    <row r="356" spans="1:1">
      <c r="A356" s="605" t="s">
        <v>2366</v>
      </c>
    </row>
    <row r="357" spans="1:1">
      <c r="A357" s="605"/>
    </row>
    <row r="358" spans="1:1">
      <c r="A358" s="605" t="s">
        <v>2367</v>
      </c>
    </row>
    <row r="359" spans="1:1">
      <c r="A359" s="605" t="s">
        <v>2368</v>
      </c>
    </row>
    <row r="360" spans="1:1">
      <c r="A360" s="605" t="s">
        <v>2364</v>
      </c>
    </row>
    <row r="361" spans="1:1">
      <c r="A361" s="605" t="s">
        <v>2365</v>
      </c>
    </row>
    <row r="362" spans="1:1">
      <c r="A362" s="605" t="s">
        <v>2366</v>
      </c>
    </row>
    <row r="363" spans="1:1">
      <c r="A363" s="605"/>
    </row>
    <row r="364" spans="1:1">
      <c r="A364" s="605" t="s">
        <v>2369</v>
      </c>
    </row>
    <row r="365" spans="1:1" ht="15.75" thickBot="1">
      <c r="A365" s="606" t="s">
        <v>213</v>
      </c>
    </row>
    <row r="366" spans="1:1">
      <c r="A366" t="s">
        <v>485</v>
      </c>
    </row>
    <row r="368" spans="1:1">
      <c r="A368" t="s">
        <v>185</v>
      </c>
    </row>
    <row r="370" spans="1:1">
      <c r="A370" t="s">
        <v>2374</v>
      </c>
    </row>
    <row r="371" spans="1:1">
      <c r="A371" t="s">
        <v>2375</v>
      </c>
    </row>
    <row r="372" spans="1:1">
      <c r="A372" t="s">
        <v>2376</v>
      </c>
    </row>
    <row r="373" spans="1:1">
      <c r="A373" t="s">
        <v>2377</v>
      </c>
    </row>
    <row r="374" spans="1:1">
      <c r="A374" t="s">
        <v>2378</v>
      </c>
    </row>
    <row r="375" spans="1:1">
      <c r="A375" t="s">
        <v>2379</v>
      </c>
    </row>
    <row r="376" spans="1:1">
      <c r="A376" t="s">
        <v>2380</v>
      </c>
    </row>
    <row r="377" spans="1:1">
      <c r="A377" t="s">
        <v>2381</v>
      </c>
    </row>
    <row r="379" spans="1:1">
      <c r="A379" t="s">
        <v>213</v>
      </c>
    </row>
    <row r="381" spans="1:1">
      <c r="A381" t="s">
        <v>485</v>
      </c>
    </row>
  </sheetData>
  <conditionalFormatting sqref="I139:I143">
    <cfRule type="containsText" dxfId="0" priority="1" operator="containsText" text="Error! please choose width not higher than 1220">
      <formula>NOT(ISERROR(SEARCH("Error! please choose width not higher than 1220",I139)))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8</vt:i4>
      </vt:variant>
    </vt:vector>
  </HeadingPairs>
  <TitlesOfParts>
    <vt:vector size="34" baseType="lpstr">
      <vt:lpstr>Sheet1</vt:lpstr>
      <vt:lpstr>Laminate for reels  - Sales</vt:lpstr>
      <vt:lpstr>Step by Step</vt:lpstr>
      <vt:lpstr>Converting- Marma &amp; Bastin  (2)</vt:lpstr>
      <vt:lpstr>Lmntn &amp; Prntng- Marma &amp; Bas (2)</vt:lpstr>
      <vt:lpstr>Laminates (2)</vt:lpstr>
      <vt:lpstr>BOM</vt:lpstr>
      <vt:lpstr>Film Pricing</vt:lpstr>
      <vt:lpstr>Bags Calculator</vt:lpstr>
      <vt:lpstr>Laminates</vt:lpstr>
      <vt:lpstr>Pouches</vt:lpstr>
      <vt:lpstr> Laminate Email template (B4P)</vt:lpstr>
      <vt:lpstr>Pouches- copilot</vt:lpstr>
      <vt:lpstr>Laminates- copilot</vt:lpstr>
      <vt:lpstr>HELPER</vt:lpstr>
      <vt:lpstr>Matan &amp; Hagit 2</vt:lpstr>
      <vt:lpstr>Digital_per_meter- Quantum</vt:lpstr>
      <vt:lpstr>Converting- Quantum</vt:lpstr>
      <vt:lpstr>Lmntn &amp; Prntng- Marma &amp; Bastin </vt:lpstr>
      <vt:lpstr>Converting- Marma &amp; Bastin </vt:lpstr>
      <vt:lpstr>list TIPA &amp; B4P</vt:lpstr>
      <vt:lpstr>Laminates step by step</vt:lpstr>
      <vt:lpstr>BOM Resin Weighted QTY %</vt:lpstr>
      <vt:lpstr>Bom Laminates Weighted QTY %</vt:lpstr>
      <vt:lpstr>BOM Pouches  Weighted QTY</vt:lpstr>
      <vt:lpstr>copilot</vt:lpstr>
      <vt:lpstr>BagNamesDropdown</vt:lpstr>
      <vt:lpstr>ColorBandsDropdown</vt:lpstr>
      <vt:lpstr>ConverterDropdown</vt:lpstr>
      <vt:lpstr>FilmNamesDropdown</vt:lpstr>
      <vt:lpstr>QuantumConvertingPriceFactor</vt:lpstr>
      <vt:lpstr>QuantumDigitalPriceFactor</vt:lpstr>
      <vt:lpstr>ShippingRoutes</vt:lpstr>
      <vt:lpstr>ThicknessDropdown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Chervets</dc:creator>
  <cp:lastModifiedBy>Michael Chervets</cp:lastModifiedBy>
  <cp:lastPrinted>2026-08-03T14:29:29Z</cp:lastPrinted>
  <dcterms:created xsi:type="dcterms:W3CDTF">2026-05-31T12:15:57Z</dcterms:created>
  <dcterms:modified xsi:type="dcterms:W3CDTF">2026-09-24T13:02:13Z</dcterms:modified>
</cp:coreProperties>
</file>